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6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11" r:id="rId17"/>
    <pivotCache cacheId="16" r:id="rId18"/>
    <pivotCache cacheId="2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7" i="1" l="1"/>
  <c r="CO326" i="1"/>
  <c r="CO328" i="1"/>
  <c r="CQ328" i="1" s="1"/>
  <c r="CW326" i="1"/>
  <c r="CW327" i="1"/>
  <c r="CW328" i="1"/>
  <c r="CX326" i="1"/>
  <c r="CX327" i="1"/>
  <c r="CX328" i="1"/>
  <c r="CY326" i="1"/>
  <c r="CY327" i="1"/>
  <c r="CY328" i="1"/>
  <c r="CZ326" i="1"/>
  <c r="CZ327" i="1"/>
  <c r="CZ328" i="1"/>
  <c r="DB326" i="1"/>
  <c r="DB327" i="1"/>
  <c r="DB328" i="1"/>
  <c r="DC326" i="1"/>
  <c r="DH326" i="1" s="1"/>
  <c r="DC327" i="1"/>
  <c r="DH327" i="1" s="1"/>
  <c r="DC328" i="1"/>
  <c r="DG328" i="1" s="1"/>
  <c r="DD326" i="1"/>
  <c r="DD327" i="1"/>
  <c r="DD328" i="1"/>
  <c r="DE326" i="1"/>
  <c r="DE327" i="1"/>
  <c r="DE328" i="1"/>
  <c r="DF326" i="1"/>
  <c r="DF327" i="1"/>
  <c r="DF328" i="1"/>
  <c r="DK326" i="1"/>
  <c r="DK327" i="1"/>
  <c r="DK328" i="1"/>
  <c r="DL326" i="1"/>
  <c r="DL327" i="1"/>
  <c r="DL328" i="1"/>
  <c r="DM326" i="1"/>
  <c r="DM327" i="1"/>
  <c r="DM328" i="1"/>
  <c r="DN326" i="1"/>
  <c r="DN327" i="1"/>
  <c r="DN328" i="1"/>
  <c r="DO326" i="1"/>
  <c r="DO327" i="1"/>
  <c r="DO328" i="1"/>
  <c r="DP326" i="1"/>
  <c r="DP327" i="1"/>
  <c r="DP328" i="1"/>
  <c r="DQ326" i="1"/>
  <c r="DQ327" i="1"/>
  <c r="DQ328" i="1"/>
  <c r="DR326" i="1"/>
  <c r="DR327" i="1"/>
  <c r="DR328" i="1"/>
  <c r="DS326" i="1"/>
  <c r="DS327" i="1"/>
  <c r="DS328" i="1"/>
  <c r="DA328" i="1" l="1"/>
  <c r="DZ328" i="1" s="1"/>
  <c r="DI327" i="1"/>
  <c r="DG326" i="1"/>
  <c r="DI326" i="1"/>
  <c r="EQ327" i="1"/>
  <c r="DI328" i="1"/>
  <c r="DH328" i="1"/>
  <c r="ER326" i="1"/>
  <c r="DJ328" i="1"/>
  <c r="ER327" i="1"/>
  <c r="EQ328" i="1"/>
  <c r="CV328" i="1"/>
  <c r="CS328" i="1"/>
  <c r="CR328" i="1"/>
  <c r="CR327" i="1"/>
  <c r="DA327" i="1"/>
  <c r="DZ327" i="1" s="1"/>
  <c r="CV327" i="1"/>
  <c r="CU327" i="1"/>
  <c r="CS327" i="1"/>
  <c r="CT327" i="1"/>
  <c r="CU326" i="1"/>
  <c r="CR326" i="1"/>
  <c r="CV326" i="1"/>
  <c r="CQ326" i="1"/>
  <c r="CP326" i="1"/>
  <c r="DA326" i="1"/>
  <c r="EI326" i="1" s="1"/>
  <c r="CT328" i="1"/>
  <c r="CP328" i="1"/>
  <c r="CU328" i="1"/>
  <c r="EP328" i="1"/>
  <c r="ET328" i="1"/>
  <c r="DJ327" i="1"/>
  <c r="ET326" i="1"/>
  <c r="EQ326" i="1"/>
  <c r="ET327" i="1"/>
  <c r="EP327" i="1"/>
  <c r="ER328" i="1"/>
  <c r="EP326" i="1"/>
  <c r="DJ326" i="1"/>
  <c r="DG327" i="1"/>
  <c r="CT326" i="1"/>
  <c r="CQ327" i="1"/>
  <c r="CS326" i="1"/>
  <c r="CP327" i="1"/>
  <c r="CO324" i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K324" i="1"/>
  <c r="DK325" i="1"/>
  <c r="DL324" i="1"/>
  <c r="DL325" i="1"/>
  <c r="DM324" i="1"/>
  <c r="DM325" i="1"/>
  <c r="DN324" i="1"/>
  <c r="DN325" i="1"/>
  <c r="DO324" i="1"/>
  <c r="DO325" i="1"/>
  <c r="DP324" i="1"/>
  <c r="DP325" i="1"/>
  <c r="DQ324" i="1"/>
  <c r="DQ325" i="1"/>
  <c r="DR324" i="1"/>
  <c r="DR325" i="1"/>
  <c r="DS324" i="1"/>
  <c r="DS325" i="1"/>
  <c r="EK328" i="1" l="1"/>
  <c r="EC328" i="1"/>
  <c r="EE328" i="1" s="1"/>
  <c r="EL328" i="1"/>
  <c r="DX328" i="1"/>
  <c r="EJ328" i="1"/>
  <c r="ED328" i="1"/>
  <c r="EF328" i="1" s="1"/>
  <c r="EM328" i="1"/>
  <c r="EO328" i="1"/>
  <c r="EG328" i="1"/>
  <c r="EH328" i="1"/>
  <c r="DT328" i="1"/>
  <c r="EN328" i="1"/>
  <c r="DV328" i="1"/>
  <c r="DY328" i="1"/>
  <c r="DU328" i="1"/>
  <c r="EI328" i="1"/>
  <c r="EB328" i="1"/>
  <c r="ED326" i="1"/>
  <c r="EF326" i="1" s="1"/>
  <c r="DX326" i="1"/>
  <c r="EC326" i="1"/>
  <c r="EE326" i="1" s="1"/>
  <c r="EM326" i="1"/>
  <c r="DZ326" i="1"/>
  <c r="EN326" i="1"/>
  <c r="EB326" i="1"/>
  <c r="EK326" i="1"/>
  <c r="EO326" i="1"/>
  <c r="EG326" i="1"/>
  <c r="DV326" i="1"/>
  <c r="DY326" i="1"/>
  <c r="EJ326" i="1"/>
  <c r="EL327" i="1"/>
  <c r="DU326" i="1"/>
  <c r="DT326" i="1"/>
  <c r="EI327" i="1"/>
  <c r="EM327" i="1"/>
  <c r="EH326" i="1"/>
  <c r="EL326" i="1"/>
  <c r="DV327" i="1"/>
  <c r="EN327" i="1"/>
  <c r="ED327" i="1"/>
  <c r="EF327" i="1" s="1"/>
  <c r="EH327" i="1"/>
  <c r="DX327" i="1"/>
  <c r="EG327" i="1"/>
  <c r="EC327" i="1"/>
  <c r="EE327" i="1" s="1"/>
  <c r="DT327" i="1"/>
  <c r="EJ327" i="1"/>
  <c r="DU327" i="1"/>
  <c r="EK327" i="1"/>
  <c r="DY327" i="1"/>
  <c r="EO327" i="1"/>
  <c r="EB327" i="1"/>
  <c r="EQ325" i="1"/>
  <c r="DG324" i="1"/>
  <c r="DG325" i="1"/>
  <c r="EQ324" i="1"/>
  <c r="DJ324" i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CT325" i="1"/>
  <c r="ET324" i="1"/>
  <c r="EP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ES328" i="1" l="1"/>
  <c r="DW328" i="1"/>
  <c r="EA328" i="1" s="1"/>
  <c r="ES326" i="1"/>
  <c r="DW326" i="1"/>
  <c r="EA326" i="1" s="1"/>
  <c r="DW327" i="1"/>
  <c r="EA327" i="1" s="1"/>
  <c r="ES327" i="1"/>
  <c r="DI323" i="1"/>
  <c r="DG322" i="1"/>
  <c r="DZ325" i="1"/>
  <c r="EH325" i="1"/>
  <c r="EL325" i="1"/>
  <c r="EH324" i="1"/>
  <c r="EJ325" i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DW324" i="1" l="1"/>
  <c r="EA324" i="1" s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G299" i="36" s="1"/>
  <c r="D292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<sst xmlns="http://schemas.openxmlformats.org/spreadsheetml/2006/main" count="24661" uniqueCount="2351">
  <si>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</si>
  <si>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</si>
  <si>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</si>
  <si>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</si>
  <si>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</si>
  <si>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</si>
  <si>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</si>
  <si>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</si>
  <si>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</si>
  <si>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</si>
  <si>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</si>
  <si>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</si>
  <si>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</si>
  <si>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</si>
  <si>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</si>
  <si>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</si>
  <si>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</si>
  <si>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</si>
  <si>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</si>
  <si>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</si>
  <si>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</si>
  <si>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</si>
  <si>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</si>
  <si>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</si>
  <si>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</si>
  <si>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</si>
  <si>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</si>
  <si>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</si>
  <si>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</si>
  <si>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</si>
  <si>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</si>
  <si>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</si>
  <si>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</si>
  <si>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</si>
  <si>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</si>
  <si>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</si>
  <si>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</si>
  <si>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</si>
  <si>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</si>
  <si>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</si>
  <si>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</si>
  <si>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</si>
  <si>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</si>
  <si>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</si>
  <si>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</si>
  <si>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</si>
  <si>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</si>
  <si>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</si>
  <si>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</si>
  <si>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</si>
  <si>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</si>
  <si>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</si>
  <si>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</si>
  <si>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</si>
  <si>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</si>
  <si>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</si>
  <si>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</si>
  <si>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</si>
  <si>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</si>
  <si>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</si>
  <si>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</si>
  <si>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</si>
  <si>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</si>
  <si>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</si>
  <si>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</si>
  <si>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</si>
  <si>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</si>
  <si>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</si>
  <si>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</si>
  <si>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</si>
  <si>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</si>
  <si>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</si>
  <si>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</si>
  <si>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</si>
  <si>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</si>
  <si>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</si>
  <si>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</si>
  <si>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</si>
  <si>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</si>
  <si>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</si>
  <si>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</si>
  <si>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</si>
  <si>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</si>
  <si>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</si>
  <si>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</si>
  <si>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</si>
  <si>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</si>
  <si>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</si>
  <si>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</si>
  <si>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</si>
  <si>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</si>
  <si>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</si>
  <si>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</si>
  <si>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</si>
  <si>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</si>
  <si>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</si>
  <si>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</si>
  <si>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</si>
  <si>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</si>
  <si>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</si>
  <si>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</si>
  <si>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</si>
  <si>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</si>
  <si>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</si>
  <si>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</si>
  <si>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</si>
  <si>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</si>
  <si>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</si>
  <si>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</si>
  <si>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</si>
  <si>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</si>
  <si>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</si>
  <si>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</si>
  <si>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</si>
  <si>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</si>
  <si>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</si>
  <si>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</si>
  <si>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</si>
  <si>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</si>
  <si>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</si>
  <si>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</si>
  <si>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</si>
  <si>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</si>
  <si>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</si>
  <si>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</si>
  <si>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</si>
  <si>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</si>
  <si>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</si>
  <si>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</si>
  <si>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</si>
  <si>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</si>
  <si>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</si>
  <si>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</si>
  <si>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</si>
  <si>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</si>
  <si>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</si>
  <si>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</si>
  <si>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</si>
  <si>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</si>
  <si>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</si>
  <si>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</si>
  <si>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</si>
  <si>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</si>
  <si>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</si>
  <si>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</si>
  <si>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</si>
  <si>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</si>
  <si>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</si>
  <si>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</si>
  <si>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</si>
  <si>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</si>
  <si>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</si>
  <si>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</si>
  <si>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</si>
  <si>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</si>
  <si>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</si>
  <si>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</si>
  <si>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</si>
  <si>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</si>
  <si>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</si>
  <si>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</si>
  <si>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</si>
  <si>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</si>
  <si>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</si>
  <si>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</si>
  <si>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</si>
  <si>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</si>
  <si>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</si>
  <si>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</si>
  <si>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</si>
  <si>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</si>
  <si>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</si>
  <si>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</si>
  <si>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</si>
  <si>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</si>
  <si>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</si>
  <si>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</si>
  <si>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</si>
  <si>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</si>
  <si>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</si>
  <si>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</si>
  <si>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</si>
  <si>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</si>
  <si>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</si>
  <si>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</si>
  <si>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</si>
  <si>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</si>
  <si>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</si>
  <si>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</si>
  <si>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</si>
  <si>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</si>
  <si>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</si>
  <si>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</si>
  <si>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</si>
  <si>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</si>
  <si>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</si>
  <si>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</si>
  <si>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</si>
  <si>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</si>
  <si>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</si>
  <si>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</si>
  <si>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</si>
  <si>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</si>
  <si>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</si>
  <si>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</si>
  <si>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</si>
  <si>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</si>
  <si>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</si>
  <si>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</si>
  <si>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</si>
  <si>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</si>
  <si>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</si>
  <si>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</si>
  <si>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</si>
  <si>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</si>
  <si>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</si>
  <si>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</si>
  <si>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</si>
  <si>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</si>
  <si>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</si>
  <si>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</si>
  <si>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</si>
  <si>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</si>
  <si>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</si>
  <si>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</si>
  <si>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</si>
  <si>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</si>
  <si>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</si>
  <si>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</si>
  <si>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</si>
  <si>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</si>
  <si>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</si>
  <si>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</si>
  <si>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</si>
  <si>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</si>
  <si>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</si>
  <si>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</si>
  <si>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</si>
  <si>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</si>
  <si>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</si>
  <si>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</si>
  <si>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</si>
  <si>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</si>
  <si>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</si>
  <si>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</si>
  <si>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</si>
  <si>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</si>
  <si>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</si>
  <si>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</si>
  <si>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</si>
  <si>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</si>
  <si>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</si>
  <si>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</si>
  <si>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</si>
  <si>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</si>
  <si>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</si>
  <si>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</si>
  <si>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</si>
  <si>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</si>
  <si>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</si>
  <si>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</si>
  <si>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</si>
  <si>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</si>
  <si>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</si>
  <si>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</si>
  <si>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</si>
  <si>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</si>
  <si>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</si>
  <si>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</si>
  <si>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</si>
  <si>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</si>
  <si>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</si>
  <si>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</si>
  <si>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</si>
  <si>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</si>
  <si>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</si>
  <si>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</si>
  <si>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</si>
  <si>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</si>
  <si>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</si>
  <si>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</si>
  <si>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</si>
  <si>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</si>
  <si>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</si>
  <si>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</si>
  <si>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</si>
  <si>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</si>
  <si>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</si>
  <si>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</si>
  <si>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</si>
  <si>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</si>
  <si>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</si>
  <si>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</si>
  <si>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</si>
  <si>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</si>
  <si>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</si>
  <si>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</si>
  <si>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</si>
  <si>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</si>
  <si>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</si>
  <si>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</si>
  <si>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</si>
  <si>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</si>
  <si>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</si>
  <si>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</si>
  <si>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</si>
  <si>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</si>
  <si>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</si>
  <si>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</si>
  <si>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</si>
  <si>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</si>
  <si>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</si>
  <si>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</si>
  <si>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</si>
  <si>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</si>
  <si>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</si>
  <si>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</si>
  <si>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</si>
  <si>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</si>
  <si>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</si>
  <si>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</si>
  <si>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</si>
  <si>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</si>
  <si>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</si>
  <si>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</si>
  <si>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</si>
  <si>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</si>
  <si>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</si>
  <si>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</si>
  <si>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</si>
  <si>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</si>
  <si>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</si>
  <si>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</si>
  <si>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</si>
  <si>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</si>
  <si>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</si>
  <si>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</si>
  <si>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</si>
  <si>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</si>
  <si>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</si>
  <si>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</si>
  <si>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</si>
  <si>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</si>
  <si>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</si>
  <si>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</si>
  <si>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</si>
  <si>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</si>
  <si>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</si>
  <si>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</si>
  <si>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</si>
  <si>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</si>
  <si>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</si>
  <si>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</si>
  <si>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</si>
  <si>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</si>
  <si>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</si>
  <si>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</si>
  <si>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</si>
  <si>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</si>
  <si>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</si>
  <si>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</si>
  <si>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</si>
  <si>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</si>
  <si>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</si>
  <si>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</si>
  <si>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</si>
  <si>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</si>
  <si>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</si>
  <si>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</si>
  <si>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</si>
  <si>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</si>
  <si>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</si>
  <si>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</si>
  <si>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</si>
  <si>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</si>
  <si>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</si>
  <si>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</si>
  <si>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</si>
  <si>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</si>
  <si>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</si>
  <si>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</si>
  <si>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</si>
  <si>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</si>
  <si>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</si>
  <si>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</si>
  <si>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</si>
  <si>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</si>
  <si>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</si>
  <si>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</si>
  <si>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</si>
  <si>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</si>
  <si>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</si>
  <si>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</si>
  <si>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</si>
  <si>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</si>
  <si>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</si>
  <si>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</si>
  <si>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</si>
  <si>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</si>
  <si>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</si>
  <si>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</si>
  <si>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</si>
  <si>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</si>
  <si>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</si>
  <si>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</si>
  <si>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</si>
  <si>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</si>
  <si>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</si>
  <si>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</si>
  <si>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</si>
  <si>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</si>
  <si>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</si>
  <si>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</si>
  <si>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</si>
  <si>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</si>
  <si>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</si>
  <si>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</si>
  <si>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</si>
  <si>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</si>
  <si>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</si>
  <si>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</si>
  <si>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</si>
  <si>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</si>
  <si>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</si>
  <si>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</si>
  <si>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</si>
  <si>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</si>
  <si>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</si>
  <si>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</si>
  <si>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</si>
  <si>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</si>
  <si>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</si>
  <si>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</si>
  <si>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</si>
  <si>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</si>
  <si>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</si>
  <si>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</si>
  <si>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</si>
  <si>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</si>
  <si>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</si>
  <si>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</si>
  <si>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</si>
  <si>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</si>
  <si>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</si>
  <si>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</si>
  <si>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</si>
  <si>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</si>
  <si>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</si>
  <si>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</si>
  <si>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</si>
  <si>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</si>
  <si>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</si>
  <si>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</si>
  <si>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</si>
  <si>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</si>
  <si>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</si>
  <si>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</si>
  <si>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</si>
  <si>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</si>
  <si>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</si>
  <si>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</si>
  <si>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</si>
  <si>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</si>
  <si>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</si>
  <si>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</si>
  <si>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</si>
  <si>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</si>
  <si>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</si>
  <si>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</si>
  <si>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</si>
  <si>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</si>
  <si>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</si>
  <si>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</si>
  <si>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</si>
  <si>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</si>
  <si>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</si>
  <si>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</si>
  <si>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</si>
  <si>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</si>
  <si>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</si>
  <si>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</si>
  <si>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</si>
  <si>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</si>
  <si>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</si>
  <si>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</si>
  <si>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</si>
  <si>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</si>
  <si>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</si>
  <si>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</si>
  <si>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</si>
  <si>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</si>
  <si>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</si>
  <si>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</si>
  <si>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</si>
  <si>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</si>
  <si>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</si>
  <si>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</si>
  <si>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</si>
  <si>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</si>
  <si>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</si>
  <si>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</si>
  <si>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</si>
  <si>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</si>
  <si>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</si>
  <si>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</si>
  <si>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</si>
  <si>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</si>
  <si>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</si>
  <si>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</si>
  <si>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</si>
  <si>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</si>
  <si>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</si>
  <si>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</si>
  <si>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</si>
  <si>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</si>
  <si>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</si>
  <si>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</si>
  <si>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</si>
  <si>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</si>
  <si>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</si>
  <si>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</si>
  <si>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</si>
  <si>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</si>
  <si>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</si>
  <si>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</si>
  <si>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</si>
  <si>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</si>
  <si>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</si>
  <si>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</si>
  <si>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</si>
  <si>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</si>
  <si>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</si>
  <si>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</si>
  <si>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</si>
  <si>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</si>
  <si>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</si>
  <si>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</si>
  <si>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</si>
  <si>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</si>
  <si>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</si>
  <si>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</si>
  <si>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</si>
  <si>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</si>
  <si>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</si>
  <si>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</si>
  <si>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</si>
  <si>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</si>
  <si>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</si>
  <si>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</si>
  <si>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</si>
  <si>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</si>
  <si>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</si>
  <si>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</si>
  <si>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</si>
  <si>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</si>
  <si>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</si>
  <si>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</si>
  <si>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</si>
  <si>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</si>
  <si>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</si>
  <si>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</si>
  <si>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</si>
  <si>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</si>
  <si>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</si>
  <si>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</si>
  <si>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</si>
  <si>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</si>
  <si>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</si>
  <si>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</si>
  <si>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</si>
  <si>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</si>
  <si>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</si>
  <si>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</si>
  <si>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</si>
  <si>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</si>
  <si>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</si>
  <si>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</si>
  <si>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</si>
  <si>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</si>
  <si>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</si>
  <si>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</si>
  <si>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</si>
  <si>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</si>
  <si>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</si>
  <si>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</si>
  <si>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</si>
  <si>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</si>
  <si>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</si>
  <si>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</si>
  <si>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</si>
  <si>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</si>
  <si>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</si>
  <si>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</si>
  <si>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</si>
  <si>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</si>
  <si>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</si>
  <si>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</si>
  <si>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</si>
  <si>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</si>
  <si>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</si>
  <si>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</si>
  <si>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</si>
  <si>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</si>
  <si>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</si>
  <si>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</si>
  <si>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</si>
  <si>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</si>
  <si>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</si>
  <si>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</si>
  <si>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</si>
  <si>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</si>
  <si>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</si>
  <si>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</si>
  <si>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</si>
  <si>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</si>
  <si>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</si>
  <si>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</si>
  <si>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</si>
  <si>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</si>
  <si>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</si>
  <si>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</si>
  <si>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</si>
  <si>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</si>
  <si>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</si>
  <si>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</si>
  <si>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</si>
  <si>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</si>
  <si>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</si>
  <si>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</si>
  <si>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</si>
  <si>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</si>
  <si>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</si>
  <si>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</si>
  <si>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</si>
  <si>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</si>
  <si>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</si>
  <si>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</si>
  <si>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</si>
  <si>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</si>
  <si>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</si>
  <si>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</si>
  <si>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</si>
  <si>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</si>
  <si>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</si>
  <si>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</si>
  <si>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</si>
  <si>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</si>
  <si>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</si>
  <si>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</si>
  <si>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</si>
  <si>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</si>
  <si>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</si>
  <si>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</si>
  <si>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</si>
  <si>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</si>
  <si>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</si>
  <si>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</si>
  <si>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</si>
  <si>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</si>
  <si>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</si>
  <si>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</si>
  <si>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</si>
  <si>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</si>
  <si>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</si>
  <si>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</si>
  <si>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</si>
  <si>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</si>
  <si>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</si>
  <si>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</si>
  <si>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</si>
  <si>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</si>
  <si>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</si>
  <si>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</si>
  <si>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</si>
  <si>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</si>
  <si>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</si>
  <si>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</si>
  <si>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</si>
  <si>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</si>
  <si>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</si>
  <si>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</si>
  <si>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</si>
  <si>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</si>
  <si>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</si>
  <si>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</si>
  <si>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</si>
  <si>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</si>
  <si>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</si>
  <si>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</si>
  <si>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</si>
  <si>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</si>
  <si>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</si>
  <si>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</si>
  <si>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</si>
  <si>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</si>
  <si>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</si>
  <si>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</si>
  <si>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</si>
  <si>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</si>
  <si>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</si>
  <si>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</si>
  <si>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</si>
  <si>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</si>
  <si>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</si>
  <si>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</si>
  <si>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</si>
  <si>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</si>
  <si>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</si>
  <si>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</si>
  <si>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</si>
  <si>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</si>
  <si>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</si>
  <si>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</si>
  <si>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</si>
  <si>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</si>
  <si>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</si>
  <si>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</si>
  <si>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</si>
  <si>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</si>
  <si>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</si>
  <si>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</si>
  <si>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</si>
  <si>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</si>
  <si>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</si>
  <si>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</si>
  <si>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</si>
  <si>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</si>
  <si>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</si>
  <si>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</si>
  <si>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</si>
  <si>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</si>
  <si>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</si>
  <si>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</si>
  <si>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</si>
  <si>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</si>
  <si>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</si>
  <si>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</si>
  <si>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</si>
  <si>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</si>
  <si>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</si>
  <si>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</si>
  <si>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</si>
  <si>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</si>
  <si>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</si>
  <si>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</si>
  <si>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</si>
  <si>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</si>
  <si>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</si>
  <si>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</si>
  <si>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</si>
  <si>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</si>
  <si>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</si>
  <si>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</si>
  <si>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</si>
  <si>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</si>
  <si>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</si>
  <si>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</si>
  <si>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</si>
  <si>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</si>
  <si>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</si>
  <si>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</si>
  <si>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</si>
  <si>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</si>
  <si>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</si>
  <si>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</si>
  <si>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</si>
  <si>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</si>
  <si>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</si>
  <si>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</si>
  <si>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</si>
  <si>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</si>
  <si>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</si>
  <si>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</si>
  <si>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</si>
  <si>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</si>
  <si>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</si>
  <si>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</si>
  <si>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</si>
  <si>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</si>
  <si>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</si>
  <si>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</si>
  <si>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</si>
  <si>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</si>
  <si>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</si>
  <si>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</si>
  <si>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</si>
  <si>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</si>
  <si>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</si>
  <si>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</si>
  <si>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</si>
  <si>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</si>
  <si>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</si>
  <si>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</si>
  <si>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</si>
  <si>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</si>
  <si>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</si>
  <si>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</si>
  <si>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</si>
  <si>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</si>
  <si>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</si>
  <si>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</si>
  <si>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</si>
  <si>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</si>
  <si>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</si>
  <si>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</si>
  <si>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</si>
  <si>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</si>
  <si>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</si>
  <si>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</si>
  <si>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</si>
  <si>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</si>
  <si>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</si>
  <si>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</si>
  <si>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</si>
  <si>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</si>
  <si>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</si>
  <si>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</si>
  <si>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</si>
  <si>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</si>
  <si>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</si>
  <si>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</si>
  <si>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</si>
  <si>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</si>
  <si>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</si>
  <si>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</si>
  <si>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</si>
  <si>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</si>
  <si>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</si>
  <si>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</si>
  <si>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</si>
  <si>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</si>
  <si>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</si>
  <si>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</si>
  <si>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</si>
  <si>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</si>
  <si>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</si>
  <si>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</si>
  <si>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</si>
  <si>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</si>
  <si>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</si>
  <si>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</si>
  <si>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</si>
  <si>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</si>
  <si>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</si>
  <si>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</si>
  <si>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</si>
  <si>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</si>
  <si>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</si>
  <si>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</si>
  <si>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</si>
  <si>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</si>
  <si>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</si>
  <si>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</si>
  <si>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</si>
  <si>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</si>
  <si>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</si>
  <si>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</si>
  <si>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</si>
  <si>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</si>
  <si>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</si>
  <si>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</si>
  <si>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</si>
  <si>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</si>
  <si>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</si>
  <si>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</si>
  <si>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</si>
  <si>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</si>
  <si>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</si>
  <si>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</si>
  <si>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</si>
  <si>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</si>
  <si>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</si>
  <si>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</si>
  <si>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</si>
  <si>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</si>
  <si>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</si>
  <si>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</si>
  <si>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</si>
  <si>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</si>
  <si>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</si>
  <si>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</si>
  <si>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</si>
  <si>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</si>
  <si>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</si>
  <si>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</si>
  <si>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</si>
  <si>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</si>
  <si>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</si>
  <si>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</si>
  <si>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</si>
  <si>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</si>
  <si>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</si>
  <si>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</si>
  <si>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</si>
  <si>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</si>
  <si>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</si>
  <si>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</si>
  <si>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</si>
  <si>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</si>
  <si>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</si>
  <si>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</si>
  <si>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</si>
  <si>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</si>
  <si>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</si>
  <si>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</si>
  <si>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</si>
  <si>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</si>
  <si>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</si>
  <si>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</si>
  <si>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</si>
  <si>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</si>
  <si>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</si>
  <si>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</si>
  <si>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</si>
  <si>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</si>
  <si>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</si>
  <si>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</si>
  <si>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</si>
  <si>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</si>
  <si>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</si>
  <si>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</si>
  <si>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</si>
  <si>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</si>
  <si>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</si>
  <si>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</si>
  <si>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</si>
  <si>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</si>
  <si>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</si>
  <si>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</si>
  <si>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</si>
  <si>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</si>
  <si>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</si>
  <si>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</si>
  <si>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</si>
  <si>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</si>
  <si>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</si>
  <si>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</si>
  <si>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</si>
  <si>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</si>
  <si>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</si>
  <si>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</si>
  <si>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</si>
  <si>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</si>
  <si>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</si>
  <si>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</si>
  <si>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</si>
  <si>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</si>
  <si>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</si>
  <si>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</si>
  <si>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</si>
  <si>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</si>
  <si>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</si>
  <si>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</si>
  <si>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</si>
  <si>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</si>
  <si>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</si>
  <si>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</si>
  <si>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</si>
  <si>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</si>
  <si>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</si>
  <si>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</si>
  <si>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</si>
  <si>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</si>
  <si>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</si>
  <si>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</si>
  <si>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</si>
  <si>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</si>
  <si>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</si>
  <si>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</si>
  <si>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</si>
  <si>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</si>
  <si>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</si>
  <si>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</si>
  <si>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</si>
  <si>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</si>
  <si>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</si>
  <si>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</si>
  <si>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</si>
  <si>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</si>
  <si>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</si>
  <si>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</si>
  <si>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</si>
  <si>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</si>
  <si>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</si>
  <si>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</si>
  <si>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</si>
  <si>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</si>
  <si>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</si>
  <si>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</si>
  <si>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</si>
  <si>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</si>
  <si>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</si>
  <si>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</si>
  <si>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</si>
  <si>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</si>
  <si>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</si>
  <si>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</si>
  <si>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</si>
  <si>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</si>
  <si>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</si>
  <si>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</si>
  <si>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</si>
  <si>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</si>
  <si>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</si>
  <si>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</si>
  <si>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</si>
  <si>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</si>
  <si>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</si>
  <si>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</si>
  <si>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</si>
  <si>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</si>
  <si>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</si>
  <si>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</si>
  <si>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</si>
  <si>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</si>
  <si>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</si>
  <si>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</si>
  <si>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</si>
  <si>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</si>
  <si>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</si>
  <si>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</si>
  <si>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</si>
  <si>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</si>
  <si>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</si>
  <si>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</si>
  <si>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</si>
  <si>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</si>
  <si>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</si>
  <si>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</si>
  <si>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</si>
  <si>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</si>
  <si>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</si>
  <si>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</si>
  <si>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</si>
  <si>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</si>
  <si>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</si>
  <si>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</si>
  <si>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</si>
  <si>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</si>
  <si>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</si>
  <si>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</si>
  <si>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</si>
  <si>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</si>
  <si>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</si>
  <si>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</si>
  <si>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</si>
  <si>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</si>
  <si>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</si>
  <si>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</si>
  <si>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</si>
  <si>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</si>
  <si>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</si>
  <si>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</si>
  <si>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</si>
  <si>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</si>
  <si>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</si>
  <si>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</si>
  <si>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</si>
  <si>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</si>
  <si>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</si>
  <si>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</si>
  <si>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</si>
  <si>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</si>
  <si>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</si>
  <si>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</si>
  <si>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</si>
  <si>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</si>
  <si>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</si>
  <si>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</si>
  <si>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</si>
  <si>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</si>
  <si>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</si>
  <si>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</si>
  <si>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</si>
  <si>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</si>
  <si>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</si>
  <si>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</si>
  <si>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</si>
  <si>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</si>
  <si>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</si>
  <si>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</si>
  <si>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</si>
  <si>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</si>
  <si>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</si>
  <si>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</si>
  <si>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</si>
  <si>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</si>
  <si>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</si>
  <si>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</si>
  <si>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</si>
  <si>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</si>
  <si>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</si>
  <si>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</si>
  <si>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</si>
  <si>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</si>
  <si>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</si>
  <si>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</si>
  <si>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</si>
  <si>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</si>
  <si>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</si>
  <si>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</si>
  <si>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</si>
  <si>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</si>
  <si>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</si>
  <si>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</si>
  <si>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</si>
  <si>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</si>
  <si>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</si>
  <si>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</si>
  <si>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</si>
  <si>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</si>
  <si>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</si>
  <si>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</si>
  <si>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</si>
  <si>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</si>
  <si>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</si>
  <si>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</si>
  <si>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</si>
  <si>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</si>
  <si>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</si>
  <si>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</si>
  <si>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</si>
  <si>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</si>
  <si>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</si>
  <si>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</si>
  <si>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</si>
  <si>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</si>
  <si>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</si>
  <si>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</si>
  <si>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</si>
  <si>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</si>
  <si>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</si>
  <si>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</si>
  <si>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</si>
  <si>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</si>
  <si>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</si>
  <si>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</si>
  <si>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</si>
  <si>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</si>
  <si>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</si>
  <si>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</si>
  <si>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</si>
  <si>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</si>
  <si>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</si>
  <si>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</si>
  <si>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</si>
  <si>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</si>
  <si>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</si>
  <si>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</si>
  <si>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</si>
  <si>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</si>
  <si>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</si>
  <si>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</si>
  <si>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</si>
  <si>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</si>
  <si>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</si>
  <si>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</si>
  <si>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</si>
  <si>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</si>
  <si>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</si>
  <si>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</si>
  <si>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</si>
  <si>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</si>
  <si>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</si>
  <si>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</si>
  <si>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</si>
  <si>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</si>
  <si>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</si>
  <si>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</si>
  <si>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</si>
  <si>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</si>
  <si>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</si>
  <si>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</si>
  <si>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</si>
  <si>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</si>
  <si>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</si>
  <si>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</si>
  <si>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</si>
  <si>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</si>
  <si>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</si>
  <si>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</si>
  <si>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</si>
  <si>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</si>
  <si>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</si>
  <si>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</si>
  <si>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</si>
  <si>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</si>
  <si>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</si>
  <si>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</si>
  <si>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</si>
  <si>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</si>
  <si>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</si>
  <si>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</si>
  <si>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</si>
  <si>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</si>
  <si>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</si>
  <si>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</si>
  <si>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</si>
  <si>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</si>
  <si>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</si>
  <si>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</si>
  <si>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</si>
  <si>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</si>
  <si>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</si>
  <si>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</si>
  <si>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</si>
  <si>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</si>
  <si>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</si>
  <si>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</si>
  <si>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</si>
  <si>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</si>
  <si>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</si>
  <si>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</si>
  <si>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</si>
  <si>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</si>
  <si>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</si>
  <si>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</si>
  <si>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</si>
  <si>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</si>
  <si>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</si>
  <si>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</si>
  <si>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</si>
  <si>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</si>
  <si>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</si>
  <si>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</si>
  <si>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</si>
  <si>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</si>
  <si>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</si>
  <si>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</si>
  <si>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</si>
  <si>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</si>
  <si>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</si>
  <si>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</si>
  <si>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</si>
  <si>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</si>
  <si>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</si>
  <si>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</si>
  <si>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</si>
  <si>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</si>
  <si>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</si>
  <si>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</si>
  <si>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</si>
  <si>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</si>
  <si>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</si>
  <si>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</si>
  <si>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</si>
  <si>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</si>
  <si>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</si>
  <si>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</si>
  <si>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</si>
  <si>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</si>
  <si>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</si>
  <si>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</si>
  <si>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</si>
  <si>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</si>
  <si>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</si>
  <si>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</si>
  <si>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</si>
  <si>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</si>
  <si>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</si>
  <si>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</si>
  <si>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</si>
  <si>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</si>
  <si>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</si>
  <si>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</si>
  <si>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</si>
  <si>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</si>
  <si>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</si>
  <si>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</si>
  <si>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</si>
  <si>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</si>
  <si>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</si>
  <si>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</si>
  <si>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</si>
  <si>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</si>
  <si>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</si>
  <si>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</si>
  <si>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</si>
  <si>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</si>
  <si>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</si>
  <si>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</si>
  <si>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</si>
  <si>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</si>
  <si>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</si>
  <si>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</si>
  <si>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</si>
  <si>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</si>
  <si>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</si>
  <si>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</si>
  <si>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</si>
  <si>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</si>
  <si>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</si>
  <si>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</si>
  <si>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</si>
  <si>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</si>
  <si>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</si>
  <si>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</si>
  <si>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</si>
  <si>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</si>
  <si>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</si>
  <si>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</si>
  <si>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</si>
  <si>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</si>
  <si>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</si>
  <si>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</si>
  <si>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</si>
  <si>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</si>
  <si>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</si>
  <si>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</si>
  <si>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</si>
  <si>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</si>
  <si>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</si>
  <si>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</si>
  <si>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</si>
  <si>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</si>
  <si>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</si>
  <si>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</si>
  <si>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</si>
  <si>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</si>
  <si>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</si>
  <si>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</si>
  <si>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</si>
  <si>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</si>
  <si>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</si>
  <si>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</si>
  <si>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</si>
  <si>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</si>
  <si>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</si>
  <si>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</si>
  <si>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</si>
  <si>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</si>
  <si>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</si>
  <si>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</si>
  <si>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</si>
  <si>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</si>
  <si>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</si>
  <si>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</si>
  <si>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</si>
  <si>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</si>
  <si>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</si>
  <si>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</si>
  <si>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</si>
  <si>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</si>
  <si>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</si>
  <si>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</si>
  <si>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</si>
  <si>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</si>
  <si>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</si>
  <si>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</si>
  <si>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</si>
  <si>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</si>
  <si>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</si>
  <si>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</si>
  <si>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</si>
  <si>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</si>
  <si>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</si>
  <si>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</si>
  <si>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</si>
  <si>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</si>
  <si>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</si>
  <si>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</si>
  <si>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</si>
  <si>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</si>
  <si>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</si>
  <si>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</si>
  <si>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</si>
  <si>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</si>
  <si>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</si>
  <si>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</si>
  <si>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</si>
  <si>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</si>
  <si>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</si>
  <si>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</si>
  <si>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</si>
  <si>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</si>
  <si>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</si>
  <si>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</si>
  <si>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</si>
  <si>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</si>
  <si>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</si>
  <si>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</si>
  <si>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</si>
  <si>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</si>
  <si>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</si>
  <si>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</si>
  <si>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</si>
  <si>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</si>
  <si>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</si>
  <si>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</si>
  <si>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</si>
  <si>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</si>
  <si>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</si>
  <si>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</si>
  <si>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</si>
  <si>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</si>
  <si>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</si>
  <si>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</si>
  <si>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</si>
  <si>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</si>
  <si>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</si>
  <si>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</si>
  <si>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</si>
  <si>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</si>
  <si>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</si>
  <si>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</si>
  <si>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</si>
  <si>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</si>
  <si>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</si>
  <si>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</si>
  <si>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</si>
  <si>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</si>
  <si>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</si>
  <si>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</si>
  <si>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</si>
  <si>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</si>
  <si>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</si>
  <si>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</si>
  <si>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</si>
  <si>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</si>
  <si>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</si>
  <si>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</si>
  <si>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</si>
  <si>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</si>
  <si>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</si>
  <si>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</si>
  <si>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</si>
  <si>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</si>
  <si>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</si>
  <si>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</si>
  <si>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</si>
  <si>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</si>
  <si>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</si>
  <si>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</si>
  <si>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</si>
  <si>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</si>
  <si>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</si>
  <si>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</si>
  <si>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</si>
  <si>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</si>
  <si>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</si>
  <si>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</si>
  <si>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</si>
  <si>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</si>
  <si>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</si>
  <si>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</si>
  <si>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</si>
  <si>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</si>
  <si>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</si>
  <si>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</si>
  <si>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</si>
  <si>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</si>
  <si>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</si>
  <si>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</si>
  <si>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</si>
  <si>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</si>
  <si>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</si>
  <si>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</si>
  <si>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</si>
  <si>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</si>
  <si>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</si>
  <si>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</si>
  <si>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</si>
  <si>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</si>
  <si>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</si>
  <si>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</si>
  <si>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</si>
  <si>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</si>
  <si>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</si>
  <si>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</si>
  <si>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</si>
  <si>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</si>
  <si>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</si>
  <si>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</si>
  <si>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</si>
  <si>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</si>
  <si>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</si>
  <si>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</si>
  <si>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</si>
  <si>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</si>
  <si>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</si>
  <si>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</si>
  <si>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</si>
  <si>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</si>
  <si>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</si>
  <si>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</si>
  <si>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</si>
  <si>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</si>
  <si>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</si>
  <si>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</si>
  <si>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</si>
  <si>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</si>
  <si>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</si>
  <si>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</si>
  <si>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</si>
  <si>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</si>
  <si>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</si>
  <si>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</si>
  <si>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</si>
  <si>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</si>
  <si>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</si>
  <si>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</si>
  <si>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</si>
  <si>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</si>
  <si>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</si>
  <si>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</si>
  <si>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</si>
  <si>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</si>
  <si>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</si>
  <si>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</si>
  <si>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</si>
  <si>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</si>
  <si>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</si>
  <si>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</si>
  <si>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</si>
  <si>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</si>
  <si>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</si>
  <si>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</si>
  <si>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</si>
  <si>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</si>
  <si>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</si>
  <si>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</si>
  <si>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</si>
  <si>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</si>
  <si>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</si>
  <si>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</si>
  <si>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</si>
  <si>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</si>
  <si>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</si>
  <si>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</si>
  <si>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</si>
  <si>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</si>
  <si>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</si>
  <si>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</si>
  <si>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</si>
  <si>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</si>
  <si>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</si>
  <si>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</si>
  <si>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</si>
  <si>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</si>
  <si>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</si>
  <si>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</si>
  <si>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</si>
  <si>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</si>
  <si>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</si>
  <si>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</si>
  <si>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</si>
  <si>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</si>
  <si>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</si>
  <si>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</si>
  <si>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</si>
  <si>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</si>
  <si>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</si>
  <si>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</si>
  <si>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</si>
  <si>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</si>
  <si>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</si>
  <si>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</si>
  <si>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</si>
  <si>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</si>
  <si>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</si>
  <si>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</si>
  <si>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</si>
  <si>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</si>
  <si>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</si>
  <si>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</si>
  <si>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</si>
  <si>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</si>
  <si>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</si>
  <si>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</si>
  <si>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</si>
  <si>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</si>
  <si>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</si>
  <si>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</si>
  <si>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</si>
  <si>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</si>
  <si>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</si>
  <si>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</si>
  <si>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</si>
  <si>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</si>
  <si>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</si>
  <si>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</si>
  <si>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</si>
  <si>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</si>
  <si>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</si>
  <si>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</si>
  <si>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</si>
  <si>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</si>
  <si>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</si>
  <si>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</si>
  <si>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</si>
  <si>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</si>
  <si>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</si>
  <si>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</si>
  <si>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</si>
  <si>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</si>
  <si>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</si>
  <si>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</si>
  <si>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</si>
  <si>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</si>
  <si>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</si>
  <si>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</si>
  <si>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</si>
  <si>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</si>
  <si>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</si>
  <si>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</si>
  <si>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</si>
  <si>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</si>
  <si>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</si>
  <si>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</si>
  <si>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</si>
  <si>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</si>
  <si>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</si>
  <si>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</si>
  <si>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</si>
  <si>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</si>
  <si>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</si>
  <si>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</si>
  <si>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</si>
  <si>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</si>
  <si>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</si>
  <si>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</si>
  <si>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</si>
  <si>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</si>
  <si>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</si>
  <si>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</si>
  <si>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</si>
  <si>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</si>
  <si>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</si>
  <si>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</si>
  <si>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</si>
  <si>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</si>
  <si>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</si>
  <si>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</si>
  <si>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</si>
  <si>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</si>
  <si>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</si>
  <si>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</si>
  <si>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</si>
  <si>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</si>
  <si>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</si>
  <si>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</si>
  <si>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</si>
  <si>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</si>
  <si>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</si>
  <si>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</si>
  <si>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</si>
  <si>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</si>
  <si>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</si>
  <si>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</si>
  <si>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</si>
  <si>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</si>
  <si>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</si>
  <si>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</si>
  <si>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</si>
  <si>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</si>
  <si>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</si>
  <si>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</si>
  <si>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</si>
  <si>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</si>
  <si>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</si>
  <si>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</si>
  <si>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</si>
  <si>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</si>
  <si>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</si>
  <si>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</si>
  <si>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</si>
  <si>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</si>
  <si>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</si>
  <si>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</si>
  <si>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</si>
  <si>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</si>
  <si>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</si>
  <si>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</si>
  <si>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</si>
  <si>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</si>
  <si>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</si>
  <si>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</si>
  <si>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</si>
  <si>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</si>
  <si>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</si>
  <si>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</si>
  <si>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</si>
  <si>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</si>
  <si>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</si>
  <si>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</si>
  <si>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</si>
  <si>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</si>
  <si>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</si>
  <si>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</si>
  <si>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</si>
  <si>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</si>
  <si>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</si>
  <si>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</si>
  <si>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</si>
  <si>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</si>
  <si>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</si>
  <si>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</si>
  <si>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</si>
  <si>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</si>
  <si>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</si>
  <si>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</si>
  <si>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</si>
  <si>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</si>
  <si>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</si>
  <si>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</si>
  <si>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</si>
  <si>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</si>
  <si>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</si>
  <si>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</si>
  <si>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</si>
  <si>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</si>
  <si>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</si>
  <si>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</si>
  <si>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</si>
  <si>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</si>
  <si>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</si>
  <si>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</si>
  <si>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</si>
  <si>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</si>
  <si>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</si>
  <si>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</si>
  <si>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</si>
  <si>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</si>
  <si>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</si>
  <si>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</si>
  <si>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</si>
  <si>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</si>
  <si>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</si>
  <si>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</si>
  <si>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</si>
  <si>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</si>
  <si>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</si>
  <si>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</si>
  <si>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</si>
  <si>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</si>
  <si>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</si>
  <si>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</si>
  <si>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</si>
  <si>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</si>
  <si>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</si>
  <si>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</si>
  <si>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</si>
  <si>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</si>
  <si>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</si>
  <si>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</si>
  <si>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</si>
  <si>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</si>
  <si>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</si>
  <si>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</si>
  <si>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</si>
  <si>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</si>
  <si>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</si>
  <si>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</si>
  <si>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</si>
  <si>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</si>
  <si>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</si>
  <si>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</si>
  <si>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</si>
  <si>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</si>
  <si>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</si>
  <si>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</si>
  <si>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</si>
  <si>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</si>
  <si>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</si>
  <si>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</si>
  <si>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</si>
  <si>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</si>
  <si>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</si>
  <si>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</si>
  <si>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</si>
  <si>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</si>
  <si>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</si>
  <si>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</si>
  <si>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</si>
  <si>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</si>
  <si>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</si>
  <si>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</si>
  <si>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</si>
  <si>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</si>
  <si>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</si>
  <si>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</si>
  <si>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</si>
  <si>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</si>
  <si>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</si>
  <si>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</si>
  <si>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</si>
  <si>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</si>
  <si>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</si>
  <si>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</si>
  <si>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</si>
  <si>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</si>
  <si>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</si>
  <si>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</si>
  <si>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</si>
  <si>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</si>
  <si>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</si>
  <si>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</si>
  <si>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</si>
  <si>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</si>
  <si>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</si>
  <si>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</si>
  <si>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</si>
  <si>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</si>
  <si>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</si>
  <si>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</si>
  <si>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</si>
  <si>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</si>
  <si>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</si>
  <si>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</si>
  <si>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</si>
  <si>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</si>
  <si>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</si>
  <si>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</si>
  <si>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</si>
  <si>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</si>
  <si>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</si>
  <si>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</si>
  <si>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</si>
  <si>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</si>
  <si>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</si>
  <si>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</si>
  <si>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</si>
  <si>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</si>
  <si>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</si>
  <si>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</si>
  <si>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</si>
  <si>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</si>
  <si>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</si>
  <si>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</si>
  <si>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</si>
  <si>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</si>
  <si>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</si>
  <si>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</si>
  <si>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</si>
  <si>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</si>
  <si>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</si>
  <si>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</si>
  <si>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</si>
  <si>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</si>
  <si>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</si>
  <si>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</si>
  <si>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</si>
  <si>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</si>
  <si>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</si>
  <si>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</si>
  <si>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</si>
  <si>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</si>
  <si>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</si>
  <si>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</si>
  <si>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</si>
  <si>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</si>
  <si>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</si>
  <si>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</si>
  <si>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</si>
  <si>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</si>
  <si>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</si>
  <si>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</si>
  <si>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</si>
  <si>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</si>
  <si>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</si>
  <si>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</si>
  <si>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</si>
  <si>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</si>
  <si>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</si>
  <si>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</si>
  <si>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</si>
  <si>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</si>
  <si>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</si>
  <si>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</si>
  <si>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</si>
  <si>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</si>
  <si>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</si>
  <si>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</si>
  <si>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</si>
  <si>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</si>
  <si>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</si>
  <si>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</si>
  <si>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</si>
  <si>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</si>
  <si>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</si>
  <si>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</si>
  <si>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</si>
  <si>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</si>
  <si>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</si>
  <si>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</si>
  <si>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</si>
  <si>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</si>
  <si>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</si>
  <si>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</si>
  <si>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</si>
  <si>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</si>
  <si>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</si>
  <si>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</si>
  <si>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</si>
  <si>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</si>
  <si>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</si>
  <si>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</si>
  <si>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</si>
  <si>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</si>
  <si>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</si>
  <si>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</si>
  <si>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</si>
  <si>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</si>
  <si>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</si>
  <si>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</si>
  <si>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</si>
  <si>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</si>
  <si>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</si>
  <si>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</si>
  <si>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</si>
  <si>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</si>
  <si>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</si>
  <si>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</si>
  <si>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</si>
  <si>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</si>
  <si>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</si>
  <si>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</si>
  <si>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</si>
  <si>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</si>
  <si>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</si>
  <si>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</si>
  <si>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</si>
  <si>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</si>
  <si>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</si>
  <si>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</si>
  <si>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</si>
  <si>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</si>
  <si>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</si>
  <si>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</si>
  <si>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</si>
  <si>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</si>
  <si>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</si>
  <si>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</si>
  <si>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</si>
  <si>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</si>
  <si>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</si>
  <si>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</si>
  <si>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</si>
  <si>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</si>
  <si>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</si>
  <si>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</si>
  <si>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</si>
  <si>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</si>
  <si>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</si>
  <si>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</si>
  <si>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</si>
  <si>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</si>
  <si>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</si>
  <si>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</si>
  <si>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</si>
  <si>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</si>
  <si>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</si>
  <si>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</si>
  <si>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</si>
  <si>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</si>
  <si>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</si>
  <si>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</si>
  <si>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</si>
  <si>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</si>
  <si>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</si>
  <si>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</si>
  <si>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</si>
  <si>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</si>
  <si>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</si>
  <si>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</si>
  <si>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</si>
  <si>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</si>
  <si>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</si>
  <si>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</si>
  <si>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</si>
  <si>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</si>
  <si>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</si>
  <si>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</si>
  <si>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</si>
  <si>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</si>
  <si>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</si>
  <si>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</si>
  <si>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</si>
  <si>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</si>
  <si>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</si>
  <si>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</si>
  <si>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</si>
  <si>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</si>
  <si>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</si>
  <si>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</si>
  <si>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</si>
  <si>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</si>
  <si>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</si>
  <si>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</si>
  <si>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</si>
  <si>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</si>
  <si>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</si>
  <si>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</si>
  <si>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</si>
  <si>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</si>
  <si>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</si>
  <si>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</si>
  <si>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</si>
  <si>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</si>
  <si>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</si>
  <si>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</si>
  <si>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</si>
  <si>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</si>
  <si>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</si>
  <si>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</si>
  <si>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</si>
  <si>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</si>
  <si>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</si>
  <si>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</si>
  <si>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</si>
  <si>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</si>
  <si>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</si>
  <si>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</si>
  <si>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</si>
  <si>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</si>
  <si>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</si>
  <si>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</si>
  <si>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</si>
  <si>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</si>
  <si>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</si>
  <si>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</si>
  <si>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</si>
  <si>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</si>
  <si>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</si>
  <si>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</si>
  <si>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</si>
  <si>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</si>
  <si>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</si>
  <si>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</si>
  <si>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</si>
  <si>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</si>
  <si>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</si>
  <si>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</si>
  <si>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</si>
  <si>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</si>
  <si>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</si>
  <si>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</si>
  <si>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</si>
  <si>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</si>
  <si>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</si>
  <si>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</si>
  <si>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</si>
  <si>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</si>
  <si>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</si>
  <si>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</si>
  <si>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</si>
  <si>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</si>
  <si>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</si>
  <si>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</si>
  <si>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</si>
  <si>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</si>
  <si>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</si>
  <si>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</si>
  <si>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</si>
  <si>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</si>
  <si>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</si>
  <si>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</si>
  <si>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</si>
  <si>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</si>
  <si>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</si>
  <si>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</si>
  <si>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</si>
  <si>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</si>
  <si>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</si>
  <si>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</si>
  <si>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</si>
  <si>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</si>
  <si>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</si>
  <si>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</si>
  <si>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</si>
  <si>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</si>
  <si>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</si>
  <si>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</si>
  <si>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</si>
  <si>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</si>
  <si>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</si>
  <si>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</si>
  <si>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</si>
  <si>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</si>
  <si>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</si>
  <si>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</si>
  <si>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</si>
  <si>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</si>
  <si>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</si>
  <si>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</si>
  <si>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</si>
  <si>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</si>
  <si>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</si>
  <si>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</si>
  <si>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</si>
  <si>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</si>
  <si>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</si>
  <si>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</si>
  <si>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</si>
  <si>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</si>
  <si>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</si>
  <si>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</si>
  <si>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</si>
  <si>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</si>
  <si>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</si>
  <si>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</si>
  <si>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</si>
  <si>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</si>
  <si>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</si>
  <si>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</si>
  <si>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</si>
  <si>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</si>
  <si>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</si>
  <si>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</si>
  <si>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</si>
  <si>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</si>
  <si>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</si>
  <si>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</si>
  <si>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</si>
  <si>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</si>
  <si>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</si>
  <si>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</si>
  <si>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</si>
  <si>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</si>
  <si>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</si>
  <si>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</si>
  <si>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</si>
  <si>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</si>
  <si>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</si>
  <si>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</si>
  <si>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</si>
  <si>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</si>
  <si>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</si>
  <si>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</si>
  <si>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</si>
  <si>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</si>
  <si>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</si>
  <si>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</si>
  <si>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</si>
  <si>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</si>
  <si>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</si>
  <si>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</si>
  <si>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</si>
  <si>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</si>
  <si>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</si>
  <si>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</si>
  <si>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</si>
  <si>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</si>
  <si>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</si>
  <si>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</si>
  <si>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</si>
  <si>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</si>
  <si>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</si>
  <si>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</si>
  <si>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</si>
  <si>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</si>
  <si>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</si>
  <si>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</si>
  <si>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</si>
  <si>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</si>
  <si>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</si>
  <si>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</si>
  <si>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</si>
  <si>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</si>
  <si>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</si>
  <si>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</si>
  <si>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</si>
  <si>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</si>
  <si>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</si>
  <si>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</si>
  <si>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</si>
  <si>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</si>
  <si>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</si>
  <si>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</si>
  <si>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</si>
  <si>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</si>
  <si>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</si>
  <si>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</si>
  <si>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</si>
  <si>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</si>
  <si>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</si>
  <si>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</si>
  <si>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</si>
  <si>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</si>
  <si>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</si>
  <si>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</si>
  <si>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</si>
  <si>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</si>
  <si>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</si>
  <si>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</si>
  <si>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</si>
  <si>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</si>
  <si>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</si>
  <si>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</si>
  <si>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</si>
  <si>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</si>
  <si>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</si>
  <si>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</si>
  <si>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</si>
  <si>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</si>
  <si>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</si>
  <si>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</si>
  <si>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</si>
  <si>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</si>
  <si>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</si>
  <si>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</si>
  <si>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</si>
  <si>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</si>
  <si>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</si>
  <si>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</si>
  <si>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</si>
  <si>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</si>
  <si>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</si>
  <si>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</si>
  <si>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</si>
  <si>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</si>
  <si>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</si>
  <si>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</si>
  <si>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</si>
  <si>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</si>
  <si>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</si>
  <si>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</si>
  <si>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</si>
  <si>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</si>
  <si>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</si>
  <si>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</si>
  <si>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</si>
  <si>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</si>
  <si>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</si>
  <si>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</si>
  <si>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</si>
  <si>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</si>
  <si>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</si>
  <si>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</si>
  <si>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</si>
  <si>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</si>
  <si>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</si>
  <si>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</si>
  <si>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</si>
  <si>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</si>
  <si>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</si>
  <si>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</si>
  <si>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</si>
  <si>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</si>
  <si>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</si>
  <si>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</si>
  <si>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</si>
  <si>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</si>
  <si>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</si>
  <si>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</si>
  <si>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</si>
  <si>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</si>
  <si>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</si>
  <si>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</si>
  <si>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</si>
  <si>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</si>
  <si>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</si>
  <si>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</si>
  <si>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</si>
  <si>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</si>
  <si>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</si>
  <si>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</si>
  <si>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</si>
  <si>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</si>
  <si>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</si>
  <si>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</si>
  <si>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</si>
  <si>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</si>
  <si>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</si>
  <si>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</si>
  <si>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</si>
  <si>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</si>
  <si>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</si>
  <si>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</si>
  <si>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</si>
  <si>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</si>
  <si>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</si>
  <si>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</si>
  <si>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</si>
  <si>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</si>
  <si>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</si>
  <si>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</si>
  <si>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</si>
  <si>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</si>
  <si>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</si>
  <si>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</si>
  <si>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</si>
  <si>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</si>
  <si>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</si>
  <si>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</si>
  <si>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</si>
  <si>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</si>
  <si>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</si>
  <si>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</si>
  <si>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</si>
  <si>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</si>
  <si>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</si>
  <si>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</si>
  <si>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</si>
  <si>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</si>
  <si>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</si>
  <si>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</si>
  <si>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</si>
  <si>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</si>
  <si>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</si>
  <si>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</si>
  <si>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</si>
  <si>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</si>
  <si>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</si>
  <si>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</si>
  <si>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</si>
  <si>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</si>
  <si>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</si>
  <si>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</si>
  <si>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</si>
  <si>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</si>
  <si>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</si>
  <si>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</si>
  <si>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</si>
  <si>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</si>
  <si>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</si>
  <si>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</si>
  <si>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</si>
  <si>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</si>
  <si>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</si>
  <si>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</si>
  <si>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</si>
  <si>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</si>
  <si>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</si>
  <si>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</si>
  <si>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</si>
  <si>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</si>
  <si>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</si>
  <si>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</si>
  <si>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</si>
  <si>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</si>
  <si>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</si>
  <si>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</si>
  <si>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</si>
  <si>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</si>
  <si>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</si>
  <si>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</si>
  <si>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</si>
  <si>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</si>
  <si>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</si>
  <si>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</si>
  <si>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</si>
  <si>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</si>
  <si>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</si>
  <si>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</si>
  <si>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</si>
  <si>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</si>
  <si>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</si>
  <si>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</si>
  <si>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</si>
  <si>
    <t>3.DE CONSTRUCCION Y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</si>
</sst>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1142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66" formatCode="0.0%"/>
    </dxf>
    <dxf>
      <fill>
        <patternFill patternType="none">
          <fgColor indexed="64"/>
          <bgColor indexed="6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vertical="center" wrapText="1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alignment vertical="center" readingOrder="0"/>
    </dxf>
    <dxf>
      <alignment vertical="center" readingOrder="0"/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wrapText="1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3" formatCode="0%"/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59.38636261574" createdVersion="6" refreshedVersion="6" minRefreshableVersion="3" recordCount="323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259131"/>
    </cacheField>
    <cacheField name="mto_compro_anual" numFmtId="164">
      <sharedItems containsSemiMixedTypes="0" containsString="0" containsNumber="1" minValue="0" maxValue="4105824.3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8">
        <s v="2.6.7.1.6.3 - GASTOS POR LA CONTRATACION DE SERVICIOS"/>
        <s v="2.6.8.1.4.3 - GASTO POR LA CONTRATACION DE SERVICIOS"/>
        <s v="2.6.8.1.3.1 - ELABORACION DE EXPEDIENTES TECNICOS"/>
        <s v="2.6.7.1.4.3 - GASTOS POR LA CONTRATACION DE SERVICIOS"/>
        <s v="2.6.6.1.3.99 - OTROS ACTIVOS INTANGIBLES"/>
        <s v="2.1.1.9.1.4 - AGUINALDOS DE CONTRATO ADMINISTRATIVO DE SERVICIOS"/>
        <s v="2.1.4.1.1.6 - COMPENSACION VACACIONAL (VACACIONES TRUNCAS) AL PERSONAL ACTIVO"/>
        <s v="2.1.4.1.1.1 - COMPENSACION POR TIEMPO DE SERVICIOS DEL REGIMEN LABORAL PRIVADO Y REGIMEN DEL SERVICIO CIVIL"/>
        <s v="2.1.1.13.1.2 - CONTRATO ADMINISTRATIVO DE SERVICIOS - TRANSITORIO"/>
        <s v="2.3.2.7.5.8 - CONTRIBUCIONES A LOS SEGUROS DE SALUD"/>
        <s v="2.3.2.1.2.2 - VIATICOS Y ASIGNACIONES POR COMISION DE SERVICIO"/>
        <s v="2.3.2.7.13.98 - OTROS SERVICIOS TÉCNICOS Y PROFESIONALES DESARROLLADOS POR PERSONAS JURÍDICAS"/>
        <s v="2.3.2.7.10.1 - SEMINARIOS ,TALLERES Y SIMILARES ORGANIZADOS POR LA  INSTITUCION"/>
        <s v="2.3.2.7.10.99 - OTRAS ATENCIONES Y CELEBRACIONES"/>
        <s v="2.3.2.1.2.1 - PASAJES Y GASTOS DE TRANSPORTE"/>
        <s v="2.1.1.9.1.2 - AGUINALDOS"/>
        <s v="2.3.1.99.1.3 - LIBROS, DIARIOS, REVISTAS Y OTROS BIENES IMPRESOS NO VINCULADOS A ENSEÑANZA"/>
        <s v="2.1.3.1.1.15 - CONTRIBUCIONES A ESSALUD DE CONTRATO ADMINISTRATIVO DE SERVICIOS"/>
        <s v="2.1.4.1.1.7 - VACACIONES TRUNCAS PERSONAL CAS"/>
        <s v="2.3.2.7.5.2 - PROPINAS PARA PRACTICANTES"/>
        <s v="2.1.3.1.1.13 - CONTRIBUCIONES A ESSALUD DEL PERSONAL ADMINISTRATIVO"/>
        <s v="2.1.1.1.1.8 - PERSONAL DE LA LEY SERVIR (RÉGIMEN DEL SERVICIO CIVIL)"/>
        <s v="2.3.2.9.1.1 - LOCACIÓN DE SERVICIOS REALIZADOS POR PERSONA NATURAL"/>
        <s v="2.1.1.13.1.1 - CONTRATO ADMINISTRATIVO DE SERVICIOS - INDETERMINADO"/>
        <s v="2.3.2.5.1.99 - DE OTROS BIENES Y ACTIVOS"/>
        <s v="2.3.2.7.14.98 - OTROS SERVICIOS TÉCNICOS Y PROFESIONALES DESARROLLADOS POR PERSONAS NATURALES"/>
        <s v="2.3.2.2.4.1 - SERVICIO DE PUBLICIDAD"/>
        <s v="2.3.2.2.5.1 - DIFUSIÓN EN EL DIARIO OFICIAL"/>
        <s v="2.3.2.7.11.99 - SERVICIOS DIVERSOS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2.3.1 - CORREOS Y SERVICIOS DE MENSAJERIA"/>
        <s v="2.3.1.2.1.1 - VESTUARIO, ACCESORIOS Y PRENDAS DIVERSAS"/>
        <s v="2.3.1.6.1.2 - DE COMUNICACIONES Y TELECOMUNICACIONES"/>
        <s v="2.3.1.8.2.1 - MATERIAL, INSUMOS, INSTRUMENTAL Y ACCESORIOS  MEDICOS, QUIRURGICOS, ODONTOLOGICOS Y DE LABORATORIO"/>
        <s v="2.3.2.7.11.6 - SERVICIO DE IMPRESIONES, ENCUADERNACION Y EMPASTADO"/>
        <s v="2.3.1.5.3.1 - ASEO, LIMPIEZA Y TOCADOR"/>
        <s v="2.3.1.5.1.1 - REPUESTOS Y ACCESORIOS"/>
        <s v="2.6.3.2.3.3 - EQUIPOS DE TELECOMUNICACIONES"/>
        <s v="2.3.2.2.2.2 - SERVICIO DE TELEFONIA FIJA"/>
        <s v="2.3.2.2.3.99 - OTROS SERVICIOS DE COMUNICACION"/>
        <s v="2.3.1.99.1.1 - HERRAMIENTAS"/>
        <s v="2.3.2.5.1.4 - DE MAQUINARIAS Y EQUIPOS"/>
        <s v="2.5.4.1.2.1 - DERECHOS ADMINISTRATIVOS"/>
        <s v="2.3.2.7.4.99 - OTROS SERVICIOS DE INFORMATICA"/>
        <s v="2.3.2.7.4.1 - ELABORACION DE PROGRAMAS INFORMATICOS"/>
        <s v="2.3.1.6.1.4 - DE SEGURIDAD"/>
        <s v="2.6.6.1.3.2 - SOFTWARES"/>
        <s v="2.3.1.6.1.99 - OTROS ACCESORIOS Y REPUESTOS"/>
        <s v="2.3.2.4.7.1 - DE MAQUINARIAS Y EQUIPOS"/>
        <s v="2.3.2.2.2.1 - SERVICIO DE TELEFONIA MOVIL"/>
        <s v="2.3.2.7.4.2 - PROCESAMIENTOS DE DATOS"/>
        <s v="2.3.2.7.4.3 - SOPORTE TECNICO"/>
        <s v="2.3.1.99.1.99 - OTROS BIENES"/>
        <s v="2.3.2.2.2.3 - SERVICIO DE INTERNET"/>
        <s v="2.3.1.5.4.1 - ELECTRICIDAD, ILUMINACION Y ELECTRONICA"/>
        <s v="2.3.1.6.1.3 - DE CONSTRUCCION Y MAQUINAS"/>
        <s v="2.3.1.11.1.1 - PARA EDIFICIOS Y ESTRUCTURAS"/>
        <s v="2.3.1.11.1.6 - MATERIALES DE  ACONDICIONAMIENTO"/>
        <s v="2.3.2.4.6.1 - DE MOBILIARIO Y SIMILARES"/>
        <s v="2.3.2.6.2.1 - CARGOS BANCARIOS"/>
        <s v="2.4.1.3.1.1 - A OTRAS UNIDADES DEL GOBIERNO NACIONAL"/>
        <s v="2.3.2.2.1.1 - SERVICIO DE SUMINISTRO DE ENERGIA ELECTRICA"/>
        <s v="2.3.2.3.1.2 - SERVICIOS DE SEGURIDAD Y VIGILANCIA"/>
        <s v="2.3.2.6.1.2 - GASTOS NOTARIALES"/>
        <s v="2.5.4.3.2.1 - DERECHOS ADMINISTRATIVOS"/>
        <s v="2.3.1.2.1.2 - TEXTILES Y ACABADOS TEXTILES"/>
        <s v="2.1.1.9.3.14 - OTROS BONOS EXTRAORDINARIOS PERSONAL CAS"/>
        <s v="2.3.2.6.3.2 - SEGURO DE VEHICULOS"/>
        <s v="2.3.2.6.3.4 - OTROS SEGUROS PERSONALES"/>
        <s v="2.3.2.7.3.2 - REALIZADO POR PERSONAS NATURALES"/>
        <s v="2.3.1.7.1.1 - ENSERES"/>
        <s v="2.3.2.7.11.3 - SERVICIOS RELACIONADOS CON FLORERIA, JARDINERIA Y OTRAS ACTIVIDADES SIMILA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3.1.1 - COMBUSTIBLES Y CARBURANTES"/>
        <s v="2.3.1.6.1.1 - DE VEHICULOS"/>
        <s v="2.3.1.8.1.2 - MEDICAMENTOS"/>
        <s v="2.1.3.1.1.12 - CONTRIBUCIONES POR EL SEGURO COMPLEMENTARIO DE TRABAJO DE RIESGO"/>
        <s v="2.3.2.7.14.5 - ASESORÍA Y/O DEFENSA LEGAL PARA SERVIDORES Y EX-SERVIDORES CIVILES"/>
        <s v="2.3.2.2.1.2 - SERVICIO DE AGUA Y DESAGUE"/>
        <s v="2.3.1.5.99.99 - OTROS"/>
        <s v="2.3.1.11.1.5 - OTROS MATERIALES DE MANTENIMIENTO"/>
        <s v="2.3.1.99.1.4 - SIMBOLOS, DISTINTIVOS Y CONDECORACIONES"/>
        <s v="2.3.2.3.1.1 - SERVICIOS DE LIMPIEZA E HIGIENE"/>
        <s v="2.3.2.4.5.1 - DE VEHICULOS"/>
        <s v="2.5.4.1.1.1 - IMPUESTOS"/>
        <s v="2.3.2.7.3.1 - REALIZADO POR PERSONAS JURIDICAS"/>
        <s v="2.3.2.7.5.1 - ESTIPENDIO POR SECIGRA"/>
      </sharedItems>
    </cacheField>
    <cacheField name="CONCEPTO COMPLETO" numFmtId="0">
      <sharedItems count="26">
        <s v="2.6.7.1 - INVERSIONES INTANGIBLES"/>
        <s v="2.6.8.1 - OTROS GASTOS DE ACTIVOS NO FINANCIEROS"/>
        <s v="2.6.6.1 - ADQUISICION DE OTROS ACTIVOS FIJOS"/>
        <s v="01.CAS"/>
        <s v="02.SERVIR"/>
        <s v="2.3.2.7 - SERVICIOS PROFESIONALES Y TECNICOS"/>
        <s v="2.3.2.1 - VIAJES"/>
        <s v="2.3.1.99 - COMPRA DE OTROS BIENES"/>
        <s v="2.3.2.9 - LOCACIÓN DE SERVICIOS REALIZADOS POR PERSONA NATURAL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2 - VESTUARIOS Y TEXTILES"/>
        <s v="2.3.1.6 - REPUESTOS Y ACCESORIOS"/>
        <s v="2.3.1.8 - SUMINISTROS MEDICOS"/>
        <s v="2.5.4.1 - AL GOBIERNO NACIONAL"/>
        <s v="2.3.1.11 - SUMINISTROS PARA MANTENIMIENTO Y REPARACION"/>
        <s v="2.3.2.6 - SERVICIOS ADMINISTRATIVOS, FINANCIEROS Y DE SEGUROS"/>
        <s v="2.4.1.3 - A OTRAS UNIDADES DEL GOBIERNO"/>
        <s v="2.3.2.3 - SERVICIOS DE LIMPIEZA, SEGURIDAD Y VIGILANCIA"/>
        <s v="2.5.4.3 - AL GOBIERNO LOCAL"/>
        <s v="2.3.1.7 - ENSERES"/>
        <s v="2.3.1.1 - ALIMENTOS Y BEBIDAS"/>
        <s v="2.3.1.3 - COMBUSTIBLES, CARBURANTES, LUBRICANTES Y AFINES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9767.94999999995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59.386364930557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259131"/>
    </cacheField>
    <cacheField name="mto_compro_anual" numFmtId="164">
      <sharedItems containsSemiMixedTypes="0" containsString="0" containsNumber="1" minValue="0" maxValue="4105824.3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9767.94999999995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59.386365856481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0"/>
    <x v="0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23492.85"/>
    <n v="37402.400000000001"/>
    <n v="7973.2"/>
    <n v="19024.560000000001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0"/>
    <x v="0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x v="3"/>
    <x v="0"/>
    <s v=" "/>
    <n v="0"/>
    <s v="N/R"/>
    <s v="N/R"/>
    <n v="0"/>
    <x v="0"/>
    <x v="0"/>
    <x v="0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139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"/>
    <x v="1"/>
    <s v="0002-DCEME (IEVCEAM, G CEAM, FP)"/>
    <s v="0002-DCEME2.3.2.1.2.2"/>
    <n v="10728.3"/>
    <n v="10728.300000000001"/>
    <n v="10728.300000000001"/>
    <n v="8168.7000000000007"/>
    <n v="66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942.830000000002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6483.66"/>
    <n v="0"/>
    <n v="0"/>
    <n v="0"/>
    <n v="0"/>
    <n v="0"/>
    <n v="0"/>
    <n v="0"/>
    <n v="1879.44"/>
    <n v="100"/>
    <n v="134"/>
    <n v="8891.36"/>
    <n v="8687.59"/>
    <n v="0"/>
    <n v="0"/>
    <n v="0"/>
    <n v="0"/>
    <n v="0"/>
    <n v="1879.44"/>
    <n v="0"/>
    <n v="0"/>
    <n v="100"/>
    <n v="9131.36"/>
    <n v="4776.68"/>
    <n v="3990.91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"/>
    <x v="1"/>
    <s v="0002-DCEME (IEVCEAM, G CEAM, FP)"/>
    <s v="0002-DCEME2.3.2.1.2.1"/>
    <n v="19692.39"/>
    <n v="19692.39"/>
    <n v="19692.39"/>
    <n v="16877.169999999998"/>
    <n v="1250.4400000000023"/>
    <n v="0"/>
    <n v="18127.61"/>
    <n v="0.52068720253833944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"/>
    <x v="1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"/>
    <x v="1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155893"/>
    <n v="155893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68593"/>
    <n v="0"/>
    <n v="37414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"/>
    <x v="1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259131"/>
    <n v="4105824.3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381387"/>
    <n v="153306.70000000019"/>
    <n v="575320.0499999998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250629"/>
    <n v="3164572.93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"/>
    <x v="2"/>
    <s v="0003-DE"/>
    <s v="0003-DE2.1.1.13.1.1"/>
    <n v="2748720.66"/>
    <n v="2748720.66"/>
    <n v="2723419.5399999996"/>
    <n v="160558"/>
    <n v="86056.069999999832"/>
    <n v="415852.27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19362"/>
    <n v="19362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842"/>
    <n v="0"/>
    <n v="3367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"/>
    <x v="2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397562.26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49767.94999999995"/>
    <n v="342974.6399999999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28356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"/>
    <x v="2"/>
    <s v="0003-DE"/>
    <s v="0003-DE2.1.3.1.1.15"/>
    <n v="106253.76000000001"/>
    <n v="106253.76000000001"/>
    <n v="106253.76000000001"/>
    <n v="22936.170000000013"/>
    <n v="5584.8299999999872"/>
    <n v="22102.239999999991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02038"/>
    <n v="188943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22448"/>
    <n v="13095"/>
    <n v="24320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2"/>
    <x v="2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7198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0.75"/>
    <n v="71986.25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3882"/>
    <n v="23882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4"/>
    <x v="4"/>
    <s v="0005-OPP"/>
    <s v="0005-OPP2.1.1.9.1.2"/>
    <n v="9971.82"/>
    <n v="9971.82"/>
    <n v="9971.82"/>
    <n v="3937"/>
    <n v="0"/>
    <n v="13910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1350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4"/>
    <x v="4"/>
    <s v="0005-OPP"/>
    <s v="0005-OPP2.3.2.9.1.1"/>
    <n v="270280"/>
    <n v="223280"/>
    <n v="209780"/>
    <n v="30481"/>
    <n v="0"/>
    <n v="47000"/>
    <n v="77481"/>
    <n v="1.5086486486486486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6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4"/>
    <x v="4"/>
    <s v="0005-OPP"/>
    <s v="0005-OPP2.1.1.9.1.4"/>
    <n v="3800"/>
    <n v="3800"/>
    <n v="3800"/>
    <n v="1500"/>
    <n v="100"/>
    <n v="48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674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28.319999999999709"/>
    <n v="6934.609999999993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257696.28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156644.28"/>
    <n v="63930.110000000015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899"/>
    <n v="10899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4124"/>
    <n v="0"/>
    <n v="2504.2800000000007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1582.1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4"/>
    <x v="4"/>
    <s v="0005-OPP"/>
    <s v="0005-OPP2.1.1.1.1.8"/>
    <n v="87445.22"/>
    <n v="87445.22"/>
    <n v="85664.320000000007"/>
    <n v="51649"/>
    <n v="3681.8999999999942"/>
    <n v="24136.880000000005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2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5"/>
    <x v="5"/>
    <s v="0006-JEFATURA"/>
    <s v="0006-JEFATURA2.1.1.9.1.4"/>
    <n v="600"/>
    <n v="600"/>
    <n v="600"/>
    <n v="600"/>
    <n v="600"/>
    <n v="6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075"/>
    <n v="12075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5"/>
    <x v="5"/>
    <s v="0006-JEFATURA"/>
    <s v="0006-JEFATURA2.1.3.1.1.13"/>
    <n v="9266.4"/>
    <n v="9266.4"/>
    <n v="9266.4"/>
    <n v="4773"/>
    <n v="0"/>
    <n v="2808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26867"/>
    <n v="26867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5"/>
    <x v="5"/>
    <s v="0006-JEFATURA"/>
    <s v="0006-JEFATURA2.1.1.9.1.2"/>
    <n v="11266.67"/>
    <n v="11266.67"/>
    <n v="11266.67"/>
    <n v="20333"/>
    <n v="0"/>
    <n v="15600.33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5634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5"/>
    <x v="5"/>
    <s v="0006-JEFATURA"/>
    <s v="0006-JEFATURA2.1.3.1.1.15"/>
    <n v="5200.32"/>
    <n v="5200.32"/>
    <n v="5200.32"/>
    <n v="2503.5200000000004"/>
    <n v="2166.4799999999996"/>
    <n v="433.68000000000029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85548.99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130791.56999999999"/>
    <n v="508.71000000002095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5"/>
    <x v="5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5"/>
    <x v="5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23241"/>
    <n v="112321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63959"/>
    <n v="10920"/>
    <n v="20280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31179"/>
    <n v="31179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6"/>
    <x v="6"/>
    <s v="0007-GG"/>
    <s v="0007-GG2.1.1.9.1.2"/>
    <n v="10392.86"/>
    <n v="10392.86"/>
    <n v="10392.86"/>
    <n v="10393"/>
    <n v="0"/>
    <n v="20786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128179"/>
    <n v="12817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6"/>
    <x v="6"/>
    <s v="0007-GG"/>
    <s v="0007-GG2.1.1.1.1.8"/>
    <n v="86607.13"/>
    <n v="86607.13"/>
    <n v="86607.13"/>
    <n v="121250"/>
    <n v="0"/>
    <n v="41571.869999999995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43134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6"/>
    <x v="6"/>
    <s v="0007-GG"/>
    <s v="0007-GG2.1.1.13.1.2"/>
    <n v="5133.33"/>
    <n v="5133.33"/>
    <n v="5133.33"/>
    <n v="79958"/>
    <n v="68866"/>
    <n v="38000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12451"/>
    <n v="12451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9998"/>
    <n v="0"/>
    <n v="3741.7999999999993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0401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1733.08"/>
    <n v="2383.83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24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6"/>
    <x v="6"/>
    <s v="0007-GG"/>
    <s v="0007-GG2.1.1.9.1.4"/>
    <n v="900"/>
    <n v="900"/>
    <n v="900"/>
    <n v="0"/>
    <n v="600"/>
    <n v="15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476503"/>
    <n v="412324.88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6"/>
    <x v="6"/>
    <s v="0007-GG"/>
    <s v="0007-GG2.1.1.13.1.1"/>
    <n v="386388.63"/>
    <n v="386388.63"/>
    <n v="383073.85999999993"/>
    <n v="64179"/>
    <n v="64178.119999999995"/>
    <n v="25936.25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334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7"/>
    <x v="7"/>
    <s v="0008-OAUGD"/>
    <s v="0008-OAUGD2.1.1.9.1.4"/>
    <n v="5233.33"/>
    <n v="5233.33"/>
    <n v="5233.33"/>
    <n v="600"/>
    <n v="1066"/>
    <n v="5100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5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7"/>
    <x v="7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7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7"/>
    <x v="7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31721"/>
    <n v="622909.48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8813"/>
    <n v="8811.5200000000186"/>
    <n v="97944.79999999993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7"/>
    <x v="7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332388.23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113773.73000000004"/>
    <n v="32632.249999999942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2315.040000000001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5257.3600000000006"/>
    <n v="5731.0500000000102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7"/>
    <x v="7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09901.69999999995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27721.270000000019"/>
    <n v="177944.24999999994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8"/>
    <x v="8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8"/>
    <x v="8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56296.71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8"/>
    <x v="8"/>
    <s v="0009-OTI"/>
    <s v="0009-OTI2.1.3.1.1.15"/>
    <n v="45725.85"/>
    <n v="45725.85"/>
    <n v="45725.85"/>
    <n v="13457.720000000001"/>
    <n v="5455.57"/>
    <n v="10570.86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2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3"/>
    <x v="10"/>
    <s v=" "/>
    <n v="0"/>
    <s v="Partidas restringidas"/>
    <n v="9.6999999999999993"/>
    <n v="5"/>
    <x v="2"/>
    <x v="8"/>
    <x v="8"/>
    <s v="0009-OTI"/>
    <s v="0009-OTI2.3.2.2.2.2"/>
    <n v="67360.009999999995"/>
    <n v="49526.7"/>
    <n v="43693.359999999993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45"/>
    <x v="7"/>
    <s v=" "/>
    <n v="0"/>
    <s v="N/R"/>
    <s v="N/R"/>
    <n v="0"/>
    <x v="2"/>
    <x v="8"/>
    <x v="8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2544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8"/>
    <x v="8"/>
    <s v="0009-OTI"/>
    <s v="0009-OTI2.1.1.9.1.4"/>
    <n v="5043.34"/>
    <n v="5043.34"/>
    <n v="5043.34"/>
    <n v="2100"/>
    <n v="2756"/>
    <n v="7500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11811.8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8"/>
    <x v="8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8"/>
    <x v="8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8"/>
    <x v="8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8"/>
    <x v="8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2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122545"/>
    <n v="968026.51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8"/>
    <x v="8"/>
    <s v="0009-OTI"/>
    <s v="0009-OTI2.1.1.13.1.1"/>
    <n v="939411.07000000007"/>
    <n v="939411.07"/>
    <n v="930632.21"/>
    <n v="286491"/>
    <n v="154518.49"/>
    <n v="28615.440000000061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2"/>
    <x v="15"/>
    <s v=" "/>
    <n v="0"/>
    <s v="Partidas restringidas"/>
    <s v="9.6 Hasta el 1er Semestre"/>
    <n v="1"/>
    <x v="2"/>
    <x v="8"/>
    <x v="8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6790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54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5"/>
    <x v="5"/>
    <s v=" "/>
    <n v="0"/>
    <s v="N/R"/>
    <s v="N/R"/>
    <n v="0"/>
    <x v="2"/>
    <x v="8"/>
    <x v="8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8"/>
    <x v="8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9788"/>
    <n v="9788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6617"/>
    <n v="0"/>
    <n v="2734.559999999999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4373.13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8"/>
    <x v="10"/>
    <s v=" "/>
    <n v="0"/>
    <s v="Partidas restringidas"/>
    <n v="9.6999999999999993"/>
    <n v="5"/>
    <x v="2"/>
    <x v="8"/>
    <x v="8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8"/>
    <x v="8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06823"/>
    <n v="106823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8"/>
    <x v="8"/>
    <s v="0009-OTI"/>
    <s v="0009-OTI2.1.1.1.1.8"/>
    <n v="76443.34"/>
    <n v="76443.34"/>
    <n v="74533.88"/>
    <n v="75454"/>
    <n v="0"/>
    <n v="30379.66000000000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17705"/>
    <n v="17705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8"/>
    <x v="8"/>
    <s v="0009-OTI"/>
    <s v="0009-OTI2.1.1.9.1.2"/>
    <n v="2514.58"/>
    <n v="2514.58"/>
    <n v="2514.58"/>
    <n v="12675"/>
    <n v="0"/>
    <n v="15190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x v="60"/>
    <x v="15"/>
    <s v=" "/>
    <n v="0"/>
    <s v="Partidas restringidas"/>
    <s v="9.6 Hasta el 1er Semestre"/>
    <n v="1"/>
    <x v="2"/>
    <x v="9"/>
    <x v="9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61"/>
    <x v="18"/>
    <s v=" "/>
    <n v="0"/>
    <s v="Partidas restringidas"/>
    <s v="9.6 Hasta el 1er Semestre"/>
    <n v="2"/>
    <x v="2"/>
    <x v="9"/>
    <x v="9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62"/>
    <x v="18"/>
    <s v=" "/>
    <n v="0"/>
    <s v="Partidas restringidas"/>
    <s v="9.6 Hasta el 1er Semestre"/>
    <n v="2"/>
    <x v="2"/>
    <x v="9"/>
    <x v="9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63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64"/>
    <x v="19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65"/>
    <x v="20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66"/>
    <x v="10"/>
    <s v=" "/>
    <n v="0"/>
    <s v="Partidas restringidas"/>
    <n v="9.6999999999999993"/>
    <n v="4"/>
    <x v="2"/>
    <x v="9"/>
    <x v="9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62934"/>
    <n v="749200"/>
    <n v="193000"/>
    <n v="34400"/>
    <n v="57500"/>
    <n v="86500"/>
    <n v="62000"/>
    <n v="41800"/>
    <n v="51000"/>
    <n v="73500"/>
    <n v="51500"/>
    <n v="98000"/>
    <n v="0"/>
    <n v="0"/>
    <n v="45000"/>
    <n v="91200"/>
    <n v="60200"/>
    <n v="53000"/>
    <n v="76000"/>
    <n v="63500"/>
    <n v="84300"/>
    <n v="48800"/>
    <n v="58300"/>
    <n v="50300"/>
    <n v="0"/>
    <n v="0"/>
    <n v="45000"/>
    <n v="91200"/>
    <n v="52200"/>
    <n v="52500"/>
    <n v="74500"/>
    <n v="73500"/>
    <n v="84300"/>
    <n v="48800"/>
    <n v="48300"/>
    <n v="44800"/>
    <n v="0"/>
    <n v="0"/>
    <n v="193000"/>
    <n v="34400"/>
    <n v="57500"/>
    <n v="86500"/>
    <n v="62000"/>
    <n v="38200"/>
    <n v="51000"/>
    <n v="73500"/>
    <n v="19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9"/>
    <x v="9"/>
    <s v="0010-OA"/>
    <s v="0010-OA2.3.2.9.1.1"/>
    <n v="749200"/>
    <n v="630600"/>
    <n v="615100"/>
    <n v="20942"/>
    <n v="13734"/>
    <n v="118600"/>
    <n v="153276"/>
    <n v="2.0474025974025976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67"/>
    <x v="21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68"/>
    <x v="19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69"/>
    <x v="22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70"/>
    <x v="14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77734"/>
    <n v="177734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4543"/>
    <n v="0"/>
    <n v="30379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71"/>
    <x v="3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72"/>
    <x v="19"/>
    <s v=" "/>
    <n v="0"/>
    <s v="N/R"/>
    <s v="N/R"/>
    <n v="0"/>
    <x v="2"/>
    <x v="9"/>
    <x v="9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73"/>
    <x v="19"/>
    <s v=" "/>
    <n v="0"/>
    <s v="N/R"/>
    <s v="N/R"/>
    <n v="0"/>
    <x v="2"/>
    <x v="9"/>
    <x v="9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74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2962512"/>
    <n v="2802119.72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9"/>
    <x v="9"/>
    <s v="0010-OA"/>
    <s v="0010-OA2.1.1.13.1.1"/>
    <n v="2451514.83"/>
    <n v="2451433.58"/>
    <n v="2426372.85"/>
    <n v="45713"/>
    <n v="160392.2799999998"/>
    <n v="350686.14000000013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9"/>
    <x v="9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75"/>
    <x v="23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9"/>
    <x v="9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61146.6"/>
    <n v="1494"/>
    <n v="0"/>
    <n v="0"/>
    <n v="17175.099999999999"/>
    <n v="0"/>
    <n v="10600"/>
    <n v="0"/>
    <n v="28712.5"/>
    <n v="0"/>
    <n v="3165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9"/>
    <x v="9"/>
    <s v="0010-OA"/>
    <s v="0010-OA2.3.2.4.7.1"/>
    <n v="61146.6"/>
    <n v="57815.6"/>
    <n v="57815.6"/>
    <n v="23120"/>
    <n v="88.400000000001455"/>
    <n v="3331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76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77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78"/>
    <x v="19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79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9"/>
    <x v="9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80"/>
    <x v="9"/>
    <s v=" "/>
    <n v="0"/>
    <s v="N/R"/>
    <s v="N/R"/>
    <n v="0"/>
    <x v="2"/>
    <x v="9"/>
    <x v="9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81"/>
    <x v="19"/>
    <s v=" "/>
    <n v="0"/>
    <s v="N/R"/>
    <s v="N/R"/>
    <n v="0"/>
    <x v="2"/>
    <x v="9"/>
    <x v="9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82"/>
    <x v="11"/>
    <s v=" "/>
    <n v="0"/>
    <s v="N/R"/>
    <s v="N/R"/>
    <n v="0"/>
    <x v="0"/>
    <x v="9"/>
    <x v="9"/>
    <s v="0010-OA"/>
    <s v="0010-OA2.6.3.2.9.1"/>
    <n v="0"/>
    <n v="0"/>
    <n v="0"/>
    <n v="0"/>
    <n v="480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83"/>
    <x v="24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84"/>
    <x v="25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85"/>
    <x v="15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86"/>
    <x v="16"/>
    <s v=" "/>
    <n v="0"/>
    <s v="N/R"/>
    <s v="N/R"/>
    <n v="0"/>
    <x v="2"/>
    <x v="9"/>
    <x v="9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87"/>
    <x v="3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13717.65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9"/>
    <x v="9"/>
    <s v="0010-OA"/>
    <s v="0010-OA2.3.2.7.11.99"/>
    <n v="24327.69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88"/>
    <x v="5"/>
    <s v=" "/>
    <n v="0"/>
    <s v="N/R"/>
    <s v="N/R"/>
    <n v="0"/>
    <x v="2"/>
    <x v="9"/>
    <x v="9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89"/>
    <x v="10"/>
    <s v=" "/>
    <n v="0"/>
    <s v="Partidas restringidas"/>
    <n v="9.6999999999999993"/>
    <n v="4"/>
    <x v="2"/>
    <x v="9"/>
    <x v="9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90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91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92"/>
    <x v="7"/>
    <s v=" "/>
    <n v="0"/>
    <s v="N/R"/>
    <s v="N/R"/>
    <n v="0"/>
    <x v="2"/>
    <x v="9"/>
    <x v="9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x v="93"/>
    <x v="21"/>
    <s v=" "/>
    <n v="0"/>
    <s v="N/R"/>
    <s v="N/R"/>
    <n v="0"/>
    <x v="2"/>
    <x v="9"/>
    <x v="9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32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6000"/>
    <n v="14400"/>
    <n v="1600"/>
    <n v="0"/>
    <n v="3200"/>
    <n v="4800"/>
    <n v="0.67114093959731547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94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95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8000"/>
    <n v="0"/>
    <n v="0"/>
    <n v="0"/>
    <n v="0"/>
    <s v="2"/>
    <s v="3"/>
    <s v="2"/>
    <s v="7"/>
    <s v="3"/>
    <s v="1"/>
    <s v="2.3.2.7.3.1"/>
    <x v="96"/>
    <x v="5"/>
    <s v=" "/>
    <n v="0"/>
    <s v="N/R"/>
    <s v="N/R"/>
    <n v="0"/>
    <x v="2"/>
    <x v="9"/>
    <x v="9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4453.3999999999996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0"/>
    <x v="10"/>
    <s v="0011-OC"/>
    <s v="0011-OC2.3.2.1.2.2"/>
    <n v="3813.4"/>
    <n v="3813.4"/>
    <n v="3813.4"/>
    <n v="6746.6"/>
    <n v="639.99999999999955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4907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93"/>
    <n v="18000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6685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1949.4799999999996"/>
    <n v="3034.16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345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1"/>
    <x v="11"/>
    <s v="0012-OAJ"/>
    <s v="0012-OAJ2.1.1.9.1.4"/>
    <n v="1350"/>
    <n v="1350"/>
    <n v="1350"/>
    <n v="900"/>
    <n v="1050"/>
    <n v="210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5264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1"/>
    <x v="11"/>
    <s v="0012-OAJ"/>
    <s v="0012-OAJ2.1.1.1.1.8"/>
    <n v="87445.22"/>
    <n v="87445.22"/>
    <n v="85676.75"/>
    <n v="51649"/>
    <n v="0"/>
    <n v="27818.78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233686.71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170653.85"/>
    <n v="46092.47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5287"/>
    <n v="363892.88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1"/>
    <x v="11"/>
    <s v="0012-OAJ"/>
    <s v="0012-OAJ2.1.1.13.1.1"/>
    <n v="304172.92"/>
    <n v="304172.92"/>
    <n v="302043.14"/>
    <n v="1395"/>
    <n v="1394.1199999999953"/>
    <n v="59719.960000000021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19279"/>
    <n v="1927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1"/>
    <x v="11"/>
    <s v="0012-OAJ"/>
    <s v="0012-OAJ2.1.1.9.1.2"/>
    <n v="5369.44"/>
    <n v="5369.44"/>
    <n v="5369.44"/>
    <n v="8540"/>
    <n v="0"/>
    <n v="13909.560000000001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1"/>
    <x v="11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374"/>
    <n v="10374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4649"/>
    <n v="0"/>
    <n v="2503.9499999999989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7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3"/>
    <x v="13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3901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3899.4799999999996"/>
    <n v="434.12000000000035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208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1090.2799999999988"/>
    <n v="10400.899999999994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29436.7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141902.29999999999"/>
    <n v="0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6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3"/>
    <x v="13"/>
    <s v="0013-OCI"/>
    <s v="0014-OCI2.1.1.9.1.4"/>
    <n v="300"/>
    <n v="300"/>
    <n v="300"/>
    <n v="1200"/>
    <n v="1200"/>
    <n v="3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4"/>
    <x v="14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2975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494"/>
    <n v="0.57000000000016371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3050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93587"/>
    <n v="0.72000000000116415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6"/>
    <x v="16"/>
    <n v="0"/>
    <s v="0020-DETN2.3.2.9.1.1"/>
    <n v="0"/>
    <n v="0"/>
    <n v="0"/>
    <n v="0"/>
    <n v="2170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8"/>
    <x v="18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8"/>
    <x v="18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368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9"/>
    <x v="19"/>
    <n v="0"/>
    <s v="0018-DCEME2.1.3.1.1.15"/>
    <n v="1733.44"/>
    <n v="1733.44"/>
    <n v="1733.44"/>
    <n v="0"/>
    <n v="650"/>
    <n v="195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23268"/>
    <n v="8630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9"/>
    <x v="19"/>
    <n v="0"/>
    <s v="0018-DCEME2.1.1.13.1.1"/>
    <n v="55417.869999999995"/>
    <n v="55417.869999999995"/>
    <n v="53011.42"/>
    <n v="36960"/>
    <n v="36960"/>
    <n v="30890.130000000005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6929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9"/>
    <x v="19"/>
    <n v="0"/>
    <s v="0018-DCEME2.1.1.13.1.2"/>
    <n v="18400"/>
    <n v="18400"/>
    <n v="17353.96"/>
    <n v="0"/>
    <n v="128"/>
    <n v="18529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1637"/>
    <n v="131046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0"/>
    <x v="20"/>
    <n v="0"/>
    <s v="0019-DCEME2.1.1.13.1.1"/>
    <n v="65523.259999999995"/>
    <n v="65523.259999999995"/>
    <n v="61272.14"/>
    <n v="591"/>
    <n v="591"/>
    <n v="65522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585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0"/>
    <x v="20"/>
    <n v="0"/>
    <s v="0019-DCEME2.1.3.1.1.15"/>
    <n v="3250.2"/>
    <n v="3250.2"/>
    <n v="3250.2"/>
    <n v="0"/>
    <n v="216"/>
    <n v="4334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53592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0"/>
    <x v="20"/>
    <n v="0"/>
    <s v="0019-DCEME2.1.1.13.1.2"/>
    <n v="40949.25"/>
    <n v="40949.25"/>
    <n v="38511.15"/>
    <n v="0"/>
    <n v="15692"/>
    <n v="112642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23492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998296.34"/>
    <n v="99829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139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10728.3"/>
    <n v="10728.300000000001"/>
    <n v="10728.300000000001"/>
    <n v="8168.7000000000007"/>
    <n v="66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942.830000000002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6483.66"/>
    <n v="0"/>
    <n v="0"/>
    <n v="0"/>
    <n v="0"/>
    <n v="0"/>
    <n v="0"/>
    <n v="0"/>
    <n v="1879.44"/>
    <n v="100"/>
    <n v="134"/>
    <n v="8891.36"/>
    <n v="8687.59"/>
    <n v="0"/>
    <n v="0"/>
    <n v="0"/>
    <n v="0"/>
    <n v="0"/>
    <n v="1879.44"/>
    <n v="0"/>
    <n v="0"/>
    <n v="100"/>
    <n v="9131.36"/>
    <n v="4776.68"/>
    <n v="3990.91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692.39"/>
    <n v="19692.39"/>
    <n v="19692.39"/>
    <n v="16877.169999999998"/>
    <n v="1250.4400000000023"/>
    <n v="0"/>
    <n v="18127.61"/>
    <n v="0.52068720253833944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155893"/>
    <n v="155893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68593"/>
    <n v="0"/>
    <n v="37414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259131"/>
    <n v="4105824.3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381387"/>
    <n v="153306.70000000019"/>
    <n v="575320.0499999998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250629"/>
    <n v="3164572.93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160558"/>
    <n v="86056.069999999832"/>
    <n v="415852.27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19362"/>
    <n v="19362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842"/>
    <n v="0"/>
    <n v="3367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397562.26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49767.94999999995"/>
    <n v="342974.6399999999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28356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253.76000000001"/>
    <n v="106253.76000000001"/>
    <n v="106253.76000000001"/>
    <n v="22936.170000000013"/>
    <n v="5584.8299999999872"/>
    <n v="22102.239999999991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02038"/>
    <n v="188943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22448"/>
    <n v="13095"/>
    <n v="24320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7198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0.75"/>
    <n v="71986.25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3882"/>
    <n v="23882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3937"/>
    <n v="0"/>
    <n v="13910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1350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70280"/>
    <n v="223280"/>
    <n v="209780"/>
    <n v="30481"/>
    <n v="0"/>
    <n v="47000"/>
    <n v="77481"/>
    <n v="1.5086486486486486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6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100"/>
    <n v="48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674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28.319999999999709"/>
    <n v="6934.609999999993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257696.28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156644.28"/>
    <n v="63930.110000000015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899"/>
    <n v="10899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4124"/>
    <n v="0"/>
    <n v="2504.2800000000007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1582.1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51649"/>
    <n v="3681.8999999999942"/>
    <n v="24136.880000000005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2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600"/>
    <n v="6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075"/>
    <n v="12075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773"/>
    <n v="0"/>
    <n v="2808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26867"/>
    <n v="26867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20333"/>
    <n v="0"/>
    <n v="15600.33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5634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200.32"/>
    <n v="5200.32"/>
    <n v="5200.32"/>
    <n v="2503.5200000000004"/>
    <n v="2166.4799999999996"/>
    <n v="433.68000000000029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85548.99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130791.56999999999"/>
    <n v="508.71000000002095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23241"/>
    <n v="112321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63959"/>
    <n v="10920"/>
    <n v="20280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31179"/>
    <n v="31179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10393"/>
    <n v="0"/>
    <n v="20786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128179"/>
    <n v="12817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121250"/>
    <n v="0"/>
    <n v="41571.869999999995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43134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68866"/>
    <n v="38000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12451"/>
    <n v="12451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9998"/>
    <n v="0"/>
    <n v="3741.7999999999993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0401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1733.08"/>
    <n v="2383.83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24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600"/>
    <n v="15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476503"/>
    <n v="412324.88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64179"/>
    <n v="64178.119999999995"/>
    <n v="25936.25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334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1066"/>
    <n v="5100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7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31721"/>
    <n v="622909.48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8813"/>
    <n v="8811.5200000000186"/>
    <n v="97944.79999999993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332388.23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113773.73000000004"/>
    <n v="32632.249999999942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2315.040000000001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5257.3600000000006"/>
    <n v="5731.0500000000102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09901.69999999995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27721.270000000019"/>
    <n v="177944.24999999994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56296.71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725.85"/>
    <n v="45725.85"/>
    <n v="45725.85"/>
    <n v="13457.720000000001"/>
    <n v="5455.57"/>
    <n v="10570.86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9526.7"/>
    <n v="43693.359999999993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2544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2756"/>
    <n v="7500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11811.8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122545"/>
    <n v="968026.51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286491"/>
    <n v="154518.49"/>
    <n v="28615.440000000061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6790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9788"/>
    <n v="9788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6617"/>
    <n v="0"/>
    <n v="2734.559999999999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4373.13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06823"/>
    <n v="106823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75454"/>
    <n v="0"/>
    <n v="30379.66000000000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17705"/>
    <n v="17705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12675"/>
    <n v="0"/>
    <n v="15190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s v="2.3.1.6.1.3 - DE CONSTRUCCION Y MAQUINAS"/>
    <s v="2.3.1.6 - REPUESTOS Y ACCESORIOS"/>
    <s v=" "/>
    <n v="0"/>
    <s v="Partidas restringidas"/>
    <s v="9.6 Hasta el 1er Semestre"/>
    <n v="1"/>
    <x v="2"/>
    <x v="9"/>
    <s v="0010-OA"/>
    <s v="0010-OA"/>
    <s v="0010-OA2.3.1.6.1.3"/>
    <n v="0"/>
    <n v="0"/>
    <n v="0"/>
    <n v="532"/>
    <n v="0"/>
    <n v="0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0"/>
    <n v="0"/>
    <n v="0"/>
    <n v="259"/>
    <n v="0"/>
    <n v="0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62934"/>
    <n v="749200"/>
    <n v="193000"/>
    <n v="34400"/>
    <n v="57500"/>
    <n v="86500"/>
    <n v="62000"/>
    <n v="41800"/>
    <n v="51000"/>
    <n v="73500"/>
    <n v="51500"/>
    <n v="98000"/>
    <n v="0"/>
    <n v="0"/>
    <n v="45000"/>
    <n v="91200"/>
    <n v="60200"/>
    <n v="53000"/>
    <n v="76000"/>
    <n v="63500"/>
    <n v="84300"/>
    <n v="48800"/>
    <n v="58300"/>
    <n v="50300"/>
    <n v="0"/>
    <n v="0"/>
    <n v="45000"/>
    <n v="91200"/>
    <n v="52200"/>
    <n v="52500"/>
    <n v="74500"/>
    <n v="73500"/>
    <n v="84300"/>
    <n v="48800"/>
    <n v="48300"/>
    <n v="44800"/>
    <n v="0"/>
    <n v="0"/>
    <n v="193000"/>
    <n v="34400"/>
    <n v="57500"/>
    <n v="86500"/>
    <n v="62000"/>
    <n v="38200"/>
    <n v="51000"/>
    <n v="735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749200"/>
    <n v="630600"/>
    <n v="615100"/>
    <n v="20942"/>
    <n v="13734"/>
    <n v="118600"/>
    <n v="153276"/>
    <n v="2.0474025974025976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77734"/>
    <n v="177734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4543"/>
    <n v="0"/>
    <n v="30379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2962512"/>
    <n v="2802119.72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45713"/>
    <n v="160392.2799999998"/>
    <n v="350686.14000000013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2645.43"/>
    <n v="2645.43"/>
    <n v="2645.43"/>
    <n v="370"/>
    <n v="0"/>
    <n v="654.57000000000016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61146.6"/>
    <n v="1494"/>
    <n v="0"/>
    <n v="0"/>
    <n v="17175.099999999999"/>
    <n v="0"/>
    <n v="10600"/>
    <n v="0"/>
    <n v="28712.5"/>
    <n v="0"/>
    <n v="3165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61146.6"/>
    <n v="57815.6"/>
    <n v="57815.6"/>
    <n v="23120"/>
    <n v="88.400000000001455"/>
    <n v="3331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0"/>
    <n v="0"/>
    <n v="0"/>
    <n v="0"/>
    <n v="480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13717.65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24327.69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32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6000"/>
    <n v="14400"/>
    <n v="1600"/>
    <n v="0"/>
    <n v="3200"/>
    <n v="4800"/>
    <n v="0.67114093959731547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800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4453.3999999999996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3813.4"/>
    <n v="3813.4"/>
    <n v="3813.4"/>
    <n v="6746.6"/>
    <n v="639.99999999999955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4907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93"/>
    <n v="18000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6685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1949.4799999999996"/>
    <n v="3034.16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345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1050"/>
    <n v="210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5264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51649"/>
    <n v="0"/>
    <n v="27818.78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233686.71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170653.85"/>
    <n v="46092.47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5287"/>
    <n v="363892.88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1395"/>
    <n v="1394.1199999999953"/>
    <n v="59719.960000000021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19279"/>
    <n v="1927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8540"/>
    <n v="0"/>
    <n v="13909.560000000001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374"/>
    <n v="10374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4649"/>
    <n v="0"/>
    <n v="2503.9499999999989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3901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3899.4799999999996"/>
    <n v="434.12000000000035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208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1090.2799999999988"/>
    <n v="10400.899999999994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29436.7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141902.29999999999"/>
    <n v="0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6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1200"/>
    <n v="3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2975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494"/>
    <n v="0.57000000000016371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3050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93587"/>
    <n v="0.72000000000116415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6"/>
    <s v="0020-DETN (INF ESTRAT)"/>
    <n v="0"/>
    <s v="0020-DETN2.3.2.9.1.1"/>
    <n v="0"/>
    <n v="0"/>
    <n v="0"/>
    <n v="0"/>
    <n v="21700"/>
    <n v="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8"/>
    <s v="0022-DETN ( OPI TEC NOR)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114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1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134">
      <pivotArea field="101" type="button" dataOnly="0" labelOnly="1" outline="0" axis="axisPage" fieldPosition="2"/>
    </format>
    <format dxfId="11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2">
      <pivotArea field="101" type="button" dataOnly="0" labelOnly="1" outline="0" axis="axisPage" fieldPosition="2"/>
    </format>
    <format dxfId="11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0">
      <pivotArea field="101" type="button" dataOnly="0" labelOnly="1" outline="0" axis="axisPage" fieldPosition="2"/>
    </format>
    <format dxfId="11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2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12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12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2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sd="0"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248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1">
      <x v="1"/>
    </i>
    <i r="2">
      <x v="30"/>
    </i>
    <i r="2">
      <x v="31"/>
    </i>
    <i r="2">
      <x v="74"/>
    </i>
    <i>
      <x v="6"/>
    </i>
    <i r="1">
      <x/>
    </i>
    <i r="1">
      <x v="1"/>
    </i>
    <i r="2">
      <x v="72"/>
    </i>
    <i r="2">
      <x v="73"/>
    </i>
    <i r="2">
      <x v="74"/>
    </i>
    <i>
      <x v="7"/>
    </i>
    <i r="1">
      <x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2">
      <x v="97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>
      <x v="13"/>
    </i>
    <i r="1">
      <x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1">
      <x v="1"/>
    </i>
    <i r="2">
      <x v="30"/>
    </i>
    <i r="2">
      <x v="31"/>
    </i>
    <i r="2">
      <x v="74"/>
    </i>
    <i>
      <x v="15"/>
    </i>
    <i r="1">
      <x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>
      <x v="17"/>
    </i>
    <i r="1">
      <x/>
    </i>
    <i>
      <x v="18"/>
    </i>
    <i r="1">
      <x/>
    </i>
    <i r="1">
      <x v="1"/>
    </i>
    <i r="2">
      <x v="74"/>
    </i>
    <i>
      <x v="19"/>
    </i>
    <i r="1">
      <x/>
    </i>
    <i r="1">
      <x v="1"/>
    </i>
    <i r="2">
      <x v="74"/>
    </i>
    <i>
      <x v="20"/>
    </i>
    <i r="1">
      <x/>
    </i>
    <i r="1">
      <x v="1"/>
    </i>
    <i r="2">
      <x v="50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104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045">
      <pivotArea field="101" type="button" dataOnly="0" labelOnly="1" outline="0" axis="axisRow" fieldPosition="0"/>
    </format>
    <format dxfId="10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3">
      <pivotArea field="101" type="button" dataOnly="0" labelOnly="1" outline="0" axis="axisRow" fieldPosition="0"/>
    </format>
    <format dxfId="10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1">
      <pivotArea field="101" type="button" dataOnly="0" labelOnly="1" outline="0" axis="axisRow" fieldPosition="0"/>
    </format>
    <format dxfId="10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39">
      <pivotArea outline="0" collapsedLevelsAreSubtotals="1" fieldPosition="0"/>
    </format>
    <format dxfId="1038">
      <pivotArea field="0" type="button" dataOnly="0" labelOnly="1" outline="0" axis="axisPage" fieldPosition="0"/>
    </format>
    <format dxfId="103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6">
      <pivotArea field="0" type="button" dataOnly="0" labelOnly="1" outline="0" axis="axisPage" fieldPosition="0"/>
    </format>
    <format dxfId="103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4">
      <pivotArea field="0" type="button" dataOnly="0" labelOnly="1" outline="0" axis="axisPage" fieldPosition="0"/>
    </format>
    <format dxfId="103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2">
      <pivotArea type="all" dataOnly="0" outline="0" fieldPosition="0"/>
    </format>
    <format dxfId="1031">
      <pivotArea outline="0" collapsedLevelsAreSubtotals="1" fieldPosition="0"/>
    </format>
    <format dxfId="1030">
      <pivotArea field="0" type="button" dataOnly="0" labelOnly="1" outline="0" axis="axisPage" fieldPosition="0"/>
    </format>
    <format dxfId="1029">
      <pivotArea dataOnly="0" labelOnly="1" fieldPosition="0">
        <references count="1">
          <reference field="0" count="1">
            <x v="0"/>
          </reference>
        </references>
      </pivotArea>
    </format>
    <format dxfId="1028">
      <pivotArea dataOnly="0" labelOnly="1" grandRow="1" outline="0" fieldPosition="0"/>
    </format>
    <format dxfId="102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02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2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2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23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022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021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20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9">
      <pivotArea outline="0" collapsedLevelsAreSubtotals="1" fieldPosition="0"/>
    </format>
    <format dxfId="101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7">
      <pivotArea dataOnly="0" labelOnly="1" grandRow="1" outline="0" fieldPosition="0"/>
    </format>
    <format dxfId="1016">
      <pivotArea field="101" type="button" dataOnly="0" labelOnly="1" outline="0" axis="axisRow" fieldPosition="0"/>
    </format>
    <format dxfId="101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4">
      <pivotArea field="101" type="button" dataOnly="0" labelOnly="1" outline="0" axis="axisRow" fieldPosition="0"/>
    </format>
    <format dxfId="101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2">
      <pivotArea field="101" type="button" dataOnly="0" labelOnly="1" outline="0" axis="axisRow" fieldPosition="0"/>
    </format>
    <format dxfId="101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0">
      <pivotArea field="101" type="button" dataOnly="0" labelOnly="1" outline="0" axis="axisRow" fieldPosition="0"/>
    </format>
    <format dxfId="100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8">
      <pivotArea field="101" type="button" dataOnly="0" labelOnly="1" outline="0" axis="axisRow" fieldPosition="0"/>
    </format>
    <format dxfId="100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field="101" type="button" dataOnly="0" labelOnly="1" outline="0" axis="axisRow" fieldPosition="0"/>
    </format>
    <format dxfId="999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8">
      <pivotArea field="101" type="button" dataOnly="0" labelOnly="1" outline="0" axis="axisRow" fieldPosition="0"/>
    </format>
    <format dxfId="99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6">
      <pivotArea field="101" type="button" dataOnly="0" labelOnly="1" outline="0" axis="axisRow" fieldPosition="0"/>
    </format>
    <format dxfId="99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4">
      <pivotArea field="101" type="button" dataOnly="0" labelOnly="1" outline="0" axis="axisRow" fieldPosition="0"/>
    </format>
    <format dxfId="99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62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6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25">
      <pivotArea field="101" type="button" dataOnly="0" labelOnly="1" outline="0" axis="axisPage" fieldPosition="0"/>
    </format>
    <format dxfId="6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3">
      <pivotArea field="101" type="button" dataOnly="0" labelOnly="1" outline="0" axis="axisPage" fieldPosition="0"/>
    </format>
    <format dxfId="6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1">
      <pivotArea field="101" type="button" dataOnly="0" labelOnly="1" outline="0" axis="axisPage" fieldPosition="0"/>
    </format>
    <format dxfId="6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9">
      <pivotArea outline="0" collapsedLevelsAreSubtotals="1" fieldPosition="0"/>
    </format>
    <format dxfId="618">
      <pivotArea field="0" type="button" dataOnly="0" labelOnly="1" outline="0" axis="axisRow" fieldPosition="0"/>
    </format>
    <format dxfId="617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16">
      <pivotArea field="0" type="button" dataOnly="0" labelOnly="1" outline="0" axis="axisRow" fieldPosition="0"/>
    </format>
    <format dxfId="615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14">
      <pivotArea field="0" type="button" dataOnly="0" labelOnly="1" outline="0" axis="axisRow" fieldPosition="0"/>
    </format>
    <format dxfId="613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1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09">
      <pivotArea type="all" dataOnly="0" outline="0" fieldPosition="0"/>
    </format>
    <format dxfId="608">
      <pivotArea outline="0" collapsedLevelsAreSubtotals="1" fieldPosition="0"/>
    </format>
    <format dxfId="607">
      <pivotArea field="0" type="button" dataOnly="0" labelOnly="1" outline="0" axis="axisRow" fieldPosition="0"/>
    </format>
    <format dxfId="606">
      <pivotArea dataOnly="0" labelOnly="1" fieldPosition="0">
        <references count="1">
          <reference field="0" count="1">
            <x v="0"/>
          </reference>
        </references>
      </pivotArea>
    </format>
    <format dxfId="605">
      <pivotArea dataOnly="0" labelOnly="1" grandRow="1" outline="0" fieldPosition="0"/>
    </format>
    <format dxfId="604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0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9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635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34">
      <pivotArea field="101" type="button" dataOnly="0" labelOnly="1" outline="0" axis="axisPage" fieldPosition="0"/>
    </format>
    <format dxfId="633">
      <pivotArea field="101" type="button" dataOnly="0" labelOnly="1" outline="0" axis="axisPage" fieldPosition="0"/>
    </format>
    <format dxfId="632">
      <pivotArea field="101" type="button" dataOnly="0" labelOnly="1" outline="0" axis="axisPage" fieldPosition="0"/>
    </format>
    <format dxfId="631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30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29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2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6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9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48">
      <pivotArea field="101" type="button" dataOnly="0" labelOnly="1" outline="0" axis="axisPage" fieldPosition="0"/>
    </format>
    <format dxfId="6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6">
      <pivotArea field="101" type="button" dataOnly="0" labelOnly="1" outline="0" axis="axisPage" fieldPosition="0"/>
    </format>
    <format dxfId="6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4">
      <pivotArea field="101" type="button" dataOnly="0" labelOnly="1" outline="0" axis="axisPage" fieldPosition="0"/>
    </format>
    <format dxfId="6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42">
      <pivotArea outline="0" collapsedLevelsAreSubtotals="1" fieldPosition="0"/>
    </format>
    <format dxfId="641">
      <pivotArea field="0" type="button" dataOnly="0" labelOnly="1" outline="0" axis="axisPage" fieldPosition="1"/>
    </format>
    <format dxfId="64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39">
      <pivotArea field="0" type="button" dataOnly="0" labelOnly="1" outline="0" axis="axisPage" fieldPosition="1"/>
    </format>
    <format dxfId="63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37">
      <pivotArea field="0" type="button" dataOnly="0" labelOnly="1" outline="0" axis="axisPage" fieldPosition="1"/>
    </format>
    <format dxfId="63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6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68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3">
      <pivotArea field="101" type="button" dataOnly="0" labelOnly="1" outline="0"/>
    </format>
    <format dxfId="6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1">
      <pivotArea field="101" type="button" dataOnly="0" labelOnly="1" outline="0"/>
    </format>
    <format dxfId="6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9">
      <pivotArea field="101" type="button" dataOnly="0" labelOnly="1" outline="0"/>
    </format>
    <format dxfId="6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7">
      <pivotArea outline="0" collapsedLevelsAreSubtotals="1" fieldPosition="0"/>
    </format>
    <format dxfId="676">
      <pivotArea field="0" type="button" dataOnly="0" labelOnly="1" outline="0" axis="axisPage" fieldPosition="0"/>
    </format>
    <format dxfId="6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74">
      <pivotArea field="0" type="button" dataOnly="0" labelOnly="1" outline="0" axis="axisPage" fieldPosition="0"/>
    </format>
    <format dxfId="6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72">
      <pivotArea field="0" type="button" dataOnly="0" labelOnly="1" outline="0" axis="axisPage" fieldPosition="0"/>
    </format>
    <format dxfId="6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70">
      <pivotArea type="all" dataOnly="0" outline="0" fieldPosition="0"/>
    </format>
    <format dxfId="669">
      <pivotArea outline="0" collapsedLevelsAreSubtotals="1" fieldPosition="0"/>
    </format>
    <format dxfId="668">
      <pivotArea field="0" type="button" dataOnly="0" labelOnly="1" outline="0" axis="axisPage" fieldPosition="0"/>
    </format>
    <format dxfId="667">
      <pivotArea dataOnly="0" labelOnly="1" fieldPosition="0">
        <references count="1">
          <reference field="0" count="1">
            <x v="0"/>
          </reference>
        </references>
      </pivotArea>
    </format>
    <format dxfId="666">
      <pivotArea dataOnly="0" labelOnly="1" grandRow="1" outline="0" fieldPosition="0"/>
    </format>
    <format dxfId="66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6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6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61">
      <pivotArea collapsedLevelsAreSubtotals="1" fieldPosition="0">
        <references count="1">
          <reference field="100" count="1">
            <x v="0"/>
          </reference>
        </references>
      </pivotArea>
    </format>
    <format dxfId="660">
      <pivotArea collapsedLevelsAreSubtotals="1" fieldPosition="0">
        <references count="1">
          <reference field="100" count="1">
            <x v="1"/>
          </reference>
        </references>
      </pivotArea>
    </format>
    <format dxfId="659">
      <pivotArea collapsedLevelsAreSubtotals="1" fieldPosition="0">
        <references count="1">
          <reference field="100" count="1">
            <x v="2"/>
          </reference>
        </references>
      </pivotArea>
    </format>
    <format dxfId="658">
      <pivotArea collapsedLevelsAreSubtotals="1" fieldPosition="0">
        <references count="1">
          <reference field="100" count="1">
            <x v="3"/>
          </reference>
        </references>
      </pivotArea>
    </format>
    <format dxfId="657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656">
      <pivotArea collapsedLevelsAreSubtotals="1" fieldPosition="0">
        <references count="1">
          <reference field="100" count="1">
            <x v="4"/>
          </reference>
        </references>
      </pivotArea>
    </format>
    <format dxfId="655">
      <pivotArea dataOnly="0" labelOnly="1" fieldPosition="0">
        <references count="1">
          <reference field="100" count="1">
            <x v="4"/>
          </reference>
        </references>
      </pivotArea>
    </format>
    <format dxfId="654">
      <pivotArea dataOnly="0" labelOnly="1" fieldPosition="0">
        <references count="1">
          <reference field="100" count="0"/>
        </references>
      </pivotArea>
    </format>
    <format dxfId="65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52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9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693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92">
      <pivotArea field="101" type="button" dataOnly="0" labelOnly="1" outline="0" axis="axisPage" fieldPosition="0"/>
    </format>
    <format dxfId="691">
      <pivotArea field="101" type="button" dataOnly="0" labelOnly="1" outline="0" axis="axisPage" fieldPosition="0"/>
    </format>
    <format dxfId="690">
      <pivotArea field="101" type="button" dataOnly="0" labelOnly="1" outline="0" axis="axisPage" fieldPosition="0"/>
    </format>
    <format dxfId="689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88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87">
      <pivotArea outline="0" collapsedLevelsAreSubtotals="1" fieldPosition="0"/>
    </format>
    <format dxfId="686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13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7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7">
      <pivotArea field="101" type="button" dataOnly="0" labelOnly="1" outline="0"/>
    </format>
    <format dxfId="7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5">
      <pivotArea field="101" type="button" dataOnly="0" labelOnly="1" outline="0"/>
    </format>
    <format dxfId="7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3">
      <pivotArea field="101" type="button" dataOnly="0" labelOnly="1" outline="0"/>
    </format>
    <format dxfId="7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1">
      <pivotArea outline="0" collapsedLevelsAreSubtotals="1" fieldPosition="0"/>
    </format>
    <format dxfId="720">
      <pivotArea field="0" type="button" dataOnly="0" labelOnly="1" outline="0" axis="axisPage" fieldPosition="0"/>
    </format>
    <format dxfId="7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8">
      <pivotArea field="0" type="button" dataOnly="0" labelOnly="1" outline="0" axis="axisPage" fieldPosition="0"/>
    </format>
    <format dxfId="7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6">
      <pivotArea field="0" type="button" dataOnly="0" labelOnly="1" outline="0" axis="axisPage" fieldPosition="0"/>
    </format>
    <format dxfId="7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4">
      <pivotArea type="all" dataOnly="0" outline="0" fieldPosition="0"/>
    </format>
    <format dxfId="713">
      <pivotArea outline="0" collapsedLevelsAreSubtotals="1" fieldPosition="0"/>
    </format>
    <format dxfId="712">
      <pivotArea field="0" type="button" dataOnly="0" labelOnly="1" outline="0" axis="axisPage" fieldPosition="0"/>
    </format>
    <format dxfId="711">
      <pivotArea dataOnly="0" labelOnly="1" fieldPosition="0">
        <references count="1">
          <reference field="0" count="1">
            <x v="0"/>
          </reference>
        </references>
      </pivotArea>
    </format>
    <format dxfId="710">
      <pivotArea dataOnly="0" labelOnly="1" grandRow="1" outline="0" fieldPosition="0"/>
    </format>
    <format dxfId="70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0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05">
      <pivotArea collapsedLevelsAreSubtotals="1" fieldPosition="0">
        <references count="1">
          <reference field="100" count="1">
            <x v="0"/>
          </reference>
        </references>
      </pivotArea>
    </format>
    <format dxfId="704">
      <pivotArea collapsedLevelsAreSubtotals="1" fieldPosition="0">
        <references count="1">
          <reference field="100" count="1">
            <x v="1"/>
          </reference>
        </references>
      </pivotArea>
    </format>
    <format dxfId="703">
      <pivotArea collapsedLevelsAreSubtotals="1" fieldPosition="0">
        <references count="1">
          <reference field="100" count="1">
            <x v="2"/>
          </reference>
        </references>
      </pivotArea>
    </format>
    <format dxfId="702">
      <pivotArea collapsedLevelsAreSubtotals="1" fieldPosition="0">
        <references count="1">
          <reference field="100" count="1">
            <x v="3"/>
          </reference>
        </references>
      </pivotArea>
    </format>
    <format dxfId="701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00">
      <pivotArea collapsedLevelsAreSubtotals="1" fieldPosition="0">
        <references count="1">
          <reference field="100" count="1">
            <x v="4"/>
          </reference>
        </references>
      </pivotArea>
    </format>
    <format dxfId="699">
      <pivotArea dataOnly="0" labelOnly="1" fieldPosition="0">
        <references count="1">
          <reference field="100" count="1">
            <x v="4"/>
          </reference>
        </references>
      </pivotArea>
    </format>
    <format dxfId="698">
      <pivotArea dataOnly="0" labelOnly="1" fieldPosition="0">
        <references count="1">
          <reference field="100" count="0"/>
        </references>
      </pivotArea>
    </format>
    <format dxfId="69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9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69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94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5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7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9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778">
      <pivotArea field="101" type="button" dataOnly="0" labelOnly="1" outline="0" axis="axisRow" fieldPosition="1"/>
    </format>
    <format dxfId="7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6">
      <pivotArea field="101" type="button" dataOnly="0" labelOnly="1" outline="0" axis="axisRow" fieldPosition="1"/>
    </format>
    <format dxfId="7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4">
      <pivotArea field="101" type="button" dataOnly="0" labelOnly="1" outline="0" axis="axisRow" fieldPosition="1"/>
    </format>
    <format dxfId="7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72">
      <pivotArea outline="0" collapsedLevelsAreSubtotals="1" fieldPosition="0"/>
    </format>
    <format dxfId="771">
      <pivotArea field="0" type="button" dataOnly="0" labelOnly="1" outline="0" axis="axisPage" fieldPosition="0"/>
    </format>
    <format dxfId="7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9">
      <pivotArea field="0" type="button" dataOnly="0" labelOnly="1" outline="0" axis="axisPage" fieldPosition="0"/>
    </format>
    <format dxfId="7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7">
      <pivotArea field="0" type="button" dataOnly="0" labelOnly="1" outline="0" axis="axisPage" fieldPosition="0"/>
    </format>
    <format dxfId="7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5">
      <pivotArea type="all" dataOnly="0" outline="0" fieldPosition="0"/>
    </format>
    <format dxfId="764">
      <pivotArea outline="0" collapsedLevelsAreSubtotals="1" fieldPosition="0"/>
    </format>
    <format dxfId="763">
      <pivotArea field="0" type="button" dataOnly="0" labelOnly="1" outline="0" axis="axisPage" fieldPosition="0"/>
    </format>
    <format dxfId="762">
      <pivotArea dataOnly="0" labelOnly="1" fieldPosition="0">
        <references count="1">
          <reference field="0" count="1">
            <x v="0"/>
          </reference>
        </references>
      </pivotArea>
    </format>
    <format dxfId="761">
      <pivotArea dataOnly="0" labelOnly="1" grandRow="1" outline="0" fieldPosition="0"/>
    </format>
    <format dxfId="76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5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5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56">
      <pivotArea collapsedLevelsAreSubtotals="1" fieldPosition="0">
        <references count="1">
          <reference field="100" count="1">
            <x v="0"/>
          </reference>
        </references>
      </pivotArea>
    </format>
    <format dxfId="755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54">
      <pivotArea collapsedLevelsAreSubtotals="1" fieldPosition="0">
        <references count="1">
          <reference field="100" count="1">
            <x v="1"/>
          </reference>
        </references>
      </pivotArea>
    </format>
    <format dxfId="753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52">
      <pivotArea collapsedLevelsAreSubtotals="1" fieldPosition="0">
        <references count="1">
          <reference field="100" count="1">
            <x v="2"/>
          </reference>
        </references>
      </pivotArea>
    </format>
    <format dxfId="751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50">
      <pivotArea collapsedLevelsAreSubtotals="1" fieldPosition="0">
        <references count="1">
          <reference field="100" count="1">
            <x v="3"/>
          </reference>
        </references>
      </pivotArea>
    </format>
    <format dxfId="749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48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47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46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45">
      <pivotArea collapsedLevelsAreSubtotals="1" fieldPosition="0">
        <references count="1">
          <reference field="100" count="1">
            <x v="4"/>
          </reference>
        </references>
      </pivotArea>
    </format>
    <format dxfId="744">
      <pivotArea dataOnly="0" labelOnly="1" fieldPosition="0">
        <references count="1">
          <reference field="100" count="1">
            <x v="4"/>
          </reference>
        </references>
      </pivotArea>
    </format>
    <format dxfId="743">
      <pivotArea dataOnly="0" labelOnly="1" fieldPosition="0">
        <references count="1">
          <reference field="100" count="0"/>
        </references>
      </pivotArea>
    </format>
    <format dxfId="742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741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740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739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738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73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736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735">
      <pivotArea collapsedLevelsAreSubtotals="1" fieldPosition="0">
        <references count="1">
          <reference field="100" count="0"/>
        </references>
      </pivotArea>
    </format>
    <format dxfId="734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733">
      <pivotArea collapsedLevelsAreSubtotals="1" fieldPosition="0">
        <references count="2">
          <reference field="100" count="0" selected="0"/>
          <reference field="101" count="0"/>
        </references>
      </pivotArea>
    </format>
    <format dxfId="732">
      <pivotArea collapsedLevelsAreSubtotals="1" fieldPosition="0">
        <references count="1">
          <reference field="100" count="0"/>
        </references>
      </pivotArea>
    </format>
    <format dxfId="73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30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799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798">
      <pivotArea field="101" type="button" dataOnly="0" labelOnly="1" outline="0" axis="axisRow" fieldPosition="0"/>
    </format>
    <format dxfId="797">
      <pivotArea field="101" type="button" dataOnly="0" labelOnly="1" outline="0" axis="axisRow" fieldPosition="0"/>
    </format>
    <format dxfId="796">
      <pivotArea field="101" type="button" dataOnly="0" labelOnly="1" outline="0" axis="axisRow" fieldPosition="0"/>
    </format>
    <format dxfId="795">
      <pivotArea outline="0" collapsedLevelsAreSubtotals="1" fieldPosition="0"/>
    </format>
    <format dxfId="794">
      <pivotArea field="0" type="button" dataOnly="0" labelOnly="1" outline="0" axis="axisPage" fieldPosition="1"/>
    </format>
    <format dxfId="793">
      <pivotArea field="0" type="button" dataOnly="0" labelOnly="1" outline="0" axis="axisPage" fieldPosition="1"/>
    </format>
    <format dxfId="792">
      <pivotArea field="0" type="button" dataOnly="0" labelOnly="1" outline="0" axis="axisPage" fieldPosition="1"/>
    </format>
    <format dxfId="791">
      <pivotArea type="all" dataOnly="0" outline="0" fieldPosition="0"/>
    </format>
    <format dxfId="790">
      <pivotArea outline="0" collapsedLevelsAreSubtotals="1" fieldPosition="0"/>
    </format>
    <format dxfId="789">
      <pivotArea field="0" type="button" dataOnly="0" labelOnly="1" outline="0" axis="axisPage" fieldPosition="1"/>
    </format>
    <format dxfId="788">
      <pivotArea dataOnly="0" labelOnly="1" fieldPosition="0">
        <references count="1">
          <reference field="0" count="1">
            <x v="0"/>
          </reference>
        </references>
      </pivotArea>
    </format>
    <format dxfId="787">
      <pivotArea dataOnly="0" labelOnly="1" grandRow="1" outline="0" fieldPosition="0"/>
    </format>
    <format dxfId="78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85">
      <pivotArea collapsedLevelsAreSubtotals="1" fieldPosition="0">
        <references count="1">
          <reference field="101" count="0"/>
        </references>
      </pivotArea>
    </format>
    <format dxfId="784">
      <pivotArea dataOnly="0" labelOnly="1" fieldPosition="0">
        <references count="1">
          <reference field="101" count="0"/>
        </references>
      </pivotArea>
    </format>
    <format dxfId="78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8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2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80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805">
      <pivotArea field="101" type="button" dataOnly="0" labelOnly="1" outline="0" axis="axisPage" fieldPosition="0"/>
    </format>
    <format dxfId="804">
      <pivotArea field="101" type="button" dataOnly="0" labelOnly="1" outline="0" axis="axisPage" fieldPosition="0"/>
    </format>
    <format dxfId="803">
      <pivotArea field="101" type="button" dataOnly="0" labelOnly="1" outline="0" axis="axisPage" fieldPosition="0"/>
    </format>
    <format dxfId="802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801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800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8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813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812">
      <pivotArea field="101" type="button" dataOnly="0" labelOnly="1" outline="0" axis="axisPage" fieldPosition="0"/>
    </format>
    <format dxfId="811">
      <pivotArea field="101" type="button" dataOnly="0" labelOnly="1" outline="0" axis="axisPage" fieldPosition="0"/>
    </format>
    <format dxfId="810">
      <pivotArea field="101" type="button" dataOnly="0" labelOnly="1" outline="0" axis="axisPage" fieldPosition="0"/>
    </format>
    <format dxfId="809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08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07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4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86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2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861">
      <pivotArea field="101" type="button" dataOnly="0" labelOnly="1" outline="0" axis="axisRow" fieldPosition="1"/>
    </format>
    <format dxfId="8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9">
      <pivotArea field="101" type="button" dataOnly="0" labelOnly="1" outline="0" axis="axisRow" fieldPosition="1"/>
    </format>
    <format dxfId="8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7">
      <pivotArea field="101" type="button" dataOnly="0" labelOnly="1" outline="0" axis="axisRow" fieldPosition="1"/>
    </format>
    <format dxfId="8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55">
      <pivotArea outline="0" collapsedLevelsAreSubtotals="1" fieldPosition="0"/>
    </format>
    <format dxfId="854">
      <pivotArea field="0" type="button" dataOnly="0" labelOnly="1" outline="0" axis="axisPage" fieldPosition="0"/>
    </format>
    <format dxfId="85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2">
      <pivotArea field="0" type="button" dataOnly="0" labelOnly="1" outline="0" axis="axisPage" fieldPosition="0"/>
    </format>
    <format dxfId="8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0">
      <pivotArea field="0" type="button" dataOnly="0" labelOnly="1" outline="0" axis="axisPage" fieldPosition="0"/>
    </format>
    <format dxfId="8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8">
      <pivotArea type="all" dataOnly="0" outline="0" fieldPosition="0"/>
    </format>
    <format dxfId="847">
      <pivotArea outline="0" collapsedLevelsAreSubtotals="1" fieldPosition="0"/>
    </format>
    <format dxfId="846">
      <pivotArea field="0" type="button" dataOnly="0" labelOnly="1" outline="0" axis="axisPage" fieldPosition="0"/>
    </format>
    <format dxfId="845">
      <pivotArea dataOnly="0" labelOnly="1" fieldPosition="0">
        <references count="1">
          <reference field="0" count="1">
            <x v="0"/>
          </reference>
        </references>
      </pivotArea>
    </format>
    <format dxfId="844">
      <pivotArea dataOnly="0" labelOnly="1" grandRow="1" outline="0" fieldPosition="0"/>
    </format>
    <format dxfId="843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39">
      <pivotArea collapsedLevelsAreSubtotals="1" fieldPosition="0">
        <references count="1">
          <reference field="100" count="1">
            <x v="0"/>
          </reference>
        </references>
      </pivotArea>
    </format>
    <format dxfId="838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37">
      <pivotArea collapsedLevelsAreSubtotals="1" fieldPosition="0">
        <references count="1">
          <reference field="100" count="1">
            <x v="1"/>
          </reference>
        </references>
      </pivotArea>
    </format>
    <format dxfId="836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35">
      <pivotArea collapsedLevelsAreSubtotals="1" fieldPosition="0">
        <references count="1">
          <reference field="100" count="1">
            <x v="2"/>
          </reference>
        </references>
      </pivotArea>
    </format>
    <format dxfId="834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33">
      <pivotArea collapsedLevelsAreSubtotals="1" fieldPosition="0">
        <references count="1">
          <reference field="100" count="1">
            <x v="3"/>
          </reference>
        </references>
      </pivotArea>
    </format>
    <format dxfId="83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3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3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2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28">
      <pivotArea collapsedLevelsAreSubtotals="1" fieldPosition="0">
        <references count="1">
          <reference field="100" count="1">
            <x v="4"/>
          </reference>
        </references>
      </pivotArea>
    </format>
    <format dxfId="827">
      <pivotArea dataOnly="0" labelOnly="1" fieldPosition="0">
        <references count="1">
          <reference field="100" count="1">
            <x v="4"/>
          </reference>
        </references>
      </pivotArea>
    </format>
    <format dxfId="826">
      <pivotArea dataOnly="0" labelOnly="1" fieldPosition="0">
        <references count="1">
          <reference field="100" count="0"/>
        </references>
      </pivotArea>
    </format>
    <format dxfId="82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2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2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22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821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820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19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18">
      <pivotArea collapsedLevelsAreSubtotals="1" fieldPosition="0">
        <references count="1">
          <reference field="100" count="0"/>
        </references>
      </pivotArea>
    </format>
    <format dxfId="817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816">
      <pivotArea collapsedLevelsAreSubtotals="1" fieldPosition="0">
        <references count="2">
          <reference field="100" count="0" selected="0"/>
          <reference field="101" count="0"/>
        </references>
      </pivotArea>
    </format>
    <format dxfId="81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14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10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9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2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911">
      <pivotArea field="101" type="button" dataOnly="0" labelOnly="1" outline="0" axis="axisPage" fieldPosition="0"/>
    </format>
    <format dxfId="9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9">
      <pivotArea field="101" type="button" dataOnly="0" labelOnly="1" outline="0" axis="axisPage" fieldPosition="0"/>
    </format>
    <format dxfId="9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7">
      <pivotArea field="101" type="button" dataOnly="0" labelOnly="1" outline="0" axis="axisPage" fieldPosition="0"/>
    </format>
    <format dxfId="9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05">
      <pivotArea outline="0" collapsedLevelsAreSubtotals="1" fieldPosition="0"/>
    </format>
    <format dxfId="904">
      <pivotArea field="0" type="button" dataOnly="0" labelOnly="1" outline="0" axis="axisPage" fieldPosition="1"/>
    </format>
    <format dxfId="9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2">
      <pivotArea field="0" type="button" dataOnly="0" labelOnly="1" outline="0" axis="axisPage" fieldPosition="1"/>
    </format>
    <format dxfId="9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0">
      <pivotArea field="0" type="button" dataOnly="0" labelOnly="1" outline="0" axis="axisPage" fieldPosition="1"/>
    </format>
    <format dxfId="8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8">
      <pivotArea type="all" dataOnly="0" outline="0" fieldPosition="0"/>
    </format>
    <format dxfId="897">
      <pivotArea outline="0" collapsedLevelsAreSubtotals="1" fieldPosition="0"/>
    </format>
    <format dxfId="896">
      <pivotArea field="0" type="button" dataOnly="0" labelOnly="1" outline="0" axis="axisPage" fieldPosition="1"/>
    </format>
    <format dxfId="895">
      <pivotArea dataOnly="0" labelOnly="1" fieldPosition="0">
        <references count="1">
          <reference field="0" count="1">
            <x v="0"/>
          </reference>
        </references>
      </pivotArea>
    </format>
    <format dxfId="894">
      <pivotArea dataOnly="0" labelOnly="1" grandRow="1" outline="0" fieldPosition="0"/>
    </format>
    <format dxfId="893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9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89">
      <pivotArea collapsedLevelsAreSubtotals="1" fieldPosition="0">
        <references count="1">
          <reference field="100" count="1">
            <x v="0"/>
          </reference>
        </references>
      </pivotArea>
    </format>
    <format dxfId="888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87">
      <pivotArea collapsedLevelsAreSubtotals="1" fieldPosition="0">
        <references count="1">
          <reference field="100" count="1">
            <x v="1"/>
          </reference>
        </references>
      </pivotArea>
    </format>
    <format dxfId="886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85">
      <pivotArea collapsedLevelsAreSubtotals="1" fieldPosition="0">
        <references count="1">
          <reference field="100" count="1">
            <x v="2"/>
          </reference>
        </references>
      </pivotArea>
    </format>
    <format dxfId="884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83">
      <pivotArea collapsedLevelsAreSubtotals="1" fieldPosition="0">
        <references count="1">
          <reference field="100" count="1">
            <x v="3"/>
          </reference>
        </references>
      </pivotArea>
    </format>
    <format dxfId="88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8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8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7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78">
      <pivotArea collapsedLevelsAreSubtotals="1" fieldPosition="0">
        <references count="1">
          <reference field="100" count="1">
            <x v="4"/>
          </reference>
        </references>
      </pivotArea>
    </format>
    <format dxfId="877">
      <pivotArea dataOnly="0" labelOnly="1" fieldPosition="0">
        <references count="1">
          <reference field="100" count="1">
            <x v="4"/>
          </reference>
        </references>
      </pivotArea>
    </format>
    <format dxfId="876">
      <pivotArea dataOnly="0" labelOnly="1" fieldPosition="0">
        <references count="1">
          <reference field="100" count="0"/>
        </references>
      </pivotArea>
    </format>
    <format dxfId="87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7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7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72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871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870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69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68">
      <pivotArea field="100" type="button" dataOnly="0" labelOnly="1" outline="0" axis="axisRow" fieldPosition="0"/>
    </format>
    <format dxfId="86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6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65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7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6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2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9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9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48">
      <pivotArea field="101" type="button" dataOnly="0" labelOnly="1" outline="0" axis="axisRow" fieldPosition="0"/>
    </format>
    <format dxfId="9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6">
      <pivotArea field="101" type="button" dataOnly="0" labelOnly="1" outline="0" axis="axisRow" fieldPosition="0"/>
    </format>
    <format dxfId="9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4">
      <pivotArea field="101" type="button" dataOnly="0" labelOnly="1" outline="0" axis="axisRow" fieldPosition="0"/>
    </format>
    <format dxfId="9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2">
      <pivotArea outline="0" collapsedLevelsAreSubtotals="1" fieldPosition="0"/>
    </format>
    <format dxfId="941">
      <pivotArea field="0" type="button" dataOnly="0" labelOnly="1" outline="0" axis="axisPage" fieldPosition="0"/>
    </format>
    <format dxfId="9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9">
      <pivotArea field="0" type="button" dataOnly="0" labelOnly="1" outline="0" axis="axisPage" fieldPosition="0"/>
    </format>
    <format dxfId="9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7">
      <pivotArea field="0" type="button" dataOnly="0" labelOnly="1" outline="0" axis="axisPage" fieldPosition="0"/>
    </format>
    <format dxfId="9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5">
      <pivotArea type="all" dataOnly="0" outline="0" fieldPosition="0"/>
    </format>
    <format dxfId="934">
      <pivotArea outline="0" collapsedLevelsAreSubtotals="1" fieldPosition="0"/>
    </format>
    <format dxfId="933">
      <pivotArea field="0" type="button" dataOnly="0" labelOnly="1" outline="0" axis="axisPage" fieldPosition="0"/>
    </format>
    <format dxfId="932">
      <pivotArea dataOnly="0" labelOnly="1" fieldPosition="0">
        <references count="1">
          <reference field="0" count="1">
            <x v="0"/>
          </reference>
        </references>
      </pivotArea>
    </format>
    <format dxfId="931">
      <pivotArea dataOnly="0" labelOnly="1" grandRow="1" outline="0" fieldPosition="0"/>
    </format>
    <format dxfId="93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9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2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26">
      <pivotArea collapsedLevelsAreSubtotals="1" fieldPosition="0">
        <references count="1">
          <reference field="100" count="1">
            <x v="0"/>
          </reference>
        </references>
      </pivotArea>
    </format>
    <format dxfId="925">
      <pivotArea collapsedLevelsAreSubtotals="1" fieldPosition="0">
        <references count="1">
          <reference field="100" count="1">
            <x v="1"/>
          </reference>
        </references>
      </pivotArea>
    </format>
    <format dxfId="924">
      <pivotArea collapsedLevelsAreSubtotals="1" fieldPosition="0">
        <references count="1">
          <reference field="100" count="1">
            <x v="2"/>
          </reference>
        </references>
      </pivotArea>
    </format>
    <format dxfId="923">
      <pivotArea collapsedLevelsAreSubtotals="1" fieldPosition="0">
        <references count="1">
          <reference field="100" count="1">
            <x v="3"/>
          </reference>
        </references>
      </pivotArea>
    </format>
    <format dxfId="92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921">
      <pivotArea collapsedLevelsAreSubtotals="1" fieldPosition="0">
        <references count="1">
          <reference field="100" count="1">
            <x v="4"/>
          </reference>
        </references>
      </pivotArea>
    </format>
    <format dxfId="920">
      <pivotArea dataOnly="0" labelOnly="1" fieldPosition="0">
        <references count="1">
          <reference field="100" count="1">
            <x v="4"/>
          </reference>
        </references>
      </pivotArea>
    </format>
    <format dxfId="919">
      <pivotArea dataOnly="0" labelOnly="1" fieldPosition="0">
        <references count="1">
          <reference field="100" count="0"/>
        </references>
      </pivotArea>
    </format>
    <format dxfId="918">
      <pivotArea dataOnly="0" outline="0" fieldPosition="0">
        <references count="1">
          <reference field="4294967294" count="1">
            <x v="5"/>
          </reference>
        </references>
      </pivotArea>
    </format>
    <format dxfId="917">
      <pivotArea dataOnly="0" outline="0" fieldPosition="0">
        <references count="1">
          <reference field="4294967294" count="1">
            <x v="5"/>
          </reference>
        </references>
      </pivotArea>
    </format>
    <format dxfId="916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15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17" cacheId="16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958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57">
      <pivotArea field="101" type="button" dataOnly="0" labelOnly="1" outline="0" axis="axisPage" fieldPosition="0"/>
    </format>
    <format dxfId="956">
      <pivotArea field="101" type="button" dataOnly="0" labelOnly="1" outline="0" axis="axisPage" fieldPosition="0"/>
    </format>
    <format dxfId="955">
      <pivotArea field="101" type="button" dataOnly="0" labelOnly="1" outline="0" axis="axisPage" fieldPosition="0"/>
    </format>
    <format dxfId="954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53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52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11" cacheId="1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9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0">
      <pivotArea field="101" type="button" dataOnly="0" labelOnly="1" outline="0"/>
    </format>
    <format dxfId="9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8">
      <pivotArea field="101" type="button" dataOnly="0" labelOnly="1" outline="0"/>
    </format>
    <format dxfId="9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6">
      <pivotArea field="101" type="button" dataOnly="0" labelOnly="1" outline="0"/>
    </format>
    <format dxfId="9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4">
      <pivotArea outline="0" collapsedLevelsAreSubtotals="1" fieldPosition="0"/>
    </format>
    <format dxfId="983">
      <pivotArea field="0" type="button" dataOnly="0" labelOnly="1" outline="0" axis="axisPage" fieldPosition="0"/>
    </format>
    <format dxfId="9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81">
      <pivotArea field="0" type="button" dataOnly="0" labelOnly="1" outline="0" axis="axisPage" fieldPosition="0"/>
    </format>
    <format dxfId="98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9">
      <pivotArea field="0" type="button" dataOnly="0" labelOnly="1" outline="0" axis="axisPage" fieldPosition="0"/>
    </format>
    <format dxfId="9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7">
      <pivotArea type="all" dataOnly="0" outline="0" fieldPosition="0"/>
    </format>
    <format dxfId="976">
      <pivotArea outline="0" collapsedLevelsAreSubtotals="1" fieldPosition="0"/>
    </format>
    <format dxfId="975">
      <pivotArea field="0" type="button" dataOnly="0" labelOnly="1" outline="0" axis="axisPage" fieldPosition="0"/>
    </format>
    <format dxfId="974">
      <pivotArea dataOnly="0" labelOnly="1" fieldPosition="0">
        <references count="1">
          <reference field="0" count="1">
            <x v="0"/>
          </reference>
        </references>
      </pivotArea>
    </format>
    <format dxfId="973">
      <pivotArea dataOnly="0" labelOnly="1" grandRow="1" outline="0" fieldPosition="0"/>
    </format>
    <format dxfId="97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9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6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68">
      <pivotArea collapsedLevelsAreSubtotals="1" fieldPosition="0">
        <references count="1">
          <reference field="100" count="1">
            <x v="0"/>
          </reference>
        </references>
      </pivotArea>
    </format>
    <format dxfId="967">
      <pivotArea collapsedLevelsAreSubtotals="1" fieldPosition="0">
        <references count="1">
          <reference field="100" count="1">
            <x v="1"/>
          </reference>
        </references>
      </pivotArea>
    </format>
    <format dxfId="966">
      <pivotArea collapsedLevelsAreSubtotals="1" fieldPosition="0">
        <references count="1">
          <reference field="100" count="1">
            <x v="2"/>
          </reference>
        </references>
      </pivotArea>
    </format>
    <format dxfId="965">
      <pivotArea collapsedLevelsAreSubtotals="1" fieldPosition="0">
        <references count="1">
          <reference field="100" count="1">
            <x v="3"/>
          </reference>
        </references>
      </pivotArea>
    </format>
    <format dxfId="964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963">
      <pivotArea collapsedLevelsAreSubtotals="1" fieldPosition="0">
        <references count="1">
          <reference field="100" count="1">
            <x v="4"/>
          </reference>
        </references>
      </pivotArea>
    </format>
    <format dxfId="962">
      <pivotArea dataOnly="0" labelOnly="1" fieldPosition="0">
        <references count="1">
          <reference field="100" count="1">
            <x v="4"/>
          </reference>
        </references>
      </pivotArea>
    </format>
    <format dxfId="961">
      <pivotArea dataOnly="0" labelOnly="1" fieldPosition="0">
        <references count="1">
          <reference field="100" count="0"/>
        </references>
      </pivotArea>
    </format>
    <format dxfId="96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95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70"/>
        <item x="84"/>
        <item x="41"/>
        <item x="34"/>
        <item x="40"/>
        <item x="59"/>
        <item x="90"/>
        <item x="85"/>
        <item x="37"/>
        <item x="60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82"/>
        <item x="29"/>
        <item x="51"/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50"/>
    </i>
    <i r="2">
      <x v="63"/>
    </i>
    <i r="2">
      <x v="67"/>
    </i>
    <i r="2">
      <x v="68"/>
    </i>
    <i r="2">
      <x v="70"/>
    </i>
    <i r="2">
      <x v="78"/>
    </i>
    <i r="2">
      <x v="80"/>
    </i>
    <i>
      <x v="13"/>
    </i>
    <i r="1">
      <x v="1"/>
    </i>
    <i r="2">
      <x v="20"/>
    </i>
    <i r="2">
      <x v="36"/>
    </i>
    <i r="2">
      <x v="37"/>
    </i>
    <i r="2">
      <x v="80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575">
      <pivotArea outline="0" collapsedLevelsAreSubtotals="1" fieldPosition="0"/>
    </format>
    <format dxfId="574">
      <pivotArea dataOnly="0" labelOnly="1" outline="0" axis="axisValues" fieldPosition="0"/>
    </format>
    <format dxfId="5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589">
      <pivotArea outline="0" collapsedLevelsAreSubtotals="1" fieldPosition="0"/>
    </format>
    <format dxfId="588">
      <pivotArea dataOnly="0" labelOnly="1" outline="0" axis="axisValues" fieldPosition="0"/>
    </format>
    <format dxfId="587">
      <pivotArea dataOnly="0" labelOnly="1" outline="0" axis="axisValues" fieldPosition="0"/>
    </format>
    <format dxfId="586">
      <pivotArea outline="0" collapsedLevelsAreSubtotals="1" fieldPosition="0"/>
    </format>
    <format dxfId="585">
      <pivotArea dataOnly="0" labelOnly="1" outline="0" axis="axisValues" fieldPosition="0"/>
    </format>
    <format dxfId="584">
      <pivotArea dataOnly="0" labelOnly="1" outline="0" axis="axisValues" fieldPosition="0"/>
    </format>
    <format dxfId="583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2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1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80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79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8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7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76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5"/>
        <item x="56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29"/>
        <item x="51"/>
        <item x="4"/>
        <item x="3"/>
        <item x="0"/>
        <item x="2"/>
        <item x="1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57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1125" headerRowBorderDxfId="1124">
  <autoFilter ref="A5:Q218"/>
  <tableColumns count="17">
    <tableColumn id="1" name="CÓDIGO">
      <calculatedColumnFormula>+CONCATENATE(B6,C6)</calculatedColumnFormula>
    </tableColumn>
    <tableColumn id="2" name="META" dataDxfId="1123"/>
    <tableColumn id="3" name="ESPECIFICA DE GASTOS" dataDxfId="1122"/>
    <tableColumn id="4" name="CLASIFICADOR COMPLETO"/>
    <tableColumn id="5" name="Suma de Ene" dataDxfId="1121"/>
    <tableColumn id="6" name="Suma de Feb" dataDxfId="1120"/>
    <tableColumn id="7" name="Suma de Mar" dataDxfId="1119"/>
    <tableColumn id="8" name="Suma de Abr" dataDxfId="1118"/>
    <tableColumn id="9" name="Suma de May" dataDxfId="1117"/>
    <tableColumn id="10" name="Suma de Jun" dataDxfId="1116"/>
    <tableColumn id="11" name="Suma de Jul" dataDxfId="1115"/>
    <tableColumn id="12" name="Suma de Ago" dataDxfId="1114"/>
    <tableColumn id="13" name="Suma de Set" dataDxfId="1113"/>
    <tableColumn id="14" name="Suma de Oct" dataDxfId="1112"/>
    <tableColumn id="15" name="Suma de Nov" dataDxfId="1111"/>
    <tableColumn id="16" name="Suma de Dic" dataDxfId="1110"/>
    <tableColumn id="17" name="Suma de Total" dataDxfId="110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8" totalsRowShown="0" headerRowDxfId="1108" dataDxfId="1107">
  <autoFilter ref="A5:ET328"/>
  <tableColumns count="150">
    <tableColumn id="1" name="ano_eje" dataDxfId="571"/>
    <tableColumn id="2" name="sector" dataDxfId="570"/>
    <tableColumn id="3" name="pliego" dataDxfId="569"/>
    <tableColumn id="4" name="unidad_ejecutora" dataDxfId="568"/>
    <tableColumn id="5" name="sec_ejec" dataDxfId="567"/>
    <tableColumn id="6" name="programa_pptal" dataDxfId="566"/>
    <tableColumn id="7" name="tipo_prod_proy" dataDxfId="565"/>
    <tableColumn id="8" name="producto_proyecto" dataDxfId="564"/>
    <tableColumn id="9" name="tipo_act_obra_ac" dataDxfId="563"/>
    <tableColumn id="10" name="activ_obra_accinv" dataDxfId="562"/>
    <tableColumn id="11" name="funcion" dataDxfId="561"/>
    <tableColumn id="12" name="division_fn" dataDxfId="560"/>
    <tableColumn id="13" name="grupo_fn" dataDxfId="559"/>
    <tableColumn id="14" name="meta" dataDxfId="558"/>
    <tableColumn id="15" name="finalidad" dataDxfId="557"/>
    <tableColumn id="16" name="unidad_medida" dataDxfId="556"/>
    <tableColumn id="17" name="cant_meta_anual" dataDxfId="555"/>
    <tableColumn id="18" name="cant_meta_sem" dataDxfId="554"/>
    <tableColumn id="19" name="avan_fisico_anual" dataDxfId="553"/>
    <tableColumn id="20" name="avan_fisico_sem" dataDxfId="552"/>
    <tableColumn id="21" name="sec_func" dataDxfId="551"/>
    <tableColumn id="22" name="departamento_meta" dataDxfId="550"/>
    <tableColumn id="23" name="provincia_meta" dataDxfId="549"/>
    <tableColumn id="24" name="distrito_meta" dataDxfId="548"/>
    <tableColumn id="25" name="fuente_financ" dataDxfId="547"/>
    <tableColumn id="26" name="rubro" dataDxfId="546"/>
    <tableColumn id="27" name="categoria_gasto" dataDxfId="545"/>
    <tableColumn id="28" name="tipo_transaccion" dataDxfId="544"/>
    <tableColumn id="29" name="generica" dataDxfId="543"/>
    <tableColumn id="30" name="subgenerica" dataDxfId="542"/>
    <tableColumn id="31" name="subgenerica_det" dataDxfId="541"/>
    <tableColumn id="32" name="especifica" dataDxfId="540"/>
    <tableColumn id="33" name="especifica_det" dataDxfId="539"/>
    <tableColumn id="34" name="mto_pia" dataDxfId="538"/>
    <tableColumn id="35" name="mto_modificaciones" dataDxfId="537"/>
    <tableColumn id="36" name="mto_pim" dataDxfId="536"/>
    <tableColumn id="37" name="mto_certificado" dataDxfId="535"/>
    <tableColumn id="38" name="mto_compro_anual" dataDxfId="534"/>
    <tableColumn id="39" name="mto_at_comp_01" dataDxfId="533"/>
    <tableColumn id="40" name="mto_at_comp_02" dataDxfId="532"/>
    <tableColumn id="41" name="mto_at_comp_03" dataDxfId="531"/>
    <tableColumn id="42" name="mto_at_comp_04" dataDxfId="530"/>
    <tableColumn id="43" name="mto_at_comp_05" dataDxfId="529"/>
    <tableColumn id="44" name="mto_at_comp_06" dataDxfId="528"/>
    <tableColumn id="45" name="mto_at_comp_07" dataDxfId="527"/>
    <tableColumn id="46" name="mto_at_comp_08" dataDxfId="526"/>
    <tableColumn id="47" name="mto_at_comp_09" dataDxfId="525"/>
    <tableColumn id="48" name="mto_at_comp_10" dataDxfId="524"/>
    <tableColumn id="49" name="mto_at_comp_11" dataDxfId="523"/>
    <tableColumn id="50" name="mto_at_comp_12" dataDxfId="522"/>
    <tableColumn id="51" name="mto_devenga_01" dataDxfId="521"/>
    <tableColumn id="52" name="mto_devenga_02" dataDxfId="520"/>
    <tableColumn id="53" name="mto_devenga_03" dataDxfId="519"/>
    <tableColumn id="54" name="mto_devenga_04" dataDxfId="518"/>
    <tableColumn id="55" name="mto_devenga_05" dataDxfId="517"/>
    <tableColumn id="56" name="mto_devenga_06" dataDxfId="516"/>
    <tableColumn id="57" name="mto_devenga_07" dataDxfId="515"/>
    <tableColumn id="58" name="mto_devenga_08" dataDxfId="514"/>
    <tableColumn id="59" name="mto_devenga_09" dataDxfId="513"/>
    <tableColumn id="60" name="mto_devenga_10" dataDxfId="512"/>
    <tableColumn id="61" name="mto_devenga_11" dataDxfId="511"/>
    <tableColumn id="62" name="mto_devenga_12" dataDxfId="510"/>
    <tableColumn id="63" name="mto_girado_01" dataDxfId="509"/>
    <tableColumn id="64" name="mto_girado_02" dataDxfId="508"/>
    <tableColumn id="65" name="mto_girado_03" dataDxfId="507"/>
    <tableColumn id="66" name="mto_girado_04" dataDxfId="506"/>
    <tableColumn id="67" name="mto_girado_05" dataDxfId="505"/>
    <tableColumn id="68" name="mto_girado_06" dataDxfId="504"/>
    <tableColumn id="69" name="mto_girado_07" dataDxfId="503"/>
    <tableColumn id="70" name="mto_girado_08" dataDxfId="502"/>
    <tableColumn id="71" name="mto_girado_09" dataDxfId="501"/>
    <tableColumn id="72" name="mto_girado_10" dataDxfId="500"/>
    <tableColumn id="73" name="mto_girado_11" dataDxfId="499"/>
    <tableColumn id="74" name="mto_girado_12" dataDxfId="498"/>
    <tableColumn id="75" name="mto_pagado_01" dataDxfId="497"/>
    <tableColumn id="76" name="mto_pagado_02" dataDxfId="496"/>
    <tableColumn id="77" name="mto_pagado_03" dataDxfId="495"/>
    <tableColumn id="78" name="mto_pagado_04" dataDxfId="494"/>
    <tableColumn id="79" name="mto_pagado_05" dataDxfId="493"/>
    <tableColumn id="80" name="mto_pagado_06" dataDxfId="492"/>
    <tableColumn id="81" name="mto_pagado_07" dataDxfId="491"/>
    <tableColumn id="82" name="mto_pagado_08" dataDxfId="490"/>
    <tableColumn id="83" name="mto_pagado_09" dataDxfId="489"/>
    <tableColumn id="84" name="mto_pagado_10" dataDxfId="488"/>
    <tableColumn id="85" name="mto_pagado_11" dataDxfId="487"/>
    <tableColumn id="86" name="mto_pagado_12" dataDxfId="486"/>
    <tableColumn id="87" name="C1" dataDxfId="485"/>
    <tableColumn id="88" name="GG" dataDxfId="484"/>
    <tableColumn id="89" name="C3" dataDxfId="483"/>
    <tableColumn id="90" name="C4" dataDxfId="482"/>
    <tableColumn id="91" name="C5" dataDxfId="481"/>
    <tableColumn id="92" name="C6" dataDxfId="480"/>
    <tableColumn id="93" name="ESPECÍFICA" dataDxfId="1106">
      <calculatedColumnFormula>+CONCATENATE(CI6,".",CJ6,".",CK6,".",CL6,".",CM6,".",CN6)</calculatedColumnFormula>
    </tableColumn>
    <tableColumn id="133" name="CLASIFICADOR COMPLETO" dataDxfId="1105">
      <calculatedColumnFormula>+VLOOKUP(Tabla1[[#This Row],[ESPECÍFICA]],CLASIFICADOR_,2,0)</calculatedColumnFormula>
    </tableColumn>
    <tableColumn id="134" name="CONCEPTO COMPLETO" dataDxfId="1104">
      <calculatedColumnFormula>+VLOOKUP(Tabla1[[#This Row],[ESPECÍFICA]],CLASIFICADOR_,3,0)</calculatedColumnFormula>
    </tableColumn>
    <tableColumn id="138" name="LÍMITE DE GASTO" dataDxfId="1103">
      <calculatedColumnFormula>+VLOOKUP(Tabla1[[#This Row],[ESPECÍFICA]],CLASIFICADOR_,4,0)</calculatedColumnFormula>
    </tableColumn>
    <tableColumn id="139" name="NUMERAL DEL LÍMITE DE GASTO" dataDxfId="1102">
      <calculatedColumnFormula>+VLOOKUP(Tabla1[[#This Row],[ESPECÍFICA]],CLASIFICADOR_,5,0)</calculatedColumnFormula>
    </tableColumn>
    <tableColumn id="135" name="Restringida" dataDxfId="1101">
      <calculatedColumnFormula>+VLOOKUP(Tabla1[[#This Row],[ESPECÍFICA]],CLASIFICADOR_,6,0)</calculatedColumnFormula>
    </tableColumn>
    <tableColumn id="136" name="Artículo" dataDxfId="1100">
      <calculatedColumnFormula>+VLOOKUP(Tabla1[[#This Row],[ESPECÍFICA]],CLASIFICADOR_,7,0)</calculatedColumnFormula>
    </tableColumn>
    <tableColumn id="137" name="Grupo Restringida" dataDxfId="1099">
      <calculatedColumnFormula>+VLOOKUP(Tabla1[[#This Row],[ESPECÍFICA]],CLASIFICADOR_,8,0)</calculatedColumnFormula>
    </tableColumn>
    <tableColumn id="129" name="GG COMPLETA" dataDxfId="1098">
      <calculatedColumnFormula>+CONCATENATE("2.",Tabla1[[#This Row],[generica]])</calculatedColumnFormula>
    </tableColumn>
    <tableColumn id="95" name="CC COMPLETO" dataDxfId="1097">
      <calculatedColumnFormula>+VLOOKUP(U6,CC_COMPLETO,2,0)</calculatedColumnFormula>
    </tableColumn>
    <tableColumn id="105" name="CC OPP" dataDxfId="1096">
      <calculatedColumnFormula>+VLOOKUP(U6,CC_COMPLETO,3,0)</calculatedColumnFormula>
    </tableColumn>
    <tableColumn id="107" name="CC UNIVERSAL" dataDxfId="1095">
      <calculatedColumnFormula>+VLOOKUP(U6,CC_COMPLETO,4,0)</calculatedColumnFormula>
    </tableColumn>
    <tableColumn id="108" name="COD SE" dataDxfId="1094">
      <calculatedColumnFormula>+CONCATENATE(Tabla1[[#This Row],[CC COMPLETO]],Tabla1[[#This Row],[ESPECÍFICA]])</calculatedColumnFormula>
    </tableColumn>
    <tableColumn id="96" name="COMPR MENSUAL" dataDxfId="1093">
      <calculatedColumnFormula>SUM(AM6:AX6)</calculatedColumnFormula>
    </tableColumn>
    <tableColumn id="97" name="DEVENGADO" dataDxfId="1092">
      <calculatedColumnFormula>+SUM(AY6:BJ6)</calculatedColumnFormula>
    </tableColumn>
    <tableColumn id="98" name="GIRADO" dataDxfId="1091">
      <calculatedColumnFormula>+SUM(BK6:BV6)</calculatedColumnFormula>
    </tableColumn>
    <tableColumn id="99" name="SALDO POR CERTIFICAR" dataDxfId="1090">
      <calculatedColumnFormula>+AJ6-AK6</calculatedColumnFormula>
    </tableColumn>
    <tableColumn id="100" name="CERTIFICADO SIN COMP ANUAL" dataDxfId="1089">
      <calculatedColumnFormula>+AK6-AL6</calculatedColumnFormula>
    </tableColumn>
    <tableColumn id="101" name="COMP ANUAL POR DEVENGAR" dataDxfId="1088">
      <calculatedColumnFormula>+AL6-DC6</calculatedColumnFormula>
    </tableColumn>
    <tableColumn id="102" name="PIM VS DEVENGADO" dataDxfId="1087">
      <calculatedColumnFormula>+AJ6-DC6</calculatedColumnFormula>
    </tableColumn>
    <tableColumn id="103" name="AVANCE DEV %" dataDxfId="1086" dataCellStyle="Porcentaje">
      <calculatedColumnFormula>+IFERROR((DC6/AH6),0)</calculatedColumnFormula>
    </tableColumn>
    <tableColumn id="94" name="DEVENGADO A JUNIO" dataDxfId="1085" dataCellStyle="Porcentaje">
      <calculatedColumnFormula>+SUM(Tabla1[[#This Row],[EJECUTADO 01]:[EJECUTADO 06]])</calculatedColumnFormula>
    </tableColumn>
    <tableColumn id="131" name="EJECUTADO 01" dataDxfId="1084" dataCellStyle="Porcentaje">
      <calculatedColumnFormula>+Tabla1[[#This Row],[mto_devenga_01]]</calculatedColumnFormula>
    </tableColumn>
    <tableColumn id="109" name="EJECUTADO 02" dataDxfId="1083">
      <calculatedColumnFormula>+Tabla1[[#This Row],[mto_devenga_02]]</calculatedColumnFormula>
    </tableColumn>
    <tableColumn id="110" name="EJECUTADO 03" dataDxfId="1082">
      <calculatedColumnFormula>+Tabla1[[#This Row],[mto_devenga_03]]</calculatedColumnFormula>
    </tableColumn>
    <tableColumn id="111" name="EJECUTADO 04" dataDxfId="1081" dataCellStyle="Millares">
      <calculatedColumnFormula>+Tabla1[[#This Row],[mto_devenga_04]]</calculatedColumnFormula>
    </tableColumn>
    <tableColumn id="112" name="EJECUTADO 05" dataDxfId="1080">
      <calculatedColumnFormula>+Tabla1[[#This Row],[mto_devenga_05]]</calculatedColumnFormula>
    </tableColumn>
    <tableColumn id="113" name="EJECUTADO 06" dataDxfId="1079">
      <calculatedColumnFormula>+Tabla1[[#This Row],[mto_devenga_06]]</calculatedColumnFormula>
    </tableColumn>
    <tableColumn id="114" name="EJECUTADO 07" dataDxfId="1078">
      <calculatedColumnFormula>+Tabla1[[#This Row],[mto_devenga_07]]</calculatedColumnFormula>
    </tableColumn>
    <tableColumn id="115" name="EJECUTADO 08" dataDxfId="1077">
      <calculatedColumnFormula>+Tabla1[[#This Row],[mto_devenga_08]]</calculatedColumnFormula>
    </tableColumn>
    <tableColumn id="116" name="EJECUTADO 09" dataDxfId="1076">
      <calculatedColumnFormula>+Tabla1[[#This Row],[mto_devenga_09]]</calculatedColumnFormula>
    </tableColumn>
    <tableColumn id="117" name="PF OCTUBRE" dataDxfId="1075">
      <calculatedColumnFormula>IFERROR(VLOOKUP(Tabla1[[#This Row],[COD SE]],PF_OCTUBRE,14,0),"0")</calculatedColumnFormula>
    </tableColumn>
    <tableColumn id="118" name="PF NOVIEMBRE" dataDxfId="1074">
      <calculatedColumnFormula>IFERROR(VLOOKUP(Tabla1[[#This Row],[COD SE]],PF_OCTUBRE,15,0),"0")</calculatedColumnFormula>
    </tableColumn>
    <tableColumn id="119" name="PF DICIEMBRE_x000a_" dataDxfId="1073">
      <calculatedColumnFormula>IFERROR(VLOOKUP(Tabla1[[#This Row],[COD SE]],PF_OCTUBRE,16,0),"0")</calculatedColumnFormula>
    </tableColumn>
    <tableColumn id="120" name="TOTAL EJEC REAL" dataDxfId="1072">
      <calculatedColumnFormula>+SUM(Tabla1[[#This Row],[EJECUTADO 01]:[PF DICIEMBRE
]])</calculatedColumnFormula>
    </tableColumn>
    <tableColumn id="132" name="SALDO INF 09/10" dataDxfId="1071">
      <calculatedColumnFormula>IFERROR(VLOOKUP(Tabla1[[#This Row],[COD SE]],PF_OCTUBRE,18,0),"0")</calculatedColumnFormula>
    </tableColumn>
    <tableColumn id="127" name="OTRO SALDOS" dataDxfId="1070">
      <calculatedColumnFormula>IFERROR(VLOOKUP(Tabla1[[#This Row],[COD SE]],PF_OCTUBRE,19,0),"0")</calculatedColumnFormula>
    </tableColumn>
    <tableColumn id="122" name="SALDO FINAL" dataDxfId="1069">
      <calculatedColumnFormula>IFERROR(VLOOKUP(Tabla1[[#This Row],[COD SE]],PF_OCTUBRE,20,0),"0")</calculatedColumnFormula>
    </tableColumn>
    <tableColumn id="128" name="PIM (EJEC REAL + SALDO)" dataDxfId="1068">
      <calculatedColumnFormula>+Tabla1[[#This Row],[TOTAL EJEC REAL]]+Tabla1[[#This Row],[SALDO FINAL]]</calculatedColumnFormula>
    </tableColumn>
    <tableColumn id="104" name="PF DICIEMBRE_x000a_INF" dataDxfId="1067">
      <calculatedColumnFormula>IFERROR(VLOOKUP(Tabla1[[#This Row],[COD SE]],PF_OCTUBRE,22,0),"0")</calculatedColumnFormula>
    </tableColumn>
    <tableColumn id="149" name="TRANSF ESC2 " dataDxfId="1066">
      <calculatedColumnFormula>+IFERROR(VLOOKUP(Tabla1[[#This Row],[COD SE]],SALDO_ESC_2,7,0),0)</calculatedColumnFormula>
    </tableColumn>
    <tableColumn id="148" name="TRANFS ESC 3 " dataDxfId="1065">
      <calculatedColumnFormula>+IFERROR(VLOOKUP(Tabla1[[#This Row],[COD SE]],SALDO_ESC_3,7,0),0)</calculatedColumnFormula>
    </tableColumn>
    <tableColumn id="150" name="PIM ESC 2" dataDxfId="1064">
      <calculatedColumnFormula>+Tabla1[[#This Row],[mto_pim]]-Tabla1[[#This Row],[TRANSF ESC2 ]]</calculatedColumnFormula>
    </tableColumn>
    <tableColumn id="106" name="PIM ESC 3" dataDxfId="1063">
      <calculatedColumnFormula>+Tabla1[[#This Row],[mto_pim]]-Tabla1[[#This Row],[TRANFS ESC 3 ]]</calculatedColumnFormula>
    </tableColumn>
    <tableColumn id="130" name="H ENERO" dataDxfId="1062">
      <calculatedColumnFormula>+IFERROR(VLOOKUP(Tabla1[[#This Row],[COD SE]],HISTORICO,4,0),0)</calculatedColumnFormula>
    </tableColumn>
    <tableColumn id="140" name="H FEBRERO" dataDxfId="1061">
      <calculatedColumnFormula>+IFERROR(VLOOKUP(Tabla1[[#This Row],[COD SE]],HISTORICO,5,0),0)</calculatedColumnFormula>
    </tableColumn>
    <tableColumn id="141" name="H MARZO" dataDxfId="1060">
      <calculatedColumnFormula>+IFERROR(VLOOKUP(Tabla1[[#This Row],[COD SE]],HISTORICO,6,0),0)</calculatedColumnFormula>
    </tableColumn>
    <tableColumn id="142" name="H ABRIL" dataDxfId="1059">
      <calculatedColumnFormula>+IFERROR(VLOOKUP(Tabla1[[#This Row],[COD SE]],HISTORICO,7,0),0)</calculatedColumnFormula>
    </tableColumn>
    <tableColumn id="143" name="H MAYO" dataDxfId="1058">
      <calculatedColumnFormula>+IFERROR(VLOOKUP(Tabla1[[#This Row],[COD SE]],HISTORICO,8,0),0)</calculatedColumnFormula>
    </tableColumn>
    <tableColumn id="144" name="H JUNIO" dataDxfId="1057">
      <calculatedColumnFormula>+IFERROR(VLOOKUP(Tabla1[[#This Row],[COD SE]],HISTORICO,9,0),0)</calculatedColumnFormula>
    </tableColumn>
    <tableColumn id="145" name="H JULIO" dataDxfId="1056">
      <calculatedColumnFormula>+IFERROR(VLOOKUP(Tabla1[[#This Row],[COD SE]],HISTORICO,10,0),0)</calculatedColumnFormula>
    </tableColumn>
    <tableColumn id="146" name="H AGOSTO" dataDxfId="1055">
      <calculatedColumnFormula>+IFERROR(VLOOKUP(Tabla1[[#This Row],[COD SE]],HISTORICO,11,0),0)</calculatedColumnFormula>
    </tableColumn>
    <tableColumn id="147" name="H SETIEMBRE" dataDxfId="1054">
      <calculatedColumnFormula>+IFERROR(VLOOKUP(Tabla1[[#This Row],[COD SE]],HISTORICO,12,0),0)</calculatedColumnFormula>
    </tableColumn>
    <tableColumn id="123" name="I TRIM" dataDxfId="1053">
      <calculatedColumnFormula>+SUM(Tabla1[[#This Row],[EJECUTADO 01]:[EJECUTADO 03]])</calculatedColumnFormula>
    </tableColumn>
    <tableColumn id="124" name="II TRIM" dataDxfId="1052">
      <calculatedColumnFormula>+SUM(Tabla1[[#This Row],[EJECUTADO 04]:[EJECUTADO 06]])</calculatedColumnFormula>
    </tableColumn>
    <tableColumn id="125" name="III TRIM" dataDxfId="1051">
      <calculatedColumnFormula>+SUM(Tabla1[[#This Row],[EJECUTADO 07]:[EJECUTADO 09]])</calculatedColumnFormula>
    </tableColumn>
    <tableColumn id="126" name="IV TRIM" dataDxfId="1050">
      <calculatedColumnFormula>+SUM(Tabla1[[#This Row],[PF OCTUBRE]:[PF DICIEMBRE
]])</calculatedColumnFormula>
    </tableColumn>
    <tableColumn id="121" name="DEV  A SET" dataDxfId="1049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602" tableBorderDxfId="601">
  <autoFilter ref="A2:L367"/>
  <tableColumns count="12">
    <tableColumn id="1" name="CÓDIGO" dataDxfId="600">
      <calculatedColumnFormula>+CONCATENATE(B3,C3)</calculatedColumnFormula>
    </tableColumn>
    <tableColumn id="2" name="CENTRO DE COSTO " dataDxfId="599"/>
    <tableColumn id="3" name="Clasificador"/>
    <tableColumn id="4" name="ENERO" dataDxfId="598"/>
    <tableColumn id="5" name="FEBRERO" dataDxfId="597"/>
    <tableColumn id="6" name="MARZO" dataDxfId="596"/>
    <tableColumn id="7" name="ABRIL" dataDxfId="595"/>
    <tableColumn id="8" name="MAYO" dataDxfId="594"/>
    <tableColumn id="9" name="JUNIO" dataDxfId="593"/>
    <tableColumn id="10" name="JULIO" dataDxfId="592"/>
    <tableColumn id="11" name="AGOSTO" dataDxfId="591"/>
    <tableColumn id="12" name="SETIEMBRE" dataDxfId="5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2143581.42</v>
      </c>
      <c r="E6" s="24">
        <v>0.34692284088183512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5650694.71</v>
      </c>
      <c r="E7" s="24">
        <v>0.69341930389261053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4416610.99</v>
      </c>
      <c r="E8" s="24">
        <v>0.62790670420885253</v>
      </c>
      <c r="G8" s="6"/>
    </row>
    <row r="9" spans="1:7" x14ac:dyDescent="0.2">
      <c r="A9" s="5" t="s">
        <v>12</v>
      </c>
      <c r="B9" s="6">
        <v>178570</v>
      </c>
      <c r="C9" s="6">
        <v>264154</v>
      </c>
      <c r="D9" s="6">
        <v>135766.26</v>
      </c>
      <c r="E9" s="24">
        <v>0.51396632267540909</v>
      </c>
      <c r="G9" s="6"/>
    </row>
    <row r="10" spans="1:7" x14ac:dyDescent="0.2">
      <c r="A10" s="5" t="s">
        <v>13</v>
      </c>
      <c r="B10" s="6">
        <v>2522157</v>
      </c>
      <c r="C10" s="6">
        <v>2410175</v>
      </c>
      <c r="D10" s="6">
        <v>1557776.6300000001</v>
      </c>
      <c r="E10" s="24">
        <v>0.64633341147427059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320763.57000000007</v>
      </c>
      <c r="E11" s="24">
        <v>0.36813816619286072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681230.22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1057664.95</v>
      </c>
      <c r="E13" s="24">
        <v>0.68511511053733798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2687774.56</v>
      </c>
      <c r="E14" s="24">
        <v>0.51210669174574053</v>
      </c>
    </row>
    <row r="15" spans="1:7" x14ac:dyDescent="0.2">
      <c r="A15" s="5" t="s">
        <v>18</v>
      </c>
      <c r="B15" s="6">
        <v>6855307</v>
      </c>
      <c r="C15" s="6">
        <v>7267317</v>
      </c>
      <c r="D15" s="6">
        <v>5613156.5299999993</v>
      </c>
      <c r="E15" s="24">
        <v>0.77238360869630418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701366.67</v>
      </c>
      <c r="E16" s="24">
        <v>0.55356179563333119</v>
      </c>
    </row>
    <row r="17" spans="1:5" x14ac:dyDescent="0.2">
      <c r="A17" s="5" t="s">
        <v>20</v>
      </c>
      <c r="B17" s="6">
        <v>1001111</v>
      </c>
      <c r="C17" s="6">
        <v>1283047</v>
      </c>
      <c r="D17" s="6">
        <v>713187.45</v>
      </c>
      <c r="E17" s="24">
        <v>0.55585450104321976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111696.14</v>
      </c>
      <c r="E19" s="24">
        <v>0.29937560473549774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987570.24</v>
      </c>
      <c r="E20" s="24">
        <v>0.48109527006158553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1174433.7900000003</v>
      </c>
      <c r="E21" s="24">
        <v>0.72883319297823201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348586</v>
      </c>
      <c r="D24" s="6">
        <v>142282.31</v>
      </c>
      <c r="E24" s="24">
        <v>0.40816989207828197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257399</v>
      </c>
      <c r="D26" s="6">
        <v>118421.20999999999</v>
      </c>
      <c r="E26" s="24">
        <v>0.46006864828534683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28469746.41</v>
      </c>
      <c r="E27" s="24">
        <v>0.59184675315009982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8"/>
  <sheetViews>
    <sheetView tabSelected="1" topLeftCell="BW1" zoomScale="115" zoomScaleNormal="115" workbookViewId="0">
      <selection activeCell="CB15" sqref="CB15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 t="shared" ref="AH3:BM3" si="1">+SUBTOTAL(9,AH6:AH645)</f>
        <v>52698511</v>
      </c>
      <c r="AI3" s="8">
        <f t="shared" si="1"/>
        <v>-4595271</v>
      </c>
      <c r="AJ3" s="8">
        <f t="shared" si="1"/>
        <v>48103240</v>
      </c>
      <c r="AK3" s="8">
        <f t="shared" si="1"/>
        <v>38466549.359999985</v>
      </c>
      <c r="AL3" s="8">
        <f t="shared" si="1"/>
        <v>36126286.890000001</v>
      </c>
      <c r="AM3" s="8">
        <f t="shared" si="1"/>
        <v>7502897.8900000015</v>
      </c>
      <c r="AN3" s="8">
        <f t="shared" si="1"/>
        <v>2598800.3000000003</v>
      </c>
      <c r="AO3" s="8">
        <f t="shared" si="1"/>
        <v>2429652.2899999996</v>
      </c>
      <c r="AP3" s="8">
        <f t="shared" si="1"/>
        <v>2868236.4299999988</v>
      </c>
      <c r="AQ3" s="8">
        <f t="shared" si="1"/>
        <v>2953224.1799999988</v>
      </c>
      <c r="AR3" s="8">
        <f t="shared" si="1"/>
        <v>2806534.7600000002</v>
      </c>
      <c r="AS3" s="8">
        <f t="shared" si="1"/>
        <v>2731875.4100000006</v>
      </c>
      <c r="AT3" s="8">
        <f t="shared" si="1"/>
        <v>2855577.0900000003</v>
      </c>
      <c r="AU3" s="8">
        <f t="shared" si="1"/>
        <v>2361326.2000000007</v>
      </c>
      <c r="AV3" s="8">
        <f t="shared" si="1"/>
        <v>2811672.2199999997</v>
      </c>
      <c r="AW3" s="8">
        <f t="shared" si="1"/>
        <v>0</v>
      </c>
      <c r="AX3" s="8">
        <f t="shared" si="1"/>
        <v>0</v>
      </c>
      <c r="AY3" s="8">
        <f t="shared" si="1"/>
        <v>2817688.0400000005</v>
      </c>
      <c r="AZ3" s="8">
        <f t="shared" si="1"/>
        <v>2949884.7000000007</v>
      </c>
      <c r="BA3" s="8">
        <f t="shared" si="1"/>
        <v>2649496.5799999991</v>
      </c>
      <c r="BB3" s="8">
        <f t="shared" si="1"/>
        <v>2986097.4799999981</v>
      </c>
      <c r="BC3" s="8">
        <f t="shared" si="1"/>
        <v>2964416.2899999996</v>
      </c>
      <c r="BD3" s="8">
        <f t="shared" si="1"/>
        <v>2877806.9400000009</v>
      </c>
      <c r="BE3" s="8">
        <f t="shared" si="1"/>
        <v>2993101.6200000015</v>
      </c>
      <c r="BF3" s="8">
        <f t="shared" si="1"/>
        <v>2637313.3600000003</v>
      </c>
      <c r="BG3" s="8">
        <f t="shared" si="1"/>
        <v>3048797.5999999982</v>
      </c>
      <c r="BH3" s="8">
        <f t="shared" si="1"/>
        <v>2545143.8000000003</v>
      </c>
      <c r="BI3" s="8">
        <f t="shared" si="1"/>
        <v>0</v>
      </c>
      <c r="BJ3" s="8">
        <f t="shared" si="1"/>
        <v>0</v>
      </c>
      <c r="BK3" s="8">
        <f t="shared" si="1"/>
        <v>2534244.3000000007</v>
      </c>
      <c r="BL3" s="8">
        <f t="shared" si="1"/>
        <v>3081378.25</v>
      </c>
      <c r="BM3" s="8">
        <f t="shared" si="1"/>
        <v>2718521.3199999989</v>
      </c>
      <c r="BN3" s="8">
        <f t="shared" ref="BN3:CH3" si="2">+SUBTOTAL(9,BN6:BN645)</f>
        <v>2606393.209999999</v>
      </c>
      <c r="BO3" s="8">
        <f t="shared" si="2"/>
        <v>3254632.75</v>
      </c>
      <c r="BP3" s="8">
        <f t="shared" si="2"/>
        <v>2867322.1000000006</v>
      </c>
      <c r="BQ3" s="8">
        <f t="shared" si="2"/>
        <v>3141748.580000001</v>
      </c>
      <c r="BR3" s="8">
        <f t="shared" si="2"/>
        <v>2654809.8800000004</v>
      </c>
      <c r="BS3" s="8">
        <f t="shared" si="2"/>
        <v>2913777.2499999981</v>
      </c>
      <c r="BT3" s="8">
        <f t="shared" si="2"/>
        <v>2458625.6900000004</v>
      </c>
      <c r="BU3" s="8">
        <f t="shared" si="2"/>
        <v>0</v>
      </c>
      <c r="BV3" s="8">
        <f t="shared" si="2"/>
        <v>0</v>
      </c>
      <c r="BW3" s="8">
        <f t="shared" si="2"/>
        <v>5857482.2200000016</v>
      </c>
      <c r="BX3" s="8">
        <f t="shared" si="2"/>
        <v>2592836.2900000005</v>
      </c>
      <c r="BY3" s="8">
        <f t="shared" si="2"/>
        <v>2407486.91</v>
      </c>
      <c r="BZ3" s="8">
        <f t="shared" si="2"/>
        <v>2860560.8299999996</v>
      </c>
      <c r="CA3" s="8">
        <f t="shared" si="2"/>
        <v>2789650.419999999</v>
      </c>
      <c r="CB3" s="8">
        <f t="shared" si="2"/>
        <v>2603431.9200000009</v>
      </c>
      <c r="CC3" s="8">
        <f t="shared" si="2"/>
        <v>2610742.1400000006</v>
      </c>
      <c r="CD3" s="8">
        <f t="shared" si="2"/>
        <v>2360671.4199999995</v>
      </c>
      <c r="CE3" s="8">
        <f t="shared" si="2"/>
        <v>2207536.08</v>
      </c>
      <c r="CF3" s="8">
        <f t="shared" si="2"/>
        <v>1933476.1300000001</v>
      </c>
      <c r="CG3" s="8">
        <f t="shared" si="2"/>
        <v>0</v>
      </c>
      <c r="CH3" s="8">
        <f t="shared" si="2"/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 t="shared" ref="DB3:DH3" si="3">+SUBTOTAL(9,DB6:DB645)</f>
        <v>31919796.770000003</v>
      </c>
      <c r="DC3" s="8">
        <f t="shared" si="3"/>
        <v>28469746.410000008</v>
      </c>
      <c r="DD3" s="8">
        <f t="shared" si="3"/>
        <v>28231453.330000006</v>
      </c>
      <c r="DE3" s="8">
        <f t="shared" si="3"/>
        <v>9636690.6399999913</v>
      </c>
      <c r="DF3" s="8">
        <f t="shared" si="3"/>
        <v>2340262.4699999997</v>
      </c>
      <c r="DG3" s="8">
        <f t="shared" si="3"/>
        <v>7656540.4800000004</v>
      </c>
      <c r="DH3" s="8">
        <f t="shared" si="3"/>
        <v>19633493.589999992</v>
      </c>
      <c r="DI3" s="362"/>
      <c r="DJ3" s="8">
        <f t="shared" ref="DJ3:ET3" si="4">+SUBTOTAL(9,DJ6:DJ645)</f>
        <v>17245390.029999997</v>
      </c>
      <c r="DK3" s="8">
        <f t="shared" si="4"/>
        <v>2817688.0400000005</v>
      </c>
      <c r="DL3" s="8">
        <f t="shared" si="4"/>
        <v>2949884.7000000007</v>
      </c>
      <c r="DM3" s="8">
        <f t="shared" si="4"/>
        <v>2649496.5799999991</v>
      </c>
      <c r="DN3" s="8">
        <f t="shared" si="4"/>
        <v>2986097.4799999981</v>
      </c>
      <c r="DO3" s="8">
        <f t="shared" si="4"/>
        <v>2964416.2899999996</v>
      </c>
      <c r="DP3" s="8">
        <f t="shared" si="4"/>
        <v>2877806.9400000009</v>
      </c>
      <c r="DQ3" s="8">
        <f t="shared" si="4"/>
        <v>2993101.6200000015</v>
      </c>
      <c r="DR3" s="8">
        <f t="shared" si="4"/>
        <v>2637313.3600000003</v>
      </c>
      <c r="DS3" s="259">
        <f t="shared" si="4"/>
        <v>3048797.5999999982</v>
      </c>
      <c r="DT3" s="259">
        <f t="shared" si="4"/>
        <v>3092882.7999999989</v>
      </c>
      <c r="DU3" s="259">
        <f t="shared" si="4"/>
        <v>3724034.2500000005</v>
      </c>
      <c r="DV3" s="259">
        <f t="shared" si="4"/>
        <v>6790850.2299999986</v>
      </c>
      <c r="DW3" s="259">
        <f t="shared" si="4"/>
        <v>39532369.890000015</v>
      </c>
      <c r="DX3" s="259">
        <f t="shared" si="4"/>
        <v>1859335</v>
      </c>
      <c r="DY3" s="259">
        <f t="shared" si="4"/>
        <v>6711535.1099999994</v>
      </c>
      <c r="DZ3" s="259">
        <f t="shared" si="4"/>
        <v>8570870.1099999994</v>
      </c>
      <c r="EA3" s="259">
        <f t="shared" si="4"/>
        <v>48103240</v>
      </c>
      <c r="EB3" s="259">
        <f t="shared" si="4"/>
        <v>15361720.340000005</v>
      </c>
      <c r="EC3" s="259">
        <f t="shared" si="4"/>
        <v>1859335</v>
      </c>
      <c r="ED3" s="259">
        <f t="shared" si="4"/>
        <v>8312546.0699999984</v>
      </c>
      <c r="EE3" s="259">
        <f t="shared" si="4"/>
        <v>46243905</v>
      </c>
      <c r="EF3" s="259">
        <f t="shared" si="4"/>
        <v>39790693.93</v>
      </c>
      <c r="EG3" s="259">
        <f t="shared" si="4"/>
        <v>3936414.0000000009</v>
      </c>
      <c r="EH3" s="259">
        <f t="shared" si="4"/>
        <v>3199864.2799999979</v>
      </c>
      <c r="EI3" s="259">
        <f t="shared" si="4"/>
        <v>3982756.8400000008</v>
      </c>
      <c r="EJ3" s="259">
        <f t="shared" si="4"/>
        <v>3186404.4299999988</v>
      </c>
      <c r="EK3" s="259">
        <f t="shared" si="4"/>
        <v>3261464.63</v>
      </c>
      <c r="EL3" s="259">
        <f t="shared" si="4"/>
        <v>2923799.4119999991</v>
      </c>
      <c r="EM3" s="259">
        <f t="shared" si="4"/>
        <v>3211162.4779999997</v>
      </c>
      <c r="EN3" s="259">
        <f t="shared" si="4"/>
        <v>2879863.9400000004</v>
      </c>
      <c r="EO3" s="259">
        <f t="shared" si="4"/>
        <v>3105495.899999999</v>
      </c>
      <c r="EP3" s="259">
        <f t="shared" si="4"/>
        <v>8417069.3200000022</v>
      </c>
      <c r="EQ3" s="259">
        <f t="shared" si="4"/>
        <v>8828320.7100000028</v>
      </c>
      <c r="ER3" s="259">
        <f t="shared" si="4"/>
        <v>8679212.5799999982</v>
      </c>
      <c r="ES3" s="259">
        <f t="shared" si="4"/>
        <v>13607767.279999999</v>
      </c>
      <c r="ET3" s="259">
        <f t="shared" si="4"/>
        <v>25924602.60999997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1644</v>
      </c>
      <c r="AE6" s="369" t="s">
        <v>1645</v>
      </c>
      <c r="AF6" s="369" t="s">
        <v>1648</v>
      </c>
      <c r="AG6" s="369" t="s">
        <v>1647</v>
      </c>
      <c r="AH6" s="369">
        <v>565196</v>
      </c>
      <c r="AI6" s="369">
        <v>-307701</v>
      </c>
      <c r="AJ6" s="369">
        <v>257495</v>
      </c>
      <c r="AK6" s="370">
        <v>219494.07</v>
      </c>
      <c r="AL6" s="370">
        <v>219494.07</v>
      </c>
      <c r="AM6" s="370">
        <v>97755.88</v>
      </c>
      <c r="AN6" s="370">
        <v>0</v>
      </c>
      <c r="AO6" s="370">
        <v>0</v>
      </c>
      <c r="AP6" s="370">
        <v>0</v>
      </c>
      <c r="AQ6" s="370">
        <v>19738.189999999999</v>
      </c>
      <c r="AR6" s="370">
        <v>102000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28030.89</v>
      </c>
      <c r="BA6" s="370">
        <v>16153.61</v>
      </c>
      <c r="BB6" s="370">
        <v>0</v>
      </c>
      <c r="BC6" s="370">
        <v>29814.62</v>
      </c>
      <c r="BD6" s="370">
        <v>23756.76</v>
      </c>
      <c r="BE6" s="370">
        <v>19738.189999999999</v>
      </c>
      <c r="BF6" s="370">
        <v>0</v>
      </c>
      <c r="BG6" s="370">
        <v>39589.75</v>
      </c>
      <c r="BH6" s="370">
        <v>0</v>
      </c>
      <c r="BI6" s="370">
        <v>0</v>
      </c>
      <c r="BJ6" s="370">
        <v>0</v>
      </c>
      <c r="BK6" s="370">
        <v>0</v>
      </c>
      <c r="BL6" s="370">
        <v>12723</v>
      </c>
      <c r="BM6" s="370">
        <v>15307.89</v>
      </c>
      <c r="BN6" s="370">
        <v>16153.61</v>
      </c>
      <c r="BO6" s="370">
        <v>29814.62</v>
      </c>
      <c r="BP6" s="370">
        <v>23756.76</v>
      </c>
      <c r="BQ6" s="370">
        <v>19738.189999999999</v>
      </c>
      <c r="BR6" s="370">
        <v>0</v>
      </c>
      <c r="BS6" s="370">
        <v>39589.75</v>
      </c>
      <c r="BT6" s="370">
        <v>0</v>
      </c>
      <c r="BU6" s="370">
        <v>0</v>
      </c>
      <c r="BV6" s="370">
        <v>0</v>
      </c>
      <c r="BW6" s="370">
        <v>97755.88</v>
      </c>
      <c r="BX6" s="370">
        <v>0</v>
      </c>
      <c r="BY6" s="370">
        <v>0</v>
      </c>
      <c r="BZ6" s="370">
        <v>0</v>
      </c>
      <c r="CA6" s="370">
        <v>19738.189999999999</v>
      </c>
      <c r="CB6" s="370">
        <v>39589.75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1989</v>
      </c>
      <c r="CL6" s="48" t="s">
        <v>1990</v>
      </c>
      <c r="CM6" s="48" t="s">
        <v>1988</v>
      </c>
      <c r="CN6" s="48" t="s">
        <v>1991</v>
      </c>
      <c r="CO6" s="48" t="str">
        <f>+CONCATENATE(CI6,".",CJ6,".",CK6,".",CL6,".",CM6,".",CN6)</f>
        <v>2.6.7.1.6.3</v>
      </c>
      <c r="CP6" s="48" t="str">
        <f>+VLOOKUP(Tabla1[[#This Row],[ESPECÍFICA]],CLASIFICADOR_,2,0)</f>
        <v>2.6.7.1.6.3 - GASTOS POR LA CONTRATACION DE SERVICIOS</v>
      </c>
      <c r="CQ6" s="48" t="str">
        <f>+VLOOKUP(Tabla1[[#This Row],[ESPECÍFICA]],CLASIFICADOR_,3,0)</f>
        <v>2.6.7.1 - INVERSIONES INTANGIBLES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5">+VLOOKUP(U6,CC_COMPLETO,2,0)</f>
        <v>0001-PI 2</v>
      </c>
      <c r="CY6" s="113" t="str">
        <f t="shared" ref="CY6:CY69" si="6">+VLOOKUP(U6,CC_COMPLETO,3,0)</f>
        <v>0001-PI 2</v>
      </c>
      <c r="CZ6" s="20" t="str">
        <f t="shared" ref="CZ6:CZ69" si="7">+VLOOKUP(U6,CC_COMPLETO,4,0)</f>
        <v>0001-PI 2</v>
      </c>
      <c r="DA6" s="113" t="str">
        <f>+CONCATENATE(Tabla1[[#This Row],[CC COMPLETO]],Tabla1[[#This Row],[ESPECÍFICA]])</f>
        <v>0001-PI 22.6.7.1.6.3</v>
      </c>
      <c r="DB6" s="49">
        <f t="shared" ref="DB6:DB69" si="8">SUM(AM6:AX6)</f>
        <v>219494.07</v>
      </c>
      <c r="DC6" s="49">
        <f t="shared" ref="DC6:DC69" si="9">+SUM(AY6:BJ6)</f>
        <v>157083.82</v>
      </c>
      <c r="DD6" s="49">
        <f t="shared" ref="DD6:DD69" si="10">+SUM(BK6:BV6)</f>
        <v>157083.82</v>
      </c>
      <c r="DE6" s="49">
        <f t="shared" ref="DE6:DE69" si="11">+AJ6-AK6</f>
        <v>38000.929999999993</v>
      </c>
      <c r="DF6" s="49">
        <f t="shared" ref="DF6:DF69" si="12">+AK6-AL6</f>
        <v>0</v>
      </c>
      <c r="DG6" s="49">
        <f t="shared" ref="DG6:DG69" si="13">+AL6-DC6</f>
        <v>62410.25</v>
      </c>
      <c r="DH6" s="49">
        <f t="shared" ref="DH6:DH69" si="14">+AJ6-DC6</f>
        <v>100411.18</v>
      </c>
      <c r="DI6" s="50">
        <f t="shared" ref="DI6:DI69" si="15">+IFERROR((DC6/AH6),0)</f>
        <v>0.27792804619990236</v>
      </c>
      <c r="DJ6" s="78">
        <f>+SUM(Tabla1[[#This Row],[EJECUTADO 01]:[EJECUTADO 06]])</f>
        <v>97755.87999999999</v>
      </c>
      <c r="DK6" s="78">
        <f>+Tabla1[[#This Row],[mto_devenga_01]]</f>
        <v>0</v>
      </c>
      <c r="DL6" s="78">
        <f>+Tabla1[[#This Row],[mto_devenga_02]]</f>
        <v>28030.89</v>
      </c>
      <c r="DM6" s="78">
        <f>+Tabla1[[#This Row],[mto_devenga_03]]</f>
        <v>16153.61</v>
      </c>
      <c r="DN6" s="78">
        <f>+Tabla1[[#This Row],[mto_devenga_04]]</f>
        <v>0</v>
      </c>
      <c r="DO6" s="78">
        <f>+Tabla1[[#This Row],[mto_devenga_05]]</f>
        <v>29814.62</v>
      </c>
      <c r="DP6" s="76">
        <f>+Tabla1[[#This Row],[mto_devenga_06]]</f>
        <v>23756.76</v>
      </c>
      <c r="DQ6" s="76">
        <f>+Tabla1[[#This Row],[mto_devenga_07]]</f>
        <v>19738.189999999999</v>
      </c>
      <c r="DR6" s="76">
        <f>+Tabla1[[#This Row],[mto_devenga_08]]</f>
        <v>0</v>
      </c>
      <c r="DS6" s="76">
        <f>+Tabla1[[#This Row],[mto_devenga_09]]</f>
        <v>39589.75</v>
      </c>
      <c r="DT6" s="76">
        <f>IFERROR(VLOOKUP(Tabla1[[#This Row],[COD SE]],PF_OCTUBRE,14,0),"0")</f>
        <v>21089.279999999999</v>
      </c>
      <c r="DU6" s="76">
        <f>IFERROR(VLOOKUP(Tabla1[[#This Row],[COD SE]],PF_OCTUBRE,15,0),"0")</f>
        <v>21089.279999999999</v>
      </c>
      <c r="DV6" s="76">
        <f>IFERROR(VLOOKUP(Tabla1[[#This Row],[COD SE]],PF_OCTUBRE,16,0),"0")</f>
        <v>20232.619999999995</v>
      </c>
      <c r="DW6" s="76">
        <f>+SUM(Tabla1[[#This Row],[EJECUTADO 01]:[PF DICIEMBRE
]])</f>
        <v>219495</v>
      </c>
      <c r="DX6" s="76">
        <f>IFERROR(VLOOKUP(Tabla1[[#This Row],[COD SE]],PF_OCTUBRE,18,0),"0")</f>
        <v>38000</v>
      </c>
      <c r="DY6" s="76">
        <f>IFERROR(VLOOKUP(Tabla1[[#This Row],[COD SE]],PF_OCTUBRE,19,0),"0")</f>
        <v>0</v>
      </c>
      <c r="DZ6" s="76">
        <f>IFERROR(VLOOKUP(Tabla1[[#This Row],[COD SE]],PF_OCTUBRE,20,0),"0")</f>
        <v>38000</v>
      </c>
      <c r="EA6" s="76">
        <f>+Tabla1[[#This Row],[TOTAL EJEC REAL]]+Tabla1[[#This Row],[SALDO FINAL]]</f>
        <v>257495</v>
      </c>
      <c r="EB6" s="76">
        <f>IFERROR(VLOOKUP(Tabla1[[#This Row],[COD SE]],PF_OCTUBRE,22,0),"0")</f>
        <v>58232.619999999995</v>
      </c>
      <c r="EC6" s="76">
        <f>+IFERROR(VLOOKUP(Tabla1[[#This Row],[COD SE]],SALDO_ESC_2,7,0),0)</f>
        <v>38000</v>
      </c>
      <c r="ED6" s="76">
        <f>+IFERROR(VLOOKUP(Tabla1[[#This Row],[COD SE]],SALDO_ESC_3,7,0),0)</f>
        <v>38000</v>
      </c>
      <c r="EE6" s="76">
        <f>+Tabla1[[#This Row],[mto_pim]]-Tabla1[[#This Row],[TRANSF ESC2 ]]</f>
        <v>219495</v>
      </c>
      <c r="EF6" s="76">
        <f>+Tabla1[[#This Row],[mto_pim]]-Tabla1[[#This Row],[TRANFS ESC 3 ]]</f>
        <v>219495</v>
      </c>
      <c r="EG6" s="76">
        <f>+IFERROR(VLOOKUP(Tabla1[[#This Row],[COD SE]],HISTORICO,4,0),0)</f>
        <v>10000.000000000004</v>
      </c>
      <c r="EH6" s="76">
        <f>+IFERROR(VLOOKUP(Tabla1[[#This Row],[COD SE]],HISTORICO,5,0),0)</f>
        <v>10000.000000000004</v>
      </c>
      <c r="EI6" s="76">
        <f>+IFERROR(VLOOKUP(Tabla1[[#This Row],[COD SE]],HISTORICO,6,0),0)</f>
        <v>15307.89</v>
      </c>
      <c r="EJ6" s="76">
        <f>+IFERROR(VLOOKUP(Tabla1[[#This Row],[COD SE]],HISTORICO,7,0),0)</f>
        <v>0</v>
      </c>
      <c r="EK6" s="76">
        <f>+IFERROR(VLOOKUP(Tabla1[[#This Row],[COD SE]],HISTORICO,8,0),0)</f>
        <v>29336.87</v>
      </c>
      <c r="EL6" s="76">
        <f>+IFERROR(VLOOKUP(Tabla1[[#This Row],[COD SE]],HISTORICO,9,0),0)</f>
        <v>21676.91</v>
      </c>
      <c r="EM6" s="76">
        <f>+IFERROR(VLOOKUP(Tabla1[[#This Row],[COD SE]],HISTORICO,10,0),0)</f>
        <v>20000</v>
      </c>
      <c r="EN6" s="76">
        <f>+IFERROR(VLOOKUP(Tabla1[[#This Row],[COD SE]],HISTORICO,11,0),0)</f>
        <v>14996.1</v>
      </c>
      <c r="EO6" s="76">
        <f>+IFERROR(VLOOKUP(Tabla1[[#This Row],[COD SE]],HISTORICO,12,0),0)</f>
        <v>38732.160000000003</v>
      </c>
      <c r="EP6" s="58">
        <f>+SUM(Tabla1[[#This Row],[EJECUTADO 01]:[EJECUTADO 03]])</f>
        <v>44184.5</v>
      </c>
      <c r="EQ6" s="58">
        <f>+SUM(Tabla1[[#This Row],[EJECUTADO 04]:[EJECUTADO 06]])</f>
        <v>53571.38</v>
      </c>
      <c r="ER6" s="58">
        <f>+SUM(Tabla1[[#This Row],[EJECUTADO 07]:[EJECUTADO 09]])</f>
        <v>59327.94</v>
      </c>
      <c r="ES6" s="58">
        <f>+SUM(Tabla1[[#This Row],[PF OCTUBRE]:[PF DICIEMBRE
]])</f>
        <v>62411.179999999993</v>
      </c>
      <c r="ET6" s="58">
        <f>+SUM(Tabla1[[#This Row],[EJECUTADO 01]:[EJECUTADO 09]])</f>
        <v>157083.82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1649</v>
      </c>
      <c r="AE7" s="369" t="s">
        <v>1650</v>
      </c>
      <c r="AF7" s="369" t="s">
        <v>1653</v>
      </c>
      <c r="AG7" s="369" t="s">
        <v>1654</v>
      </c>
      <c r="AH7" s="369">
        <v>1724862</v>
      </c>
      <c r="AI7" s="369">
        <v>-375636</v>
      </c>
      <c r="AJ7" s="369">
        <v>1349226</v>
      </c>
      <c r="AK7" s="370">
        <v>1273468.6000000001</v>
      </c>
      <c r="AL7" s="370">
        <v>1273468.6000000001</v>
      </c>
      <c r="AM7" s="370">
        <v>831564.82</v>
      </c>
      <c r="AN7" s="370">
        <v>2227.3000000000002</v>
      </c>
      <c r="AO7" s="370">
        <v>0</v>
      </c>
      <c r="AP7" s="370">
        <v>26000</v>
      </c>
      <c r="AQ7" s="370">
        <v>0</v>
      </c>
      <c r="AR7" s="370">
        <v>160643.21</v>
      </c>
      <c r="AS7" s="370">
        <v>93506</v>
      </c>
      <c r="AT7" s="370">
        <v>16002.71</v>
      </c>
      <c r="AU7" s="370">
        <v>19024.560000000001</v>
      </c>
      <c r="AV7" s="370">
        <v>124500</v>
      </c>
      <c r="AW7" s="370">
        <v>0</v>
      </c>
      <c r="AX7" s="370">
        <v>0</v>
      </c>
      <c r="AY7" s="370">
        <v>67192.17</v>
      </c>
      <c r="AZ7" s="370">
        <v>127059.88</v>
      </c>
      <c r="BA7" s="370">
        <v>83546.259999999995</v>
      </c>
      <c r="BB7" s="370">
        <v>111408.36</v>
      </c>
      <c r="BC7" s="370">
        <v>110628.44</v>
      </c>
      <c r="BD7" s="370">
        <v>115516.72</v>
      </c>
      <c r="BE7" s="370">
        <v>95166.96</v>
      </c>
      <c r="BF7" s="370">
        <v>107019.56</v>
      </c>
      <c r="BG7" s="370">
        <v>112250.74</v>
      </c>
      <c r="BH7" s="370">
        <v>55048.67</v>
      </c>
      <c r="BI7" s="370">
        <v>0</v>
      </c>
      <c r="BJ7" s="370">
        <v>0</v>
      </c>
      <c r="BK7" s="370">
        <v>29900</v>
      </c>
      <c r="BL7" s="370">
        <v>155862.04999999999</v>
      </c>
      <c r="BM7" s="370">
        <v>72188.42</v>
      </c>
      <c r="BN7" s="370">
        <v>113335.22</v>
      </c>
      <c r="BO7" s="370">
        <v>108925.06</v>
      </c>
      <c r="BP7" s="370">
        <v>115516.72</v>
      </c>
      <c r="BQ7" s="370">
        <v>114791.32</v>
      </c>
      <c r="BR7" s="370">
        <v>106382.17</v>
      </c>
      <c r="BS7" s="370">
        <v>112888.13</v>
      </c>
      <c r="BT7" s="370">
        <v>55048.67</v>
      </c>
      <c r="BU7" s="370">
        <v>0</v>
      </c>
      <c r="BV7" s="370">
        <v>0</v>
      </c>
      <c r="BW7" s="370">
        <v>767718.13</v>
      </c>
      <c r="BX7" s="370">
        <v>2227.3000000000002</v>
      </c>
      <c r="BY7" s="370">
        <v>0</v>
      </c>
      <c r="BZ7" s="370">
        <v>26000</v>
      </c>
      <c r="CA7" s="370">
        <v>0</v>
      </c>
      <c r="CB7" s="370">
        <v>123492.85</v>
      </c>
      <c r="CC7" s="370">
        <v>37402.400000000001</v>
      </c>
      <c r="CD7" s="370">
        <v>7973.2</v>
      </c>
      <c r="CE7" s="370">
        <v>19024.560000000001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1992</v>
      </c>
      <c r="CL7" s="48" t="s">
        <v>1990</v>
      </c>
      <c r="CM7" s="48" t="s">
        <v>1993</v>
      </c>
      <c r="CN7" s="48" t="s">
        <v>1991</v>
      </c>
      <c r="CO7" s="48" t="str">
        <f t="shared" ref="CO7:CO70" si="16">+CONCATENATE(CI7,".",CJ7,".",CK7,".",CL7,".",CM7,".",CN7)</f>
        <v>2.6.8.1.4.3</v>
      </c>
      <c r="CP7" s="48" t="str">
        <f>+VLOOKUP(Tabla1[[#This Row],[ESPECÍFICA]],CLASIFICADOR_,2,0)</f>
        <v>2.6.8.1.4.3 - GASTO POR LA CONTRATACION DE SERVICIOS</v>
      </c>
      <c r="CQ7" s="48" t="str">
        <f>+VLOOKUP(Tabla1[[#This Row],[ESPECÍFICA]],CLASIFICADOR_,3,0)</f>
        <v>2.6.8.1 - OTROS GASTOS DE ACTIVOS NO FINANCIEROS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5"/>
        <v>0001-PI 2</v>
      </c>
      <c r="CY7" s="113" t="str">
        <f t="shared" si="6"/>
        <v>0001-PI 2</v>
      </c>
      <c r="CZ7" s="20" t="str">
        <f t="shared" si="7"/>
        <v>0001-PI 2</v>
      </c>
      <c r="DA7" s="113" t="str">
        <f>+CONCATENATE(Tabla1[[#This Row],[CC COMPLETO]],Tabla1[[#This Row],[ESPECÍFICA]])</f>
        <v>0001-PI 22.6.8.1.4.3</v>
      </c>
      <c r="DB7" s="49">
        <f t="shared" si="8"/>
        <v>1273468.6000000001</v>
      </c>
      <c r="DC7" s="49">
        <f t="shared" si="9"/>
        <v>984837.75999999989</v>
      </c>
      <c r="DD7" s="49">
        <f t="shared" si="10"/>
        <v>984837.76000000013</v>
      </c>
      <c r="DE7" s="49">
        <f t="shared" si="11"/>
        <v>75757.399999999907</v>
      </c>
      <c r="DF7" s="49">
        <f t="shared" si="12"/>
        <v>0</v>
      </c>
      <c r="DG7" s="49">
        <f t="shared" si="13"/>
        <v>288630.8400000002</v>
      </c>
      <c r="DH7" s="49">
        <f t="shared" si="14"/>
        <v>364388.24000000011</v>
      </c>
      <c r="DI7" s="50">
        <f t="shared" si="15"/>
        <v>0.57096611786913964</v>
      </c>
      <c r="DJ7" s="78">
        <f>+SUM(Tabla1[[#This Row],[EJECUTADO 01]:[EJECUTADO 06]])</f>
        <v>615351.82999999996</v>
      </c>
      <c r="DK7" s="78">
        <f>+Tabla1[[#This Row],[mto_devenga_01]]</f>
        <v>67192.17</v>
      </c>
      <c r="DL7" s="78">
        <f>+Tabla1[[#This Row],[mto_devenga_02]]</f>
        <v>127059.88</v>
      </c>
      <c r="DM7" s="78">
        <f>+Tabla1[[#This Row],[mto_devenga_03]]</f>
        <v>83546.259999999995</v>
      </c>
      <c r="DN7" s="78">
        <f>+Tabla1[[#This Row],[mto_devenga_04]]</f>
        <v>111408.36</v>
      </c>
      <c r="DO7" s="78">
        <f>+Tabla1[[#This Row],[mto_devenga_05]]</f>
        <v>110628.44</v>
      </c>
      <c r="DP7" s="76">
        <f>+Tabla1[[#This Row],[mto_devenga_06]]</f>
        <v>115516.72</v>
      </c>
      <c r="DQ7" s="76">
        <f>+Tabla1[[#This Row],[mto_devenga_07]]</f>
        <v>95166.96</v>
      </c>
      <c r="DR7" s="76">
        <f>+Tabla1[[#This Row],[mto_devenga_08]]</f>
        <v>107019.56</v>
      </c>
      <c r="DS7" s="76">
        <f>+Tabla1[[#This Row],[mto_devenga_09]]</f>
        <v>112250.74</v>
      </c>
      <c r="DT7" s="76">
        <f>IFERROR(VLOOKUP(Tabla1[[#This Row],[COD SE]],PF_OCTUBRE,14,0),"0")</f>
        <v>83678.61</v>
      </c>
      <c r="DU7" s="76">
        <f>IFERROR(VLOOKUP(Tabla1[[#This Row],[COD SE]],PF_OCTUBRE,15,0),"0")</f>
        <v>109148.72</v>
      </c>
      <c r="DV7" s="76">
        <f>IFERROR(VLOOKUP(Tabla1[[#This Row],[COD SE]],PF_OCTUBRE,16,0),"0")</f>
        <v>204921.58</v>
      </c>
      <c r="DW7" s="76">
        <f>+SUM(Tabla1[[#This Row],[EJECUTADO 01]:[PF DICIEMBRE
]])</f>
        <v>1327538</v>
      </c>
      <c r="DX7" s="76">
        <f>IFERROR(VLOOKUP(Tabla1[[#This Row],[COD SE]],PF_OCTUBRE,18,0),"0")</f>
        <v>21688</v>
      </c>
      <c r="DY7" s="76">
        <f>IFERROR(VLOOKUP(Tabla1[[#This Row],[COD SE]],PF_OCTUBRE,19,0),"0")</f>
        <v>0</v>
      </c>
      <c r="DZ7" s="76">
        <f>IFERROR(VLOOKUP(Tabla1[[#This Row],[COD SE]],PF_OCTUBRE,20,0),"0")</f>
        <v>21688</v>
      </c>
      <c r="EA7" s="76">
        <f>+Tabla1[[#This Row],[TOTAL EJEC REAL]]+Tabla1[[#This Row],[SALDO FINAL]]</f>
        <v>1349226</v>
      </c>
      <c r="EB7" s="76">
        <f>IFERROR(VLOOKUP(Tabla1[[#This Row],[COD SE]],PF_OCTUBRE,22,0),"0")</f>
        <v>226609.58</v>
      </c>
      <c r="EC7" s="76">
        <f>+IFERROR(VLOOKUP(Tabla1[[#This Row],[COD SE]],SALDO_ESC_2,7,0),0)</f>
        <v>21688</v>
      </c>
      <c r="ED7" s="76">
        <f>+IFERROR(VLOOKUP(Tabla1[[#This Row],[COD SE]],SALDO_ESC_3,7,0),0)</f>
        <v>21688</v>
      </c>
      <c r="EE7" s="76">
        <f>+Tabla1[[#This Row],[mto_pim]]-Tabla1[[#This Row],[TRANSF ESC2 ]]</f>
        <v>1327538</v>
      </c>
      <c r="EF7" s="76">
        <f>+Tabla1[[#This Row],[mto_pim]]-Tabla1[[#This Row],[TRANFS ESC 3 ]]</f>
        <v>1327538</v>
      </c>
      <c r="EG7" s="76">
        <f>+IFERROR(VLOOKUP(Tabla1[[#This Row],[COD SE]],HISTORICO,4,0),0)</f>
        <v>110533.21999999999</v>
      </c>
      <c r="EH7" s="76">
        <f>+IFERROR(VLOOKUP(Tabla1[[#This Row],[COD SE]],HISTORICO,5,0),0)</f>
        <v>133382.09999999998</v>
      </c>
      <c r="EI7" s="76">
        <f>+IFERROR(VLOOKUP(Tabla1[[#This Row],[COD SE]],HISTORICO,6,0),0)</f>
        <v>110451.89</v>
      </c>
      <c r="EJ7" s="76">
        <f>+IFERROR(VLOOKUP(Tabla1[[#This Row],[COD SE]],HISTORICO,7,0),0)</f>
        <v>110242.76999999999</v>
      </c>
      <c r="EK7" s="76">
        <f>+IFERROR(VLOOKUP(Tabla1[[#This Row],[COD SE]],HISTORICO,8,0),0)</f>
        <v>107690.19</v>
      </c>
      <c r="EL7" s="76">
        <f>+IFERROR(VLOOKUP(Tabla1[[#This Row],[COD SE]],HISTORICO,9,0),0)</f>
        <v>115920.3</v>
      </c>
      <c r="EM7" s="76">
        <f>+IFERROR(VLOOKUP(Tabla1[[#This Row],[COD SE]],HISTORICO,10,0),0)</f>
        <v>94877.41</v>
      </c>
      <c r="EN7" s="76">
        <f>+IFERROR(VLOOKUP(Tabla1[[#This Row],[COD SE]],HISTORICO,11,0),0)</f>
        <v>123072.73</v>
      </c>
      <c r="EO7" s="76">
        <f>+IFERROR(VLOOKUP(Tabla1[[#This Row],[COD SE]],HISTORICO,12,0),0)</f>
        <v>103165.23</v>
      </c>
      <c r="EP7" s="58">
        <f>+SUM(Tabla1[[#This Row],[EJECUTADO 01]:[EJECUTADO 03]])</f>
        <v>277798.31</v>
      </c>
      <c r="EQ7" s="58">
        <f>+SUM(Tabla1[[#This Row],[EJECUTADO 04]:[EJECUTADO 06]])</f>
        <v>337553.52</v>
      </c>
      <c r="ER7" s="58">
        <f>+SUM(Tabla1[[#This Row],[EJECUTADO 07]:[EJECUTADO 09]])</f>
        <v>314437.26</v>
      </c>
      <c r="ES7" s="58">
        <f>+SUM(Tabla1[[#This Row],[PF OCTUBRE]:[PF DICIEMBRE
]])</f>
        <v>397748.91000000003</v>
      </c>
      <c r="ET7" s="58">
        <f>+SUM(Tabla1[[#This Row],[EJECUTADO 01]:[EJECUTADO 09]])</f>
        <v>929789.08999999985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1651</v>
      </c>
      <c r="AG8" s="369" t="s">
        <v>1652</v>
      </c>
      <c r="AH8" s="369">
        <v>340137</v>
      </c>
      <c r="AI8" s="369">
        <v>-340137</v>
      </c>
      <c r="AJ8" s="369">
        <v>0</v>
      </c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70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>
        <v>0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1991</v>
      </c>
      <c r="CN8" s="48" t="s">
        <v>1990</v>
      </c>
      <c r="CO8" s="48" t="str">
        <f t="shared" si="16"/>
        <v>2.6.8.1.3.1</v>
      </c>
      <c r="CP8" s="48" t="str">
        <f>+VLOOKUP(Tabla1[[#This Row],[ESPECÍFICA]],CLASIFICADOR_,2,0)</f>
        <v>2.6.8.1.3.1 - ELABORACION DE EXPEDIENTES TECNICOS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5"/>
        <v>0001-PI 2</v>
      </c>
      <c r="CY8" s="113" t="str">
        <f t="shared" si="6"/>
        <v>0001-PI 2</v>
      </c>
      <c r="CZ8" s="20" t="str">
        <f t="shared" si="7"/>
        <v>0001-PI 2</v>
      </c>
      <c r="DA8" s="113" t="str">
        <f>+CONCATENATE(Tabla1[[#This Row],[CC COMPLETO]],Tabla1[[#This Row],[ESPECÍFICA]])</f>
        <v>0001-PI 22.6.8.1.3.1</v>
      </c>
      <c r="DB8" s="49">
        <f t="shared" si="8"/>
        <v>0</v>
      </c>
      <c r="DC8" s="49">
        <f t="shared" si="9"/>
        <v>0</v>
      </c>
      <c r="DD8" s="49">
        <f t="shared" si="10"/>
        <v>0</v>
      </c>
      <c r="DE8" s="49">
        <f t="shared" si="11"/>
        <v>0</v>
      </c>
      <c r="DF8" s="49">
        <f t="shared" si="12"/>
        <v>0</v>
      </c>
      <c r="DG8" s="49">
        <f t="shared" si="13"/>
        <v>0</v>
      </c>
      <c r="DH8" s="49">
        <f t="shared" si="14"/>
        <v>0</v>
      </c>
      <c r="DI8" s="50">
        <f t="shared" si="15"/>
        <v>0</v>
      </c>
      <c r="DJ8" s="78">
        <f>+SUM(Tabla1[[#This Row],[EJECUTADO 01]:[EJECUTADO 06]])</f>
        <v>0</v>
      </c>
      <c r="DK8" s="78">
        <f>+Tabla1[[#This Row],[mto_devenga_01]]</f>
        <v>0</v>
      </c>
      <c r="DL8" s="78">
        <f>+Tabla1[[#This Row],[mto_devenga_02]]</f>
        <v>0</v>
      </c>
      <c r="DM8" s="78">
        <f>+Tabla1[[#This Row],[mto_devenga_03]]</f>
        <v>0</v>
      </c>
      <c r="DN8" s="78">
        <f>+Tabla1[[#This Row],[mto_devenga_04]]</f>
        <v>0</v>
      </c>
      <c r="DO8" s="78">
        <f>+Tabla1[[#This Row],[mto_devenga_05]]</f>
        <v>0</v>
      </c>
      <c r="DP8" s="76">
        <f>+Tabla1[[#This Row],[mto_devenga_06]]</f>
        <v>0</v>
      </c>
      <c r="DQ8" s="76">
        <f>+Tabla1[[#This Row],[mto_devenga_07]]</f>
        <v>0</v>
      </c>
      <c r="DR8" s="76">
        <f>+Tabla1[[#This Row],[mto_devenga_08]]</f>
        <v>0</v>
      </c>
      <c r="DS8" s="76">
        <f>+Tabla1[[#This Row],[mto_devenga_09]]</f>
        <v>0</v>
      </c>
      <c r="DT8" s="76">
        <f>IFERROR(VLOOKUP(Tabla1[[#This Row],[COD SE]],PF_OCTUBRE,14,0),"0")</f>
        <v>0</v>
      </c>
      <c r="DU8" s="76">
        <f>IFERROR(VLOOKUP(Tabla1[[#This Row],[COD SE]],PF_OCTUBRE,15,0),"0")</f>
        <v>0</v>
      </c>
      <c r="DV8" s="76">
        <f>IFERROR(VLOOKUP(Tabla1[[#This Row],[COD SE]],PF_OCTUBRE,16,0),"0")</f>
        <v>0</v>
      </c>
      <c r="DW8" s="76">
        <f>+SUM(Tabla1[[#This Row],[EJECUTADO 01]:[PF DICIEMBRE
]])</f>
        <v>0</v>
      </c>
      <c r="DX8" s="76">
        <f>IFERROR(VLOOKUP(Tabla1[[#This Row],[COD SE]],PF_OCTUBRE,18,0),"0")</f>
        <v>0</v>
      </c>
      <c r="DY8" s="76">
        <f>IFERROR(VLOOKUP(Tabla1[[#This Row],[COD SE]],PF_OCTUBRE,19,0),"0")</f>
        <v>0</v>
      </c>
      <c r="DZ8" s="76">
        <f>IFERROR(VLOOKUP(Tabla1[[#This Row],[COD SE]],PF_OCTUBRE,20,0),"0")</f>
        <v>0</v>
      </c>
      <c r="EA8" s="76">
        <f>+Tabla1[[#This Row],[TOTAL EJEC REAL]]+Tabla1[[#This Row],[SALDO FINAL]]</f>
        <v>0</v>
      </c>
      <c r="EB8" s="76">
        <f>IFERROR(VLOOKUP(Tabla1[[#This Row],[COD SE]],PF_OCTUBRE,22,0),"0")</f>
        <v>0</v>
      </c>
      <c r="EC8" s="76">
        <f>+IFERROR(VLOOKUP(Tabla1[[#This Row],[COD SE]],SALDO_ESC_2,7,0),0)</f>
        <v>0</v>
      </c>
      <c r="ED8" s="76">
        <f>+IFERROR(VLOOKUP(Tabla1[[#This Row],[COD SE]],SALDO_ESC_3,7,0),0)</f>
        <v>0</v>
      </c>
      <c r="EE8" s="76">
        <f>+Tabla1[[#This Row],[mto_pim]]-Tabla1[[#This Row],[TRANSF ESC2 ]]</f>
        <v>0</v>
      </c>
      <c r="EF8" s="76">
        <f>+Tabla1[[#This Row],[mto_pim]]-Tabla1[[#This Row],[TRANFS ESC 3 ]]</f>
        <v>0</v>
      </c>
      <c r="EG8" s="76">
        <f>+IFERROR(VLOOKUP(Tabla1[[#This Row],[COD SE]],HISTORICO,4,0),0)</f>
        <v>0</v>
      </c>
      <c r="EH8" s="76">
        <f>+IFERROR(VLOOKUP(Tabla1[[#This Row],[COD SE]],HISTORICO,5,0),0)</f>
        <v>0</v>
      </c>
      <c r="EI8" s="76">
        <f>+IFERROR(VLOOKUP(Tabla1[[#This Row],[COD SE]],HISTORICO,6,0),0)</f>
        <v>0</v>
      </c>
      <c r="EJ8" s="76">
        <f>+IFERROR(VLOOKUP(Tabla1[[#This Row],[COD SE]],HISTORICO,7,0),0)</f>
        <v>0</v>
      </c>
      <c r="EK8" s="76">
        <f>+IFERROR(VLOOKUP(Tabla1[[#This Row],[COD SE]],HISTORICO,8,0),0)</f>
        <v>0</v>
      </c>
      <c r="EL8" s="76">
        <f>+IFERROR(VLOOKUP(Tabla1[[#This Row],[COD SE]],HISTORICO,9,0),0)</f>
        <v>0</v>
      </c>
      <c r="EM8" s="76">
        <f>+IFERROR(VLOOKUP(Tabla1[[#This Row],[COD SE]],HISTORICO,10,0),0)</f>
        <v>0</v>
      </c>
      <c r="EN8" s="76">
        <f>+IFERROR(VLOOKUP(Tabla1[[#This Row],[COD SE]],HISTORICO,11,0),0)</f>
        <v>0</v>
      </c>
      <c r="EO8" s="76">
        <f>+IFERROR(VLOOKUP(Tabla1[[#This Row],[COD SE]],HISTORICO,12,0),0)</f>
        <v>0</v>
      </c>
      <c r="EP8" s="58">
        <f>+SUM(Tabla1[[#This Row],[EJECUTADO 01]:[EJECUTADO 03]])</f>
        <v>0</v>
      </c>
      <c r="EQ8" s="58">
        <f>+SUM(Tabla1[[#This Row],[EJECUTADO 04]:[EJECUTADO 06]])</f>
        <v>0</v>
      </c>
      <c r="ER8" s="58">
        <f>+SUM(Tabla1[[#This Row],[EJECUTADO 07]:[EJECUTADO 09]])</f>
        <v>0</v>
      </c>
      <c r="ES8" s="58">
        <f>+SUM(Tabla1[[#This Row],[PF OCTUBRE]:[PF DICIEMBRE
]])</f>
        <v>0</v>
      </c>
      <c r="ET8" s="58">
        <f>+SUM(Tabla1[[#This Row],[EJECUTADO 01]:[EJECUTADO 09]])</f>
        <v>0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1646</v>
      </c>
      <c r="AG9" s="369" t="s">
        <v>1647</v>
      </c>
      <c r="AH9" s="369">
        <v>6042280</v>
      </c>
      <c r="AI9" s="369">
        <v>-1473523</v>
      </c>
      <c r="AJ9" s="369">
        <v>4568757</v>
      </c>
      <c r="AK9" s="370">
        <v>2542209.2000000002</v>
      </c>
      <c r="AL9" s="370">
        <v>2542209.2000000002</v>
      </c>
      <c r="AM9" s="370">
        <v>2274709.2000000002</v>
      </c>
      <c r="AN9" s="370">
        <v>10000</v>
      </c>
      <c r="AO9" s="370">
        <v>0</v>
      </c>
      <c r="AP9" s="370">
        <v>135500</v>
      </c>
      <c r="AQ9" s="370">
        <v>0</v>
      </c>
      <c r="AR9" s="370">
        <v>102000</v>
      </c>
      <c r="AS9" s="370">
        <v>20000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254997.95</v>
      </c>
      <c r="AZ9" s="370">
        <v>131876.66</v>
      </c>
      <c r="BA9" s="370">
        <v>67856.66</v>
      </c>
      <c r="BB9" s="370">
        <v>86660.74</v>
      </c>
      <c r="BC9" s="370">
        <v>27000</v>
      </c>
      <c r="BD9" s="370">
        <v>53750</v>
      </c>
      <c r="BE9" s="370">
        <v>78142</v>
      </c>
      <c r="BF9" s="370">
        <v>106908.1</v>
      </c>
      <c r="BG9" s="370">
        <v>92494.61</v>
      </c>
      <c r="BH9" s="370">
        <v>98609.62</v>
      </c>
      <c r="BI9" s="370">
        <v>0</v>
      </c>
      <c r="BJ9" s="370">
        <v>0</v>
      </c>
      <c r="BK9" s="370">
        <v>25586.66</v>
      </c>
      <c r="BL9" s="370">
        <v>301721.28999999998</v>
      </c>
      <c r="BM9" s="370">
        <v>96923.32</v>
      </c>
      <c r="BN9" s="370">
        <v>117160.74</v>
      </c>
      <c r="BO9" s="370">
        <v>27000</v>
      </c>
      <c r="BP9" s="370">
        <v>46750</v>
      </c>
      <c r="BQ9" s="370">
        <v>85142</v>
      </c>
      <c r="BR9" s="370">
        <v>100658.1</v>
      </c>
      <c r="BS9" s="370">
        <v>98744.61</v>
      </c>
      <c r="BT9" s="370">
        <v>98609.62</v>
      </c>
      <c r="BU9" s="370">
        <v>0</v>
      </c>
      <c r="BV9" s="370">
        <v>0</v>
      </c>
      <c r="BW9" s="370">
        <v>813046.34</v>
      </c>
      <c r="BX9" s="370">
        <v>10000</v>
      </c>
      <c r="BY9" s="370">
        <v>0</v>
      </c>
      <c r="BZ9" s="370">
        <v>115250</v>
      </c>
      <c r="CA9" s="370">
        <v>0</v>
      </c>
      <c r="CB9" s="370">
        <v>40000</v>
      </c>
      <c r="CC9" s="370">
        <v>20000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1993</v>
      </c>
      <c r="CN9" s="48" t="s">
        <v>1991</v>
      </c>
      <c r="CO9" s="48" t="str">
        <f t="shared" si="16"/>
        <v>2.6.7.1.4.3</v>
      </c>
      <c r="CP9" s="48" t="str">
        <f>+VLOOKUP(Tabla1[[#This Row],[ESPECÍFICA]],CLASIFICADOR_,2,0)</f>
        <v>2.6.7.1.4.3 -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5"/>
        <v>0001-PI 2</v>
      </c>
      <c r="CY9" s="113" t="str">
        <f t="shared" si="6"/>
        <v>0001-PI 2</v>
      </c>
      <c r="CZ9" s="20" t="str">
        <f t="shared" si="7"/>
        <v>0001-PI 2</v>
      </c>
      <c r="DA9" s="113" t="str">
        <f>+CONCATENATE(Tabla1[[#This Row],[CC COMPLETO]],Tabla1[[#This Row],[ESPECÍFICA]])</f>
        <v>0001-PI 22.6.7.1.4.3</v>
      </c>
      <c r="DB9" s="49">
        <f t="shared" si="8"/>
        <v>2542209.2000000002</v>
      </c>
      <c r="DC9" s="49">
        <f t="shared" si="9"/>
        <v>998296.34</v>
      </c>
      <c r="DD9" s="49">
        <f t="shared" si="10"/>
        <v>998296.34</v>
      </c>
      <c r="DE9" s="49">
        <f t="shared" si="11"/>
        <v>2026547.7999999998</v>
      </c>
      <c r="DF9" s="49">
        <f t="shared" si="12"/>
        <v>0</v>
      </c>
      <c r="DG9" s="49">
        <f t="shared" si="13"/>
        <v>1543912.8600000003</v>
      </c>
      <c r="DH9" s="49">
        <f t="shared" si="14"/>
        <v>3570460.66</v>
      </c>
      <c r="DI9" s="50">
        <f t="shared" si="15"/>
        <v>0.16521848375116677</v>
      </c>
      <c r="DJ9" s="78">
        <f>+SUM(Tabla1[[#This Row],[EJECUTADO 01]:[EJECUTADO 06]])</f>
        <v>622142.01</v>
      </c>
      <c r="DK9" s="78">
        <f>+Tabla1[[#This Row],[mto_devenga_01]]</f>
        <v>254997.95</v>
      </c>
      <c r="DL9" s="78">
        <f>+Tabla1[[#This Row],[mto_devenga_02]]</f>
        <v>131876.66</v>
      </c>
      <c r="DM9" s="78">
        <f>+Tabla1[[#This Row],[mto_devenga_03]]</f>
        <v>67856.66</v>
      </c>
      <c r="DN9" s="78">
        <f>+Tabla1[[#This Row],[mto_devenga_04]]</f>
        <v>86660.74</v>
      </c>
      <c r="DO9" s="78">
        <f>+Tabla1[[#This Row],[mto_devenga_05]]</f>
        <v>27000</v>
      </c>
      <c r="DP9" s="76">
        <f>+Tabla1[[#This Row],[mto_devenga_06]]</f>
        <v>53750</v>
      </c>
      <c r="DQ9" s="76">
        <f>+Tabla1[[#This Row],[mto_devenga_07]]</f>
        <v>78142</v>
      </c>
      <c r="DR9" s="76">
        <f>+Tabla1[[#This Row],[mto_devenga_08]]</f>
        <v>106908.1</v>
      </c>
      <c r="DS9" s="76">
        <f>+Tabla1[[#This Row],[mto_devenga_09]]</f>
        <v>92494.61</v>
      </c>
      <c r="DT9" s="76">
        <f>IFERROR(VLOOKUP(Tabla1[[#This Row],[COD SE]],PF_OCTUBRE,14,0),"0")</f>
        <v>86371.07</v>
      </c>
      <c r="DU9" s="76">
        <f>IFERROR(VLOOKUP(Tabla1[[#This Row],[COD SE]],PF_OCTUBRE,15,0),"0")</f>
        <v>231905.76</v>
      </c>
      <c r="DV9" s="76">
        <f>IFERROR(VLOOKUP(Tabla1[[#This Row],[COD SE]],PF_OCTUBRE,16,0),"0")</f>
        <v>1551146.4500000002</v>
      </c>
      <c r="DW9" s="76">
        <f>+SUM(Tabla1[[#This Row],[EJECUTADO 01]:[PF DICIEMBRE
]])</f>
        <v>2769110</v>
      </c>
      <c r="DX9" s="76">
        <f>IFERROR(VLOOKUP(Tabla1[[#This Row],[COD SE]],PF_OCTUBRE,18,0),"0")</f>
        <v>1799647</v>
      </c>
      <c r="DY9" s="76">
        <f>IFERROR(VLOOKUP(Tabla1[[#This Row],[COD SE]],PF_OCTUBRE,19,0),"0")</f>
        <v>0</v>
      </c>
      <c r="DZ9" s="76">
        <f>IFERROR(VLOOKUP(Tabla1[[#This Row],[COD SE]],PF_OCTUBRE,20,0),"0")</f>
        <v>1799647</v>
      </c>
      <c r="EA9" s="76">
        <f>+Tabla1[[#This Row],[TOTAL EJEC REAL]]+Tabla1[[#This Row],[SALDO FINAL]]</f>
        <v>4568757</v>
      </c>
      <c r="EB9" s="76">
        <f>IFERROR(VLOOKUP(Tabla1[[#This Row],[COD SE]],PF_OCTUBRE,22,0),"0")</f>
        <v>3350793.4499999997</v>
      </c>
      <c r="EC9" s="76">
        <f>+IFERROR(VLOOKUP(Tabla1[[#This Row],[COD SE]],SALDO_ESC_2,7,0),0)</f>
        <v>1799647</v>
      </c>
      <c r="ED9" s="76">
        <f>+IFERROR(VLOOKUP(Tabla1[[#This Row],[COD SE]],SALDO_ESC_3,7,0),0)</f>
        <v>1799647</v>
      </c>
      <c r="EE9" s="76">
        <f>+Tabla1[[#This Row],[mto_pim]]-Tabla1[[#This Row],[TRANSF ESC2 ]]</f>
        <v>2769110</v>
      </c>
      <c r="EF9" s="76">
        <f>+Tabla1[[#This Row],[mto_pim]]-Tabla1[[#This Row],[TRANFS ESC 3 ]]</f>
        <v>2769110</v>
      </c>
      <c r="EG9" s="76">
        <f>+IFERROR(VLOOKUP(Tabla1[[#This Row],[COD SE]],HISTORICO,4,0),0)</f>
        <v>102896.67</v>
      </c>
      <c r="EH9" s="76">
        <f>+IFERROR(VLOOKUP(Tabla1[[#This Row],[COD SE]],HISTORICO,5,0),0)</f>
        <v>150676.67000000001</v>
      </c>
      <c r="EI9" s="76">
        <f>+IFERROR(VLOOKUP(Tabla1[[#This Row],[COD SE]],HISTORICO,6,0),0)</f>
        <v>203902.14</v>
      </c>
      <c r="EJ9" s="76">
        <f>+IFERROR(VLOOKUP(Tabla1[[#This Row],[COD SE]],HISTORICO,7,0),0)</f>
        <v>86660.739999999991</v>
      </c>
      <c r="EK9" s="76">
        <f>+IFERROR(VLOOKUP(Tabla1[[#This Row],[COD SE]],HISTORICO,8,0),0)</f>
        <v>27000</v>
      </c>
      <c r="EL9" s="76">
        <f>+IFERROR(VLOOKUP(Tabla1[[#This Row],[COD SE]],HISTORICO,9,0),0)</f>
        <v>53750</v>
      </c>
      <c r="EM9" s="76">
        <f>+IFERROR(VLOOKUP(Tabla1[[#This Row],[COD SE]],HISTORICO,10,0),0)</f>
        <v>53750</v>
      </c>
      <c r="EN9" s="76">
        <f>+IFERROR(VLOOKUP(Tabla1[[#This Row],[COD SE]],HISTORICO,11,0),0)</f>
        <v>75294</v>
      </c>
      <c r="EO9" s="76">
        <f>+IFERROR(VLOOKUP(Tabla1[[#This Row],[COD SE]],HISTORICO,12,0),0)</f>
        <v>92494.61</v>
      </c>
      <c r="EP9" s="58">
        <f>+SUM(Tabla1[[#This Row],[EJECUTADO 01]:[EJECUTADO 03]])</f>
        <v>454731.27</v>
      </c>
      <c r="EQ9" s="58">
        <f>+SUM(Tabla1[[#This Row],[EJECUTADO 04]:[EJECUTADO 06]])</f>
        <v>167410.74</v>
      </c>
      <c r="ER9" s="58">
        <f>+SUM(Tabla1[[#This Row],[EJECUTADO 07]:[EJECUTADO 09]])</f>
        <v>277544.71000000002</v>
      </c>
      <c r="ES9" s="58">
        <f>+SUM(Tabla1[[#This Row],[PF OCTUBRE]:[PF DICIEMBRE
]])</f>
        <v>1869423.2800000003</v>
      </c>
      <c r="ET9" s="58">
        <f>+SUM(Tabla1[[#This Row],[EJECUTADO 01]:[EJECUTADO 09]])</f>
        <v>899686.72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1994</v>
      </c>
      <c r="AE10" s="369" t="s">
        <v>1995</v>
      </c>
      <c r="AF10" s="369" t="s">
        <v>1996</v>
      </c>
      <c r="AG10" s="369" t="s">
        <v>1997</v>
      </c>
      <c r="AH10" s="369">
        <v>0</v>
      </c>
      <c r="AI10" s="369">
        <v>3364</v>
      </c>
      <c r="AJ10" s="369">
        <v>3364</v>
      </c>
      <c r="AK10" s="370">
        <v>3363.5</v>
      </c>
      <c r="AL10" s="370">
        <v>3363.5</v>
      </c>
      <c r="AM10" s="370">
        <v>0</v>
      </c>
      <c r="AN10" s="370">
        <v>0</v>
      </c>
      <c r="AO10" s="370">
        <v>0</v>
      </c>
      <c r="AP10" s="370">
        <v>3363.5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3363.5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3363.5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3363.5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1988</v>
      </c>
      <c r="CL10" s="48" t="s">
        <v>1990</v>
      </c>
      <c r="CM10" s="48" t="s">
        <v>1991</v>
      </c>
      <c r="CN10" s="48" t="s">
        <v>1998</v>
      </c>
      <c r="CO10" s="48" t="str">
        <f t="shared" si="16"/>
        <v>2.6.6.1.3.99</v>
      </c>
      <c r="CP10" s="48" t="str">
        <f>+VLOOKUP(Tabla1[[#This Row],[ESPECÍFICA]],CLASIFICADOR_,2,0)</f>
        <v>2.6.6.1.3.99 - OTROS ACTIVOS INTANGIBLES</v>
      </c>
      <c r="CQ10" s="48" t="str">
        <f>+VLOOKUP(Tabla1[[#This Row],[ESPECÍFICA]],CLASIFICADOR_,3,0)</f>
        <v>2.6.6.1 - ADQUISICION DE OTROS ACTIVOS FIJOS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5"/>
        <v>0001-PI 2</v>
      </c>
      <c r="CY10" s="113" t="str">
        <f t="shared" si="6"/>
        <v>0001-PI 2</v>
      </c>
      <c r="CZ10" s="20" t="str">
        <f t="shared" si="7"/>
        <v>0001-PI 2</v>
      </c>
      <c r="DA10" s="113" t="str">
        <f>+CONCATENATE(Tabla1[[#This Row],[CC COMPLETO]],Tabla1[[#This Row],[ESPECÍFICA]])</f>
        <v>0001-PI 22.6.6.1.3.99</v>
      </c>
      <c r="DB10" s="49">
        <f t="shared" si="8"/>
        <v>3363.5</v>
      </c>
      <c r="DC10" s="49">
        <f t="shared" si="9"/>
        <v>3363.5</v>
      </c>
      <c r="DD10" s="49">
        <f t="shared" si="10"/>
        <v>3363.5</v>
      </c>
      <c r="DE10" s="49">
        <f t="shared" si="11"/>
        <v>0.5</v>
      </c>
      <c r="DF10" s="49">
        <f t="shared" si="12"/>
        <v>0</v>
      </c>
      <c r="DG10" s="49">
        <f t="shared" si="13"/>
        <v>0</v>
      </c>
      <c r="DH10" s="49">
        <f t="shared" si="14"/>
        <v>0.5</v>
      </c>
      <c r="DI10" s="50">
        <f t="shared" si="15"/>
        <v>0</v>
      </c>
      <c r="DJ10" s="78">
        <f>+SUM(Tabla1[[#This Row],[EJECUTADO 01]:[EJECUTADO 06]])</f>
        <v>3363.5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3363.5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0.5</v>
      </c>
      <c r="DW10" s="76">
        <f>+SUM(Tabla1[[#This Row],[EJECUTADO 01]:[PF DICIEMBRE
]])</f>
        <v>3364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3364</v>
      </c>
      <c r="EB10" s="76">
        <f>IFERROR(VLOOKUP(Tabla1[[#This Row],[COD SE]],PF_OCTUBRE,22,0),"0")</f>
        <v>0.5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3364</v>
      </c>
      <c r="EF10" s="76">
        <f>+Tabla1[[#This Row],[mto_pim]]-Tabla1[[#This Row],[TRANFS ESC 3 ]]</f>
        <v>3364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3363.5</v>
      </c>
      <c r="ER10" s="58">
        <f>+SUM(Tabla1[[#This Row],[EJECUTADO 07]:[EJECUTADO 09]])</f>
        <v>0</v>
      </c>
      <c r="ES10" s="58">
        <f>+SUM(Tabla1[[#This Row],[PF OCTUBRE]:[PF DICIEMBRE
]])</f>
        <v>0.5</v>
      </c>
      <c r="ET10" s="58">
        <f>+SUM(Tabla1[[#This Row],[EJECUTADO 01]:[EJECUTADO 09]])</f>
        <v>3363.5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1664</v>
      </c>
      <c r="AF11" s="369" t="s">
        <v>1665</v>
      </c>
      <c r="AG11" s="369" t="s">
        <v>1667</v>
      </c>
      <c r="AH11" s="369">
        <v>52200</v>
      </c>
      <c r="AI11" s="369">
        <v>3000</v>
      </c>
      <c r="AJ11" s="369">
        <v>55200</v>
      </c>
      <c r="AK11" s="370">
        <v>51000</v>
      </c>
      <c r="AL11" s="370">
        <v>51000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21000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0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21000</v>
      </c>
      <c r="BF11" s="370">
        <v>0</v>
      </c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70">
        <v>21000</v>
      </c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21000</v>
      </c>
      <c r="CD11" s="370">
        <v>0</v>
      </c>
      <c r="CE11" s="370">
        <v>0</v>
      </c>
      <c r="CF11" s="370">
        <v>0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2005</v>
      </c>
      <c r="CM11" s="48" t="s">
        <v>1990</v>
      </c>
      <c r="CN11" s="48" t="s">
        <v>1993</v>
      </c>
      <c r="CO11" s="48" t="str">
        <f t="shared" si="16"/>
        <v>2.1.1.9.1.4</v>
      </c>
      <c r="CP11" s="48" t="str">
        <f>+VLOOKUP(Tabla1[[#This Row],[ESPECÍFICA]],CLASIFICADOR_,2,0)</f>
        <v>2.1.1.9.1.4 - AGUINALDOS DE CONTRATO ADMINISTRATIVO DE SERVICIOS</v>
      </c>
      <c r="CQ11" s="48" t="str">
        <f>+VLOOKUP(Tabla1[[#This Row],[ESPECÍFICA]],CLASIFICADOR_,3,0)</f>
        <v>01.CAS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5"/>
        <v>0002-DCEME</v>
      </c>
      <c r="CY11" s="113" t="str">
        <f t="shared" si="6"/>
        <v>0002-DCEME (CEAM, FP)</v>
      </c>
      <c r="CZ11" s="20" t="str">
        <f t="shared" si="7"/>
        <v>0002-DCEME (IEVCEAM, G CEAM, FP)</v>
      </c>
      <c r="DA11" s="113" t="str">
        <f>+CONCATENATE(Tabla1[[#This Row],[CC COMPLETO]],Tabla1[[#This Row],[ESPECÍFICA]])</f>
        <v>0002-DCEME2.1.1.9.1.4</v>
      </c>
      <c r="DB11" s="49">
        <f t="shared" si="8"/>
        <v>21000</v>
      </c>
      <c r="DC11" s="49">
        <f t="shared" si="9"/>
        <v>21000</v>
      </c>
      <c r="DD11" s="49">
        <f t="shared" si="10"/>
        <v>21000</v>
      </c>
      <c r="DE11" s="49">
        <f t="shared" si="11"/>
        <v>4200</v>
      </c>
      <c r="DF11" s="49">
        <f t="shared" si="12"/>
        <v>0</v>
      </c>
      <c r="DG11" s="49">
        <f t="shared" si="13"/>
        <v>30000</v>
      </c>
      <c r="DH11" s="49">
        <f t="shared" si="14"/>
        <v>34200</v>
      </c>
      <c r="DI11" s="50">
        <f t="shared" si="15"/>
        <v>0.40229885057471265</v>
      </c>
      <c r="DJ11" s="78">
        <f>+SUM(Tabla1[[#This Row],[EJECUTADO 01]:[EJECUTADO 06]])</f>
        <v>0</v>
      </c>
      <c r="DK11" s="78">
        <f>+Tabla1[[#This Row],[mto_devenga_01]]</f>
        <v>0</v>
      </c>
      <c r="DL11" s="78">
        <f>+Tabla1[[#This Row],[mto_devenga_02]]</f>
        <v>0</v>
      </c>
      <c r="DM11" s="78">
        <f>+Tabla1[[#This Row],[mto_devenga_03]]</f>
        <v>0</v>
      </c>
      <c r="DN11" s="78">
        <f>+Tabla1[[#This Row],[mto_devenga_04]]</f>
        <v>0</v>
      </c>
      <c r="DO11" s="78">
        <f>+Tabla1[[#This Row],[mto_devenga_05]]</f>
        <v>0</v>
      </c>
      <c r="DP11" s="76">
        <f>+Tabla1[[#This Row],[mto_devenga_06]]</f>
        <v>0</v>
      </c>
      <c r="DQ11" s="76">
        <f>+Tabla1[[#This Row],[mto_devenga_07]]</f>
        <v>21000</v>
      </c>
      <c r="DR11" s="76">
        <f>+Tabla1[[#This Row],[mto_devenga_08]]</f>
        <v>0</v>
      </c>
      <c r="DS11" s="76">
        <f>+Tabla1[[#This Row],[mto_devenga_09]]</f>
        <v>0</v>
      </c>
      <c r="DT11" s="76">
        <f>IFERROR(VLOOKUP(Tabla1[[#This Row],[COD SE]],PF_OCTUBRE,14,0),"0")</f>
        <v>0</v>
      </c>
      <c r="DU11" s="76">
        <f>IFERROR(VLOOKUP(Tabla1[[#This Row],[COD SE]],PF_OCTUBRE,15,0),"0")</f>
        <v>0</v>
      </c>
      <c r="DV11" s="76">
        <f>IFERROR(VLOOKUP(Tabla1[[#This Row],[COD SE]],PF_OCTUBRE,16,0),"0")</f>
        <v>23400</v>
      </c>
      <c r="DW11" s="76">
        <f>+SUM(Tabla1[[#This Row],[EJECUTADO 01]:[PF DICIEMBRE
]])</f>
        <v>44400</v>
      </c>
      <c r="DX11" s="76">
        <f>IFERROR(VLOOKUP(Tabla1[[#This Row],[COD SE]],PF_OCTUBRE,18,0),"0")</f>
        <v>0</v>
      </c>
      <c r="DY11" s="76">
        <f>IFERROR(VLOOKUP(Tabla1[[#This Row],[COD SE]],PF_OCTUBRE,19,0),"0")</f>
        <v>10800</v>
      </c>
      <c r="DZ11" s="76">
        <f>IFERROR(VLOOKUP(Tabla1[[#This Row],[COD SE]],PF_OCTUBRE,20,0),"0")</f>
        <v>10800</v>
      </c>
      <c r="EA11" s="76">
        <f>+Tabla1[[#This Row],[TOTAL EJEC REAL]]+Tabla1[[#This Row],[SALDO FINAL]]</f>
        <v>55200</v>
      </c>
      <c r="EB11" s="76">
        <f>IFERROR(VLOOKUP(Tabla1[[#This Row],[COD SE]],PF_OCTUBRE,22,0),"0")</f>
        <v>34200</v>
      </c>
      <c r="EC11" s="76">
        <f>+IFERROR(VLOOKUP(Tabla1[[#This Row],[COD SE]],SALDO_ESC_2,7,0),0)</f>
        <v>0</v>
      </c>
      <c r="ED11" s="76">
        <f>+IFERROR(VLOOKUP(Tabla1[[#This Row],[COD SE]],SALDO_ESC_3,7,0),0)</f>
        <v>10800</v>
      </c>
      <c r="EE11" s="76">
        <f>+Tabla1[[#This Row],[mto_pim]]-Tabla1[[#This Row],[TRANSF ESC2 ]]</f>
        <v>55200</v>
      </c>
      <c r="EF11" s="76">
        <f>+Tabla1[[#This Row],[mto_pim]]-Tabla1[[#This Row],[TRANFS ESC 3 ]]</f>
        <v>44400</v>
      </c>
      <c r="EG11" s="76">
        <f>+IFERROR(VLOOKUP(Tabla1[[#This Row],[COD SE]],HISTORICO,4,0),0)</f>
        <v>0</v>
      </c>
      <c r="EH11" s="76">
        <f>+IFERROR(VLOOKUP(Tabla1[[#This Row],[COD SE]],HISTORICO,5,0),0)</f>
        <v>0</v>
      </c>
      <c r="EI11" s="76">
        <f>+IFERROR(VLOOKUP(Tabla1[[#This Row],[COD SE]],HISTORICO,6,0),0)</f>
        <v>0</v>
      </c>
      <c r="EJ11" s="76">
        <f>+IFERROR(VLOOKUP(Tabla1[[#This Row],[COD SE]],HISTORICO,7,0),0)</f>
        <v>0</v>
      </c>
      <c r="EK11" s="76">
        <f>+IFERROR(VLOOKUP(Tabla1[[#This Row],[COD SE]],HISTORICO,8,0),0)</f>
        <v>0</v>
      </c>
      <c r="EL11" s="76">
        <f>+IFERROR(VLOOKUP(Tabla1[[#This Row],[COD SE]],HISTORICO,9,0),0)</f>
        <v>0</v>
      </c>
      <c r="EM11" s="76">
        <f>+IFERROR(VLOOKUP(Tabla1[[#This Row],[COD SE]],HISTORICO,10,0),0)</f>
        <v>21000</v>
      </c>
      <c r="EN11" s="76">
        <f>+IFERROR(VLOOKUP(Tabla1[[#This Row],[COD SE]],HISTORICO,11,0),0)</f>
        <v>0</v>
      </c>
      <c r="EO11" s="76">
        <f>+IFERROR(VLOOKUP(Tabla1[[#This Row],[COD SE]],HISTORICO,12,0),0)</f>
        <v>0</v>
      </c>
      <c r="EP11" s="58">
        <f>+SUM(Tabla1[[#This Row],[EJECUTADO 01]:[EJECUTADO 03]])</f>
        <v>0</v>
      </c>
      <c r="EQ11" s="58">
        <f>+SUM(Tabla1[[#This Row],[EJECUTADO 04]:[EJECUTADO 06]])</f>
        <v>0</v>
      </c>
      <c r="ER11" s="58">
        <f>+SUM(Tabla1[[#This Row],[EJECUTADO 07]:[EJECUTADO 09]])</f>
        <v>21000</v>
      </c>
      <c r="ES11" s="58">
        <f>+SUM(Tabla1[[#This Row],[PF OCTUBRE]:[PF DICIEMBRE
]])</f>
        <v>23400</v>
      </c>
      <c r="ET11" s="58">
        <f>+SUM(Tabla1[[#This Row],[EJECUTADO 01]:[EJECUTADO 09]])</f>
        <v>21000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1656</v>
      </c>
      <c r="AD12" s="369" t="s">
        <v>2006</v>
      </c>
      <c r="AE12" s="369" t="s">
        <v>2007</v>
      </c>
      <c r="AF12" s="369" t="s">
        <v>2007</v>
      </c>
      <c r="AG12" s="369" t="s">
        <v>2008</v>
      </c>
      <c r="AH12" s="369">
        <v>0</v>
      </c>
      <c r="AI12" s="369">
        <v>11329</v>
      </c>
      <c r="AJ12" s="369">
        <v>11329</v>
      </c>
      <c r="AK12" s="370">
        <v>11329</v>
      </c>
      <c r="AL12" s="370">
        <v>11329</v>
      </c>
      <c r="AM12" s="370">
        <v>0</v>
      </c>
      <c r="AN12" s="370">
        <v>0</v>
      </c>
      <c r="AO12" s="370">
        <v>0</v>
      </c>
      <c r="AP12" s="370">
        <v>4988.55</v>
      </c>
      <c r="AQ12" s="370">
        <v>0</v>
      </c>
      <c r="AR12" s="370">
        <v>0</v>
      </c>
      <c r="AS12" s="370">
        <v>4884.63</v>
      </c>
      <c r="AT12" s="370">
        <v>0</v>
      </c>
      <c r="AU12" s="370">
        <v>1454.88</v>
      </c>
      <c r="AV12" s="370">
        <v>0</v>
      </c>
      <c r="AW12" s="370">
        <v>0</v>
      </c>
      <c r="AX12" s="370">
        <v>0</v>
      </c>
      <c r="AY12" s="370">
        <v>0</v>
      </c>
      <c r="AZ12" s="370">
        <v>0</v>
      </c>
      <c r="BA12" s="370">
        <v>0</v>
      </c>
      <c r="BB12" s="370">
        <v>4988.55</v>
      </c>
      <c r="BC12" s="370">
        <v>0</v>
      </c>
      <c r="BD12" s="370">
        <v>0</v>
      </c>
      <c r="BE12" s="370">
        <v>4884.63</v>
      </c>
      <c r="BF12" s="370">
        <v>0</v>
      </c>
      <c r="BG12" s="370">
        <v>1454.88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4988.55</v>
      </c>
      <c r="BO12" s="370">
        <v>0</v>
      </c>
      <c r="BP12" s="370">
        <v>0</v>
      </c>
      <c r="BQ12" s="370">
        <v>4884.63</v>
      </c>
      <c r="BR12" s="370">
        <v>0</v>
      </c>
      <c r="BS12" s="370">
        <v>1454.88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4988.55</v>
      </c>
      <c r="CA12" s="370">
        <v>0</v>
      </c>
      <c r="CB12" s="370">
        <v>0</v>
      </c>
      <c r="CC12" s="370">
        <v>4884.63</v>
      </c>
      <c r="CD12" s="370">
        <v>0</v>
      </c>
      <c r="CE12" s="370">
        <v>1454.88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1990</v>
      </c>
      <c r="CK12" s="48" t="s">
        <v>1993</v>
      </c>
      <c r="CL12" s="48" t="s">
        <v>1990</v>
      </c>
      <c r="CM12" s="48" t="s">
        <v>1990</v>
      </c>
      <c r="CN12" s="48" t="s">
        <v>1988</v>
      </c>
      <c r="CO12" s="48" t="str">
        <f t="shared" si="16"/>
        <v>2.1.4.1.1.6</v>
      </c>
      <c r="CP12" s="48" t="str">
        <f>+VLOOKUP(Tabla1[[#This Row],[ESPECÍFICA]],CLASIFICADOR_,2,0)</f>
        <v>2.1.4.1.1.6 - COMPENSACION VACACIONAL (VACACIONES TRUNCAS) AL PERSONAL ACTIVO</v>
      </c>
      <c r="CQ12" s="48" t="str">
        <f>+VLOOKUP(Tabla1[[#This Row],[ESPECÍFICA]],CLASIFICADOR_,3,0)</f>
        <v>02.SERVIR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2.1.PERSONAL Y OBLIGACIONES SOCIALES</v>
      </c>
      <c r="CX12" s="48" t="str">
        <f t="shared" si="5"/>
        <v>0002-DCEME</v>
      </c>
      <c r="CY12" s="113" t="str">
        <f t="shared" si="6"/>
        <v>0002-DCEME (CEAM, FP)</v>
      </c>
      <c r="CZ12" s="20" t="str">
        <f t="shared" si="7"/>
        <v>0002-DCEME (IEVCEAM, G CEAM, FP)</v>
      </c>
      <c r="DA12" s="113" t="str">
        <f>+CONCATENATE(Tabla1[[#This Row],[CC COMPLETO]],Tabla1[[#This Row],[ESPECÍFICA]])</f>
        <v>0002-DCEME2.1.4.1.1.6</v>
      </c>
      <c r="DB12" s="49">
        <f t="shared" si="8"/>
        <v>11328.060000000001</v>
      </c>
      <c r="DC12" s="49">
        <f t="shared" si="9"/>
        <v>11328.060000000001</v>
      </c>
      <c r="DD12" s="49">
        <f t="shared" si="10"/>
        <v>11328.060000000001</v>
      </c>
      <c r="DE12" s="49">
        <f t="shared" si="11"/>
        <v>0</v>
      </c>
      <c r="DF12" s="49">
        <f t="shared" si="12"/>
        <v>0</v>
      </c>
      <c r="DG12" s="49">
        <f t="shared" si="13"/>
        <v>0.93999999999869033</v>
      </c>
      <c r="DH12" s="49">
        <f t="shared" si="14"/>
        <v>0.93999999999869033</v>
      </c>
      <c r="DI12" s="50">
        <f t="shared" si="15"/>
        <v>0</v>
      </c>
      <c r="DJ12" s="78">
        <f>+SUM(Tabla1[[#This Row],[EJECUTADO 01]:[EJECUTADO 06]])</f>
        <v>4988.55</v>
      </c>
      <c r="DK12" s="78">
        <f>+Tabla1[[#This Row],[mto_devenga_01]]</f>
        <v>0</v>
      </c>
      <c r="DL12" s="78">
        <f>+Tabla1[[#This Row],[mto_devenga_02]]</f>
        <v>0</v>
      </c>
      <c r="DM12" s="78">
        <f>+Tabla1[[#This Row],[mto_devenga_03]]</f>
        <v>0</v>
      </c>
      <c r="DN12" s="78">
        <f>+Tabla1[[#This Row],[mto_devenga_04]]</f>
        <v>4988.55</v>
      </c>
      <c r="DO12" s="78">
        <f>+Tabla1[[#This Row],[mto_devenga_05]]</f>
        <v>0</v>
      </c>
      <c r="DP12" s="76">
        <f>+Tabla1[[#This Row],[mto_devenga_06]]</f>
        <v>0</v>
      </c>
      <c r="DQ12" s="76">
        <f>+Tabla1[[#This Row],[mto_devenga_07]]</f>
        <v>4884.63</v>
      </c>
      <c r="DR12" s="76">
        <f>+Tabla1[[#This Row],[mto_devenga_08]]</f>
        <v>0</v>
      </c>
      <c r="DS12" s="76">
        <f>+Tabla1[[#This Row],[mto_devenga_09]]</f>
        <v>1454.88</v>
      </c>
      <c r="DT12" s="76">
        <f>IFERROR(VLOOKUP(Tabla1[[#This Row],[COD SE]],PF_OCTUBRE,14,0),"0")</f>
        <v>0</v>
      </c>
      <c r="DU12" s="76">
        <f>IFERROR(VLOOKUP(Tabla1[[#This Row],[COD SE]],PF_OCTUBRE,15,0),"0")</f>
        <v>0</v>
      </c>
      <c r="DV12" s="76">
        <f>IFERROR(VLOOKUP(Tabla1[[#This Row],[COD SE]],PF_OCTUBRE,16,0),"0")</f>
        <v>0</v>
      </c>
      <c r="DW12" s="76">
        <f>+SUM(Tabla1[[#This Row],[EJECUTADO 01]:[PF DICIEMBRE
]])</f>
        <v>11328.060000000001</v>
      </c>
      <c r="DX12" s="76">
        <f>IFERROR(VLOOKUP(Tabla1[[#This Row],[COD SE]],PF_OCTUBRE,18,0),"0")</f>
        <v>0</v>
      </c>
      <c r="DY12" s="76">
        <f>IFERROR(VLOOKUP(Tabla1[[#This Row],[COD SE]],PF_OCTUBRE,19,0),"0")</f>
        <v>0.94</v>
      </c>
      <c r="DZ12" s="76">
        <f>IFERROR(VLOOKUP(Tabla1[[#This Row],[COD SE]],PF_OCTUBRE,20,0),"0")</f>
        <v>0.94</v>
      </c>
      <c r="EA12" s="76">
        <f>+Tabla1[[#This Row],[TOTAL EJEC REAL]]+Tabla1[[#This Row],[SALDO FINAL]]</f>
        <v>11329.000000000002</v>
      </c>
      <c r="EB12" s="76">
        <f>IFERROR(VLOOKUP(Tabla1[[#This Row],[COD SE]],PF_OCTUBRE,22,0),"0")</f>
        <v>0.94</v>
      </c>
      <c r="EC12" s="76">
        <f>+IFERROR(VLOOKUP(Tabla1[[#This Row],[COD SE]],SALDO_ESC_2,7,0),0)</f>
        <v>0</v>
      </c>
      <c r="ED12" s="76">
        <f>+IFERROR(VLOOKUP(Tabla1[[#This Row],[COD SE]],SALDO_ESC_3,7,0),0)</f>
        <v>0.94</v>
      </c>
      <c r="EE12" s="76">
        <f>+Tabla1[[#This Row],[mto_pim]]-Tabla1[[#This Row],[TRANSF ESC2 ]]</f>
        <v>11329</v>
      </c>
      <c r="EF12" s="76">
        <f>+Tabla1[[#This Row],[mto_pim]]-Tabla1[[#This Row],[TRANFS ESC 3 ]]</f>
        <v>11328.06</v>
      </c>
      <c r="EG12" s="76">
        <f>+IFERROR(VLOOKUP(Tabla1[[#This Row],[COD SE]],HISTORICO,4,0),0)</f>
        <v>0</v>
      </c>
      <c r="EH12" s="76">
        <f>+IFERROR(VLOOKUP(Tabla1[[#This Row],[COD SE]],HISTORICO,5,0),0)</f>
        <v>0</v>
      </c>
      <c r="EI12" s="76">
        <f>+IFERROR(VLOOKUP(Tabla1[[#This Row],[COD SE]],HISTORICO,6,0),0)</f>
        <v>4989</v>
      </c>
      <c r="EJ12" s="76">
        <f>+IFERROR(VLOOKUP(Tabla1[[#This Row],[COD SE]],HISTORICO,7,0),0)</f>
        <v>4989</v>
      </c>
      <c r="EK12" s="76">
        <f>+IFERROR(VLOOKUP(Tabla1[[#This Row],[COD SE]],HISTORICO,8,0),0)</f>
        <v>0</v>
      </c>
      <c r="EL12" s="76">
        <f>+IFERROR(VLOOKUP(Tabla1[[#This Row],[COD SE]],HISTORICO,9,0),0)</f>
        <v>0</v>
      </c>
      <c r="EM12" s="76">
        <f>+IFERROR(VLOOKUP(Tabla1[[#This Row],[COD SE]],HISTORICO,10,0),0)</f>
        <v>0</v>
      </c>
      <c r="EN12" s="76">
        <f>+IFERROR(VLOOKUP(Tabla1[[#This Row],[COD SE]],HISTORICO,11,0),0)</f>
        <v>0</v>
      </c>
      <c r="EO12" s="76">
        <f>+IFERROR(VLOOKUP(Tabla1[[#This Row],[COD SE]],HISTORICO,12,0),0)</f>
        <v>1455.37</v>
      </c>
      <c r="EP12" s="58">
        <f>+SUM(Tabla1[[#This Row],[EJECUTADO 01]:[EJECUTADO 03]])</f>
        <v>0</v>
      </c>
      <c r="EQ12" s="58">
        <f>+SUM(Tabla1[[#This Row],[EJECUTADO 04]:[EJECUTADO 06]])</f>
        <v>4988.55</v>
      </c>
      <c r="ER12" s="58">
        <f>+SUM(Tabla1[[#This Row],[EJECUTADO 07]:[EJECUTADO 09]])</f>
        <v>6339.51</v>
      </c>
      <c r="ES12" s="58">
        <f>+SUM(Tabla1[[#This Row],[PF OCTUBRE]:[PF DICIEMBRE
]])</f>
        <v>0</v>
      </c>
      <c r="ET12" s="58">
        <f>+SUM(Tabla1[[#This Row],[EJECUTADO 01]:[EJECUTADO 09]])</f>
        <v>11328.060000000001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1656</v>
      </c>
      <c r="AD13" s="369" t="s">
        <v>2006</v>
      </c>
      <c r="AE13" s="369" t="s">
        <v>2007</v>
      </c>
      <c r="AF13" s="369" t="s">
        <v>2007</v>
      </c>
      <c r="AG13" s="369" t="s">
        <v>2009</v>
      </c>
      <c r="AH13" s="369">
        <v>0</v>
      </c>
      <c r="AI13" s="369">
        <v>16305</v>
      </c>
      <c r="AJ13" s="369">
        <v>16305</v>
      </c>
      <c r="AK13" s="370">
        <v>13291</v>
      </c>
      <c r="AL13" s="370">
        <v>13291</v>
      </c>
      <c r="AM13" s="370">
        <v>0</v>
      </c>
      <c r="AN13" s="370">
        <v>0</v>
      </c>
      <c r="AO13" s="370">
        <v>0</v>
      </c>
      <c r="AP13" s="370">
        <v>3936.19</v>
      </c>
      <c r="AQ13" s="370">
        <v>2678.8</v>
      </c>
      <c r="AR13" s="370">
        <v>0</v>
      </c>
      <c r="AS13" s="370">
        <v>1525.61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3936.19</v>
      </c>
      <c r="BC13" s="370">
        <v>2678.8</v>
      </c>
      <c r="BD13" s="370">
        <v>0</v>
      </c>
      <c r="BE13" s="370">
        <v>1525.61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3936.19</v>
      </c>
      <c r="BO13" s="370">
        <v>2678.8</v>
      </c>
      <c r="BP13" s="370">
        <v>0</v>
      </c>
      <c r="BQ13" s="370">
        <v>1525.61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3936.19</v>
      </c>
      <c r="CA13" s="370">
        <v>2678.8</v>
      </c>
      <c r="CB13" s="370">
        <v>0</v>
      </c>
      <c r="CC13" s="370">
        <v>1525.61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1990</v>
      </c>
      <c r="CK13" s="48" t="s">
        <v>1993</v>
      </c>
      <c r="CL13" s="48" t="s">
        <v>1990</v>
      </c>
      <c r="CM13" s="48" t="s">
        <v>1990</v>
      </c>
      <c r="CN13" s="48" t="s">
        <v>1990</v>
      </c>
      <c r="CO13" s="48" t="str">
        <f t="shared" si="16"/>
        <v>2.1.4.1.1.1</v>
      </c>
      <c r="CP13" s="48" t="str">
        <f>+VLOOKUP(Tabla1[[#This Row],[ESPECÍFICA]],CLASIFICADOR_,2,0)</f>
        <v>2.1.4.1.1.1 - COMPENSACION POR TIEMPO DE SERVICIOS DEL REGIMEN LABORAL PRIVADO Y REGIMEN DEL SERVICIO CIVIL</v>
      </c>
      <c r="CQ13" s="48" t="str">
        <f>+VLOOKUP(Tabla1[[#This Row],[ESPECÍFICA]],CLASIFICADOR_,3,0)</f>
        <v>02.SERVIR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2.1.PERSONAL Y OBLIGACIONES SOCIALES</v>
      </c>
      <c r="CX13" s="48" t="str">
        <f t="shared" si="5"/>
        <v>0002-DCEME</v>
      </c>
      <c r="CY13" s="113" t="str">
        <f t="shared" si="6"/>
        <v>0002-DCEME (CEAM, FP)</v>
      </c>
      <c r="CZ13" s="20" t="str">
        <f t="shared" si="7"/>
        <v>0002-DCEME (IEVCEAM, G CEAM, FP)</v>
      </c>
      <c r="DA13" s="113" t="str">
        <f>+CONCATENATE(Tabla1[[#This Row],[CC COMPLETO]],Tabla1[[#This Row],[ESPECÍFICA]])</f>
        <v>0002-DCEME2.1.4.1.1.1</v>
      </c>
      <c r="DB13" s="49">
        <f t="shared" si="8"/>
        <v>8140.5999999999995</v>
      </c>
      <c r="DC13" s="49">
        <f t="shared" si="9"/>
        <v>8140.5999999999995</v>
      </c>
      <c r="DD13" s="49">
        <f t="shared" si="10"/>
        <v>8140.5999999999995</v>
      </c>
      <c r="DE13" s="49">
        <f t="shared" si="11"/>
        <v>3014</v>
      </c>
      <c r="DF13" s="49">
        <f t="shared" si="12"/>
        <v>0</v>
      </c>
      <c r="DG13" s="49">
        <f t="shared" si="13"/>
        <v>5150.4000000000005</v>
      </c>
      <c r="DH13" s="49">
        <f t="shared" si="14"/>
        <v>8164.4000000000005</v>
      </c>
      <c r="DI13" s="50">
        <f t="shared" si="15"/>
        <v>0</v>
      </c>
      <c r="DJ13" s="78">
        <f>+SUM(Tabla1[[#This Row],[EJECUTADO 01]:[EJECUTADO 06]])</f>
        <v>6614.99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3936.19</v>
      </c>
      <c r="DO13" s="78">
        <f>+Tabla1[[#This Row],[mto_devenga_05]]</f>
        <v>2678.8</v>
      </c>
      <c r="DP13" s="76">
        <f>+Tabla1[[#This Row],[mto_devenga_06]]</f>
        <v>0</v>
      </c>
      <c r="DQ13" s="76">
        <f>+Tabla1[[#This Row],[mto_devenga_07]]</f>
        <v>1525.61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8164.4</v>
      </c>
      <c r="DV13" s="76">
        <f>IFERROR(VLOOKUP(Tabla1[[#This Row],[COD SE]],PF_OCTUBRE,16,0),"0")</f>
        <v>0</v>
      </c>
      <c r="DW13" s="76">
        <f>+SUM(Tabla1[[#This Row],[EJECUTADO 01]:[PF DICIEMBRE
]])</f>
        <v>16305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16305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16305</v>
      </c>
      <c r="EF13" s="76">
        <f>+Tabla1[[#This Row],[mto_pim]]-Tabla1[[#This Row],[TRANFS ESC 3 ]]</f>
        <v>16305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9354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6614.99</v>
      </c>
      <c r="ER13" s="58">
        <f>+SUM(Tabla1[[#This Row],[EJECUTADO 07]:[EJECUTADO 09]])</f>
        <v>1525.61</v>
      </c>
      <c r="ES13" s="58">
        <f>+SUM(Tabla1[[#This Row],[PF OCTUBRE]:[PF DICIEMBRE
]])</f>
        <v>8164.4</v>
      </c>
      <c r="ET13" s="58">
        <f>+SUM(Tabla1[[#This Row],[EJECUTADO 01]:[EJECUTADO 09]])</f>
        <v>8140.5999999999995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1657</v>
      </c>
      <c r="AE14" s="369" t="s">
        <v>1660</v>
      </c>
      <c r="AF14" s="369" t="s">
        <v>1661</v>
      </c>
      <c r="AG14" s="369" t="s">
        <v>1663</v>
      </c>
      <c r="AH14" s="369">
        <v>2771020</v>
      </c>
      <c r="AI14" s="369">
        <v>-747229</v>
      </c>
      <c r="AJ14" s="369">
        <v>2023791</v>
      </c>
      <c r="AK14" s="370">
        <v>1846790.34</v>
      </c>
      <c r="AL14" s="370">
        <v>1845072.69</v>
      </c>
      <c r="AM14" s="370">
        <v>194478.73</v>
      </c>
      <c r="AN14" s="370">
        <v>122929.97</v>
      </c>
      <c r="AO14" s="370">
        <v>121293.23</v>
      </c>
      <c r="AP14" s="370">
        <v>122428.38</v>
      </c>
      <c r="AQ14" s="370">
        <v>144928.38</v>
      </c>
      <c r="AR14" s="370">
        <v>143837.88</v>
      </c>
      <c r="AS14" s="370">
        <v>143030.29</v>
      </c>
      <c r="AT14" s="370">
        <v>143462.57999999999</v>
      </c>
      <c r="AU14" s="370">
        <v>143939.64000000001</v>
      </c>
      <c r="AV14" s="370">
        <v>194386.23</v>
      </c>
      <c r="AW14" s="370">
        <v>0</v>
      </c>
      <c r="AX14" s="370">
        <v>0</v>
      </c>
      <c r="AY14" s="370">
        <v>196038.88</v>
      </c>
      <c r="AZ14" s="370">
        <v>122929.97</v>
      </c>
      <c r="BA14" s="370">
        <v>121293.23</v>
      </c>
      <c r="BB14" s="370">
        <v>120868.23</v>
      </c>
      <c r="BC14" s="370">
        <v>144928.38</v>
      </c>
      <c r="BD14" s="370">
        <v>143837.88</v>
      </c>
      <c r="BE14" s="370">
        <v>143187.79</v>
      </c>
      <c r="BF14" s="370">
        <v>143305.07999999999</v>
      </c>
      <c r="BG14" s="370">
        <v>143939.64000000001</v>
      </c>
      <c r="BH14" s="370">
        <v>194386.23</v>
      </c>
      <c r="BI14" s="370">
        <v>0</v>
      </c>
      <c r="BJ14" s="370">
        <v>0</v>
      </c>
      <c r="BK14" s="370">
        <v>195674.74</v>
      </c>
      <c r="BL14" s="370">
        <v>123294.11</v>
      </c>
      <c r="BM14" s="370">
        <v>121293.23</v>
      </c>
      <c r="BN14" s="370">
        <v>110083.24</v>
      </c>
      <c r="BO14" s="370">
        <v>155713.37</v>
      </c>
      <c r="BP14" s="370">
        <v>143837.88</v>
      </c>
      <c r="BQ14" s="370">
        <v>143187.79</v>
      </c>
      <c r="BR14" s="370">
        <v>143305.07999999999</v>
      </c>
      <c r="BS14" s="370">
        <v>143939.64000000001</v>
      </c>
      <c r="BT14" s="370">
        <v>183182.39</v>
      </c>
      <c r="BU14" s="370">
        <v>0</v>
      </c>
      <c r="BV14" s="370">
        <v>0</v>
      </c>
      <c r="BW14" s="370">
        <v>196038.88</v>
      </c>
      <c r="BX14" s="370">
        <v>122929.97</v>
      </c>
      <c r="BY14" s="370">
        <v>121293.23</v>
      </c>
      <c r="BZ14" s="370">
        <v>122428.38</v>
      </c>
      <c r="CA14" s="370">
        <v>144928.38</v>
      </c>
      <c r="CB14" s="370">
        <v>143837.88</v>
      </c>
      <c r="CC14" s="370">
        <v>143187.79</v>
      </c>
      <c r="CD14" s="370">
        <v>143305.07999999999</v>
      </c>
      <c r="CE14" s="370">
        <v>143939.64000000001</v>
      </c>
      <c r="CF14" s="370">
        <v>183182.39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1990</v>
      </c>
      <c r="CL14" s="48" t="s">
        <v>2010</v>
      </c>
      <c r="CM14" s="48" t="s">
        <v>1990</v>
      </c>
      <c r="CN14" s="48" t="s">
        <v>1987</v>
      </c>
      <c r="CO14" s="48" t="str">
        <f t="shared" si="16"/>
        <v>2.1.1.13.1.2</v>
      </c>
      <c r="CP14" s="48" t="str">
        <f>+VLOOKUP(Tabla1[[#This Row],[ESPECÍFICA]],CLASIFICADOR_,2,0)</f>
        <v>2.1.1.13.1.2 - CONTRATO ADMINISTRATIVO DE SERVICIOS - TRANSITORIO</v>
      </c>
      <c r="CQ14" s="48" t="str">
        <f>+VLOOKUP(Tabla1[[#This Row],[ESPECÍFICA]],CLASIFICADOR_,3,0)</f>
        <v>01.CAS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5"/>
        <v>0002-DCEME</v>
      </c>
      <c r="CY14" s="113" t="str">
        <f t="shared" si="6"/>
        <v>0002-DCEME (CEAM, FP)</v>
      </c>
      <c r="CZ14" s="20" t="str">
        <f t="shared" si="7"/>
        <v>0002-DCEME (IEVCEAM, G CEAM, FP)</v>
      </c>
      <c r="DA14" s="113" t="str">
        <f>+CONCATENATE(Tabla1[[#This Row],[CC COMPLETO]],Tabla1[[#This Row],[ESPECÍFICA]])</f>
        <v>0002-DCEME2.1.1.13.1.2</v>
      </c>
      <c r="DB14" s="49">
        <f t="shared" si="8"/>
        <v>1474715.31</v>
      </c>
      <c r="DC14" s="49">
        <f t="shared" si="9"/>
        <v>1474715.31</v>
      </c>
      <c r="DD14" s="49">
        <f t="shared" si="10"/>
        <v>1463511.4700000002</v>
      </c>
      <c r="DE14" s="49">
        <f t="shared" si="11"/>
        <v>177000.65999999992</v>
      </c>
      <c r="DF14" s="49">
        <f t="shared" si="12"/>
        <v>1717.6500000001397</v>
      </c>
      <c r="DG14" s="49">
        <f t="shared" si="13"/>
        <v>370357.37999999989</v>
      </c>
      <c r="DH14" s="49">
        <f t="shared" si="14"/>
        <v>549075.68999999994</v>
      </c>
      <c r="DI14" s="50">
        <f t="shared" si="15"/>
        <v>0.53219222885435691</v>
      </c>
      <c r="DJ14" s="78">
        <f>+SUM(Tabla1[[#This Row],[EJECUTADO 01]:[EJECUTADO 06]])</f>
        <v>849896.57</v>
      </c>
      <c r="DK14" s="78">
        <f>+Tabla1[[#This Row],[mto_devenga_01]]</f>
        <v>196038.88</v>
      </c>
      <c r="DL14" s="78">
        <f>+Tabla1[[#This Row],[mto_devenga_02]]</f>
        <v>122929.97</v>
      </c>
      <c r="DM14" s="78">
        <f>+Tabla1[[#This Row],[mto_devenga_03]]</f>
        <v>121293.23</v>
      </c>
      <c r="DN14" s="78">
        <f>+Tabla1[[#This Row],[mto_devenga_04]]</f>
        <v>120868.23</v>
      </c>
      <c r="DO14" s="78">
        <f>+Tabla1[[#This Row],[mto_devenga_05]]</f>
        <v>144928.38</v>
      </c>
      <c r="DP14" s="76">
        <f>+Tabla1[[#This Row],[mto_devenga_06]]</f>
        <v>143837.88</v>
      </c>
      <c r="DQ14" s="76">
        <f>+Tabla1[[#This Row],[mto_devenga_07]]</f>
        <v>143187.79</v>
      </c>
      <c r="DR14" s="76">
        <f>+Tabla1[[#This Row],[mto_devenga_08]]</f>
        <v>143305.07999999999</v>
      </c>
      <c r="DS14" s="76">
        <f>+Tabla1[[#This Row],[mto_devenga_09]]</f>
        <v>143939.64000000001</v>
      </c>
      <c r="DT14" s="76">
        <f>IFERROR(VLOOKUP(Tabla1[[#This Row],[COD SE]],PF_OCTUBRE,14,0),"0")</f>
        <v>146783.80000000002</v>
      </c>
      <c r="DU14" s="76">
        <f>IFERROR(VLOOKUP(Tabla1[[#This Row],[COD SE]],PF_OCTUBRE,15,0),"0")</f>
        <v>146783.80000000002</v>
      </c>
      <c r="DV14" s="76">
        <f>IFERROR(VLOOKUP(Tabla1[[#This Row],[COD SE]],PF_OCTUBRE,16,0),"0")</f>
        <v>146783.80000000002</v>
      </c>
      <c r="DW14" s="76">
        <f>+SUM(Tabla1[[#This Row],[EJECUTADO 01]:[PF DICIEMBRE
]])</f>
        <v>1720680.4800000002</v>
      </c>
      <c r="DX14" s="76">
        <f>IFERROR(VLOOKUP(Tabla1[[#This Row],[COD SE]],PF_OCTUBRE,18,0),"0")</f>
        <v>0</v>
      </c>
      <c r="DY14" s="76">
        <f>IFERROR(VLOOKUP(Tabla1[[#This Row],[COD SE]],PF_OCTUBRE,19,0),"0")</f>
        <v>126110.52000000003</v>
      </c>
      <c r="DZ14" s="76">
        <f>IFERROR(VLOOKUP(Tabla1[[#This Row],[COD SE]],PF_OCTUBRE,20,0),"0")</f>
        <v>126110.52000000003</v>
      </c>
      <c r="EA14" s="76">
        <f>+Tabla1[[#This Row],[TOTAL EJEC REAL]]+Tabla1[[#This Row],[SALDO FINAL]]</f>
        <v>1846791.0000000002</v>
      </c>
      <c r="EB14" s="76">
        <f>IFERROR(VLOOKUP(Tabla1[[#This Row],[COD SE]],PF_OCTUBRE,22,0),"0")</f>
        <v>272894.32</v>
      </c>
      <c r="EC14" s="76">
        <f>+IFERROR(VLOOKUP(Tabla1[[#This Row],[COD SE]],SALDO_ESC_2,7,0),0)</f>
        <v>0</v>
      </c>
      <c r="ED14" s="76">
        <f>+IFERROR(VLOOKUP(Tabla1[[#This Row],[COD SE]],SALDO_ESC_3,7,0),0)</f>
        <v>126110.52000000003</v>
      </c>
      <c r="EE14" s="76">
        <f>+Tabla1[[#This Row],[mto_pim]]-Tabla1[[#This Row],[TRANSF ESC2 ]]</f>
        <v>2023791</v>
      </c>
      <c r="EF14" s="76">
        <f>+Tabla1[[#This Row],[mto_pim]]-Tabla1[[#This Row],[TRANFS ESC 3 ]]</f>
        <v>1897680.48</v>
      </c>
      <c r="EG14" s="76">
        <f>+IFERROR(VLOOKUP(Tabla1[[#This Row],[COD SE]],HISTORICO,4,0),0)</f>
        <v>200189.89000000004</v>
      </c>
      <c r="EH14" s="76">
        <f>+IFERROR(VLOOKUP(Tabla1[[#This Row],[COD SE]],HISTORICO,5,0),0)</f>
        <v>200189.89000000004</v>
      </c>
      <c r="EI14" s="76">
        <f>+IFERROR(VLOOKUP(Tabla1[[#This Row],[COD SE]],HISTORICO,6,0),0)</f>
        <v>200189.89000000004</v>
      </c>
      <c r="EJ14" s="76">
        <f>+IFERROR(VLOOKUP(Tabla1[[#This Row],[COD SE]],HISTORICO,7,0),0)</f>
        <v>123991.23000000003</v>
      </c>
      <c r="EK14" s="76">
        <f>+IFERROR(VLOOKUP(Tabla1[[#This Row],[COD SE]],HISTORICO,8,0),0)</f>
        <v>155164.71000000002</v>
      </c>
      <c r="EL14" s="76">
        <f>+IFERROR(VLOOKUP(Tabla1[[#This Row],[COD SE]],HISTORICO,9,0),0)</f>
        <v>146783.80000000002</v>
      </c>
      <c r="EM14" s="76">
        <f>+IFERROR(VLOOKUP(Tabla1[[#This Row],[COD SE]],HISTORICO,10,0),0)</f>
        <v>146783.80000000002</v>
      </c>
      <c r="EN14" s="76">
        <f>+IFERROR(VLOOKUP(Tabla1[[#This Row],[COD SE]],HISTORICO,11,0),0)</f>
        <v>146783.80000000002</v>
      </c>
      <c r="EO14" s="76">
        <f>+IFERROR(VLOOKUP(Tabla1[[#This Row],[COD SE]],HISTORICO,12,0),0)</f>
        <v>146783.80000000002</v>
      </c>
      <c r="EP14" s="58">
        <f>+SUM(Tabla1[[#This Row],[EJECUTADO 01]:[EJECUTADO 03]])</f>
        <v>440262.07999999996</v>
      </c>
      <c r="EQ14" s="58">
        <f>+SUM(Tabla1[[#This Row],[EJECUTADO 04]:[EJECUTADO 06]])</f>
        <v>409634.49</v>
      </c>
      <c r="ER14" s="58">
        <f>+SUM(Tabla1[[#This Row],[EJECUTADO 07]:[EJECUTADO 09]])</f>
        <v>430432.51</v>
      </c>
      <c r="ES14" s="58">
        <f>+SUM(Tabla1[[#This Row],[PF OCTUBRE]:[PF DICIEMBRE
]])</f>
        <v>440351.4</v>
      </c>
      <c r="ET14" s="58">
        <f>+SUM(Tabla1[[#This Row],[EJECUTADO 01]:[EJECUTADO 09]])</f>
        <v>1280329.08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1678</v>
      </c>
      <c r="AF15" s="369" t="s">
        <v>1810</v>
      </c>
      <c r="AG15" s="369" t="s">
        <v>1812</v>
      </c>
      <c r="AH15" s="369">
        <v>0</v>
      </c>
      <c r="AI15" s="369">
        <v>1000</v>
      </c>
      <c r="AJ15" s="369">
        <v>1000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70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>
        <v>0</v>
      </c>
      <c r="CF15" s="370">
        <v>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1989</v>
      </c>
      <c r="CM15" s="48" t="s">
        <v>2011</v>
      </c>
      <c r="CN15" s="48" t="s">
        <v>1992</v>
      </c>
      <c r="CO15" s="48" t="str">
        <f t="shared" si="16"/>
        <v>2.3.2.7.5.8</v>
      </c>
      <c r="CP15" s="48" t="str">
        <f>+VLOOKUP(Tabla1[[#This Row],[ESPECÍFICA]],CLASIFICADOR_,2,0)</f>
        <v>2.3.2.7.5.8 - CONTRIBUCIONES A LOS SEGUROS DE SALUD</v>
      </c>
      <c r="CQ15" s="48" t="str">
        <f>+VLOOKUP(Tabla1[[#This Row],[ESPECÍFICA]],CLASIFICADOR_,3,0)</f>
        <v>2.3.2.7 - SERVICIOS PROFESIONALES Y TECNICOS</v>
      </c>
      <c r="CR15" s="48" t="str">
        <f>+VLOOKUP(Tabla1[[#This Row],[ESPECÍFICA]],CLASIFICADOR_,4,0)</f>
        <v xml:space="preserve"> </v>
      </c>
      <c r="CS15" s="48">
        <f>+VLOOKUP(Tabla1[[#This Row],[ESPECÍFICA]],CLASIFICADOR_,5,0)</f>
        <v>0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5"/>
        <v>0002-DCEME</v>
      </c>
      <c r="CY15" s="113" t="str">
        <f t="shared" si="6"/>
        <v>0002-DCEME (CEAM, FP)</v>
      </c>
      <c r="CZ15" s="20" t="str">
        <f t="shared" si="7"/>
        <v>0002-DCEME (IEVCEAM, G CEAM, FP)</v>
      </c>
      <c r="DA15" s="113" t="str">
        <f>+CONCATENATE(Tabla1[[#This Row],[CC COMPLETO]],Tabla1[[#This Row],[ESPECÍFICA]])</f>
        <v>0002-DCEME2.3.2.7.5.8</v>
      </c>
      <c r="DB15" s="49">
        <f t="shared" si="8"/>
        <v>0</v>
      </c>
      <c r="DC15" s="49">
        <f t="shared" si="9"/>
        <v>0</v>
      </c>
      <c r="DD15" s="49">
        <f t="shared" si="10"/>
        <v>0</v>
      </c>
      <c r="DE15" s="49">
        <f t="shared" si="11"/>
        <v>1000</v>
      </c>
      <c r="DF15" s="49">
        <f t="shared" si="12"/>
        <v>0</v>
      </c>
      <c r="DG15" s="49">
        <f t="shared" si="13"/>
        <v>0</v>
      </c>
      <c r="DH15" s="49">
        <f t="shared" si="14"/>
        <v>1000</v>
      </c>
      <c r="DI15" s="50">
        <f t="shared" si="15"/>
        <v>0</v>
      </c>
      <c r="DJ15" s="78">
        <f>+SUM(Tabla1[[#This Row],[EJECUTADO 01]:[EJECUTADO 06]])</f>
        <v>0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0</v>
      </c>
      <c r="DO15" s="78">
        <f>+Tabla1[[#This Row],[mto_devenga_05]]</f>
        <v>0</v>
      </c>
      <c r="DP15" s="76">
        <f>+Tabla1[[#This Row],[mto_devenga_06]]</f>
        <v>0</v>
      </c>
      <c r="DQ15" s="76">
        <f>+Tabla1[[#This Row],[mto_devenga_07]]</f>
        <v>0</v>
      </c>
      <c r="DR15" s="76">
        <f>+Tabla1[[#This Row],[mto_devenga_08]]</f>
        <v>0</v>
      </c>
      <c r="DS15" s="76">
        <f>+Tabla1[[#This Row],[mto_devenga_09]]</f>
        <v>0</v>
      </c>
      <c r="DT15" s="76">
        <f>IFERROR(VLOOKUP(Tabla1[[#This Row],[COD SE]],PF_OCTUBRE,14,0),"0")</f>
        <v>0</v>
      </c>
      <c r="DU15" s="76">
        <f>IFERROR(VLOOKUP(Tabla1[[#This Row],[COD SE]],PF_OCTUBRE,15,0),"0")</f>
        <v>1000</v>
      </c>
      <c r="DV15" s="76">
        <f>IFERROR(VLOOKUP(Tabla1[[#This Row],[COD SE]],PF_OCTUBRE,16,0),"0")</f>
        <v>0</v>
      </c>
      <c r="DW15" s="76">
        <f>+SUM(Tabla1[[#This Row],[EJECUTADO 01]:[PF DICIEMBRE
]])</f>
        <v>1000</v>
      </c>
      <c r="DX15" s="76">
        <f>IFERROR(VLOOKUP(Tabla1[[#This Row],[COD SE]],PF_OCTUBRE,18,0),"0")</f>
        <v>0</v>
      </c>
      <c r="DY15" s="76">
        <f>IFERROR(VLOOKUP(Tabla1[[#This Row],[COD SE]],PF_OCTUBRE,19,0),"0")</f>
        <v>0</v>
      </c>
      <c r="DZ15" s="76">
        <f>IFERROR(VLOOKUP(Tabla1[[#This Row],[COD SE]],PF_OCTUBRE,20,0),"0")</f>
        <v>0</v>
      </c>
      <c r="EA15" s="76">
        <f>+Tabla1[[#This Row],[TOTAL EJEC REAL]]+Tabla1[[#This Row],[SALDO FINAL]]</f>
        <v>1000</v>
      </c>
      <c r="EB15" s="76">
        <f>IFERROR(VLOOKUP(Tabla1[[#This Row],[COD SE]],PF_OCTUBRE,22,0),"0")</f>
        <v>0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1000</v>
      </c>
      <c r="EF15" s="76">
        <f>+Tabla1[[#This Row],[mto_pim]]-Tabla1[[#This Row],[TRANFS ESC 3 ]]</f>
        <v>1000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0</v>
      </c>
      <c r="EO15" s="76">
        <f>+IFERROR(VLOOKUP(Tabla1[[#This Row],[COD SE]],HISTORICO,12,0),0)</f>
        <v>0</v>
      </c>
      <c r="EP15" s="58">
        <f>+SUM(Tabla1[[#This Row],[EJECUTADO 01]:[EJECUTADO 03]])</f>
        <v>0</v>
      </c>
      <c r="EQ15" s="58">
        <f>+SUM(Tabla1[[#This Row],[EJECUTADO 04]:[EJECUTADO 06]])</f>
        <v>0</v>
      </c>
      <c r="ER15" s="58">
        <f>+SUM(Tabla1[[#This Row],[EJECUTADO 07]:[EJECUTADO 09]])</f>
        <v>0</v>
      </c>
      <c r="ES15" s="58">
        <f>+SUM(Tabla1[[#This Row],[PF OCTUBRE]:[PF DICIEMBRE
]])</f>
        <v>1000</v>
      </c>
      <c r="ET15" s="58">
        <f>+SUM(Tabla1[[#This Row],[EJECUTADO 01]:[EJECUTADO 09]])</f>
        <v>0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1674</v>
      </c>
      <c r="AF16" s="369" t="s">
        <v>1675</v>
      </c>
      <c r="AG16" s="369" t="s">
        <v>1677</v>
      </c>
      <c r="AH16" s="369">
        <v>32180</v>
      </c>
      <c r="AI16" s="369">
        <v>-12614</v>
      </c>
      <c r="AJ16" s="369">
        <v>19566</v>
      </c>
      <c r="AK16" s="370">
        <v>11397.3</v>
      </c>
      <c r="AL16" s="370">
        <v>10728.3</v>
      </c>
      <c r="AM16" s="370">
        <v>0</v>
      </c>
      <c r="AN16" s="370">
        <v>0</v>
      </c>
      <c r="AO16" s="370">
        <v>0</v>
      </c>
      <c r="AP16" s="370">
        <v>2462</v>
      </c>
      <c r="AQ16" s="370">
        <v>0</v>
      </c>
      <c r="AR16" s="370">
        <v>0</v>
      </c>
      <c r="AS16" s="370">
        <v>476.8</v>
      </c>
      <c r="AT16" s="370">
        <v>2932.2</v>
      </c>
      <c r="AU16" s="370">
        <v>1670.3</v>
      </c>
      <c r="AV16" s="370">
        <v>3187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3200</v>
      </c>
      <c r="BC16" s="370">
        <v>-706.1</v>
      </c>
      <c r="BD16" s="370">
        <v>0</v>
      </c>
      <c r="BE16" s="370">
        <v>640</v>
      </c>
      <c r="BF16" s="370">
        <v>3631.8</v>
      </c>
      <c r="BG16" s="370">
        <v>798.6</v>
      </c>
      <c r="BH16" s="370">
        <v>3164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3200</v>
      </c>
      <c r="BO16" s="370">
        <v>-706.1</v>
      </c>
      <c r="BP16" s="370">
        <v>0</v>
      </c>
      <c r="BQ16" s="370">
        <v>640</v>
      </c>
      <c r="BR16" s="370">
        <v>3631.8</v>
      </c>
      <c r="BS16" s="370">
        <v>798.6</v>
      </c>
      <c r="BT16" s="370">
        <v>3164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3200</v>
      </c>
      <c r="CA16" s="370">
        <v>0</v>
      </c>
      <c r="CB16" s="370">
        <v>0</v>
      </c>
      <c r="CC16" s="370">
        <v>640</v>
      </c>
      <c r="CD16" s="370">
        <v>3866.7</v>
      </c>
      <c r="CE16" s="370">
        <v>1693.3</v>
      </c>
      <c r="CF16" s="370">
        <v>3240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1990</v>
      </c>
      <c r="CM16" s="48" t="s">
        <v>1987</v>
      </c>
      <c r="CN16" s="48" t="s">
        <v>1987</v>
      </c>
      <c r="CO16" s="48" t="str">
        <f t="shared" si="16"/>
        <v>2.3.2.1.2.2</v>
      </c>
      <c r="CP16" s="48" t="str">
        <f>+VLOOKUP(Tabla1[[#This Row],[ESPECÍFICA]],CLASIFICADOR_,2,0)</f>
        <v>2.3.2.1.2.2 - VIATICOS Y ASIGNACIONES POR COMISION DE SERVICIO</v>
      </c>
      <c r="CQ16" s="48" t="str">
        <f>+VLOOKUP(Tabla1[[#This Row],[ESPECÍFICA]],CLASIFICADOR_,3,0)</f>
        <v>2.3.2.1 - VIAJES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b)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5"/>
        <v>0002-DCEME</v>
      </c>
      <c r="CY16" s="113" t="str">
        <f t="shared" si="6"/>
        <v>0002-DCEME (CEAM, FP)</v>
      </c>
      <c r="CZ16" s="20" t="str">
        <f t="shared" si="7"/>
        <v>0002-DCEME (IEVCEAM, G CEAM, FP)</v>
      </c>
      <c r="DA16" s="113" t="str">
        <f>+CONCATENATE(Tabla1[[#This Row],[CC COMPLETO]],Tabla1[[#This Row],[ESPECÍFICA]])</f>
        <v>0002-DCEME2.3.2.1.2.2</v>
      </c>
      <c r="DB16" s="49">
        <f t="shared" si="8"/>
        <v>10728.3</v>
      </c>
      <c r="DC16" s="49">
        <f t="shared" si="9"/>
        <v>10728.300000000001</v>
      </c>
      <c r="DD16" s="49">
        <f t="shared" si="10"/>
        <v>10728.300000000001</v>
      </c>
      <c r="DE16" s="49">
        <f t="shared" si="11"/>
        <v>8168.7000000000007</v>
      </c>
      <c r="DF16" s="49">
        <f t="shared" si="12"/>
        <v>669</v>
      </c>
      <c r="DG16" s="49">
        <f t="shared" si="13"/>
        <v>0</v>
      </c>
      <c r="DH16" s="49">
        <f t="shared" si="14"/>
        <v>8837.6999999999989</v>
      </c>
      <c r="DI16" s="50">
        <f t="shared" si="15"/>
        <v>0.33338408949658177</v>
      </c>
      <c r="DJ16" s="78">
        <f>+SUM(Tabla1[[#This Row],[EJECUTADO 01]:[EJECUTADO 06]])</f>
        <v>2493.9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3200</v>
      </c>
      <c r="DO16" s="78">
        <f>+Tabla1[[#This Row],[mto_devenga_05]]</f>
        <v>-706.1</v>
      </c>
      <c r="DP16" s="76">
        <f>+Tabla1[[#This Row],[mto_devenga_06]]</f>
        <v>0</v>
      </c>
      <c r="DQ16" s="76">
        <f>+Tabla1[[#This Row],[mto_devenga_07]]</f>
        <v>640</v>
      </c>
      <c r="DR16" s="76">
        <f>+Tabla1[[#This Row],[mto_devenga_08]]</f>
        <v>3631.8</v>
      </c>
      <c r="DS16" s="76">
        <f>+Tabla1[[#This Row],[mto_devenga_09]]</f>
        <v>798.6</v>
      </c>
      <c r="DT16" s="76">
        <f>IFERROR(VLOOKUP(Tabla1[[#This Row],[COD SE]],PF_OCTUBRE,14,0),"0")</f>
        <v>0</v>
      </c>
      <c r="DU16" s="76">
        <f>IFERROR(VLOOKUP(Tabla1[[#This Row],[COD SE]],PF_OCTUBRE,15,0),"0")</f>
        <v>5120</v>
      </c>
      <c r="DV16" s="76">
        <f>IFERROR(VLOOKUP(Tabla1[[#This Row],[COD SE]],PF_OCTUBRE,16,0),"0")</f>
        <v>6881.4000000000015</v>
      </c>
      <c r="DW16" s="76">
        <f>+SUM(Tabla1[[#This Row],[EJECUTADO 01]:[PF DICIEMBRE
]])</f>
        <v>19565.700000000004</v>
      </c>
      <c r="DX16" s="76">
        <f>IFERROR(VLOOKUP(Tabla1[[#This Row],[COD SE]],PF_OCTUBRE,18,0),"0")</f>
        <v>0</v>
      </c>
      <c r="DY16" s="76">
        <f>IFERROR(VLOOKUP(Tabla1[[#This Row],[COD SE]],PF_OCTUBRE,19,0),"0")</f>
        <v>12614.3</v>
      </c>
      <c r="DZ16" s="76">
        <f>IFERROR(VLOOKUP(Tabla1[[#This Row],[COD SE]],PF_OCTUBRE,20,0),"0")</f>
        <v>12614.3</v>
      </c>
      <c r="EA16" s="76">
        <f>+Tabla1[[#This Row],[TOTAL EJEC REAL]]+Tabla1[[#This Row],[SALDO FINAL]]</f>
        <v>32180.000000000004</v>
      </c>
      <c r="EB16" s="76">
        <f>IFERROR(VLOOKUP(Tabla1[[#This Row],[COD SE]],PF_OCTUBRE,22,0),"0")</f>
        <v>19495.7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19566</v>
      </c>
      <c r="EF16" s="76">
        <f>+Tabla1[[#This Row],[mto_pim]]-Tabla1[[#This Row],[TRANFS ESC 3 ]]</f>
        <v>19566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1920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3133.9</v>
      </c>
      <c r="EO16" s="76">
        <f>+IFERROR(VLOOKUP(Tabla1[[#This Row],[COD SE]],HISTORICO,12,0),0)</f>
        <v>1280</v>
      </c>
      <c r="EP16" s="58">
        <f>+SUM(Tabla1[[#This Row],[EJECUTADO 01]:[EJECUTADO 03]])</f>
        <v>0</v>
      </c>
      <c r="EQ16" s="58">
        <f>+SUM(Tabla1[[#This Row],[EJECUTADO 04]:[EJECUTADO 06]])</f>
        <v>2493.9</v>
      </c>
      <c r="ER16" s="58">
        <f>+SUM(Tabla1[[#This Row],[EJECUTADO 07]:[EJECUTADO 09]])</f>
        <v>5070.4000000000005</v>
      </c>
      <c r="ES16" s="58">
        <f>+SUM(Tabla1[[#This Row],[PF OCTUBRE]:[PF DICIEMBRE
]])</f>
        <v>12001.400000000001</v>
      </c>
      <c r="ET16" s="58">
        <f>+SUM(Tabla1[[#This Row],[EJECUTADO 01]:[EJECUTADO 09]])</f>
        <v>7564.3000000000011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1707</v>
      </c>
      <c r="AG17" s="369" t="s">
        <v>1708</v>
      </c>
      <c r="AH17" s="369">
        <v>0</v>
      </c>
      <c r="AI17" s="369">
        <v>36000</v>
      </c>
      <c r="AJ17" s="369">
        <v>36000</v>
      </c>
      <c r="AK17" s="370">
        <v>36000</v>
      </c>
      <c r="AL17" s="370">
        <v>36000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36000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2010</v>
      </c>
      <c r="CN17" s="48" t="s">
        <v>2012</v>
      </c>
      <c r="CO17" s="48" t="str">
        <f t="shared" si="16"/>
        <v>2.3.2.7.13.98</v>
      </c>
      <c r="CP17" s="48" t="str">
        <f>+VLOOKUP(Tabla1[[#This Row],[ESPECÍFICA]],CLASIFICADOR_,2,0)</f>
        <v>2.3.2.7.13.98 - OTROS SERVICIOS TÉCNICOS Y PROFESIONALES DESARROLLADOS POR PERSONAS JURÍDICAS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 xml:space="preserve"> </v>
      </c>
      <c r="CS17" s="48">
        <f>+VLOOKUP(Tabla1[[#This Row],[ESPECÍFICA]],CLASIFICADOR_,5,0)</f>
        <v>0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5"/>
        <v>0002-DCEME</v>
      </c>
      <c r="CY17" s="113" t="str">
        <f t="shared" si="6"/>
        <v>0002-DCEME (CEAM, FP)</v>
      </c>
      <c r="CZ17" s="20" t="str">
        <f t="shared" si="7"/>
        <v>0002-DCEME (IEVCEAM, G CEAM, FP)</v>
      </c>
      <c r="DA17" s="113" t="str">
        <f>+CONCATENATE(Tabla1[[#This Row],[CC COMPLETO]],Tabla1[[#This Row],[ESPECÍFICA]])</f>
        <v>0002-DCEME2.3.2.7.13.98</v>
      </c>
      <c r="DB17" s="49">
        <f t="shared" si="8"/>
        <v>36000</v>
      </c>
      <c r="DC17" s="49">
        <f t="shared" si="9"/>
        <v>0</v>
      </c>
      <c r="DD17" s="49">
        <f t="shared" si="10"/>
        <v>0</v>
      </c>
      <c r="DE17" s="49">
        <f t="shared" si="11"/>
        <v>0</v>
      </c>
      <c r="DF17" s="49">
        <f t="shared" si="12"/>
        <v>0</v>
      </c>
      <c r="DG17" s="49">
        <f t="shared" si="13"/>
        <v>36000</v>
      </c>
      <c r="DH17" s="49">
        <f t="shared" si="14"/>
        <v>36000</v>
      </c>
      <c r="DI17" s="50">
        <f t="shared" si="15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0</v>
      </c>
      <c r="DV17" s="76">
        <f>IFERROR(VLOOKUP(Tabla1[[#This Row],[COD SE]],PF_OCTUBRE,16,0),"0")</f>
        <v>36000</v>
      </c>
      <c r="DW17" s="76">
        <f>+SUM(Tabla1[[#This Row],[EJECUTADO 01]:[PF DICIEMBRE
]])</f>
        <v>36000</v>
      </c>
      <c r="DX17" s="76">
        <f>IFERROR(VLOOKUP(Tabla1[[#This Row],[COD SE]],PF_OCTUBRE,18,0),"0")</f>
        <v>0</v>
      </c>
      <c r="DY17" s="76">
        <f>IFERROR(VLOOKUP(Tabla1[[#This Row],[COD SE]],PF_OCTUBRE,19,0),"0")</f>
        <v>0</v>
      </c>
      <c r="DZ17" s="76">
        <f>IFERROR(VLOOKUP(Tabla1[[#This Row],[COD SE]],PF_OCTUBRE,20,0),"0")</f>
        <v>0</v>
      </c>
      <c r="EA17" s="76">
        <f>+Tabla1[[#This Row],[TOTAL EJEC REAL]]+Tabla1[[#This Row],[SALDO FINAL]]</f>
        <v>36000</v>
      </c>
      <c r="EB17" s="76">
        <f>IFERROR(VLOOKUP(Tabla1[[#This Row],[COD SE]],PF_OCTUBRE,22,0),"0")</f>
        <v>36000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36000</v>
      </c>
      <c r="EF17" s="76">
        <f>+Tabla1[[#This Row],[mto_pim]]-Tabla1[[#This Row],[TRANFS ESC 3 ]]</f>
        <v>36000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36000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1672</v>
      </c>
      <c r="AD18" s="369" t="s">
        <v>1673</v>
      </c>
      <c r="AE18" s="369" t="s">
        <v>1678</v>
      </c>
      <c r="AF18" s="369" t="s">
        <v>1679</v>
      </c>
      <c r="AG18" s="369" t="s">
        <v>1696</v>
      </c>
      <c r="AH18" s="369">
        <v>0</v>
      </c>
      <c r="AI18" s="369">
        <v>5100</v>
      </c>
      <c r="AJ18" s="369">
        <v>5100</v>
      </c>
      <c r="AK18" s="370">
        <v>2180</v>
      </c>
      <c r="AL18" s="370">
        <v>500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500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1991</v>
      </c>
      <c r="CK18" s="48" t="s">
        <v>1987</v>
      </c>
      <c r="CL18" s="48" t="s">
        <v>1989</v>
      </c>
      <c r="CM18" s="48" t="s">
        <v>2013</v>
      </c>
      <c r="CN18" s="48" t="s">
        <v>1990</v>
      </c>
      <c r="CO18" s="48" t="str">
        <f t="shared" si="16"/>
        <v>2.3.2.7.10.1</v>
      </c>
      <c r="CP18" s="48" t="str">
        <f>+VLOOKUP(Tabla1[[#This Row],[ESPECÍFICA]],CLASIFICADOR_,2,0)</f>
        <v>2.3.2.7.10.1 - SEMINARIOS ,TALLERES Y SIMILARES ORGANIZADOS POR LA  INSTITUCION</v>
      </c>
      <c r="CQ18" s="48" t="str">
        <f>+VLOOKUP(Tabla1[[#This Row],[ESPECÍFICA]],CLASIFICADOR_,3,0)</f>
        <v>2.3.2.7 - SERVICIOS PROFESIONALES Y TECNICOS</v>
      </c>
      <c r="CR18" s="48" t="str">
        <f>+VLOOKUP(Tabla1[[#This Row],[ESPECÍFICA]],CLASIFICADOR_,4,0)</f>
        <v>Límite de Gasto</v>
      </c>
      <c r="CS18" s="48" t="str">
        <f>+VLOOKUP(Tabla1[[#This Row],[ESPECÍFICA]],CLASIFICADOR_,5,0)</f>
        <v>10.6 f)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2.3.BIENES Y SERVICIOS</v>
      </c>
      <c r="CX18" s="113" t="str">
        <f t="shared" si="5"/>
        <v>0002-DCEME</v>
      </c>
      <c r="CY18" s="113" t="str">
        <f t="shared" si="6"/>
        <v>0002-DCEME (CEAM, FP)</v>
      </c>
      <c r="CZ18" s="20" t="str">
        <f t="shared" si="7"/>
        <v>0002-DCEME (IEVCEAM, G CEAM, FP)</v>
      </c>
      <c r="DA18" s="113" t="str">
        <f>+CONCATENATE(Tabla1[[#This Row],[CC COMPLETO]],Tabla1[[#This Row],[ESPECÍFICA]])</f>
        <v>0002-DCEME2.3.2.7.10.1</v>
      </c>
      <c r="DB18" s="49">
        <f t="shared" si="8"/>
        <v>500</v>
      </c>
      <c r="DC18" s="49">
        <f t="shared" si="9"/>
        <v>0</v>
      </c>
      <c r="DD18" s="49">
        <f t="shared" si="10"/>
        <v>0</v>
      </c>
      <c r="DE18" s="49">
        <f t="shared" si="11"/>
        <v>2920</v>
      </c>
      <c r="DF18" s="49">
        <f t="shared" si="12"/>
        <v>1680</v>
      </c>
      <c r="DG18" s="49">
        <f t="shared" si="13"/>
        <v>500</v>
      </c>
      <c r="DH18" s="49">
        <f t="shared" si="14"/>
        <v>5100</v>
      </c>
      <c r="DI18" s="50">
        <f t="shared" si="15"/>
        <v>0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1500</v>
      </c>
      <c r="DV18" s="76">
        <f>IFERROR(VLOOKUP(Tabla1[[#This Row],[COD SE]],PF_OCTUBRE,16,0),"0")</f>
        <v>0</v>
      </c>
      <c r="DW18" s="76">
        <f>+SUM(Tabla1[[#This Row],[EJECUTADO 01]:[PF DICIEMBRE
]])</f>
        <v>1500</v>
      </c>
      <c r="DX18" s="76">
        <f>IFERROR(VLOOKUP(Tabla1[[#This Row],[COD SE]],PF_OCTUBRE,18,0),"0")</f>
        <v>0</v>
      </c>
      <c r="DY18" s="76">
        <f>IFERROR(VLOOKUP(Tabla1[[#This Row],[COD SE]],PF_OCTUBRE,19,0),"0")</f>
        <v>0</v>
      </c>
      <c r="DZ18" s="76">
        <f>IFERROR(VLOOKUP(Tabla1[[#This Row],[COD SE]],PF_OCTUBRE,20,0),"0")</f>
        <v>0</v>
      </c>
      <c r="EA18" s="76">
        <f>+Tabla1[[#This Row],[TOTAL EJEC REAL]]+Tabla1[[#This Row],[SALDO FINAL]]</f>
        <v>1500</v>
      </c>
      <c r="EB18" s="76">
        <f>IFERROR(VLOOKUP(Tabla1[[#This Row],[COD SE]],PF_OCTUBRE,22,0),"0")</f>
        <v>0</v>
      </c>
      <c r="EC18" s="76">
        <f>+IFERROR(VLOOKUP(Tabla1[[#This Row],[COD SE]],SALDO_ESC_2,7,0),0)</f>
        <v>0</v>
      </c>
      <c r="ED18" s="76">
        <f>+IFERROR(VLOOKUP(Tabla1[[#This Row],[COD SE]],SALDO_ESC_3,7,0),0)</f>
        <v>0</v>
      </c>
      <c r="EE18" s="76">
        <f>+Tabla1[[#This Row],[mto_pim]]-Tabla1[[#This Row],[TRANSF ESC2 ]]</f>
        <v>5100</v>
      </c>
      <c r="EF18" s="76">
        <f>+Tabla1[[#This Row],[mto_pim]]-Tabla1[[#This Row],[TRANFS ESC 3 ]]</f>
        <v>5100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0</v>
      </c>
      <c r="ES18" s="58">
        <f>+SUM(Tabla1[[#This Row],[PF OCTUBRE]:[PF DICIEMBRE
]])</f>
        <v>1500</v>
      </c>
      <c r="ET18" s="58">
        <f>+SUM(Tabla1[[#This Row],[EJECUTADO 01]:[EJECUTADO 09]])</f>
        <v>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1672</v>
      </c>
      <c r="AD19" s="369" t="s">
        <v>1673</v>
      </c>
      <c r="AE19" s="369" t="s">
        <v>1678</v>
      </c>
      <c r="AF19" s="369" t="s">
        <v>1679</v>
      </c>
      <c r="AG19" s="369" t="s">
        <v>1680</v>
      </c>
      <c r="AH19" s="369">
        <v>142600</v>
      </c>
      <c r="AI19" s="369">
        <v>-66373</v>
      </c>
      <c r="AJ19" s="369">
        <v>76227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>
        <v>0</v>
      </c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0</v>
      </c>
      <c r="AZ19" s="370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70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0">
        <v>0</v>
      </c>
      <c r="CF19" s="370">
        <v>0</v>
      </c>
      <c r="CG19" s="370">
        <v>0</v>
      </c>
      <c r="CH19" s="370">
        <v>0</v>
      </c>
      <c r="CI19" s="48" t="s">
        <v>1987</v>
      </c>
      <c r="CJ19" s="48" t="s">
        <v>1991</v>
      </c>
      <c r="CK19" s="48" t="s">
        <v>1987</v>
      </c>
      <c r="CL19" s="48" t="s">
        <v>1989</v>
      </c>
      <c r="CM19" s="48" t="s">
        <v>2013</v>
      </c>
      <c r="CN19" s="48" t="s">
        <v>1998</v>
      </c>
      <c r="CO19" s="48" t="str">
        <f t="shared" si="16"/>
        <v>2.3.2.7.10.99</v>
      </c>
      <c r="CP19" s="48" t="str">
        <f>+VLOOKUP(Tabla1[[#This Row],[ESPECÍFICA]],CLASIFICADOR_,2,0)</f>
        <v>2.3.2.7.10.99 - OTRAS ATENCIONES Y CELEBRACIONES</v>
      </c>
      <c r="CQ19" s="48" t="str">
        <f>+VLOOKUP(Tabla1[[#This Row],[ESPECÍFICA]],CLASIFICADOR_,3,0)</f>
        <v>2.3.2.7 - SERVICIOS PROFESIONALES Y TECNICOS</v>
      </c>
      <c r="CR19" s="48" t="str">
        <f>+VLOOKUP(Tabla1[[#This Row],[ESPECÍFICA]],CLASIFICADOR_,4,0)</f>
        <v>Límite de Gasto</v>
      </c>
      <c r="CS19" s="48" t="str">
        <f>+VLOOKUP(Tabla1[[#This Row],[ESPECÍFICA]],CLASIFICADOR_,5,0)</f>
        <v>10.6 f)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2.3.BIENES Y SERVICIOS</v>
      </c>
      <c r="CX19" s="48" t="str">
        <f t="shared" si="5"/>
        <v>0002-DCEME</v>
      </c>
      <c r="CY19" s="113" t="str">
        <f t="shared" si="6"/>
        <v>0002-DCEME (CEAM, FP)</v>
      </c>
      <c r="CZ19" s="20" t="str">
        <f t="shared" si="7"/>
        <v>0002-DCEME (IEVCEAM, G CEAM, FP)</v>
      </c>
      <c r="DA19" s="113" t="str">
        <f>+CONCATENATE(Tabla1[[#This Row],[CC COMPLETO]],Tabla1[[#This Row],[ESPECÍFICA]])</f>
        <v>0002-DCEME2.3.2.7.10.99</v>
      </c>
      <c r="DB19" s="49">
        <f t="shared" si="8"/>
        <v>0</v>
      </c>
      <c r="DC19" s="49">
        <f t="shared" si="9"/>
        <v>0</v>
      </c>
      <c r="DD19" s="49">
        <f t="shared" si="10"/>
        <v>0</v>
      </c>
      <c r="DE19" s="49">
        <f t="shared" si="11"/>
        <v>76227</v>
      </c>
      <c r="DF19" s="49">
        <f t="shared" si="12"/>
        <v>0</v>
      </c>
      <c r="DG19" s="49">
        <f t="shared" si="13"/>
        <v>0</v>
      </c>
      <c r="DH19" s="49">
        <f t="shared" si="14"/>
        <v>76227</v>
      </c>
      <c r="DI19" s="50">
        <f t="shared" si="15"/>
        <v>0</v>
      </c>
      <c r="DJ19" s="78">
        <f>+SUM(Tabla1[[#This Row],[EJECUTADO 01]:[EJECUTADO 06]])</f>
        <v>0</v>
      </c>
      <c r="DK19" s="78">
        <f>+Tabla1[[#This Row],[mto_devenga_01]]</f>
        <v>0</v>
      </c>
      <c r="DL19" s="78">
        <f>+Tabla1[[#This Row],[mto_devenga_02]]</f>
        <v>0</v>
      </c>
      <c r="DM19" s="78">
        <f>+Tabla1[[#This Row],[mto_devenga_03]]</f>
        <v>0</v>
      </c>
      <c r="DN19" s="78">
        <f>+Tabla1[[#This Row],[mto_devenga_04]]</f>
        <v>0</v>
      </c>
      <c r="DO19" s="78">
        <f>+Tabla1[[#This Row],[mto_devenga_05]]</f>
        <v>0</v>
      </c>
      <c r="DP19" s="76">
        <f>+Tabla1[[#This Row],[mto_devenga_06]]</f>
        <v>0</v>
      </c>
      <c r="DQ19" s="76">
        <f>+Tabla1[[#This Row],[mto_devenga_07]]</f>
        <v>0</v>
      </c>
      <c r="DR19" s="76">
        <f>+Tabla1[[#This Row],[mto_devenga_08]]</f>
        <v>0</v>
      </c>
      <c r="DS19" s="76">
        <f>+Tabla1[[#This Row],[mto_devenga_09]]</f>
        <v>0</v>
      </c>
      <c r="DT19" s="76">
        <f>IFERROR(VLOOKUP(Tabla1[[#This Row],[COD SE]],PF_OCTUBRE,14,0),"0")</f>
        <v>0</v>
      </c>
      <c r="DU19" s="76">
        <f>IFERROR(VLOOKUP(Tabla1[[#This Row],[COD SE]],PF_OCTUBRE,15,0),"0")</f>
        <v>6000</v>
      </c>
      <c r="DV19" s="76">
        <f>IFERROR(VLOOKUP(Tabla1[[#This Row],[COD SE]],PF_OCTUBRE,16,0),"0")</f>
        <v>96000</v>
      </c>
      <c r="DW19" s="76">
        <f>+SUM(Tabla1[[#This Row],[EJECUTADO 01]:[PF DICIEMBRE
]])</f>
        <v>102000</v>
      </c>
      <c r="DX19" s="76">
        <f>IFERROR(VLOOKUP(Tabla1[[#This Row],[COD SE]],PF_OCTUBRE,18,0),"0")</f>
        <v>0</v>
      </c>
      <c r="DY19" s="76">
        <f>IFERROR(VLOOKUP(Tabla1[[#This Row],[COD SE]],PF_OCTUBRE,19,0),"0")</f>
        <v>40600</v>
      </c>
      <c r="DZ19" s="76">
        <f>IFERROR(VLOOKUP(Tabla1[[#This Row],[COD SE]],PF_OCTUBRE,20,0),"0")</f>
        <v>40600</v>
      </c>
      <c r="EA19" s="76">
        <f>+Tabla1[[#This Row],[TOTAL EJEC REAL]]+Tabla1[[#This Row],[SALDO FINAL]]</f>
        <v>142600</v>
      </c>
      <c r="EB19" s="76">
        <f>IFERROR(VLOOKUP(Tabla1[[#This Row],[COD SE]],PF_OCTUBRE,22,0),"0")</f>
        <v>136600</v>
      </c>
      <c r="EC19" s="76">
        <f>+IFERROR(VLOOKUP(Tabla1[[#This Row],[COD SE]],SALDO_ESC_2,7,0),0)</f>
        <v>0</v>
      </c>
      <c r="ED19" s="76">
        <f>+IFERROR(VLOOKUP(Tabla1[[#This Row],[COD SE]],SALDO_ESC_3,7,0),0)</f>
        <v>0</v>
      </c>
      <c r="EE19" s="76">
        <f>+Tabla1[[#This Row],[mto_pim]]-Tabla1[[#This Row],[TRANSF ESC2 ]]</f>
        <v>76227</v>
      </c>
      <c r="EF19" s="76">
        <f>+Tabla1[[#This Row],[mto_pim]]-Tabla1[[#This Row],[TRANFS ESC 3 ]]</f>
        <v>76227</v>
      </c>
      <c r="EG19" s="76">
        <f>+IFERROR(VLOOKUP(Tabla1[[#This Row],[COD SE]],HISTORICO,4,0),0)</f>
        <v>0</v>
      </c>
      <c r="EH19" s="76">
        <f>+IFERROR(VLOOKUP(Tabla1[[#This Row],[COD SE]],HISTORICO,5,0),0)</f>
        <v>0</v>
      </c>
      <c r="EI19" s="76">
        <f>+IFERROR(VLOOKUP(Tabla1[[#This Row],[COD SE]],HISTORICO,6,0),0)</f>
        <v>0</v>
      </c>
      <c r="EJ19" s="76">
        <f>+IFERROR(VLOOKUP(Tabla1[[#This Row],[COD SE]],HISTORICO,7,0),0)</f>
        <v>0</v>
      </c>
      <c r="EK19" s="76">
        <f>+IFERROR(VLOOKUP(Tabla1[[#This Row],[COD SE]],HISTORICO,8,0),0)</f>
        <v>24800</v>
      </c>
      <c r="EL19" s="76">
        <f>+IFERROR(VLOOKUP(Tabla1[[#This Row],[COD SE]],HISTORICO,9,0),0)</f>
        <v>0</v>
      </c>
      <c r="EM19" s="76">
        <f>+IFERROR(VLOOKUP(Tabla1[[#This Row],[COD SE]],HISTORICO,10,0),0)</f>
        <v>0</v>
      </c>
      <c r="EN19" s="76">
        <f>+IFERROR(VLOOKUP(Tabla1[[#This Row],[COD SE]],HISTORICO,11,0),0)</f>
        <v>0</v>
      </c>
      <c r="EO19" s="76">
        <f>+IFERROR(VLOOKUP(Tabla1[[#This Row],[COD SE]],HISTORICO,12,0),0)</f>
        <v>0</v>
      </c>
      <c r="EP19" s="58">
        <f>+SUM(Tabla1[[#This Row],[EJECUTADO 01]:[EJECUTADO 03]])</f>
        <v>0</v>
      </c>
      <c r="EQ19" s="58">
        <f>+SUM(Tabla1[[#This Row],[EJECUTADO 04]:[EJECUTADO 06]])</f>
        <v>0</v>
      </c>
      <c r="ER19" s="58">
        <f>+SUM(Tabla1[[#This Row],[EJECUTADO 07]:[EJECUTADO 09]])</f>
        <v>0</v>
      </c>
      <c r="ES19" s="58">
        <f>+SUM(Tabla1[[#This Row],[PF OCTUBRE]:[PF DICIEMBRE
]])</f>
        <v>102000</v>
      </c>
      <c r="ET19" s="58">
        <f>+SUM(Tabla1[[#This Row],[EJECUTADO 01]:[EJECUTADO 09]])</f>
        <v>0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1672</v>
      </c>
      <c r="AD20" s="369" t="s">
        <v>1673</v>
      </c>
      <c r="AE20" s="369" t="s">
        <v>1674</v>
      </c>
      <c r="AF20" s="369" t="s">
        <v>1675</v>
      </c>
      <c r="AG20" s="369" t="s">
        <v>1676</v>
      </c>
      <c r="AH20" s="369">
        <v>37820</v>
      </c>
      <c r="AI20" s="369">
        <v>0</v>
      </c>
      <c r="AJ20" s="369">
        <v>37820</v>
      </c>
      <c r="AK20" s="370">
        <v>20942.830000000002</v>
      </c>
      <c r="AL20" s="370">
        <v>19692.39</v>
      </c>
      <c r="AM20" s="370">
        <v>0</v>
      </c>
      <c r="AN20" s="370">
        <v>0</v>
      </c>
      <c r="AO20" s="370">
        <v>0</v>
      </c>
      <c r="AP20" s="370">
        <v>1879.44</v>
      </c>
      <c r="AQ20" s="370">
        <v>0</v>
      </c>
      <c r="AR20" s="370">
        <v>0</v>
      </c>
      <c r="AS20" s="370">
        <v>74</v>
      </c>
      <c r="AT20" s="370">
        <v>9051.36</v>
      </c>
      <c r="AU20" s="370">
        <v>4776.68</v>
      </c>
      <c r="AV20" s="370">
        <v>3910.91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1879.44</v>
      </c>
      <c r="BD20" s="370">
        <v>0</v>
      </c>
      <c r="BE20" s="370">
        <v>100</v>
      </c>
      <c r="BF20" s="370">
        <v>134</v>
      </c>
      <c r="BG20" s="370">
        <v>11095.29</v>
      </c>
      <c r="BH20" s="370">
        <v>6483.66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1879.44</v>
      </c>
      <c r="BQ20" s="370">
        <v>100</v>
      </c>
      <c r="BR20" s="370">
        <v>134</v>
      </c>
      <c r="BS20" s="370">
        <v>8891.36</v>
      </c>
      <c r="BT20" s="370">
        <v>8687.59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1879.44</v>
      </c>
      <c r="CA20" s="370">
        <v>0</v>
      </c>
      <c r="CB20" s="370">
        <v>0</v>
      </c>
      <c r="CC20" s="370">
        <v>100</v>
      </c>
      <c r="CD20" s="370">
        <v>9131.36</v>
      </c>
      <c r="CE20" s="370">
        <v>4776.68</v>
      </c>
      <c r="CF20" s="370">
        <v>3990.91</v>
      </c>
      <c r="CG20" s="370">
        <v>0</v>
      </c>
      <c r="CH20" s="370">
        <v>0</v>
      </c>
      <c r="CI20" s="48" t="s">
        <v>1987</v>
      </c>
      <c r="CJ20" s="48" t="s">
        <v>1991</v>
      </c>
      <c r="CK20" s="48" t="s">
        <v>1987</v>
      </c>
      <c r="CL20" s="48" t="s">
        <v>1990</v>
      </c>
      <c r="CM20" s="48" t="s">
        <v>1987</v>
      </c>
      <c r="CN20" s="48" t="s">
        <v>1990</v>
      </c>
      <c r="CO20" s="48" t="str">
        <f t="shared" si="16"/>
        <v>2.3.2.1.2.1</v>
      </c>
      <c r="CP20" s="48" t="str">
        <f>+VLOOKUP(Tabla1[[#This Row],[ESPECÍFICA]],CLASIFICADOR_,2,0)</f>
        <v>2.3.2.1.2.1 - PASAJES Y GASTOS DE TRANSPORTE</v>
      </c>
      <c r="CQ20" s="48" t="str">
        <f>+VLOOKUP(Tabla1[[#This Row],[ESPECÍFICA]],CLASIFICADOR_,3,0)</f>
        <v>2.3.2.1 - VIAJES</v>
      </c>
      <c r="CR20" s="48" t="str">
        <f>+VLOOKUP(Tabla1[[#This Row],[ESPECÍFICA]],CLASIFICADOR_,4,0)</f>
        <v>Límite de Gasto</v>
      </c>
      <c r="CS20" s="48" t="str">
        <f>+VLOOKUP(Tabla1[[#This Row],[ESPECÍFICA]],CLASIFICADOR_,5,0)</f>
        <v>10.6 b)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2.3.BIENES Y SERVICIOS</v>
      </c>
      <c r="CX20" s="48" t="str">
        <f t="shared" si="5"/>
        <v>0002-DCEME</v>
      </c>
      <c r="CY20" s="113" t="str">
        <f t="shared" si="6"/>
        <v>0002-DCEME (CEAM, FP)</v>
      </c>
      <c r="CZ20" s="20" t="str">
        <f t="shared" si="7"/>
        <v>0002-DCEME (IEVCEAM, G CEAM, FP)</v>
      </c>
      <c r="DA20" s="113" t="str">
        <f>+CONCATENATE(Tabla1[[#This Row],[CC COMPLETO]],Tabla1[[#This Row],[ESPECÍFICA]])</f>
        <v>0002-DCEME2.3.2.1.2.1</v>
      </c>
      <c r="DB20" s="49">
        <f t="shared" si="8"/>
        <v>19692.39</v>
      </c>
      <c r="DC20" s="49">
        <f t="shared" si="9"/>
        <v>19692.39</v>
      </c>
      <c r="DD20" s="49">
        <f t="shared" si="10"/>
        <v>19692.39</v>
      </c>
      <c r="DE20" s="49">
        <f t="shared" si="11"/>
        <v>16877.169999999998</v>
      </c>
      <c r="DF20" s="49">
        <f t="shared" si="12"/>
        <v>1250.4400000000023</v>
      </c>
      <c r="DG20" s="49">
        <f t="shared" si="13"/>
        <v>0</v>
      </c>
      <c r="DH20" s="49">
        <f t="shared" si="14"/>
        <v>18127.61</v>
      </c>
      <c r="DI20" s="50">
        <f t="shared" si="15"/>
        <v>0.52068720253833944</v>
      </c>
      <c r="DJ20" s="78">
        <f>+SUM(Tabla1[[#This Row],[EJECUTADO 01]:[EJECUTADO 06]])</f>
        <v>1879.44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0</v>
      </c>
      <c r="DO20" s="78">
        <f>+Tabla1[[#This Row],[mto_devenga_05]]</f>
        <v>1879.44</v>
      </c>
      <c r="DP20" s="76">
        <f>+Tabla1[[#This Row],[mto_devenga_06]]</f>
        <v>0</v>
      </c>
      <c r="DQ20" s="76">
        <f>+Tabla1[[#This Row],[mto_devenga_07]]</f>
        <v>100</v>
      </c>
      <c r="DR20" s="76">
        <f>+Tabla1[[#This Row],[mto_devenga_08]]</f>
        <v>134</v>
      </c>
      <c r="DS20" s="76">
        <f>+Tabla1[[#This Row],[mto_devenga_09]]</f>
        <v>11095.29</v>
      </c>
      <c r="DT20" s="76">
        <f>IFERROR(VLOOKUP(Tabla1[[#This Row],[COD SE]],PF_OCTUBRE,14,0),"0")</f>
        <v>0</v>
      </c>
      <c r="DU20" s="76">
        <f>IFERROR(VLOOKUP(Tabla1[[#This Row],[COD SE]],PF_OCTUBRE,15,0),"0")</f>
        <v>8000</v>
      </c>
      <c r="DV20" s="76">
        <f>IFERROR(VLOOKUP(Tabla1[[#This Row],[COD SE]],PF_OCTUBRE,16,0),"0")</f>
        <v>16611.27</v>
      </c>
      <c r="DW20" s="76">
        <f>+SUM(Tabla1[[#This Row],[EJECUTADO 01]:[PF DICIEMBRE
]])</f>
        <v>37820</v>
      </c>
      <c r="DX20" s="76">
        <f>IFERROR(VLOOKUP(Tabla1[[#This Row],[COD SE]],PF_OCTUBRE,18,0),"0")</f>
        <v>0</v>
      </c>
      <c r="DY20" s="76">
        <f>IFERROR(VLOOKUP(Tabla1[[#This Row],[COD SE]],PF_OCTUBRE,19,0),"0")</f>
        <v>0</v>
      </c>
      <c r="DZ20" s="76">
        <f>IFERROR(VLOOKUP(Tabla1[[#This Row],[COD SE]],PF_OCTUBRE,20,0),"0")</f>
        <v>0</v>
      </c>
      <c r="EA20" s="76">
        <f>+Tabla1[[#This Row],[TOTAL EJEC REAL]]+Tabla1[[#This Row],[SALDO FINAL]]</f>
        <v>37820</v>
      </c>
      <c r="EB20" s="76">
        <f>IFERROR(VLOOKUP(Tabla1[[#This Row],[COD SE]],PF_OCTUBRE,22,0),"0")</f>
        <v>16611.27</v>
      </c>
      <c r="EC20" s="76">
        <f>+IFERROR(VLOOKUP(Tabla1[[#This Row],[COD SE]],SALDO_ESC_2,7,0),0)</f>
        <v>0</v>
      </c>
      <c r="ED20" s="76">
        <f>+IFERROR(VLOOKUP(Tabla1[[#This Row],[COD SE]],SALDO_ESC_3,7,0),0)</f>
        <v>0</v>
      </c>
      <c r="EE20" s="76">
        <f>+Tabla1[[#This Row],[mto_pim]]-Tabla1[[#This Row],[TRANSF ESC2 ]]</f>
        <v>37820</v>
      </c>
      <c r="EF20" s="76">
        <f>+Tabla1[[#This Row],[mto_pim]]-Tabla1[[#This Row],[TRANFS ESC 3 ]]</f>
        <v>37820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0</v>
      </c>
      <c r="EJ20" s="76">
        <f>+IFERROR(VLOOKUP(Tabla1[[#This Row],[COD SE]],HISTORICO,7,0),0)</f>
        <v>0</v>
      </c>
      <c r="EK20" s="76">
        <f>+IFERROR(VLOOKUP(Tabla1[[#This Row],[COD SE]],HISTORICO,8,0),0)</f>
        <v>4860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1979.44</v>
      </c>
      <c r="EO20" s="76">
        <f>+IFERROR(VLOOKUP(Tabla1[[#This Row],[COD SE]],HISTORICO,12,0),0)</f>
        <v>2000</v>
      </c>
      <c r="EP20" s="58">
        <f>+SUM(Tabla1[[#This Row],[EJECUTADO 01]:[EJECUTADO 03]])</f>
        <v>0</v>
      </c>
      <c r="EQ20" s="58">
        <f>+SUM(Tabla1[[#This Row],[EJECUTADO 04]:[EJECUTADO 06]])</f>
        <v>1879.44</v>
      </c>
      <c r="ER20" s="58">
        <f>+SUM(Tabla1[[#This Row],[EJECUTADO 07]:[EJECUTADO 09]])</f>
        <v>11329.29</v>
      </c>
      <c r="ES20" s="58">
        <f>+SUM(Tabla1[[#This Row],[PF OCTUBRE]:[PF DICIEMBRE
]])</f>
        <v>24611.27</v>
      </c>
      <c r="ET20" s="58">
        <f>+SUM(Tabla1[[#This Row],[EJECUTADO 01]:[EJECUTADO 09]])</f>
        <v>13208.730000000001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1657</v>
      </c>
      <c r="AE21" s="369" t="s">
        <v>1664</v>
      </c>
      <c r="AF21" s="369" t="s">
        <v>1665</v>
      </c>
      <c r="AG21" s="369" t="s">
        <v>1666</v>
      </c>
      <c r="AH21" s="369">
        <v>0</v>
      </c>
      <c r="AI21" s="369">
        <v>37415</v>
      </c>
      <c r="AJ21" s="369">
        <v>37415</v>
      </c>
      <c r="AK21" s="370">
        <v>37415</v>
      </c>
      <c r="AL21" s="370">
        <v>37415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11328.21</v>
      </c>
      <c r="AT21" s="370">
        <v>0</v>
      </c>
      <c r="AU21" s="370">
        <v>0</v>
      </c>
      <c r="AV21" s="370">
        <v>0</v>
      </c>
      <c r="AW21" s="370">
        <v>0</v>
      </c>
      <c r="AX21" s="370">
        <v>0</v>
      </c>
      <c r="AY21" s="370">
        <v>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11328.21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0</v>
      </c>
      <c r="BO21" s="370">
        <v>0</v>
      </c>
      <c r="BP21" s="370">
        <v>0</v>
      </c>
      <c r="BQ21" s="370">
        <v>11328.21</v>
      </c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>
        <v>0</v>
      </c>
      <c r="CC21" s="370">
        <v>11328.21</v>
      </c>
      <c r="CD21" s="370">
        <v>0</v>
      </c>
      <c r="CE21" s="370">
        <v>0</v>
      </c>
      <c r="CF21" s="370">
        <v>0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1990</v>
      </c>
      <c r="CL21" s="48" t="s">
        <v>2005</v>
      </c>
      <c r="CM21" s="48" t="s">
        <v>1990</v>
      </c>
      <c r="CN21" s="48" t="s">
        <v>1987</v>
      </c>
      <c r="CO21" s="48" t="str">
        <f t="shared" si="16"/>
        <v>2.1.1.9.1.2</v>
      </c>
      <c r="CP21" s="48" t="str">
        <f>+VLOOKUP(Tabla1[[#This Row],[ESPECÍFICA]],CLASIFICADOR_,2,0)</f>
        <v>2.1.1.9.1.2 - AGUINALDOS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5"/>
        <v>0002-DCEME</v>
      </c>
      <c r="CY21" s="113" t="str">
        <f t="shared" si="6"/>
        <v>0002-DCEME (CEAM, FP)</v>
      </c>
      <c r="CZ21" s="20" t="str">
        <f t="shared" si="7"/>
        <v>0002-DCEME (IEVCEAM, G CEAM, FP)</v>
      </c>
      <c r="DA21" s="113" t="str">
        <f>+CONCATENATE(Tabla1[[#This Row],[CC COMPLETO]],Tabla1[[#This Row],[ESPECÍFICA]])</f>
        <v>0002-DCEME2.1.1.9.1.2</v>
      </c>
      <c r="DB21" s="49">
        <f t="shared" si="8"/>
        <v>11328.21</v>
      </c>
      <c r="DC21" s="49">
        <f t="shared" si="9"/>
        <v>11328.21</v>
      </c>
      <c r="DD21" s="49">
        <f t="shared" si="10"/>
        <v>11328.21</v>
      </c>
      <c r="DE21" s="49">
        <f t="shared" si="11"/>
        <v>0</v>
      </c>
      <c r="DF21" s="49">
        <f t="shared" si="12"/>
        <v>0</v>
      </c>
      <c r="DG21" s="49">
        <f t="shared" si="13"/>
        <v>26086.79</v>
      </c>
      <c r="DH21" s="49">
        <f t="shared" si="14"/>
        <v>26086.79</v>
      </c>
      <c r="DI21" s="50">
        <f t="shared" si="15"/>
        <v>0</v>
      </c>
      <c r="DJ21" s="78">
        <f>+SUM(Tabla1[[#This Row],[EJECUTADO 01]:[EJECUTADO 06]])</f>
        <v>0</v>
      </c>
      <c r="DK21" s="78">
        <f>+Tabla1[[#This Row],[mto_devenga_01]]</f>
        <v>0</v>
      </c>
      <c r="DL21" s="78">
        <f>+Tabla1[[#This Row],[mto_devenga_02]]</f>
        <v>0</v>
      </c>
      <c r="DM21" s="78">
        <f>+Tabla1[[#This Row],[mto_devenga_03]]</f>
        <v>0</v>
      </c>
      <c r="DN21" s="78">
        <f>+Tabla1[[#This Row],[mto_devenga_04]]</f>
        <v>0</v>
      </c>
      <c r="DO21" s="78">
        <f>+Tabla1[[#This Row],[mto_devenga_05]]</f>
        <v>0</v>
      </c>
      <c r="DP21" s="76">
        <f>+Tabla1[[#This Row],[mto_devenga_06]]</f>
        <v>0</v>
      </c>
      <c r="DQ21" s="76">
        <f>+Tabla1[[#This Row],[mto_devenga_07]]</f>
        <v>11328.21</v>
      </c>
      <c r="DR21" s="76">
        <f>+Tabla1[[#This Row],[mto_devenga_08]]</f>
        <v>0</v>
      </c>
      <c r="DS21" s="76">
        <f>+Tabla1[[#This Row],[mto_devenga_09]]</f>
        <v>0</v>
      </c>
      <c r="DT21" s="76">
        <f>IFERROR(VLOOKUP(Tabla1[[#This Row],[COD SE]],PF_OCTUBRE,14,0),"0")</f>
        <v>0</v>
      </c>
      <c r="DU21" s="76">
        <f>IFERROR(VLOOKUP(Tabla1[[#This Row],[COD SE]],PF_OCTUBRE,15,0),"0")</f>
        <v>0</v>
      </c>
      <c r="DV21" s="76">
        <f>IFERROR(VLOOKUP(Tabla1[[#This Row],[COD SE]],PF_OCTUBRE,16,0),"0")</f>
        <v>18707.14</v>
      </c>
      <c r="DW21" s="76">
        <f>+SUM(Tabla1[[#This Row],[EJECUTADO 01]:[PF DICIEMBRE
]])</f>
        <v>30035.35</v>
      </c>
      <c r="DX21" s="76">
        <f>IFERROR(VLOOKUP(Tabla1[[#This Row],[COD SE]],PF_OCTUBRE,18,0),"0")</f>
        <v>0</v>
      </c>
      <c r="DY21" s="76">
        <f>IFERROR(VLOOKUP(Tabla1[[#This Row],[COD SE]],PF_OCTUBRE,19,0),"0")</f>
        <v>7379.6500000000015</v>
      </c>
      <c r="DZ21" s="76">
        <f>IFERROR(VLOOKUP(Tabla1[[#This Row],[COD SE]],PF_OCTUBRE,20,0),"0")</f>
        <v>7379.6500000000015</v>
      </c>
      <c r="EA21" s="76">
        <f>+Tabla1[[#This Row],[TOTAL EJEC REAL]]+Tabla1[[#This Row],[SALDO FINAL]]</f>
        <v>37415</v>
      </c>
      <c r="EB21" s="76">
        <f>IFERROR(VLOOKUP(Tabla1[[#This Row],[COD SE]],PF_OCTUBRE,22,0),"0")</f>
        <v>26086.79</v>
      </c>
      <c r="EC21" s="76">
        <f>+IFERROR(VLOOKUP(Tabla1[[#This Row],[COD SE]],SALDO_ESC_2,7,0),0)</f>
        <v>0</v>
      </c>
      <c r="ED21" s="76">
        <f>+IFERROR(VLOOKUP(Tabla1[[#This Row],[COD SE]],SALDO_ESC_3,7,0),0)</f>
        <v>7379.6500000000015</v>
      </c>
      <c r="EE21" s="76">
        <f>+Tabla1[[#This Row],[mto_pim]]-Tabla1[[#This Row],[TRANSF ESC2 ]]</f>
        <v>37415</v>
      </c>
      <c r="EF21" s="76">
        <f>+Tabla1[[#This Row],[mto_pim]]-Tabla1[[#This Row],[TRANFS ESC 3 ]]</f>
        <v>30035.35</v>
      </c>
      <c r="EG21" s="76">
        <f>+IFERROR(VLOOKUP(Tabla1[[#This Row],[COD SE]],HISTORICO,4,0),0)</f>
        <v>0</v>
      </c>
      <c r="EH21" s="76">
        <f>+IFERROR(VLOOKUP(Tabla1[[#This Row],[COD SE]],HISTORICO,5,0),0)</f>
        <v>0</v>
      </c>
      <c r="EI21" s="76">
        <f>+IFERROR(VLOOKUP(Tabla1[[#This Row],[COD SE]],HISTORICO,6,0),0)</f>
        <v>0</v>
      </c>
      <c r="EJ21" s="76">
        <f>+IFERROR(VLOOKUP(Tabla1[[#This Row],[COD SE]],HISTORICO,7,0),0)</f>
        <v>0</v>
      </c>
      <c r="EK21" s="76">
        <f>+IFERROR(VLOOKUP(Tabla1[[#This Row],[COD SE]],HISTORICO,8,0),0)</f>
        <v>0</v>
      </c>
      <c r="EL21" s="76">
        <f>+IFERROR(VLOOKUP(Tabla1[[#This Row],[COD SE]],HISTORICO,9,0),0)</f>
        <v>0</v>
      </c>
      <c r="EM21" s="76">
        <f>+IFERROR(VLOOKUP(Tabla1[[#This Row],[COD SE]],HISTORICO,10,0),0)</f>
        <v>1974.64</v>
      </c>
      <c r="EN21" s="76">
        <f>+IFERROR(VLOOKUP(Tabla1[[#This Row],[COD SE]],HISTORICO,11,0),0)</f>
        <v>0</v>
      </c>
      <c r="EO21" s="76">
        <f>+IFERROR(VLOOKUP(Tabla1[[#This Row],[COD SE]],HISTORICO,12,0),0)</f>
        <v>0</v>
      </c>
      <c r="EP21" s="58">
        <f>+SUM(Tabla1[[#This Row],[EJECUTADO 01]:[EJECUTADO 03]])</f>
        <v>0</v>
      </c>
      <c r="EQ21" s="58">
        <f>+SUM(Tabla1[[#This Row],[EJECUTADO 04]:[EJECUTADO 06]])</f>
        <v>0</v>
      </c>
      <c r="ER21" s="58">
        <f>+SUM(Tabla1[[#This Row],[EJECUTADO 07]:[EJECUTADO 09]])</f>
        <v>11328.21</v>
      </c>
      <c r="ES21" s="58">
        <f>+SUM(Tabla1[[#This Row],[PF OCTUBRE]:[PF DICIEMBRE
]])</f>
        <v>18707.14</v>
      </c>
      <c r="ET21" s="58">
        <f>+SUM(Tabla1[[#This Row],[EJECUTADO 01]:[EJECUTADO 09]])</f>
        <v>11328.21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1672</v>
      </c>
      <c r="AD22" s="369" t="s">
        <v>1684</v>
      </c>
      <c r="AE22" s="369" t="s">
        <v>1685</v>
      </c>
      <c r="AF22" s="369" t="s">
        <v>1686</v>
      </c>
      <c r="AG22" s="369" t="s">
        <v>1687</v>
      </c>
      <c r="AH22" s="369">
        <v>0</v>
      </c>
      <c r="AI22" s="369">
        <v>1015</v>
      </c>
      <c r="AJ22" s="369">
        <v>1015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70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>
        <v>0</v>
      </c>
      <c r="CF22" s="370">
        <v>0</v>
      </c>
      <c r="CG22" s="370">
        <v>0</v>
      </c>
      <c r="CH22" s="370">
        <v>0</v>
      </c>
      <c r="CI22" s="48" t="s">
        <v>1987</v>
      </c>
      <c r="CJ22" s="48" t="s">
        <v>1991</v>
      </c>
      <c r="CK22" s="48" t="s">
        <v>1990</v>
      </c>
      <c r="CL22" s="48" t="s">
        <v>1998</v>
      </c>
      <c r="CM22" s="48" t="s">
        <v>1990</v>
      </c>
      <c r="CN22" s="48" t="s">
        <v>1991</v>
      </c>
      <c r="CO22" s="48" t="str">
        <f t="shared" si="16"/>
        <v>2.3.1.99.1.3</v>
      </c>
      <c r="CP22" s="48" t="str">
        <f>+VLOOKUP(Tabla1[[#This Row],[ESPECÍFICA]],CLASIFICADOR_,2,0)</f>
        <v>2.3.1.99.1.3 - LIBROS, DIARIOS, REVISTAS Y OTROS BIENES IMPRESOS NO VINCULADOS A ENSEÑANZA</v>
      </c>
      <c r="CQ22" s="48" t="str">
        <f>+VLOOKUP(Tabla1[[#This Row],[ESPECÍFICA]],CLASIFICADOR_,3,0)</f>
        <v>2.3.1.99 - COMPRA DE OTROS BIENES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2.3.BIENES Y SERVICIOS</v>
      </c>
      <c r="CX22" s="48" t="str">
        <f t="shared" si="5"/>
        <v>0002-DCEME</v>
      </c>
      <c r="CY22" s="113" t="str">
        <f t="shared" si="6"/>
        <v>0002-DCEME (CEAM, FP)</v>
      </c>
      <c r="CZ22" s="20" t="str">
        <f t="shared" si="7"/>
        <v>0002-DCEME (IEVCEAM, G CEAM, FP)</v>
      </c>
      <c r="DA22" s="113" t="str">
        <f>+CONCATENATE(Tabla1[[#This Row],[CC COMPLETO]],Tabla1[[#This Row],[ESPECÍFICA]])</f>
        <v>0002-DCEME2.3.1.99.1.3</v>
      </c>
      <c r="DB22" s="49">
        <f t="shared" si="8"/>
        <v>0</v>
      </c>
      <c r="DC22" s="49">
        <f t="shared" si="9"/>
        <v>0</v>
      </c>
      <c r="DD22" s="49">
        <f t="shared" si="10"/>
        <v>0</v>
      </c>
      <c r="DE22" s="49">
        <f t="shared" si="11"/>
        <v>1015</v>
      </c>
      <c r="DF22" s="49">
        <f t="shared" si="12"/>
        <v>0</v>
      </c>
      <c r="DG22" s="49">
        <f t="shared" si="13"/>
        <v>0</v>
      </c>
      <c r="DH22" s="49">
        <f t="shared" si="14"/>
        <v>1015</v>
      </c>
      <c r="DI22" s="50">
        <f t="shared" si="15"/>
        <v>0</v>
      </c>
      <c r="DJ22" s="78">
        <f>+SUM(Tabla1[[#This Row],[EJECUTADO 01]:[EJECUTADO 06]])</f>
        <v>0</v>
      </c>
      <c r="DK22" s="78">
        <f>+Tabla1[[#This Row],[mto_devenga_01]]</f>
        <v>0</v>
      </c>
      <c r="DL22" s="78">
        <f>+Tabla1[[#This Row],[mto_devenga_02]]</f>
        <v>0</v>
      </c>
      <c r="DM22" s="78">
        <f>+Tabla1[[#This Row],[mto_devenga_03]]</f>
        <v>0</v>
      </c>
      <c r="DN22" s="78">
        <f>+Tabla1[[#This Row],[mto_devenga_04]]</f>
        <v>0</v>
      </c>
      <c r="DO22" s="78">
        <f>+Tabla1[[#This Row],[mto_devenga_05]]</f>
        <v>0</v>
      </c>
      <c r="DP22" s="76">
        <f>+Tabla1[[#This Row],[mto_devenga_06]]</f>
        <v>0</v>
      </c>
      <c r="DQ22" s="76">
        <f>+Tabla1[[#This Row],[mto_devenga_07]]</f>
        <v>0</v>
      </c>
      <c r="DR22" s="76">
        <f>+Tabla1[[#This Row],[mto_devenga_08]]</f>
        <v>0</v>
      </c>
      <c r="DS22" s="76">
        <f>+Tabla1[[#This Row],[mto_devenga_09]]</f>
        <v>0</v>
      </c>
      <c r="DT22" s="76">
        <f>IFERROR(VLOOKUP(Tabla1[[#This Row],[COD SE]],PF_OCTUBRE,14,0),"0")</f>
        <v>0</v>
      </c>
      <c r="DU22" s="76">
        <f>IFERROR(VLOOKUP(Tabla1[[#This Row],[COD SE]],PF_OCTUBRE,15,0),"0")</f>
        <v>0</v>
      </c>
      <c r="DV22" s="76">
        <f>IFERROR(VLOOKUP(Tabla1[[#This Row],[COD SE]],PF_OCTUBRE,16,0),"0")</f>
        <v>0</v>
      </c>
      <c r="DW22" s="76">
        <f>+SUM(Tabla1[[#This Row],[EJECUTADO 01]:[PF DICIEMBRE
]])</f>
        <v>0</v>
      </c>
      <c r="DX22" s="76">
        <f>IFERROR(VLOOKUP(Tabla1[[#This Row],[COD SE]],PF_OCTUBRE,18,0),"0")</f>
        <v>0</v>
      </c>
      <c r="DY22" s="76">
        <f>IFERROR(VLOOKUP(Tabla1[[#This Row],[COD SE]],PF_OCTUBRE,19,0),"0")</f>
        <v>4615</v>
      </c>
      <c r="DZ22" s="76">
        <f>IFERROR(VLOOKUP(Tabla1[[#This Row],[COD SE]],PF_OCTUBRE,20,0),"0")</f>
        <v>4615</v>
      </c>
      <c r="EA22" s="76">
        <f>+Tabla1[[#This Row],[TOTAL EJEC REAL]]+Tabla1[[#This Row],[SALDO FINAL]]</f>
        <v>4615</v>
      </c>
      <c r="EB22" s="76">
        <f>IFERROR(VLOOKUP(Tabla1[[#This Row],[COD SE]],PF_OCTUBRE,22,0),"0")</f>
        <v>4615</v>
      </c>
      <c r="EC22" s="76">
        <f>+IFERROR(VLOOKUP(Tabla1[[#This Row],[COD SE]],SALDO_ESC_2,7,0),0)</f>
        <v>0</v>
      </c>
      <c r="ED22" s="76">
        <f>+IFERROR(VLOOKUP(Tabla1[[#This Row],[COD SE]],SALDO_ESC_3,7,0),0)</f>
        <v>0</v>
      </c>
      <c r="EE22" s="76">
        <f>+Tabla1[[#This Row],[mto_pim]]-Tabla1[[#This Row],[TRANSF ESC2 ]]</f>
        <v>1015</v>
      </c>
      <c r="EF22" s="76">
        <f>+Tabla1[[#This Row],[mto_pim]]-Tabla1[[#This Row],[TRANFS ESC 3 ]]</f>
        <v>1015</v>
      </c>
      <c r="EG22" s="76">
        <f>+IFERROR(VLOOKUP(Tabla1[[#This Row],[COD SE]],HISTORICO,4,0),0)</f>
        <v>0</v>
      </c>
      <c r="EH22" s="76">
        <f>+IFERROR(VLOOKUP(Tabla1[[#This Row],[COD SE]],HISTORICO,5,0),0)</f>
        <v>0</v>
      </c>
      <c r="EI22" s="76">
        <f>+IFERROR(VLOOKUP(Tabla1[[#This Row],[COD SE]],HISTORICO,6,0),0)</f>
        <v>0</v>
      </c>
      <c r="EJ22" s="76">
        <f>+IFERROR(VLOOKUP(Tabla1[[#This Row],[COD SE]],HISTORICO,7,0),0)</f>
        <v>0</v>
      </c>
      <c r="EK22" s="76">
        <f>+IFERROR(VLOOKUP(Tabla1[[#This Row],[COD SE]],HISTORICO,8,0),0)</f>
        <v>0</v>
      </c>
      <c r="EL22" s="76">
        <f>+IFERROR(VLOOKUP(Tabla1[[#This Row],[COD SE]],HISTORICO,9,0),0)</f>
        <v>0</v>
      </c>
      <c r="EM22" s="76">
        <f>+IFERROR(VLOOKUP(Tabla1[[#This Row],[COD SE]],HISTORICO,10,0),0)</f>
        <v>0</v>
      </c>
      <c r="EN22" s="76">
        <f>+IFERROR(VLOOKUP(Tabla1[[#This Row],[COD SE]],HISTORICO,11,0),0)</f>
        <v>0</v>
      </c>
      <c r="EO22" s="76">
        <f>+IFERROR(VLOOKUP(Tabla1[[#This Row],[COD SE]],HISTORICO,12,0),0)</f>
        <v>0</v>
      </c>
      <c r="EP22" s="58">
        <f>+SUM(Tabla1[[#This Row],[EJECUTADO 01]:[EJECUTADO 03]])</f>
        <v>0</v>
      </c>
      <c r="EQ22" s="58">
        <f>+SUM(Tabla1[[#This Row],[EJECUTADO 04]:[EJECUTADO 06]])</f>
        <v>0</v>
      </c>
      <c r="ER22" s="58">
        <f>+SUM(Tabla1[[#This Row],[EJECUTADO 07]:[EJECUTADO 09]])</f>
        <v>0</v>
      </c>
      <c r="ES22" s="58">
        <f>+SUM(Tabla1[[#This Row],[PF OCTUBRE]:[PF DICIEMBRE
]])</f>
        <v>0</v>
      </c>
      <c r="ET22" s="58">
        <f>+SUM(Tabla1[[#This Row],[EJECUTADO 01]:[EJECUTADO 09]])</f>
        <v>0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1668</v>
      </c>
      <c r="AE23" s="369" t="s">
        <v>1669</v>
      </c>
      <c r="AF23" s="369" t="s">
        <v>1669</v>
      </c>
      <c r="AG23" s="369" t="s">
        <v>1671</v>
      </c>
      <c r="AH23" s="369">
        <v>217758</v>
      </c>
      <c r="AI23" s="369">
        <v>15391</v>
      </c>
      <c r="AJ23" s="369">
        <v>233149</v>
      </c>
      <c r="AK23" s="370">
        <v>185888.91</v>
      </c>
      <c r="AL23" s="370">
        <v>185888.91</v>
      </c>
      <c r="AM23" s="370">
        <v>17058.97</v>
      </c>
      <c r="AN23" s="370">
        <v>14276.35</v>
      </c>
      <c r="AO23" s="370">
        <v>13867.52</v>
      </c>
      <c r="AP23" s="370">
        <v>16229.17</v>
      </c>
      <c r="AQ23" s="370">
        <v>15817.64</v>
      </c>
      <c r="AR23" s="370">
        <v>15438.45</v>
      </c>
      <c r="AS23" s="370">
        <v>14950.92</v>
      </c>
      <c r="AT23" s="370">
        <v>14950.92</v>
      </c>
      <c r="AU23" s="370">
        <v>15167.6</v>
      </c>
      <c r="AV23" s="370">
        <v>15310.53</v>
      </c>
      <c r="AW23" s="370">
        <v>0</v>
      </c>
      <c r="AX23" s="370">
        <v>0</v>
      </c>
      <c r="AY23" s="370">
        <v>17058.97</v>
      </c>
      <c r="AZ23" s="370">
        <v>14276.35</v>
      </c>
      <c r="BA23" s="370">
        <v>13867.52</v>
      </c>
      <c r="BB23" s="370">
        <v>16229.17</v>
      </c>
      <c r="BC23" s="370">
        <v>15817.64</v>
      </c>
      <c r="BD23" s="370">
        <v>15438.45</v>
      </c>
      <c r="BE23" s="370">
        <v>14950.92</v>
      </c>
      <c r="BF23" s="370">
        <v>14950.92</v>
      </c>
      <c r="BG23" s="370">
        <v>15167.6</v>
      </c>
      <c r="BH23" s="370">
        <v>15310.53</v>
      </c>
      <c r="BI23" s="370">
        <v>0</v>
      </c>
      <c r="BJ23" s="370">
        <v>0</v>
      </c>
      <c r="BK23" s="370">
        <v>17058.97</v>
      </c>
      <c r="BL23" s="370">
        <v>14276.35</v>
      </c>
      <c r="BM23" s="370">
        <v>13867.52</v>
      </c>
      <c r="BN23" s="370">
        <v>16229.17</v>
      </c>
      <c r="BO23" s="370">
        <v>15817.64</v>
      </c>
      <c r="BP23" s="370">
        <v>15438.45</v>
      </c>
      <c r="BQ23" s="370">
        <v>14950.92</v>
      </c>
      <c r="BR23" s="370">
        <v>14950.92</v>
      </c>
      <c r="BS23" s="370">
        <v>14950.92</v>
      </c>
      <c r="BT23" s="370">
        <v>15527.21</v>
      </c>
      <c r="BU23" s="370">
        <v>0</v>
      </c>
      <c r="BV23" s="370">
        <v>0</v>
      </c>
      <c r="BW23" s="370">
        <v>17058.97</v>
      </c>
      <c r="BX23" s="370">
        <v>14276.35</v>
      </c>
      <c r="BY23" s="370">
        <v>13867.52</v>
      </c>
      <c r="BZ23" s="370">
        <v>16229.17</v>
      </c>
      <c r="CA23" s="370">
        <v>15817.64</v>
      </c>
      <c r="CB23" s="370">
        <v>15438.45</v>
      </c>
      <c r="CC23" s="370">
        <v>14950.92</v>
      </c>
      <c r="CD23" s="370">
        <v>14950.92</v>
      </c>
      <c r="CE23" s="370">
        <v>15167.6</v>
      </c>
      <c r="CF23" s="370">
        <v>15310.53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1991</v>
      </c>
      <c r="CL23" s="48" t="s">
        <v>1990</v>
      </c>
      <c r="CM23" s="48" t="s">
        <v>1990</v>
      </c>
      <c r="CN23" s="48" t="s">
        <v>2014</v>
      </c>
      <c r="CO23" s="48" t="str">
        <f t="shared" si="16"/>
        <v>2.1.3.1.1.15</v>
      </c>
      <c r="CP23" s="48" t="str">
        <f>+VLOOKUP(Tabla1[[#This Row],[ESPECÍFICA]],CLASIFICADOR_,2,0)</f>
        <v>2.1.3.1.1.15 - CONTRIBUCIONES A ESSALUD DE CONTRATO ADMINISTRATIVO DE SERVICIOS</v>
      </c>
      <c r="CQ23" s="48" t="str">
        <f>+VLOOKUP(Tabla1[[#This Row],[ESPECÍFICA]],CLASIFICADOR_,3,0)</f>
        <v>01.CAS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5"/>
        <v>0002-DCEME</v>
      </c>
      <c r="CY23" s="113" t="str">
        <f t="shared" si="6"/>
        <v>0002-DCEME (CEAM, FP)</v>
      </c>
      <c r="CZ23" s="20" t="str">
        <f t="shared" si="7"/>
        <v>0002-DCEME (IEVCEAM, G CEAM, FP)</v>
      </c>
      <c r="DA23" s="113" t="str">
        <f>+CONCATENATE(Tabla1[[#This Row],[CC COMPLETO]],Tabla1[[#This Row],[ESPECÍFICA]])</f>
        <v>0002-DCEME2.1.3.1.1.15</v>
      </c>
      <c r="DB23" s="49">
        <f t="shared" si="8"/>
        <v>153068.06999999998</v>
      </c>
      <c r="DC23" s="49">
        <f t="shared" si="9"/>
        <v>153068.06999999998</v>
      </c>
      <c r="DD23" s="49">
        <f t="shared" si="10"/>
        <v>153068.06999999998</v>
      </c>
      <c r="DE23" s="49">
        <f t="shared" si="11"/>
        <v>47260.09</v>
      </c>
      <c r="DF23" s="49">
        <f t="shared" si="12"/>
        <v>0</v>
      </c>
      <c r="DG23" s="49">
        <f t="shared" si="13"/>
        <v>32820.840000000026</v>
      </c>
      <c r="DH23" s="49">
        <f t="shared" si="14"/>
        <v>80080.930000000022</v>
      </c>
      <c r="DI23" s="50">
        <f t="shared" si="15"/>
        <v>0.70292742402116104</v>
      </c>
      <c r="DJ23" s="78">
        <f>+SUM(Tabla1[[#This Row],[EJECUTADO 01]:[EJECUTADO 06]])</f>
        <v>92688.099999999991</v>
      </c>
      <c r="DK23" s="78">
        <f>+Tabla1[[#This Row],[mto_devenga_01]]</f>
        <v>17058.97</v>
      </c>
      <c r="DL23" s="78">
        <f>+Tabla1[[#This Row],[mto_devenga_02]]</f>
        <v>14276.35</v>
      </c>
      <c r="DM23" s="78">
        <f>+Tabla1[[#This Row],[mto_devenga_03]]</f>
        <v>13867.52</v>
      </c>
      <c r="DN23" s="78">
        <f>+Tabla1[[#This Row],[mto_devenga_04]]</f>
        <v>16229.17</v>
      </c>
      <c r="DO23" s="78">
        <f>+Tabla1[[#This Row],[mto_devenga_05]]</f>
        <v>15817.64</v>
      </c>
      <c r="DP23" s="76">
        <f>+Tabla1[[#This Row],[mto_devenga_06]]</f>
        <v>15438.45</v>
      </c>
      <c r="DQ23" s="76">
        <f>+Tabla1[[#This Row],[mto_devenga_07]]</f>
        <v>14950.92</v>
      </c>
      <c r="DR23" s="76">
        <f>+Tabla1[[#This Row],[mto_devenga_08]]</f>
        <v>14950.92</v>
      </c>
      <c r="DS23" s="76">
        <f>+Tabla1[[#This Row],[mto_devenga_09]]</f>
        <v>15167.6</v>
      </c>
      <c r="DT23" s="76">
        <f>IFERROR(VLOOKUP(Tabla1[[#This Row],[COD SE]],PF_OCTUBRE,14,0),"0")</f>
        <v>16684.360000000015</v>
      </c>
      <c r="DU23" s="76">
        <f>IFERROR(VLOOKUP(Tabla1[[#This Row],[COD SE]],PF_OCTUBRE,15,0),"0")</f>
        <v>16901.040000000015</v>
      </c>
      <c r="DV23" s="76">
        <f>IFERROR(VLOOKUP(Tabla1[[#This Row],[COD SE]],PF_OCTUBRE,16,0),"0")</f>
        <v>16901.040000000015</v>
      </c>
      <c r="DW23" s="76">
        <f>+SUM(Tabla1[[#This Row],[EJECUTADO 01]:[PF DICIEMBRE
]])</f>
        <v>188243.98</v>
      </c>
      <c r="DX23" s="76">
        <f>IFERROR(VLOOKUP(Tabla1[[#This Row],[COD SE]],PF_OCTUBRE,18,0),"0")</f>
        <v>0</v>
      </c>
      <c r="DY23" s="76">
        <f>IFERROR(VLOOKUP(Tabla1[[#This Row],[COD SE]],PF_OCTUBRE,19,0),"0")</f>
        <v>44905.020000000004</v>
      </c>
      <c r="DZ23" s="76">
        <f>IFERROR(VLOOKUP(Tabla1[[#This Row],[COD SE]],PF_OCTUBRE,20,0),"0")</f>
        <v>44905.020000000004</v>
      </c>
      <c r="EA23" s="76">
        <f>+Tabla1[[#This Row],[TOTAL EJEC REAL]]+Tabla1[[#This Row],[SALDO FINAL]]</f>
        <v>233149</v>
      </c>
      <c r="EB23" s="76">
        <f>IFERROR(VLOOKUP(Tabla1[[#This Row],[COD SE]],PF_OCTUBRE,22,0),"0")</f>
        <v>61806.060000000041</v>
      </c>
      <c r="EC23" s="76">
        <f>+IFERROR(VLOOKUP(Tabla1[[#This Row],[COD SE]],SALDO_ESC_2,7,0),0)</f>
        <v>0</v>
      </c>
      <c r="ED23" s="76">
        <f>+IFERROR(VLOOKUP(Tabla1[[#This Row],[COD SE]],SALDO_ESC_3,7,0),0)</f>
        <v>44905.020000000004</v>
      </c>
      <c r="EE23" s="76">
        <f>+Tabla1[[#This Row],[mto_pim]]-Tabla1[[#This Row],[TRANSF ESC2 ]]</f>
        <v>233149</v>
      </c>
      <c r="EF23" s="76">
        <f>+Tabla1[[#This Row],[mto_pim]]-Tabla1[[#This Row],[TRANFS ESC 3 ]]</f>
        <v>188243.97999999998</v>
      </c>
      <c r="EG23" s="76">
        <f>+IFERROR(VLOOKUP(Tabla1[[#This Row],[COD SE]],HISTORICO,4,0),0)</f>
        <v>17984.440000000017</v>
      </c>
      <c r="EH23" s="76">
        <f>+IFERROR(VLOOKUP(Tabla1[[#This Row],[COD SE]],HISTORICO,5,0),0)</f>
        <v>17117.720000000016</v>
      </c>
      <c r="EI23" s="76">
        <f>+IFERROR(VLOOKUP(Tabla1[[#This Row],[COD SE]],HISTORICO,6,0),0)</f>
        <v>17984.440000000017</v>
      </c>
      <c r="EJ23" s="76">
        <f>+IFERROR(VLOOKUP(Tabla1[[#This Row],[COD SE]],HISTORICO,7,0),0)</f>
        <v>13867.520000000011</v>
      </c>
      <c r="EK23" s="76">
        <f>+IFERROR(VLOOKUP(Tabla1[[#This Row],[COD SE]],HISTORICO,8,0),0)</f>
        <v>18259.870000000014</v>
      </c>
      <c r="EL23" s="76">
        <f>+IFERROR(VLOOKUP(Tabla1[[#This Row],[COD SE]],HISTORICO,9,0),0)</f>
        <v>15817.640000000014</v>
      </c>
      <c r="EM23" s="76">
        <f>+IFERROR(VLOOKUP(Tabla1[[#This Row],[COD SE]],HISTORICO,10,0),0)</f>
        <v>15167.600000000013</v>
      </c>
      <c r="EN23" s="76">
        <f>+IFERROR(VLOOKUP(Tabla1[[#This Row],[COD SE]],HISTORICO,11,0),0)</f>
        <v>15167.600000000013</v>
      </c>
      <c r="EO23" s="76">
        <f>+IFERROR(VLOOKUP(Tabla1[[#This Row],[COD SE]],HISTORICO,12,0),0)</f>
        <v>15167.600000000013</v>
      </c>
      <c r="EP23" s="58">
        <f>+SUM(Tabla1[[#This Row],[EJECUTADO 01]:[EJECUTADO 03]])</f>
        <v>45202.84</v>
      </c>
      <c r="EQ23" s="58">
        <f>+SUM(Tabla1[[#This Row],[EJECUTADO 04]:[EJECUTADO 06]])</f>
        <v>47485.259999999995</v>
      </c>
      <c r="ER23" s="58">
        <f>+SUM(Tabla1[[#This Row],[EJECUTADO 07]:[EJECUTADO 09]])</f>
        <v>45069.440000000002</v>
      </c>
      <c r="ES23" s="58">
        <f>+SUM(Tabla1[[#This Row],[PF OCTUBRE]:[PF DICIEMBRE
]])</f>
        <v>50486.440000000046</v>
      </c>
      <c r="ET23" s="58">
        <f>+SUM(Tabla1[[#This Row],[EJECUTADO 01]:[EJECUTADO 09]])</f>
        <v>137757.53999999998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2015</v>
      </c>
      <c r="AH24" s="369">
        <v>0</v>
      </c>
      <c r="AI24" s="369">
        <v>87525</v>
      </c>
      <c r="AJ24" s="369">
        <v>87525</v>
      </c>
      <c r="AK24" s="370">
        <v>87525</v>
      </c>
      <c r="AL24" s="370">
        <v>49038</v>
      </c>
      <c r="AM24" s="370">
        <v>0</v>
      </c>
      <c r="AN24" s="370">
        <v>0</v>
      </c>
      <c r="AO24" s="370">
        <v>0</v>
      </c>
      <c r="AP24" s="370">
        <v>42402.02</v>
      </c>
      <c r="AQ24" s="370">
        <v>350.86</v>
      </c>
      <c r="AR24" s="370">
        <v>0</v>
      </c>
      <c r="AS24" s="370">
        <v>0</v>
      </c>
      <c r="AT24" s="370">
        <v>0</v>
      </c>
      <c r="AU24" s="370">
        <v>6275.48</v>
      </c>
      <c r="AV24" s="370">
        <v>0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42402.02</v>
      </c>
      <c r="BC24" s="370">
        <v>350.86</v>
      </c>
      <c r="BD24" s="370">
        <v>0</v>
      </c>
      <c r="BE24" s="370">
        <v>0</v>
      </c>
      <c r="BF24" s="370">
        <v>0</v>
      </c>
      <c r="BG24" s="370">
        <v>6275.48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42402.02</v>
      </c>
      <c r="BO24" s="370">
        <v>350.86</v>
      </c>
      <c r="BP24" s="370">
        <v>0</v>
      </c>
      <c r="BQ24" s="370">
        <v>0</v>
      </c>
      <c r="BR24" s="370">
        <v>0</v>
      </c>
      <c r="BS24" s="370">
        <v>0</v>
      </c>
      <c r="BT24" s="370">
        <v>6275.48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40841.870000000003</v>
      </c>
      <c r="CA24" s="370">
        <v>0</v>
      </c>
      <c r="CB24" s="370">
        <v>0</v>
      </c>
      <c r="CC24" s="370">
        <v>0</v>
      </c>
      <c r="CD24" s="370">
        <v>0</v>
      </c>
      <c r="CE24" s="370">
        <v>5895.12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1989</v>
      </c>
      <c r="CO24" s="48" t="str">
        <f t="shared" si="16"/>
        <v>2.1.4.1.1.7</v>
      </c>
      <c r="CP24" s="48" t="str">
        <f>+VLOOKUP(Tabla1[[#This Row],[ESPECÍFICA]],CLASIFICADOR_,2,0)</f>
        <v>2.1.4.1.1.7 - VACACIONES TRUNCAS PERSONAL CAS</v>
      </c>
      <c r="CQ24" s="48" t="str">
        <f>+VLOOKUP(Tabla1[[#This Row],[ESPECÍFICA]],CLASIFICADOR_,3,0)</f>
        <v>01.CAS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5"/>
        <v>0002-DCEME</v>
      </c>
      <c r="CY24" s="113" t="str">
        <f t="shared" si="6"/>
        <v>0002-DCEME (CEAM, FP)</v>
      </c>
      <c r="CZ24" s="20" t="str">
        <f t="shared" si="7"/>
        <v>0002-DCEME (IEVCEAM, G CEAM, FP)</v>
      </c>
      <c r="DA24" s="113" t="str">
        <f>+CONCATENATE(Tabla1[[#This Row],[CC COMPLETO]],Tabla1[[#This Row],[ESPECÍFICA]])</f>
        <v>0002-DCEME2.1.4.1.1.7</v>
      </c>
      <c r="DB24" s="49">
        <f t="shared" si="8"/>
        <v>49028.36</v>
      </c>
      <c r="DC24" s="49">
        <f t="shared" si="9"/>
        <v>49028.36</v>
      </c>
      <c r="DD24" s="49">
        <f t="shared" si="10"/>
        <v>49028.36</v>
      </c>
      <c r="DE24" s="49">
        <f t="shared" si="11"/>
        <v>0</v>
      </c>
      <c r="DF24" s="49">
        <f t="shared" si="12"/>
        <v>38487</v>
      </c>
      <c r="DG24" s="49">
        <f t="shared" si="13"/>
        <v>9.6399999999994179</v>
      </c>
      <c r="DH24" s="49">
        <f t="shared" si="14"/>
        <v>38496.639999999999</v>
      </c>
      <c r="DI24" s="50">
        <f t="shared" si="15"/>
        <v>0</v>
      </c>
      <c r="DJ24" s="78">
        <f>+SUM(Tabla1[[#This Row],[EJECUTADO 01]:[EJECUTADO 06]])</f>
        <v>42752.88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42402.02</v>
      </c>
      <c r="DO24" s="78">
        <f>+Tabla1[[#This Row],[mto_devenga_05]]</f>
        <v>350.86</v>
      </c>
      <c r="DP24" s="76">
        <f>+Tabla1[[#This Row],[mto_devenga_06]]</f>
        <v>0</v>
      </c>
      <c r="DQ24" s="76">
        <f>+Tabla1[[#This Row],[mto_devenga_07]]</f>
        <v>0</v>
      </c>
      <c r="DR24" s="76">
        <f>+Tabla1[[#This Row],[mto_devenga_08]]</f>
        <v>0</v>
      </c>
      <c r="DS24" s="76">
        <f>+Tabla1[[#This Row],[mto_devenga_09]]</f>
        <v>6275.48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-8615.8300000000017</v>
      </c>
      <c r="DW24" s="76">
        <f>+SUM(Tabla1[[#This Row],[EJECUTADO 01]:[PF DICIEMBRE
]])</f>
        <v>40412.53</v>
      </c>
      <c r="DX24" s="76">
        <f>IFERROR(VLOOKUP(Tabla1[[#This Row],[COD SE]],PF_OCTUBRE,18,0),"0")</f>
        <v>0</v>
      </c>
      <c r="DY24" s="76">
        <f>IFERROR(VLOOKUP(Tabla1[[#This Row],[COD SE]],PF_OCTUBRE,19,0),"0")</f>
        <v>8625.4699999999993</v>
      </c>
      <c r="DZ24" s="76">
        <f>IFERROR(VLOOKUP(Tabla1[[#This Row],[COD SE]],PF_OCTUBRE,20,0),"0")</f>
        <v>8625.4699999999993</v>
      </c>
      <c r="EA24" s="76">
        <f>+Tabla1[[#This Row],[TOTAL EJEC REAL]]+Tabla1[[#This Row],[SALDO FINAL]]</f>
        <v>49038</v>
      </c>
      <c r="EB24" s="76">
        <f>IFERROR(VLOOKUP(Tabla1[[#This Row],[COD SE]],PF_OCTUBRE,22,0),"0")</f>
        <v>9.64</v>
      </c>
      <c r="EC24" s="76">
        <f>+IFERROR(VLOOKUP(Tabla1[[#This Row],[COD SE]],SALDO_ESC_2,7,0),0)</f>
        <v>0</v>
      </c>
      <c r="ED24" s="76">
        <f>+IFERROR(VLOOKUP(Tabla1[[#This Row],[COD SE]],SALDO_ESC_3,7,0),0)</f>
        <v>8625.4699999999993</v>
      </c>
      <c r="EE24" s="76">
        <f>+Tabla1[[#This Row],[mto_pim]]-Tabla1[[#This Row],[TRANSF ESC2 ]]</f>
        <v>87525</v>
      </c>
      <c r="EF24" s="76">
        <f>+Tabla1[[#This Row],[mto_pim]]-Tabla1[[#This Row],[TRANFS ESC 3 ]]</f>
        <v>78899.53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42411</v>
      </c>
      <c r="EJ24" s="76">
        <f>+IFERROR(VLOOKUP(Tabla1[[#This Row],[COD SE]],HISTORICO,7,0),0)</f>
        <v>42411</v>
      </c>
      <c r="EK24" s="76">
        <f>+IFERROR(VLOOKUP(Tabla1[[#This Row],[COD SE]],HISTORICO,8,0),0)</f>
        <v>351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0</v>
      </c>
      <c r="EP24" s="58">
        <f>+SUM(Tabla1[[#This Row],[EJECUTADO 01]:[EJECUTADO 03]])</f>
        <v>0</v>
      </c>
      <c r="EQ24" s="58">
        <f>+SUM(Tabla1[[#This Row],[EJECUTADO 04]:[EJECUTADO 06]])</f>
        <v>42752.88</v>
      </c>
      <c r="ER24" s="58">
        <f>+SUM(Tabla1[[#This Row],[EJECUTADO 07]:[EJECUTADO 09]])</f>
        <v>6275.48</v>
      </c>
      <c r="ES24" s="58">
        <f>+SUM(Tabla1[[#This Row],[PF OCTUBRE]:[PF DICIEMBRE
]])</f>
        <v>-8615.8300000000017</v>
      </c>
      <c r="ET24" s="58">
        <f>+SUM(Tabla1[[#This Row],[EJECUTADO 01]:[EJECUTADO 09]])</f>
        <v>49028.36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1672</v>
      </c>
      <c r="AD25" s="369" t="s">
        <v>1673</v>
      </c>
      <c r="AE25" s="369" t="s">
        <v>1678</v>
      </c>
      <c r="AF25" s="369" t="s">
        <v>1810</v>
      </c>
      <c r="AG25" s="369" t="s">
        <v>2016</v>
      </c>
      <c r="AH25" s="369">
        <v>0</v>
      </c>
      <c r="AI25" s="369">
        <v>13560</v>
      </c>
      <c r="AJ25" s="369">
        <v>13560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70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>
        <v>0</v>
      </c>
      <c r="CF25" s="370">
        <v>0</v>
      </c>
      <c r="CG25" s="370">
        <v>0</v>
      </c>
      <c r="CH25" s="370">
        <v>0</v>
      </c>
      <c r="CI25" s="48" t="s">
        <v>1987</v>
      </c>
      <c r="CJ25" s="48" t="s">
        <v>1991</v>
      </c>
      <c r="CK25" s="48" t="s">
        <v>1987</v>
      </c>
      <c r="CL25" s="48" t="s">
        <v>1989</v>
      </c>
      <c r="CM25" s="48" t="s">
        <v>2011</v>
      </c>
      <c r="CN25" s="48" t="s">
        <v>1987</v>
      </c>
      <c r="CO25" s="48" t="str">
        <f t="shared" si="16"/>
        <v>2.3.2.7.5.2</v>
      </c>
      <c r="CP25" s="48" t="str">
        <f>+VLOOKUP(Tabla1[[#This Row],[ESPECÍFICA]],CLASIFICADOR_,2,0)</f>
        <v>2.3.2.7.5.2 - PROPINAS PARA PRACTICANTES</v>
      </c>
      <c r="CQ25" s="48" t="str">
        <f>+VLOOKUP(Tabla1[[#This Row],[ESPECÍFICA]],CLASIFICADOR_,3,0)</f>
        <v>2.3.2.7 - SERVICIOS PROFESIONALES Y TECNICOS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2.3.BIENES Y SERVICIOS</v>
      </c>
      <c r="CX25" s="48" t="str">
        <f t="shared" si="5"/>
        <v>0002-DCEME</v>
      </c>
      <c r="CY25" s="113" t="str">
        <f t="shared" si="6"/>
        <v>0002-DCEME (CEAM, FP)</v>
      </c>
      <c r="CZ25" s="20" t="str">
        <f t="shared" si="7"/>
        <v>0002-DCEME (IEVCEAM, G CEAM, FP)</v>
      </c>
      <c r="DA25" s="113" t="str">
        <f>+CONCATENATE(Tabla1[[#This Row],[CC COMPLETO]],Tabla1[[#This Row],[ESPECÍFICA]])</f>
        <v>0002-DCEME2.3.2.7.5.2</v>
      </c>
      <c r="DB25" s="49">
        <f t="shared" si="8"/>
        <v>0</v>
      </c>
      <c r="DC25" s="49">
        <f t="shared" si="9"/>
        <v>0</v>
      </c>
      <c r="DD25" s="49">
        <f t="shared" si="10"/>
        <v>0</v>
      </c>
      <c r="DE25" s="49">
        <f t="shared" si="11"/>
        <v>13560</v>
      </c>
      <c r="DF25" s="49">
        <f t="shared" si="12"/>
        <v>0</v>
      </c>
      <c r="DG25" s="49">
        <f t="shared" si="13"/>
        <v>0</v>
      </c>
      <c r="DH25" s="49">
        <f t="shared" si="14"/>
        <v>13560</v>
      </c>
      <c r="DI25" s="50">
        <f t="shared" si="15"/>
        <v>0</v>
      </c>
      <c r="DJ25" s="78">
        <f>+SUM(Tabla1[[#This Row],[EJECUTADO 01]:[EJECUTADO 06]])</f>
        <v>0</v>
      </c>
      <c r="DK25" s="78">
        <f>+Tabla1[[#This Row],[mto_devenga_01]]</f>
        <v>0</v>
      </c>
      <c r="DL25" s="78">
        <f>+Tabla1[[#This Row],[mto_devenga_02]]</f>
        <v>0</v>
      </c>
      <c r="DM25" s="78">
        <f>+Tabla1[[#This Row],[mto_devenga_03]]</f>
        <v>0</v>
      </c>
      <c r="DN25" s="78">
        <f>+Tabla1[[#This Row],[mto_devenga_04]]</f>
        <v>0</v>
      </c>
      <c r="DO25" s="78">
        <f>+Tabla1[[#This Row],[mto_devenga_05]]</f>
        <v>0</v>
      </c>
      <c r="DP25" s="76">
        <f>+Tabla1[[#This Row],[mto_devenga_06]]</f>
        <v>0</v>
      </c>
      <c r="DQ25" s="76">
        <f>+Tabla1[[#This Row],[mto_devenga_07]]</f>
        <v>0</v>
      </c>
      <c r="DR25" s="76">
        <f>+Tabla1[[#This Row],[mto_devenga_08]]</f>
        <v>0</v>
      </c>
      <c r="DS25" s="76">
        <f>+Tabla1[[#This Row],[mto_devenga_09]]</f>
        <v>0</v>
      </c>
      <c r="DT25" s="76">
        <f>IFERROR(VLOOKUP(Tabla1[[#This Row],[COD SE]],PF_OCTUBRE,14,0),"0")</f>
        <v>0</v>
      </c>
      <c r="DU25" s="76">
        <f>IFERROR(VLOOKUP(Tabla1[[#This Row],[COD SE]],PF_OCTUBRE,15,0),"0")</f>
        <v>1130</v>
      </c>
      <c r="DV25" s="76">
        <f>IFERROR(VLOOKUP(Tabla1[[#This Row],[COD SE]],PF_OCTUBRE,16,0),"0")</f>
        <v>12430</v>
      </c>
      <c r="DW25" s="76">
        <f>+SUM(Tabla1[[#This Row],[EJECUTADO 01]:[PF DICIEMBRE
]])</f>
        <v>13560</v>
      </c>
      <c r="DX25" s="76">
        <f>IFERROR(VLOOKUP(Tabla1[[#This Row],[COD SE]],PF_OCTUBRE,18,0),"0")</f>
        <v>0</v>
      </c>
      <c r="DY25" s="76">
        <f>IFERROR(VLOOKUP(Tabla1[[#This Row],[COD SE]],PF_OCTUBRE,19,0),"0")</f>
        <v>0</v>
      </c>
      <c r="DZ25" s="76">
        <f>IFERROR(VLOOKUP(Tabla1[[#This Row],[COD SE]],PF_OCTUBRE,20,0),"0")</f>
        <v>0</v>
      </c>
      <c r="EA25" s="76">
        <f>+Tabla1[[#This Row],[TOTAL EJEC REAL]]+Tabla1[[#This Row],[SALDO FINAL]]</f>
        <v>13560</v>
      </c>
      <c r="EB25" s="76">
        <f>IFERROR(VLOOKUP(Tabla1[[#This Row],[COD SE]],PF_OCTUBRE,22,0),"0")</f>
        <v>12430</v>
      </c>
      <c r="EC25" s="76">
        <f>+IFERROR(VLOOKUP(Tabla1[[#This Row],[COD SE]],SALDO_ESC_2,7,0),0)</f>
        <v>0</v>
      </c>
      <c r="ED25" s="76">
        <f>+IFERROR(VLOOKUP(Tabla1[[#This Row],[COD SE]],SALDO_ESC_3,7,0),0)</f>
        <v>0</v>
      </c>
      <c r="EE25" s="76">
        <f>+Tabla1[[#This Row],[mto_pim]]-Tabla1[[#This Row],[TRANSF ESC2 ]]</f>
        <v>13560</v>
      </c>
      <c r="EF25" s="76">
        <f>+Tabla1[[#This Row],[mto_pim]]-Tabla1[[#This Row],[TRANFS ESC 3 ]]</f>
        <v>13560</v>
      </c>
      <c r="EG25" s="76">
        <f>+IFERROR(VLOOKUP(Tabla1[[#This Row],[COD SE]],HISTORICO,4,0),0)</f>
        <v>0</v>
      </c>
      <c r="EH25" s="76">
        <f>+IFERROR(VLOOKUP(Tabla1[[#This Row],[COD SE]],HISTORICO,5,0),0)</f>
        <v>0</v>
      </c>
      <c r="EI25" s="76">
        <f>+IFERROR(VLOOKUP(Tabla1[[#This Row],[COD SE]],HISTORICO,6,0),0)</f>
        <v>0</v>
      </c>
      <c r="EJ25" s="76">
        <f>+IFERROR(VLOOKUP(Tabla1[[#This Row],[COD SE]],HISTORICO,7,0),0)</f>
        <v>0</v>
      </c>
      <c r="EK25" s="76">
        <f>+IFERROR(VLOOKUP(Tabla1[[#This Row],[COD SE]],HISTORICO,8,0),0)</f>
        <v>0</v>
      </c>
      <c r="EL25" s="76">
        <f>+IFERROR(VLOOKUP(Tabla1[[#This Row],[COD SE]],HISTORICO,9,0),0)</f>
        <v>0</v>
      </c>
      <c r="EM25" s="76">
        <f>+IFERROR(VLOOKUP(Tabla1[[#This Row],[COD SE]],HISTORICO,10,0),0)</f>
        <v>0</v>
      </c>
      <c r="EN25" s="76">
        <f>+IFERROR(VLOOKUP(Tabla1[[#This Row],[COD SE]],HISTORICO,11,0),0)</f>
        <v>0</v>
      </c>
      <c r="EO25" s="76">
        <f>+IFERROR(VLOOKUP(Tabla1[[#This Row],[COD SE]],HISTORICO,12,0),0)</f>
        <v>0</v>
      </c>
      <c r="EP25" s="58">
        <f>+SUM(Tabla1[[#This Row],[EJECUTADO 01]:[EJECUTADO 03]])</f>
        <v>0</v>
      </c>
      <c r="EQ25" s="58">
        <f>+SUM(Tabla1[[#This Row],[EJECUTADO 04]:[EJECUTADO 06]])</f>
        <v>0</v>
      </c>
      <c r="ER25" s="58">
        <f>+SUM(Tabla1[[#This Row],[EJECUTADO 07]:[EJECUTADO 09]])</f>
        <v>0</v>
      </c>
      <c r="ES25" s="58">
        <f>+SUM(Tabla1[[#This Row],[PF OCTUBRE]:[PF DICIEMBRE
]])</f>
        <v>13560</v>
      </c>
      <c r="ET25" s="58">
        <f>+SUM(Tabla1[[#This Row],[EJECUTADO 01]:[EJECUTADO 09]])</f>
        <v>0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1656</v>
      </c>
      <c r="AD26" s="369" t="s">
        <v>1668</v>
      </c>
      <c r="AE26" s="369" t="s">
        <v>1669</v>
      </c>
      <c r="AF26" s="369" t="s">
        <v>1669</v>
      </c>
      <c r="AG26" s="369" t="s">
        <v>1670</v>
      </c>
      <c r="AH26" s="369">
        <v>0</v>
      </c>
      <c r="AI26" s="369">
        <v>20204</v>
      </c>
      <c r="AJ26" s="369">
        <v>20204</v>
      </c>
      <c r="AK26" s="370">
        <v>20204</v>
      </c>
      <c r="AL26" s="370">
        <v>20204</v>
      </c>
      <c r="AM26" s="370">
        <v>1066.31</v>
      </c>
      <c r="AN26" s="370">
        <v>0</v>
      </c>
      <c r="AO26" s="370">
        <v>1459.16</v>
      </c>
      <c r="AP26" s="370">
        <v>2132.61</v>
      </c>
      <c r="AQ26" s="370">
        <v>1683.64</v>
      </c>
      <c r="AR26" s="370">
        <v>1515.28</v>
      </c>
      <c r="AS26" s="370">
        <v>944.71</v>
      </c>
      <c r="AT26" s="370">
        <v>0</v>
      </c>
      <c r="AU26" s="370">
        <v>1197.25</v>
      </c>
      <c r="AV26" s="370">
        <v>1683.64</v>
      </c>
      <c r="AW26" s="370">
        <v>0</v>
      </c>
      <c r="AX26" s="370">
        <v>0</v>
      </c>
      <c r="AY26" s="370">
        <v>1066.31</v>
      </c>
      <c r="AZ26" s="370">
        <v>0</v>
      </c>
      <c r="BA26" s="370">
        <v>1459.16</v>
      </c>
      <c r="BB26" s="370">
        <v>2132.61</v>
      </c>
      <c r="BC26" s="370">
        <v>1683.64</v>
      </c>
      <c r="BD26" s="370">
        <v>1515.28</v>
      </c>
      <c r="BE26" s="370">
        <v>944.71</v>
      </c>
      <c r="BF26" s="370">
        <v>0</v>
      </c>
      <c r="BG26" s="370">
        <v>1197.25</v>
      </c>
      <c r="BH26" s="370">
        <v>1683.64</v>
      </c>
      <c r="BI26" s="370">
        <v>0</v>
      </c>
      <c r="BJ26" s="370">
        <v>0</v>
      </c>
      <c r="BK26" s="370">
        <v>1066.31</v>
      </c>
      <c r="BL26" s="370">
        <v>0</v>
      </c>
      <c r="BM26" s="370">
        <v>1459.16</v>
      </c>
      <c r="BN26" s="370">
        <v>2132.61</v>
      </c>
      <c r="BO26" s="370">
        <v>1683.64</v>
      </c>
      <c r="BP26" s="370">
        <v>1515.28</v>
      </c>
      <c r="BQ26" s="370">
        <v>944.71</v>
      </c>
      <c r="BR26" s="370">
        <v>0</v>
      </c>
      <c r="BS26" s="370">
        <v>1197.25</v>
      </c>
      <c r="BT26" s="370">
        <v>1683.64</v>
      </c>
      <c r="BU26" s="370">
        <v>0</v>
      </c>
      <c r="BV26" s="370">
        <v>0</v>
      </c>
      <c r="BW26" s="370">
        <v>1066.31</v>
      </c>
      <c r="BX26" s="370">
        <v>0</v>
      </c>
      <c r="BY26" s="370">
        <v>1459.16</v>
      </c>
      <c r="BZ26" s="370">
        <v>2132.61</v>
      </c>
      <c r="CA26" s="370">
        <v>1683.64</v>
      </c>
      <c r="CB26" s="370">
        <v>1515.28</v>
      </c>
      <c r="CC26" s="370">
        <v>944.71</v>
      </c>
      <c r="CD26" s="370">
        <v>0</v>
      </c>
      <c r="CE26" s="370">
        <v>1197.25</v>
      </c>
      <c r="CF26" s="370">
        <v>1683.64</v>
      </c>
      <c r="CG26" s="370">
        <v>0</v>
      </c>
      <c r="CH26" s="370">
        <v>0</v>
      </c>
      <c r="CI26" s="48" t="s">
        <v>1987</v>
      </c>
      <c r="CJ26" s="48" t="s">
        <v>1990</v>
      </c>
      <c r="CK26" s="48" t="s">
        <v>1991</v>
      </c>
      <c r="CL26" s="48" t="s">
        <v>1990</v>
      </c>
      <c r="CM26" s="48" t="s">
        <v>1990</v>
      </c>
      <c r="CN26" s="48" t="s">
        <v>2010</v>
      </c>
      <c r="CO26" s="48" t="str">
        <f t="shared" si="16"/>
        <v>2.1.3.1.1.13</v>
      </c>
      <c r="CP26" s="48" t="str">
        <f>+VLOOKUP(Tabla1[[#This Row],[ESPECÍFICA]],CLASIFICADOR_,2,0)</f>
        <v>2.1.3.1.1.13 - CONTRIBUCIONES A ESSALUD DEL PERSONAL ADMINISTRATIVO</v>
      </c>
      <c r="CQ26" s="48" t="str">
        <f>+VLOOKUP(Tabla1[[#This Row],[ESPECÍFICA]],CLASIFICADOR_,3,0)</f>
        <v>02.SERVIR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2.1.PERSONAL Y OBLIGACIONES SOCIALES</v>
      </c>
      <c r="CX26" s="48" t="str">
        <f t="shared" si="5"/>
        <v>0002-DCEME</v>
      </c>
      <c r="CY26" s="113" t="str">
        <f t="shared" si="6"/>
        <v>0002-DCEME (CEAM, FP)</v>
      </c>
      <c r="CZ26" s="20" t="str">
        <f t="shared" si="7"/>
        <v>0002-DCEME (IEVCEAM, G CEAM, FP)</v>
      </c>
      <c r="DA26" s="113" t="str">
        <f>+CONCATENATE(Tabla1[[#This Row],[CC COMPLETO]],Tabla1[[#This Row],[ESPECÍFICA]])</f>
        <v>0002-DCEME2.1.3.1.1.13</v>
      </c>
      <c r="DB26" s="49">
        <f t="shared" si="8"/>
        <v>11682.599999999999</v>
      </c>
      <c r="DC26" s="49">
        <f t="shared" si="9"/>
        <v>11682.599999999999</v>
      </c>
      <c r="DD26" s="49">
        <f t="shared" si="10"/>
        <v>11682.599999999999</v>
      </c>
      <c r="DE26" s="49">
        <f t="shared" si="11"/>
        <v>0</v>
      </c>
      <c r="DF26" s="49">
        <f t="shared" si="12"/>
        <v>0</v>
      </c>
      <c r="DG26" s="49">
        <f t="shared" si="13"/>
        <v>8521.4000000000015</v>
      </c>
      <c r="DH26" s="49">
        <f t="shared" si="14"/>
        <v>8521.4000000000015</v>
      </c>
      <c r="DI26" s="50">
        <f t="shared" si="15"/>
        <v>0</v>
      </c>
      <c r="DJ26" s="78">
        <f>+SUM(Tabla1[[#This Row],[EJECUTADO 01]:[EJECUTADO 06]])</f>
        <v>7857</v>
      </c>
      <c r="DK26" s="78">
        <f>+Tabla1[[#This Row],[mto_devenga_01]]</f>
        <v>1066.31</v>
      </c>
      <c r="DL26" s="78">
        <f>+Tabla1[[#This Row],[mto_devenga_02]]</f>
        <v>0</v>
      </c>
      <c r="DM26" s="78">
        <f>+Tabla1[[#This Row],[mto_devenga_03]]</f>
        <v>1459.16</v>
      </c>
      <c r="DN26" s="78">
        <f>+Tabla1[[#This Row],[mto_devenga_04]]</f>
        <v>2132.61</v>
      </c>
      <c r="DO26" s="78">
        <f>+Tabla1[[#This Row],[mto_devenga_05]]</f>
        <v>1683.64</v>
      </c>
      <c r="DP26" s="76">
        <f>+Tabla1[[#This Row],[mto_devenga_06]]</f>
        <v>1515.28</v>
      </c>
      <c r="DQ26" s="76">
        <f>+Tabla1[[#This Row],[mto_devenga_07]]</f>
        <v>944.71</v>
      </c>
      <c r="DR26" s="76">
        <f>+Tabla1[[#This Row],[mto_devenga_08]]</f>
        <v>0</v>
      </c>
      <c r="DS26" s="76">
        <f>+Tabla1[[#This Row],[mto_devenga_09]]</f>
        <v>1197.25</v>
      </c>
      <c r="DT26" s="76">
        <f>IFERROR(VLOOKUP(Tabla1[[#This Row],[COD SE]],PF_OCTUBRE,14,0),"0")</f>
        <v>1683.64</v>
      </c>
      <c r="DU26" s="76">
        <f>IFERROR(VLOOKUP(Tabla1[[#This Row],[COD SE]],PF_OCTUBRE,15,0),"0")</f>
        <v>1683.64</v>
      </c>
      <c r="DV26" s="76">
        <f>IFERROR(VLOOKUP(Tabla1[[#This Row],[COD SE]],PF_OCTUBRE,16,0),"0")</f>
        <v>1683.6400000000003</v>
      </c>
      <c r="DW26" s="76">
        <f>+SUM(Tabla1[[#This Row],[EJECUTADO 01]:[PF DICIEMBRE
]])</f>
        <v>15049.879999999997</v>
      </c>
      <c r="DX26" s="76">
        <f>IFERROR(VLOOKUP(Tabla1[[#This Row],[COD SE]],PF_OCTUBRE,18,0),"0")</f>
        <v>0</v>
      </c>
      <c r="DY26" s="76">
        <f>IFERROR(VLOOKUP(Tabla1[[#This Row],[COD SE]],PF_OCTUBRE,19,0),"0")</f>
        <v>5154.12</v>
      </c>
      <c r="DZ26" s="76">
        <f>IFERROR(VLOOKUP(Tabla1[[#This Row],[COD SE]],PF_OCTUBRE,20,0),"0")</f>
        <v>5154.12</v>
      </c>
      <c r="EA26" s="76">
        <f>+Tabla1[[#This Row],[TOTAL EJEC REAL]]+Tabla1[[#This Row],[SALDO FINAL]]</f>
        <v>20203.999999999996</v>
      </c>
      <c r="EB26" s="76">
        <f>IFERROR(VLOOKUP(Tabla1[[#This Row],[COD SE]],PF_OCTUBRE,22,0),"0")</f>
        <v>6837.76</v>
      </c>
      <c r="EC26" s="76">
        <f>+IFERROR(VLOOKUP(Tabla1[[#This Row],[COD SE]],SALDO_ESC_2,7,0),0)</f>
        <v>0</v>
      </c>
      <c r="ED26" s="76">
        <f>+IFERROR(VLOOKUP(Tabla1[[#This Row],[COD SE]],SALDO_ESC_3,7,0),0)</f>
        <v>5154.12</v>
      </c>
      <c r="EE26" s="76">
        <f>+Tabla1[[#This Row],[mto_pim]]-Tabla1[[#This Row],[TRANSF ESC2 ]]</f>
        <v>20204</v>
      </c>
      <c r="EF26" s="76">
        <f>+Tabla1[[#This Row],[mto_pim]]-Tabla1[[#This Row],[TRANFS ESC 3 ]]</f>
        <v>15049.880000000001</v>
      </c>
      <c r="EG26" s="76">
        <f>+IFERROR(VLOOKUP(Tabla1[[#This Row],[COD SE]],HISTORICO,4,0),0)</f>
        <v>1683.64</v>
      </c>
      <c r="EH26" s="76">
        <f>+IFERROR(VLOOKUP(Tabla1[[#This Row],[COD SE]],HISTORICO,5,0),0)</f>
        <v>1683.96</v>
      </c>
      <c r="EI26" s="76">
        <f>+IFERROR(VLOOKUP(Tabla1[[#This Row],[COD SE]],HISTORICO,6,0),0)</f>
        <v>1683.64</v>
      </c>
      <c r="EJ26" s="76">
        <f>+IFERROR(VLOOKUP(Tabla1[[#This Row],[COD SE]],HISTORICO,7,0),0)</f>
        <v>1683.64</v>
      </c>
      <c r="EK26" s="76">
        <f>+IFERROR(VLOOKUP(Tabla1[[#This Row],[COD SE]],HISTORICO,8,0),0)</f>
        <v>4209.09</v>
      </c>
      <c r="EL26" s="76">
        <f>+IFERROR(VLOOKUP(Tabla1[[#This Row],[COD SE]],HISTORICO,9,0),0)</f>
        <v>1683.64</v>
      </c>
      <c r="EM26" s="76">
        <f>+IFERROR(VLOOKUP(Tabla1[[#This Row],[COD SE]],HISTORICO,10,0),0)</f>
        <v>1683.64</v>
      </c>
      <c r="EN26" s="76">
        <f>+IFERROR(VLOOKUP(Tabla1[[#This Row],[COD SE]],HISTORICO,11,0),0)</f>
        <v>1683.64</v>
      </c>
      <c r="EO26" s="76">
        <f>+IFERROR(VLOOKUP(Tabla1[[#This Row],[COD SE]],HISTORICO,12,0),0)</f>
        <v>1683.64</v>
      </c>
      <c r="EP26" s="58">
        <f>+SUM(Tabla1[[#This Row],[EJECUTADO 01]:[EJECUTADO 03]])</f>
        <v>2525.4700000000003</v>
      </c>
      <c r="EQ26" s="58">
        <f>+SUM(Tabla1[[#This Row],[EJECUTADO 04]:[EJECUTADO 06]])</f>
        <v>5331.53</v>
      </c>
      <c r="ER26" s="58">
        <f>+SUM(Tabla1[[#This Row],[EJECUTADO 07]:[EJECUTADO 09]])</f>
        <v>2141.96</v>
      </c>
      <c r="ES26" s="58">
        <f>+SUM(Tabla1[[#This Row],[PF OCTUBRE]:[PF DICIEMBRE
]])</f>
        <v>5050.92</v>
      </c>
      <c r="ET26" s="58">
        <f>+SUM(Tabla1[[#This Row],[EJECUTADO 01]:[EJECUTADO 09]])</f>
        <v>9998.9599999999991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1656</v>
      </c>
      <c r="AD27" s="369" t="s">
        <v>1657</v>
      </c>
      <c r="AE27" s="369" t="s">
        <v>1658</v>
      </c>
      <c r="AF27" s="369" t="s">
        <v>1658</v>
      </c>
      <c r="AG27" s="369" t="s">
        <v>1659</v>
      </c>
      <c r="AH27" s="369">
        <v>0</v>
      </c>
      <c r="AI27" s="369">
        <v>224486</v>
      </c>
      <c r="AJ27" s="369">
        <v>224486</v>
      </c>
      <c r="AK27" s="370">
        <v>155893</v>
      </c>
      <c r="AL27" s="370">
        <v>155893</v>
      </c>
      <c r="AM27" s="370">
        <v>11847.86</v>
      </c>
      <c r="AN27" s="370">
        <v>0</v>
      </c>
      <c r="AO27" s="370">
        <v>16212.85</v>
      </c>
      <c r="AP27" s="370">
        <v>18707.14</v>
      </c>
      <c r="AQ27" s="370">
        <v>18707.14</v>
      </c>
      <c r="AR27" s="370">
        <v>16836.43</v>
      </c>
      <c r="AS27" s="370">
        <v>5612.14</v>
      </c>
      <c r="AT27" s="370">
        <v>0</v>
      </c>
      <c r="AU27" s="370">
        <v>11847.86</v>
      </c>
      <c r="AV27" s="370">
        <v>18707.14</v>
      </c>
      <c r="AW27" s="370">
        <v>0</v>
      </c>
      <c r="AX27" s="370">
        <v>0</v>
      </c>
      <c r="AY27" s="370">
        <v>11847.86</v>
      </c>
      <c r="AZ27" s="370">
        <v>0</v>
      </c>
      <c r="BA27" s="370">
        <v>16212.85</v>
      </c>
      <c r="BB27" s="370">
        <v>18707.14</v>
      </c>
      <c r="BC27" s="370">
        <v>18707.14</v>
      </c>
      <c r="BD27" s="370">
        <v>16836.43</v>
      </c>
      <c r="BE27" s="370">
        <v>5612.14</v>
      </c>
      <c r="BF27" s="370">
        <v>0</v>
      </c>
      <c r="BG27" s="370">
        <v>11847.86</v>
      </c>
      <c r="BH27" s="370">
        <v>18707.14</v>
      </c>
      <c r="BI27" s="370">
        <v>0</v>
      </c>
      <c r="BJ27" s="370">
        <v>0</v>
      </c>
      <c r="BK27" s="370">
        <v>11847.86</v>
      </c>
      <c r="BL27" s="370">
        <v>0</v>
      </c>
      <c r="BM27" s="370">
        <v>16212.85</v>
      </c>
      <c r="BN27" s="370">
        <v>16380.19</v>
      </c>
      <c r="BO27" s="370">
        <v>21034.09</v>
      </c>
      <c r="BP27" s="370">
        <v>16836.43</v>
      </c>
      <c r="BQ27" s="370">
        <v>5612.14</v>
      </c>
      <c r="BR27" s="370">
        <v>0</v>
      </c>
      <c r="BS27" s="370">
        <v>11847.86</v>
      </c>
      <c r="BT27" s="370">
        <v>16353.43</v>
      </c>
      <c r="BU27" s="370">
        <v>0</v>
      </c>
      <c r="BV27" s="370">
        <v>0</v>
      </c>
      <c r="BW27" s="370">
        <v>11847.86</v>
      </c>
      <c r="BX27" s="370">
        <v>0</v>
      </c>
      <c r="BY27" s="370">
        <v>16212.85</v>
      </c>
      <c r="BZ27" s="370">
        <v>18707.14</v>
      </c>
      <c r="CA27" s="370">
        <v>18707.14</v>
      </c>
      <c r="CB27" s="370">
        <v>16836.43</v>
      </c>
      <c r="CC27" s="370">
        <v>5612.14</v>
      </c>
      <c r="CD27" s="370">
        <v>0</v>
      </c>
      <c r="CE27" s="370">
        <v>11847.86</v>
      </c>
      <c r="CF27" s="370">
        <v>16353.43</v>
      </c>
      <c r="CG27" s="370">
        <v>0</v>
      </c>
      <c r="CH27" s="370">
        <v>0</v>
      </c>
      <c r="CI27" s="48" t="s">
        <v>1987</v>
      </c>
      <c r="CJ27" s="48" t="s">
        <v>1990</v>
      </c>
      <c r="CK27" s="48" t="s">
        <v>1990</v>
      </c>
      <c r="CL27" s="48" t="s">
        <v>1990</v>
      </c>
      <c r="CM27" s="48" t="s">
        <v>1990</v>
      </c>
      <c r="CN27" s="48" t="s">
        <v>1992</v>
      </c>
      <c r="CO27" s="48" t="str">
        <f t="shared" si="16"/>
        <v>2.1.1.1.1.8</v>
      </c>
      <c r="CP27" s="48" t="str">
        <f>+VLOOKUP(Tabla1[[#This Row],[ESPECÍFICA]],CLASIFICADOR_,2,0)</f>
        <v>2.1.1.1.1.8 - PERSONAL DE LA LEY SERVIR (RÉGIMEN DEL SERVICIO CIVIL)</v>
      </c>
      <c r="CQ27" s="48" t="str">
        <f>+VLOOKUP(Tabla1[[#This Row],[ESPECÍFICA]],CLASIFICADOR_,3,0)</f>
        <v>02.SERVIR</v>
      </c>
      <c r="CR27" s="48" t="str">
        <f>+VLOOKUP(Tabla1[[#This Row],[ESPECÍFICA]],CLASIFICADOR_,4,0)</f>
        <v xml:space="preserve"> </v>
      </c>
      <c r="CS27" s="48">
        <f>+VLOOKUP(Tabla1[[#This Row],[ESPECÍFICA]],CLASIFICADOR_,5,0)</f>
        <v>0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2.1.PERSONAL Y OBLIGACIONES SOCIALES</v>
      </c>
      <c r="CX27" s="48" t="str">
        <f t="shared" si="5"/>
        <v>0002-DCEME</v>
      </c>
      <c r="CY27" s="113" t="str">
        <f t="shared" si="6"/>
        <v>0002-DCEME (CEAM, FP)</v>
      </c>
      <c r="CZ27" s="20" t="str">
        <f t="shared" si="7"/>
        <v>0002-DCEME (IEVCEAM, G CEAM, FP)</v>
      </c>
      <c r="DA27" s="113" t="str">
        <f>+CONCATENATE(Tabla1[[#This Row],[CC COMPLETO]],Tabla1[[#This Row],[ESPECÍFICA]])</f>
        <v>0002-DCEME2.1.1.1.1.8</v>
      </c>
      <c r="DB27" s="49">
        <f t="shared" si="8"/>
        <v>118478.56</v>
      </c>
      <c r="DC27" s="49">
        <f t="shared" si="9"/>
        <v>118478.56</v>
      </c>
      <c r="DD27" s="49">
        <f t="shared" si="10"/>
        <v>116124.85</v>
      </c>
      <c r="DE27" s="49">
        <f t="shared" si="11"/>
        <v>68593</v>
      </c>
      <c r="DF27" s="49">
        <f t="shared" si="12"/>
        <v>0</v>
      </c>
      <c r="DG27" s="49">
        <f t="shared" si="13"/>
        <v>37414.44</v>
      </c>
      <c r="DH27" s="49">
        <f t="shared" si="14"/>
        <v>106007.44</v>
      </c>
      <c r="DI27" s="50">
        <f t="shared" si="15"/>
        <v>0</v>
      </c>
      <c r="DJ27" s="78">
        <f>+SUM(Tabla1[[#This Row],[EJECUTADO 01]:[EJECUTADO 06]])</f>
        <v>82311.42</v>
      </c>
      <c r="DK27" s="78">
        <f>+Tabla1[[#This Row],[mto_devenga_01]]</f>
        <v>11847.86</v>
      </c>
      <c r="DL27" s="78">
        <f>+Tabla1[[#This Row],[mto_devenga_02]]</f>
        <v>0</v>
      </c>
      <c r="DM27" s="78">
        <f>+Tabla1[[#This Row],[mto_devenga_03]]</f>
        <v>16212.85</v>
      </c>
      <c r="DN27" s="78">
        <f>+Tabla1[[#This Row],[mto_devenga_04]]</f>
        <v>18707.14</v>
      </c>
      <c r="DO27" s="78">
        <f>+Tabla1[[#This Row],[mto_devenga_05]]</f>
        <v>18707.14</v>
      </c>
      <c r="DP27" s="76">
        <f>+Tabla1[[#This Row],[mto_devenga_06]]</f>
        <v>16836.43</v>
      </c>
      <c r="DQ27" s="76">
        <f>+Tabla1[[#This Row],[mto_devenga_07]]</f>
        <v>5612.14</v>
      </c>
      <c r="DR27" s="76">
        <f>+Tabla1[[#This Row],[mto_devenga_08]]</f>
        <v>0</v>
      </c>
      <c r="DS27" s="76">
        <f>+Tabla1[[#This Row],[mto_devenga_09]]</f>
        <v>11847.86</v>
      </c>
      <c r="DT27" s="76">
        <f>IFERROR(VLOOKUP(Tabla1[[#This Row],[COD SE]],PF_OCTUBRE,14,0),"0")</f>
        <v>18707.14</v>
      </c>
      <c r="DU27" s="76">
        <f>IFERROR(VLOOKUP(Tabla1[[#This Row],[COD SE]],PF_OCTUBRE,15,0),"0")</f>
        <v>18707.14</v>
      </c>
      <c r="DV27" s="76">
        <f>IFERROR(VLOOKUP(Tabla1[[#This Row],[COD SE]],PF_OCTUBRE,16,0),"0")</f>
        <v>18707.14</v>
      </c>
      <c r="DW27" s="76">
        <f>+SUM(Tabla1[[#This Row],[EJECUTADO 01]:[PF DICIEMBRE
]])</f>
        <v>155892.84000000003</v>
      </c>
      <c r="DX27" s="76">
        <f>IFERROR(VLOOKUP(Tabla1[[#This Row],[COD SE]],PF_OCTUBRE,18,0),"0")</f>
        <v>0</v>
      </c>
      <c r="DY27" s="76">
        <f>IFERROR(VLOOKUP(Tabla1[[#This Row],[COD SE]],PF_OCTUBRE,19,0),"0")</f>
        <v>68593.16</v>
      </c>
      <c r="DZ27" s="76">
        <f>IFERROR(VLOOKUP(Tabla1[[#This Row],[COD SE]],PF_OCTUBRE,20,0),"0")</f>
        <v>68593.16</v>
      </c>
      <c r="EA27" s="76">
        <f>+Tabla1[[#This Row],[TOTAL EJEC REAL]]+Tabla1[[#This Row],[SALDO FINAL]]</f>
        <v>224486.00000000003</v>
      </c>
      <c r="EB27" s="76">
        <f>IFERROR(VLOOKUP(Tabla1[[#This Row],[COD SE]],PF_OCTUBRE,22,0),"0")</f>
        <v>87300.3</v>
      </c>
      <c r="EC27" s="76">
        <f>+IFERROR(VLOOKUP(Tabla1[[#This Row],[COD SE]],SALDO_ESC_2,7,0),0)</f>
        <v>0</v>
      </c>
      <c r="ED27" s="76">
        <f>+IFERROR(VLOOKUP(Tabla1[[#This Row],[COD SE]],SALDO_ESC_3,7,0),0)</f>
        <v>68593.16</v>
      </c>
      <c r="EE27" s="76">
        <f>+Tabla1[[#This Row],[mto_pim]]-Tabla1[[#This Row],[TRANSF ESC2 ]]</f>
        <v>224486</v>
      </c>
      <c r="EF27" s="76">
        <f>+Tabla1[[#This Row],[mto_pim]]-Tabla1[[#This Row],[TRANFS ESC 3 ]]</f>
        <v>155892.84</v>
      </c>
      <c r="EG27" s="76">
        <f>+IFERROR(VLOOKUP(Tabla1[[#This Row],[COD SE]],HISTORICO,4,0),0)</f>
        <v>18707.140000000003</v>
      </c>
      <c r="EH27" s="76">
        <f>+IFERROR(VLOOKUP(Tabla1[[#This Row],[COD SE]],HISTORICO,5,0),0)</f>
        <v>18707.140000000003</v>
      </c>
      <c r="EI27" s="76">
        <f>+IFERROR(VLOOKUP(Tabla1[[#This Row],[COD SE]],HISTORICO,6,0),0)</f>
        <v>18707.140000000003</v>
      </c>
      <c r="EJ27" s="76">
        <f>+IFERROR(VLOOKUP(Tabla1[[#This Row],[COD SE]],HISTORICO,7,0),0)</f>
        <v>18707.14</v>
      </c>
      <c r="EK27" s="76">
        <f>+IFERROR(VLOOKUP(Tabla1[[#This Row],[COD SE]],HISTORICO,8,0),0)</f>
        <v>46767.85</v>
      </c>
      <c r="EL27" s="76">
        <f>+IFERROR(VLOOKUP(Tabla1[[#This Row],[COD SE]],HISTORICO,9,0),0)</f>
        <v>18707.14</v>
      </c>
      <c r="EM27" s="76">
        <f>+IFERROR(VLOOKUP(Tabla1[[#This Row],[COD SE]],HISTORICO,10,0),0)</f>
        <v>18707.14</v>
      </c>
      <c r="EN27" s="76">
        <f>+IFERROR(VLOOKUP(Tabla1[[#This Row],[COD SE]],HISTORICO,11,0),0)</f>
        <v>18707.14</v>
      </c>
      <c r="EO27" s="76">
        <f>+IFERROR(VLOOKUP(Tabla1[[#This Row],[COD SE]],HISTORICO,12,0),0)</f>
        <v>18707.14</v>
      </c>
      <c r="EP27" s="58">
        <f>+SUM(Tabla1[[#This Row],[EJECUTADO 01]:[EJECUTADO 03]])</f>
        <v>28060.71</v>
      </c>
      <c r="EQ27" s="58">
        <f>+SUM(Tabla1[[#This Row],[EJECUTADO 04]:[EJECUTADO 06]])</f>
        <v>54250.71</v>
      </c>
      <c r="ER27" s="58">
        <f>+SUM(Tabla1[[#This Row],[EJECUTADO 07]:[EJECUTADO 09]])</f>
        <v>17460</v>
      </c>
      <c r="ES27" s="58">
        <f>+SUM(Tabla1[[#This Row],[PF OCTUBRE]:[PF DICIEMBRE
]])</f>
        <v>56121.42</v>
      </c>
      <c r="ET27" s="58">
        <f>+SUM(Tabla1[[#This Row],[EJECUTADO 01]:[EJECUTADO 09]])</f>
        <v>99771.42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1673</v>
      </c>
      <c r="AE28" s="369" t="s">
        <v>1681</v>
      </c>
      <c r="AF28" s="369" t="s">
        <v>1682</v>
      </c>
      <c r="AG28" s="369" t="s">
        <v>1682</v>
      </c>
      <c r="AH28" s="369">
        <v>409000</v>
      </c>
      <c r="AI28" s="369">
        <v>199820</v>
      </c>
      <c r="AJ28" s="369">
        <v>608820</v>
      </c>
      <c r="AK28" s="370">
        <v>311000</v>
      </c>
      <c r="AL28" s="370">
        <v>311000</v>
      </c>
      <c r="AM28" s="370">
        <v>48000</v>
      </c>
      <c r="AN28" s="370">
        <v>24000</v>
      </c>
      <c r="AO28" s="370">
        <v>36000</v>
      </c>
      <c r="AP28" s="370">
        <v>0</v>
      </c>
      <c r="AQ28" s="370">
        <v>18000</v>
      </c>
      <c r="AR28" s="370">
        <v>30000</v>
      </c>
      <c r="AS28" s="370">
        <v>69000</v>
      </c>
      <c r="AT28" s="370">
        <v>27000</v>
      </c>
      <c r="AU28" s="370">
        <v>0</v>
      </c>
      <c r="AV28" s="370">
        <v>59000</v>
      </c>
      <c r="AW28" s="370">
        <v>0</v>
      </c>
      <c r="AX28" s="370">
        <v>0</v>
      </c>
      <c r="AY28" s="370">
        <v>35000</v>
      </c>
      <c r="AZ28" s="370">
        <v>13000</v>
      </c>
      <c r="BA28" s="370">
        <v>0</v>
      </c>
      <c r="BB28" s="370">
        <v>28240</v>
      </c>
      <c r="BC28" s="370">
        <v>19880</v>
      </c>
      <c r="BD28" s="370">
        <v>0</v>
      </c>
      <c r="BE28" s="370">
        <v>41880</v>
      </c>
      <c r="BF28" s="370">
        <v>35000</v>
      </c>
      <c r="BG28" s="370">
        <v>49000</v>
      </c>
      <c r="BH28" s="370">
        <v>9000</v>
      </c>
      <c r="BI28" s="370">
        <v>0</v>
      </c>
      <c r="BJ28" s="370">
        <v>0</v>
      </c>
      <c r="BK28" s="370">
        <v>35000</v>
      </c>
      <c r="BL28" s="370">
        <v>13000</v>
      </c>
      <c r="BM28" s="370">
        <v>0</v>
      </c>
      <c r="BN28" s="370">
        <v>16000</v>
      </c>
      <c r="BO28" s="370">
        <v>32120</v>
      </c>
      <c r="BP28" s="370">
        <v>0</v>
      </c>
      <c r="BQ28" s="370">
        <v>41880</v>
      </c>
      <c r="BR28" s="370">
        <v>35000</v>
      </c>
      <c r="BS28" s="370">
        <v>49000</v>
      </c>
      <c r="BT28" s="370">
        <v>9000</v>
      </c>
      <c r="BU28" s="370">
        <v>0</v>
      </c>
      <c r="BV28" s="370">
        <v>0</v>
      </c>
      <c r="BW28" s="370">
        <v>48000</v>
      </c>
      <c r="BX28" s="370">
        <v>24000</v>
      </c>
      <c r="BY28" s="370">
        <v>36000</v>
      </c>
      <c r="BZ28" s="370">
        <v>0</v>
      </c>
      <c r="CA28" s="370">
        <v>18000</v>
      </c>
      <c r="CB28" s="370">
        <v>21000</v>
      </c>
      <c r="CC28" s="370">
        <v>57000</v>
      </c>
      <c r="CD28" s="370">
        <v>27000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1987</v>
      </c>
      <c r="CL28" s="48" t="s">
        <v>2005</v>
      </c>
      <c r="CM28" s="48" t="s">
        <v>1990</v>
      </c>
      <c r="CN28" s="48" t="s">
        <v>1990</v>
      </c>
      <c r="CO28" s="48" t="str">
        <f t="shared" si="16"/>
        <v>2.3.2.9.1.1</v>
      </c>
      <c r="CP28" s="48" t="str">
        <f>+VLOOKUP(Tabla1[[#This Row],[ESPECÍFICA]],CLASIFICADOR_,2,0)</f>
        <v>2.3.2.9.1.1 - LOCACIÓN DE SERVICIOS REALIZADOS POR PERSONA NATURAL</v>
      </c>
      <c r="CQ28" s="48" t="str">
        <f>+VLOOKUP(Tabla1[[#This Row],[ESPECÍFICA]],CLASIFICADOR_,3,0)</f>
        <v>2.3.2.9 - LOCACIÓN DE SERVICIOS REALIZADOS POR PERSONA NATURAL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5"/>
        <v>0002-DCEME</v>
      </c>
      <c r="CY28" s="113" t="str">
        <f t="shared" si="6"/>
        <v>0002-DCEME (CEAM, FP)</v>
      </c>
      <c r="CZ28" s="20" t="str">
        <f t="shared" si="7"/>
        <v>0002-DCEME (IEVCEAM, G CEAM, FP)</v>
      </c>
      <c r="DA28" s="113" t="str">
        <f>+CONCATENATE(Tabla1[[#This Row],[CC COMPLETO]],Tabla1[[#This Row],[ESPECÍFICA]])</f>
        <v>0002-DCEME2.3.2.9.1.1</v>
      </c>
      <c r="DB28" s="49">
        <f t="shared" si="8"/>
        <v>311000</v>
      </c>
      <c r="DC28" s="49">
        <f t="shared" si="9"/>
        <v>231000</v>
      </c>
      <c r="DD28" s="49">
        <f t="shared" si="10"/>
        <v>231000</v>
      </c>
      <c r="DE28" s="49">
        <f t="shared" si="11"/>
        <v>297820</v>
      </c>
      <c r="DF28" s="49">
        <f t="shared" si="12"/>
        <v>0</v>
      </c>
      <c r="DG28" s="49">
        <f t="shared" si="13"/>
        <v>80000</v>
      </c>
      <c r="DH28" s="49">
        <f t="shared" si="14"/>
        <v>377820</v>
      </c>
      <c r="DI28" s="50">
        <f t="shared" si="15"/>
        <v>0.5647921760391198</v>
      </c>
      <c r="DJ28" s="78">
        <f>+SUM(Tabla1[[#This Row],[EJECUTADO 01]:[EJECUTADO 06]])</f>
        <v>96120</v>
      </c>
      <c r="DK28" s="78">
        <f>+Tabla1[[#This Row],[mto_devenga_01]]</f>
        <v>35000</v>
      </c>
      <c r="DL28" s="78">
        <f>+Tabla1[[#This Row],[mto_devenga_02]]</f>
        <v>13000</v>
      </c>
      <c r="DM28" s="78">
        <f>+Tabla1[[#This Row],[mto_devenga_03]]</f>
        <v>0</v>
      </c>
      <c r="DN28" s="78">
        <f>+Tabla1[[#This Row],[mto_devenga_04]]</f>
        <v>28240</v>
      </c>
      <c r="DO28" s="78">
        <f>+Tabla1[[#This Row],[mto_devenga_05]]</f>
        <v>19880</v>
      </c>
      <c r="DP28" s="76">
        <f>+Tabla1[[#This Row],[mto_devenga_06]]</f>
        <v>0</v>
      </c>
      <c r="DQ28" s="76">
        <f>+Tabla1[[#This Row],[mto_devenga_07]]</f>
        <v>41880</v>
      </c>
      <c r="DR28" s="76">
        <f>+Tabla1[[#This Row],[mto_devenga_08]]</f>
        <v>35000</v>
      </c>
      <c r="DS28" s="76">
        <f>+Tabla1[[#This Row],[mto_devenga_09]]</f>
        <v>49000</v>
      </c>
      <c r="DT28" s="76">
        <f>IFERROR(VLOOKUP(Tabla1[[#This Row],[COD SE]],PF_OCTUBRE,14,0),"0")</f>
        <v>24000</v>
      </c>
      <c r="DU28" s="76">
        <f>IFERROR(VLOOKUP(Tabla1[[#This Row],[COD SE]],PF_OCTUBRE,15,0),"0")</f>
        <v>102500</v>
      </c>
      <c r="DV28" s="76">
        <f>IFERROR(VLOOKUP(Tabla1[[#This Row],[COD SE]],PF_OCTUBRE,16,0),"0")</f>
        <v>189320</v>
      </c>
      <c r="DW28" s="76">
        <f>+SUM(Tabla1[[#This Row],[EJECUTADO 01]:[PF DICIEMBRE
]])</f>
        <v>537820</v>
      </c>
      <c r="DX28" s="76">
        <f>IFERROR(VLOOKUP(Tabla1[[#This Row],[COD SE]],PF_OCTUBRE,18,0),"0")</f>
        <v>0</v>
      </c>
      <c r="DY28" s="76">
        <f>IFERROR(VLOOKUP(Tabla1[[#This Row],[COD SE]],PF_OCTUBRE,19,0),"0")</f>
        <v>30500</v>
      </c>
      <c r="DZ28" s="76">
        <f>IFERROR(VLOOKUP(Tabla1[[#This Row],[COD SE]],PF_OCTUBRE,20,0),"0")</f>
        <v>30500</v>
      </c>
      <c r="EA28" s="76">
        <f>+Tabla1[[#This Row],[TOTAL EJEC REAL]]+Tabla1[[#This Row],[SALDO FINAL]]</f>
        <v>568320</v>
      </c>
      <c r="EB28" s="76">
        <f>IFERROR(VLOOKUP(Tabla1[[#This Row],[COD SE]],PF_OCTUBRE,22,0),"0")</f>
        <v>219820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608820</v>
      </c>
      <c r="EF28" s="76">
        <f>+Tabla1[[#This Row],[mto_pim]]-Tabla1[[#This Row],[TRANFS ESC 3 ]]</f>
        <v>608820</v>
      </c>
      <c r="EG28" s="76">
        <f>+IFERROR(VLOOKUP(Tabla1[[#This Row],[COD SE]],HISTORICO,4,0),0)</f>
        <v>49000</v>
      </c>
      <c r="EH28" s="76">
        <f>+IFERROR(VLOOKUP(Tabla1[[#This Row],[COD SE]],HISTORICO,5,0),0)</f>
        <v>13000</v>
      </c>
      <c r="EI28" s="76">
        <f>+IFERROR(VLOOKUP(Tabla1[[#This Row],[COD SE]],HISTORICO,6,0),0)</f>
        <v>34000</v>
      </c>
      <c r="EJ28" s="76">
        <f>+IFERROR(VLOOKUP(Tabla1[[#This Row],[COD SE]],HISTORICO,7,0),0)</f>
        <v>20000</v>
      </c>
      <c r="EK28" s="76">
        <f>+IFERROR(VLOOKUP(Tabla1[[#This Row],[COD SE]],HISTORICO,8,0),0)</f>
        <v>20000</v>
      </c>
      <c r="EL28" s="76">
        <f>+IFERROR(VLOOKUP(Tabla1[[#This Row],[COD SE]],HISTORICO,9,0),0)</f>
        <v>33880</v>
      </c>
      <c r="EM28" s="76">
        <f>+IFERROR(VLOOKUP(Tabla1[[#This Row],[COD SE]],HISTORICO,10,0),0)</f>
        <v>74880</v>
      </c>
      <c r="EN28" s="76">
        <f>+IFERROR(VLOOKUP(Tabla1[[#This Row],[COD SE]],HISTORICO,11,0),0)</f>
        <v>48040</v>
      </c>
      <c r="EO28" s="76">
        <f>+IFERROR(VLOOKUP(Tabla1[[#This Row],[COD SE]],HISTORICO,12,0),0)</f>
        <v>47000</v>
      </c>
      <c r="EP28" s="58">
        <f>+SUM(Tabla1[[#This Row],[EJECUTADO 01]:[EJECUTADO 03]])</f>
        <v>48000</v>
      </c>
      <c r="EQ28" s="58">
        <f>+SUM(Tabla1[[#This Row],[EJECUTADO 04]:[EJECUTADO 06]])</f>
        <v>48120</v>
      </c>
      <c r="ER28" s="58">
        <f>+SUM(Tabla1[[#This Row],[EJECUTADO 07]:[EJECUTADO 09]])</f>
        <v>125880</v>
      </c>
      <c r="ES28" s="58">
        <f>+SUM(Tabla1[[#This Row],[PF OCTUBRE]:[PF DICIEMBRE
]])</f>
        <v>315820</v>
      </c>
      <c r="ET28" s="58">
        <f>+SUM(Tabla1[[#This Row],[EJECUTADO 01]:[EJECUTADO 09]])</f>
        <v>222000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1656</v>
      </c>
      <c r="AD29" s="369" t="s">
        <v>1657</v>
      </c>
      <c r="AE29" s="369" t="s">
        <v>1660</v>
      </c>
      <c r="AF29" s="369" t="s">
        <v>1661</v>
      </c>
      <c r="AG29" s="369" t="s">
        <v>1662</v>
      </c>
      <c r="AH29" s="369">
        <v>4702396</v>
      </c>
      <c r="AI29" s="369">
        <v>-61878</v>
      </c>
      <c r="AJ29" s="369">
        <v>4640518</v>
      </c>
      <c r="AK29" s="370">
        <v>4259131</v>
      </c>
      <c r="AL29" s="370">
        <v>4105824.3</v>
      </c>
      <c r="AM29" s="370">
        <v>348833.71</v>
      </c>
      <c r="AN29" s="370">
        <v>346839.03999999998</v>
      </c>
      <c r="AO29" s="370">
        <v>340766.19</v>
      </c>
      <c r="AP29" s="370">
        <v>332839.95</v>
      </c>
      <c r="AQ29" s="370">
        <v>387237.74</v>
      </c>
      <c r="AR29" s="370">
        <v>369709.72</v>
      </c>
      <c r="AS29" s="370">
        <v>360005.89</v>
      </c>
      <c r="AT29" s="370">
        <v>357667.9</v>
      </c>
      <c r="AU29" s="370">
        <v>357261.84</v>
      </c>
      <c r="AV29" s="370">
        <v>329499.3</v>
      </c>
      <c r="AW29" s="370">
        <v>0</v>
      </c>
      <c r="AX29" s="370">
        <v>0</v>
      </c>
      <c r="AY29" s="370">
        <v>348833.71</v>
      </c>
      <c r="AZ29" s="370">
        <v>350127.14</v>
      </c>
      <c r="BA29" s="370">
        <v>339072.95</v>
      </c>
      <c r="BB29" s="370">
        <v>334006.2</v>
      </c>
      <c r="BC29" s="370">
        <v>387554.8</v>
      </c>
      <c r="BD29" s="370">
        <v>367685.22</v>
      </c>
      <c r="BE29" s="370">
        <v>359837.05</v>
      </c>
      <c r="BF29" s="370">
        <v>359308.26</v>
      </c>
      <c r="BG29" s="370">
        <v>354959.98</v>
      </c>
      <c r="BH29" s="370">
        <v>329118.94</v>
      </c>
      <c r="BI29" s="370">
        <v>0</v>
      </c>
      <c r="BJ29" s="370">
        <v>0</v>
      </c>
      <c r="BK29" s="370">
        <v>348136.13</v>
      </c>
      <c r="BL29" s="370">
        <v>350824.72</v>
      </c>
      <c r="BM29" s="370">
        <v>339072.95</v>
      </c>
      <c r="BN29" s="370">
        <v>299513.67</v>
      </c>
      <c r="BO29" s="370">
        <v>421890.3</v>
      </c>
      <c r="BP29" s="370">
        <v>367685.22</v>
      </c>
      <c r="BQ29" s="370">
        <v>359994.08</v>
      </c>
      <c r="BR29" s="370">
        <v>359308.26</v>
      </c>
      <c r="BS29" s="370">
        <v>354959.98</v>
      </c>
      <c r="BT29" s="370">
        <v>294688.19</v>
      </c>
      <c r="BU29" s="370">
        <v>0</v>
      </c>
      <c r="BV29" s="370">
        <v>0</v>
      </c>
      <c r="BW29" s="370">
        <v>347297.71</v>
      </c>
      <c r="BX29" s="370">
        <v>350127.14</v>
      </c>
      <c r="BY29" s="370">
        <v>341976.19</v>
      </c>
      <c r="BZ29" s="370">
        <v>334006.2</v>
      </c>
      <c r="CA29" s="370">
        <v>387748.63</v>
      </c>
      <c r="CB29" s="370">
        <v>367685.22</v>
      </c>
      <c r="CC29" s="370">
        <v>360950.89</v>
      </c>
      <c r="CD29" s="370">
        <v>359308.26</v>
      </c>
      <c r="CE29" s="370">
        <v>355056.84</v>
      </c>
      <c r="CF29" s="370">
        <v>294989.3</v>
      </c>
      <c r="CG29" s="370">
        <v>0</v>
      </c>
      <c r="CH29" s="370">
        <v>0</v>
      </c>
      <c r="CI29" s="48" t="s">
        <v>1987</v>
      </c>
      <c r="CJ29" s="48" t="s">
        <v>1990</v>
      </c>
      <c r="CK29" s="48" t="s">
        <v>1990</v>
      </c>
      <c r="CL29" s="48" t="s">
        <v>2010</v>
      </c>
      <c r="CM29" s="48" t="s">
        <v>1990</v>
      </c>
      <c r="CN29" s="48" t="s">
        <v>1990</v>
      </c>
      <c r="CO29" s="48" t="str">
        <f t="shared" si="16"/>
        <v>2.1.1.13.1.1</v>
      </c>
      <c r="CP29" s="48" t="str">
        <f>+VLOOKUP(Tabla1[[#This Row],[ESPECÍFICA]],CLASIFICADOR_,2,0)</f>
        <v>2.1.1.13.1.1 - CONTRATO ADMINISTRATIVO DE SERVICIOS - INDETERMINADO</v>
      </c>
      <c r="CQ29" s="48" t="str">
        <f>+VLOOKUP(Tabla1[[#This Row],[ESPECÍFICA]],CLASIFICADOR_,3,0)</f>
        <v>01.CAS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2.1.PERSONAL Y OBLIGACIONES SOCIALES</v>
      </c>
      <c r="CX29" s="48" t="str">
        <f t="shared" si="5"/>
        <v>0002-DCEME</v>
      </c>
      <c r="CY29" s="113" t="str">
        <f t="shared" si="6"/>
        <v>0002-DCEME (CEAM, FP)</v>
      </c>
      <c r="CZ29" s="20" t="str">
        <f t="shared" si="7"/>
        <v>0002-DCEME (IEVCEAM, G CEAM, FP)</v>
      </c>
      <c r="DA29" s="113" t="str">
        <f>+CONCATENATE(Tabla1[[#This Row],[CC COMPLETO]],Tabla1[[#This Row],[ESPECÍFICA]])</f>
        <v>0002-DCEME2.1.1.13.1.1</v>
      </c>
      <c r="DB29" s="49">
        <f t="shared" si="8"/>
        <v>3530661.2799999993</v>
      </c>
      <c r="DC29" s="49">
        <f t="shared" si="9"/>
        <v>3530504.25</v>
      </c>
      <c r="DD29" s="49">
        <f t="shared" si="10"/>
        <v>3496073.5</v>
      </c>
      <c r="DE29" s="49">
        <f t="shared" si="11"/>
        <v>381387</v>
      </c>
      <c r="DF29" s="49">
        <f t="shared" si="12"/>
        <v>153306.70000000019</v>
      </c>
      <c r="DG29" s="49">
        <f t="shared" si="13"/>
        <v>575320.04999999981</v>
      </c>
      <c r="DH29" s="49">
        <f t="shared" si="14"/>
        <v>1110013.75</v>
      </c>
      <c r="DI29" s="50">
        <f t="shared" si="15"/>
        <v>0.7507883746923909</v>
      </c>
      <c r="DJ29" s="78">
        <f>+SUM(Tabla1[[#This Row],[EJECUTADO 01]:[EJECUTADO 06]])</f>
        <v>2127280.02</v>
      </c>
      <c r="DK29" s="78">
        <f>+Tabla1[[#This Row],[mto_devenga_01]]</f>
        <v>348833.71</v>
      </c>
      <c r="DL29" s="78">
        <f>+Tabla1[[#This Row],[mto_devenga_02]]</f>
        <v>350127.14</v>
      </c>
      <c r="DM29" s="78">
        <f>+Tabla1[[#This Row],[mto_devenga_03]]</f>
        <v>339072.95</v>
      </c>
      <c r="DN29" s="78">
        <f>+Tabla1[[#This Row],[mto_devenga_04]]</f>
        <v>334006.2</v>
      </c>
      <c r="DO29" s="78">
        <f>+Tabla1[[#This Row],[mto_devenga_05]]</f>
        <v>387554.8</v>
      </c>
      <c r="DP29" s="76">
        <f>+Tabla1[[#This Row],[mto_devenga_06]]</f>
        <v>367685.22</v>
      </c>
      <c r="DQ29" s="76">
        <f>+Tabla1[[#This Row],[mto_devenga_07]]</f>
        <v>359837.05</v>
      </c>
      <c r="DR29" s="76">
        <f>+Tabla1[[#This Row],[mto_devenga_08]]</f>
        <v>359308.26</v>
      </c>
      <c r="DS29" s="76">
        <f>+Tabla1[[#This Row],[mto_devenga_09]]</f>
        <v>354959.98</v>
      </c>
      <c r="DT29" s="76">
        <f>IFERROR(VLOOKUP(Tabla1[[#This Row],[COD SE]],PF_OCTUBRE,14,0),"0")</f>
        <v>425209.50000000012</v>
      </c>
      <c r="DU29" s="76">
        <f>IFERROR(VLOOKUP(Tabla1[[#This Row],[COD SE]],PF_OCTUBRE,15,0),"0")</f>
        <v>437737.88000000012</v>
      </c>
      <c r="DV29" s="76">
        <f>IFERROR(VLOOKUP(Tabla1[[#This Row],[COD SE]],PF_OCTUBRE,16,0),"0")</f>
        <v>437737.88000000012</v>
      </c>
      <c r="DW29" s="76">
        <f>+SUM(Tabla1[[#This Row],[EJECUTADO 01]:[PF DICIEMBRE
]])</f>
        <v>4502070.57</v>
      </c>
      <c r="DX29" s="76">
        <f>IFERROR(VLOOKUP(Tabla1[[#This Row],[COD SE]],PF_OCTUBRE,18,0),"0")</f>
        <v>0</v>
      </c>
      <c r="DY29" s="76">
        <f>IFERROR(VLOOKUP(Tabla1[[#This Row],[COD SE]],PF_OCTUBRE,19,0),"0")</f>
        <v>315447.43000000005</v>
      </c>
      <c r="DZ29" s="76">
        <f>IFERROR(VLOOKUP(Tabla1[[#This Row],[COD SE]],PF_OCTUBRE,20,0),"0")</f>
        <v>315447.43000000005</v>
      </c>
      <c r="EA29" s="76">
        <f>+Tabla1[[#This Row],[TOTAL EJEC REAL]]+Tabla1[[#This Row],[SALDO FINAL]]</f>
        <v>4817518</v>
      </c>
      <c r="EB29" s="76">
        <f>IFERROR(VLOOKUP(Tabla1[[#This Row],[COD SE]],PF_OCTUBRE,22,0),"0")</f>
        <v>753185.30999999994</v>
      </c>
      <c r="EC29" s="76">
        <f>+IFERROR(VLOOKUP(Tabla1[[#This Row],[COD SE]],SALDO_ESC_2,7,0),0)</f>
        <v>0</v>
      </c>
      <c r="ED29" s="76">
        <f>+IFERROR(VLOOKUP(Tabla1[[#This Row],[COD SE]],SALDO_ESC_3,7,0),0)</f>
        <v>315447.43000000005</v>
      </c>
      <c r="EE29" s="76">
        <f>+Tabla1[[#This Row],[mto_pim]]-Tabla1[[#This Row],[TRANSF ESC2 ]]</f>
        <v>4640518</v>
      </c>
      <c r="EF29" s="76">
        <f>+Tabla1[[#This Row],[mto_pim]]-Tabla1[[#This Row],[TRANFS ESC 3 ]]</f>
        <v>4325070.57</v>
      </c>
      <c r="EG29" s="76">
        <f>+IFERROR(VLOOKUP(Tabla1[[#This Row],[COD SE]],HISTORICO,4,0),0)</f>
        <v>386737.88000000006</v>
      </c>
      <c r="EH29" s="76">
        <f>+IFERROR(VLOOKUP(Tabla1[[#This Row],[COD SE]],HISTORICO,5,0),0)</f>
        <v>354945.31000000006</v>
      </c>
      <c r="EI29" s="76">
        <f>+IFERROR(VLOOKUP(Tabla1[[#This Row],[COD SE]],HISTORICO,6,0),0)</f>
        <v>386737.88000000006</v>
      </c>
      <c r="EJ29" s="76">
        <f>+IFERROR(VLOOKUP(Tabla1[[#This Row],[COD SE]],HISTORICO,7,0),0)</f>
        <v>342416.93000000005</v>
      </c>
      <c r="EK29" s="76">
        <f>+IFERROR(VLOOKUP(Tabla1[[#This Row],[COD SE]],HISTORICO,8,0),0)</f>
        <v>457437.11</v>
      </c>
      <c r="EL29" s="76">
        <f>+IFERROR(VLOOKUP(Tabla1[[#This Row],[COD SE]],HISTORICO,9,0),0)</f>
        <v>391301.7300000001</v>
      </c>
      <c r="EM29" s="76">
        <f>+IFERROR(VLOOKUP(Tabla1[[#This Row],[COD SE]],HISTORICO,10,0),0)</f>
        <v>366509.16000000009</v>
      </c>
      <c r="EN29" s="76">
        <f>+IFERROR(VLOOKUP(Tabla1[[#This Row],[COD SE]],HISTORICO,11,0),0)</f>
        <v>365866.66000000009</v>
      </c>
      <c r="EO29" s="76">
        <f>+IFERROR(VLOOKUP(Tabla1[[#This Row],[COD SE]],HISTORICO,12,0),0)</f>
        <v>366209.50000000006</v>
      </c>
      <c r="EP29" s="58">
        <f>+SUM(Tabla1[[#This Row],[EJECUTADO 01]:[EJECUTADO 03]])</f>
        <v>1038033.8</v>
      </c>
      <c r="EQ29" s="58">
        <f>+SUM(Tabla1[[#This Row],[EJECUTADO 04]:[EJECUTADO 06]])</f>
        <v>1089246.22</v>
      </c>
      <c r="ER29" s="58">
        <f>+SUM(Tabla1[[#This Row],[EJECUTADO 07]:[EJECUTADO 09]])</f>
        <v>1074105.29</v>
      </c>
      <c r="ES29" s="58">
        <f>+SUM(Tabla1[[#This Row],[PF OCTUBRE]:[PF DICIEMBRE
]])</f>
        <v>1300685.2600000002</v>
      </c>
      <c r="ET29" s="58">
        <f>+SUM(Tabla1[[#This Row],[EJECUTADO 01]:[EJECUTADO 09]])</f>
        <v>3201385.31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1656</v>
      </c>
      <c r="AD30" s="369" t="s">
        <v>1657</v>
      </c>
      <c r="AE30" s="369" t="s">
        <v>1660</v>
      </c>
      <c r="AF30" s="369" t="s">
        <v>1661</v>
      </c>
      <c r="AG30" s="369" t="s">
        <v>1662</v>
      </c>
      <c r="AH30" s="369">
        <v>3878782</v>
      </c>
      <c r="AI30" s="369">
        <v>-467595</v>
      </c>
      <c r="AJ30" s="369">
        <v>3411187</v>
      </c>
      <c r="AK30" s="370">
        <v>3250629</v>
      </c>
      <c r="AL30" s="370">
        <v>3164572.93</v>
      </c>
      <c r="AM30" s="370">
        <v>324410.78999999998</v>
      </c>
      <c r="AN30" s="370">
        <v>321314.19</v>
      </c>
      <c r="AO30" s="370">
        <v>320577.11</v>
      </c>
      <c r="AP30" s="370">
        <v>311136.49</v>
      </c>
      <c r="AQ30" s="370">
        <v>254118.32</v>
      </c>
      <c r="AR30" s="370">
        <v>253910.89</v>
      </c>
      <c r="AS30" s="370">
        <v>240980.34</v>
      </c>
      <c r="AT30" s="370">
        <v>239365.53</v>
      </c>
      <c r="AU30" s="370">
        <v>241663</v>
      </c>
      <c r="AV30" s="370">
        <v>241244</v>
      </c>
      <c r="AW30" s="370">
        <v>0</v>
      </c>
      <c r="AX30" s="370">
        <v>0</v>
      </c>
      <c r="AY30" s="370">
        <v>325180.78999999998</v>
      </c>
      <c r="AZ30" s="370">
        <v>324026.19</v>
      </c>
      <c r="BA30" s="370">
        <v>318877.61</v>
      </c>
      <c r="BB30" s="370">
        <v>312149.99</v>
      </c>
      <c r="BC30" s="370">
        <v>253182.32</v>
      </c>
      <c r="BD30" s="370">
        <v>254503.17</v>
      </c>
      <c r="BE30" s="370">
        <v>240465.56</v>
      </c>
      <c r="BF30" s="370">
        <v>239443.03</v>
      </c>
      <c r="BG30" s="370">
        <v>239648</v>
      </c>
      <c r="BH30" s="370">
        <v>241244</v>
      </c>
      <c r="BI30" s="370">
        <v>0</v>
      </c>
      <c r="BJ30" s="370">
        <v>0</v>
      </c>
      <c r="BK30" s="370">
        <v>324974.19</v>
      </c>
      <c r="BL30" s="370">
        <v>324232.78999999998</v>
      </c>
      <c r="BM30" s="370">
        <v>318877.61</v>
      </c>
      <c r="BN30" s="370">
        <v>279221.11</v>
      </c>
      <c r="BO30" s="370">
        <v>286111.2</v>
      </c>
      <c r="BP30" s="370">
        <v>254503.17</v>
      </c>
      <c r="BQ30" s="370">
        <v>240465.56</v>
      </c>
      <c r="BR30" s="370">
        <v>239443.03</v>
      </c>
      <c r="BS30" s="370">
        <v>239648</v>
      </c>
      <c r="BT30" s="370">
        <v>215942.88</v>
      </c>
      <c r="BU30" s="370">
        <v>0</v>
      </c>
      <c r="BV30" s="370">
        <v>0</v>
      </c>
      <c r="BW30" s="370">
        <v>323717.78999999998</v>
      </c>
      <c r="BX30" s="370">
        <v>324026.19</v>
      </c>
      <c r="BY30" s="370">
        <v>318877.61</v>
      </c>
      <c r="BZ30" s="370">
        <v>312149.99</v>
      </c>
      <c r="CA30" s="370">
        <v>253182.32</v>
      </c>
      <c r="CB30" s="370">
        <v>254503.17</v>
      </c>
      <c r="CC30" s="370">
        <v>240980.34</v>
      </c>
      <c r="CD30" s="370">
        <v>239443.03</v>
      </c>
      <c r="CE30" s="370">
        <v>239648</v>
      </c>
      <c r="CF30" s="370">
        <v>214702.88</v>
      </c>
      <c r="CG30" s="370">
        <v>0</v>
      </c>
      <c r="CH30" s="370">
        <v>0</v>
      </c>
      <c r="CI30" s="48" t="s">
        <v>1987</v>
      </c>
      <c r="CJ30" s="48" t="s">
        <v>1990</v>
      </c>
      <c r="CK30" s="48" t="s">
        <v>1990</v>
      </c>
      <c r="CL30" s="48" t="s">
        <v>2010</v>
      </c>
      <c r="CM30" s="48" t="s">
        <v>1990</v>
      </c>
      <c r="CN30" s="48" t="s">
        <v>1990</v>
      </c>
      <c r="CO30" s="48" t="str">
        <f t="shared" si="16"/>
        <v>2.1.1.13.1.1</v>
      </c>
      <c r="CP30" s="48" t="str">
        <f>+VLOOKUP(Tabla1[[#This Row],[ESPECÍFICA]],CLASIFICADOR_,2,0)</f>
        <v>2.1.1.13.1.1 - CONTRATO ADMINISTRATIVO DE SERVICIOS - INDETERMINADO</v>
      </c>
      <c r="CQ30" s="48" t="str">
        <f>+VLOOKUP(Tabla1[[#This Row],[ESPECÍFICA]],CLASIFICADOR_,3,0)</f>
        <v>01.CAS</v>
      </c>
      <c r="CR30" s="48" t="str">
        <f>+VLOOKUP(Tabla1[[#This Row],[ESPECÍFICA]],CLASIFICADOR_,4,0)</f>
        <v xml:space="preserve"> </v>
      </c>
      <c r="CS30" s="48">
        <f>+VLOOKUP(Tabla1[[#This Row],[ESPECÍFICA]],CLASIFICADOR_,5,0)</f>
        <v>0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2.1.PERSONAL Y OBLIGACIONES SOCIALES</v>
      </c>
      <c r="CX30" s="48" t="str">
        <f t="shared" si="5"/>
        <v>0003-DE</v>
      </c>
      <c r="CY30" s="113" t="str">
        <f t="shared" si="6"/>
        <v>0003-DE (FT)</v>
      </c>
      <c r="CZ30" s="20" t="str">
        <f t="shared" si="7"/>
        <v>0003-DE</v>
      </c>
      <c r="DA30" s="113" t="str">
        <f>+CONCATENATE(Tabla1[[#This Row],[CC COMPLETO]],Tabla1[[#This Row],[ESPECÍFICA]])</f>
        <v>0003-DE2.1.1.13.1.1</v>
      </c>
      <c r="DB30" s="49">
        <f t="shared" si="8"/>
        <v>2748720.66</v>
      </c>
      <c r="DC30" s="49">
        <f t="shared" si="9"/>
        <v>2748720.66</v>
      </c>
      <c r="DD30" s="49">
        <f t="shared" si="10"/>
        <v>2723419.5399999996</v>
      </c>
      <c r="DE30" s="49">
        <f t="shared" si="11"/>
        <v>160558</v>
      </c>
      <c r="DF30" s="49">
        <f t="shared" si="12"/>
        <v>86056.069999999832</v>
      </c>
      <c r="DG30" s="49">
        <f t="shared" si="13"/>
        <v>415852.27</v>
      </c>
      <c r="DH30" s="49">
        <f t="shared" si="14"/>
        <v>662466.33999999985</v>
      </c>
      <c r="DI30" s="50">
        <f t="shared" si="15"/>
        <v>0.70865561921242293</v>
      </c>
      <c r="DJ30" s="78">
        <f>+SUM(Tabla1[[#This Row],[EJECUTADO 01]:[EJECUTADO 06]])</f>
        <v>1787920.07</v>
      </c>
      <c r="DK30" s="78">
        <f>+Tabla1[[#This Row],[mto_devenga_01]]</f>
        <v>325180.78999999998</v>
      </c>
      <c r="DL30" s="78">
        <f>+Tabla1[[#This Row],[mto_devenga_02]]</f>
        <v>324026.19</v>
      </c>
      <c r="DM30" s="78">
        <f>+Tabla1[[#This Row],[mto_devenga_03]]</f>
        <v>318877.61</v>
      </c>
      <c r="DN30" s="78">
        <f>+Tabla1[[#This Row],[mto_devenga_04]]</f>
        <v>312149.99</v>
      </c>
      <c r="DO30" s="78">
        <f>+Tabla1[[#This Row],[mto_devenga_05]]</f>
        <v>253182.32</v>
      </c>
      <c r="DP30" s="76">
        <f>+Tabla1[[#This Row],[mto_devenga_06]]</f>
        <v>254503.17</v>
      </c>
      <c r="DQ30" s="76">
        <f>+Tabla1[[#This Row],[mto_devenga_07]]</f>
        <v>240465.56</v>
      </c>
      <c r="DR30" s="76">
        <f>+Tabla1[[#This Row],[mto_devenga_08]]</f>
        <v>239443.03</v>
      </c>
      <c r="DS30" s="76">
        <f>+Tabla1[[#This Row],[mto_devenga_09]]</f>
        <v>239648</v>
      </c>
      <c r="DT30" s="76">
        <f>IFERROR(VLOOKUP(Tabla1[[#This Row],[COD SE]],PF_OCTUBRE,14,0),"0")</f>
        <v>268954.08</v>
      </c>
      <c r="DU30" s="76">
        <f>IFERROR(VLOOKUP(Tabla1[[#This Row],[COD SE]],PF_OCTUBRE,15,0),"0")</f>
        <v>268954.08</v>
      </c>
      <c r="DV30" s="76">
        <f>IFERROR(VLOOKUP(Tabla1[[#This Row],[COD SE]],PF_OCTUBRE,16,0),"0")</f>
        <v>268954.08000000007</v>
      </c>
      <c r="DW30" s="76">
        <f>+SUM(Tabla1[[#This Row],[EJECUTADO 01]:[PF DICIEMBRE
]])</f>
        <v>3314338.9000000004</v>
      </c>
      <c r="DX30" s="76">
        <f>IFERROR(VLOOKUP(Tabla1[[#This Row],[COD SE]],PF_OCTUBRE,18,0),"0")</f>
        <v>0</v>
      </c>
      <c r="DY30" s="76">
        <f>IFERROR(VLOOKUP(Tabla1[[#This Row],[COD SE]],PF_OCTUBRE,19,0),"0")</f>
        <v>150848.09999999998</v>
      </c>
      <c r="DZ30" s="76">
        <f>IFERROR(VLOOKUP(Tabla1[[#This Row],[COD SE]],PF_OCTUBRE,20,0),"0")</f>
        <v>150848.09999999998</v>
      </c>
      <c r="EA30" s="76">
        <f>+Tabla1[[#This Row],[TOTAL EJEC REAL]]+Tabla1[[#This Row],[SALDO FINAL]]</f>
        <v>3465187.0000000005</v>
      </c>
      <c r="EB30" s="76">
        <f>IFERROR(VLOOKUP(Tabla1[[#This Row],[COD SE]],PF_OCTUBRE,22,0),"0")</f>
        <v>419802.18</v>
      </c>
      <c r="EC30" s="76">
        <f>+IFERROR(VLOOKUP(Tabla1[[#This Row],[COD SE]],SALDO_ESC_2,7,0),0)</f>
        <v>0</v>
      </c>
      <c r="ED30" s="76">
        <f>+IFERROR(VLOOKUP(Tabla1[[#This Row],[COD SE]],SALDO_ESC_3,7,0),0)</f>
        <v>150848.09999999998</v>
      </c>
      <c r="EE30" s="76">
        <f>+Tabla1[[#This Row],[mto_pim]]-Tabla1[[#This Row],[TRANSF ESC2 ]]</f>
        <v>3411187</v>
      </c>
      <c r="EF30" s="76">
        <f>+Tabla1[[#This Row],[mto_pim]]-Tabla1[[#This Row],[TRANFS ESC 3 ]]</f>
        <v>3260338.9</v>
      </c>
      <c r="EG30" s="76">
        <f>+IFERROR(VLOOKUP(Tabla1[[#This Row],[COD SE]],HISTORICO,4,0),0)</f>
        <v>327331.79000000004</v>
      </c>
      <c r="EH30" s="76">
        <f>+IFERROR(VLOOKUP(Tabla1[[#This Row],[COD SE]],HISTORICO,5,0),0)</f>
        <v>327331.79000000004</v>
      </c>
      <c r="EI30" s="76">
        <f>+IFERROR(VLOOKUP(Tabla1[[#This Row],[COD SE]],HISTORICO,6,0),0)</f>
        <v>327331.79000000004</v>
      </c>
      <c r="EJ30" s="76">
        <f>+IFERROR(VLOOKUP(Tabla1[[#This Row],[COD SE]],HISTORICO,7,0),0)</f>
        <v>327331.79000000004</v>
      </c>
      <c r="EK30" s="76">
        <f>+IFERROR(VLOOKUP(Tabla1[[#This Row],[COD SE]],HISTORICO,8,0),0)</f>
        <v>269800.96000000008</v>
      </c>
      <c r="EL30" s="76">
        <f>+IFERROR(VLOOKUP(Tabla1[[#This Row],[COD SE]],HISTORICO,9,0),0)</f>
        <v>269482.46000000002</v>
      </c>
      <c r="EM30" s="76">
        <f>+IFERROR(VLOOKUP(Tabla1[[#This Row],[COD SE]],HISTORICO,10,0),0)</f>
        <v>263508.91000000003</v>
      </c>
      <c r="EN30" s="76">
        <f>+IFERROR(VLOOKUP(Tabla1[[#This Row],[COD SE]],HISTORICO,11,0),0)</f>
        <v>242689.89000000004</v>
      </c>
      <c r="EO30" s="76">
        <f>+IFERROR(VLOOKUP(Tabla1[[#This Row],[COD SE]],HISTORICO,12,0),0)</f>
        <v>250954.08000000005</v>
      </c>
      <c r="EP30" s="58">
        <f>+SUM(Tabla1[[#This Row],[EJECUTADO 01]:[EJECUTADO 03]])</f>
        <v>968084.59</v>
      </c>
      <c r="EQ30" s="58">
        <f>+SUM(Tabla1[[#This Row],[EJECUTADO 04]:[EJECUTADO 06]])</f>
        <v>819835.4800000001</v>
      </c>
      <c r="ER30" s="58">
        <f>+SUM(Tabla1[[#This Row],[EJECUTADO 07]:[EJECUTADO 09]])</f>
        <v>719556.59</v>
      </c>
      <c r="ES30" s="58">
        <f>+SUM(Tabla1[[#This Row],[PF OCTUBRE]:[PF DICIEMBRE
]])</f>
        <v>806862.24000000011</v>
      </c>
      <c r="ET30" s="58">
        <f>+SUM(Tabla1[[#This Row],[EJECUTADO 01]:[EJECUTADO 09]])</f>
        <v>2507476.66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1672</v>
      </c>
      <c r="AD31" s="369" t="s">
        <v>1673</v>
      </c>
      <c r="AE31" s="369" t="s">
        <v>1693</v>
      </c>
      <c r="AF31" s="369" t="s">
        <v>1694</v>
      </c>
      <c r="AG31" s="369" t="s">
        <v>1695</v>
      </c>
      <c r="AH31" s="369">
        <v>6500</v>
      </c>
      <c r="AI31" s="369">
        <v>0</v>
      </c>
      <c r="AJ31" s="369">
        <v>6500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1991</v>
      </c>
      <c r="CK31" s="48" t="s">
        <v>1987</v>
      </c>
      <c r="CL31" s="48" t="s">
        <v>2011</v>
      </c>
      <c r="CM31" s="48" t="s">
        <v>1990</v>
      </c>
      <c r="CN31" s="48" t="s">
        <v>1998</v>
      </c>
      <c r="CO31" s="48" t="str">
        <f t="shared" si="16"/>
        <v>2.3.2.5.1.99</v>
      </c>
      <c r="CP31" s="48" t="str">
        <f>+VLOOKUP(Tabla1[[#This Row],[ESPECÍFICA]],CLASIFICADOR_,2,0)</f>
        <v>2.3.2.5.1.99 - DE OTROS BIENES Y ACTIVOS</v>
      </c>
      <c r="CQ31" s="48" t="str">
        <f>+VLOOKUP(Tabla1[[#This Row],[ESPECÍFICA]],CLASIFICADOR_,3,0)</f>
        <v>2.3.2.5 - ALQUILERES DE MUEBLES E INMUEBLES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2.3.BIENES Y SERVICIOS</v>
      </c>
      <c r="CX31" s="48" t="str">
        <f t="shared" si="5"/>
        <v>0003-DE</v>
      </c>
      <c r="CY31" s="113" t="str">
        <f t="shared" si="6"/>
        <v>0003-DE (FT)</v>
      </c>
      <c r="CZ31" s="20" t="str">
        <f t="shared" si="7"/>
        <v>0003-DE</v>
      </c>
      <c r="DA31" s="113" t="str">
        <f>+CONCATENATE(Tabla1[[#This Row],[CC COMPLETO]],Tabla1[[#This Row],[ESPECÍFICA]])</f>
        <v>0003-DE2.3.2.5.1.99</v>
      </c>
      <c r="DB31" s="49">
        <f t="shared" si="8"/>
        <v>0</v>
      </c>
      <c r="DC31" s="49">
        <f t="shared" si="9"/>
        <v>0</v>
      </c>
      <c r="DD31" s="49">
        <f t="shared" si="10"/>
        <v>0</v>
      </c>
      <c r="DE31" s="49">
        <f t="shared" si="11"/>
        <v>6500</v>
      </c>
      <c r="DF31" s="49">
        <f t="shared" si="12"/>
        <v>0</v>
      </c>
      <c r="DG31" s="49">
        <f t="shared" si="13"/>
        <v>0</v>
      </c>
      <c r="DH31" s="49">
        <f t="shared" si="14"/>
        <v>6500</v>
      </c>
      <c r="DI31" s="50">
        <f t="shared" si="15"/>
        <v>0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6500</v>
      </c>
      <c r="DW31" s="76">
        <f>+SUM(Tabla1[[#This Row],[EJECUTADO 01]:[PF DICIEMBRE
]])</f>
        <v>6500</v>
      </c>
      <c r="DX31" s="76">
        <f>IFERROR(VLOOKUP(Tabla1[[#This Row],[COD SE]],PF_OCTUBRE,18,0),"0")</f>
        <v>0</v>
      </c>
      <c r="DY31" s="76">
        <f>IFERROR(VLOOKUP(Tabla1[[#This Row],[COD SE]],PF_OCTUBRE,19,0),"0")</f>
        <v>0</v>
      </c>
      <c r="DZ31" s="76">
        <f>IFERROR(VLOOKUP(Tabla1[[#This Row],[COD SE]],PF_OCTUBRE,20,0),"0")</f>
        <v>0</v>
      </c>
      <c r="EA31" s="76">
        <f>+Tabla1[[#This Row],[TOTAL EJEC REAL]]+Tabla1[[#This Row],[SALDO FINAL]]</f>
        <v>6500</v>
      </c>
      <c r="EB31" s="76">
        <f>IFERROR(VLOOKUP(Tabla1[[#This Row],[COD SE]],PF_OCTUBRE,22,0),"0")</f>
        <v>6500</v>
      </c>
      <c r="EC31" s="76">
        <f>+IFERROR(VLOOKUP(Tabla1[[#This Row],[COD SE]],SALDO_ESC_2,7,0),0)</f>
        <v>0</v>
      </c>
      <c r="ED31" s="76">
        <f>+IFERROR(VLOOKUP(Tabla1[[#This Row],[COD SE]],SALDO_ESC_3,7,0),0)</f>
        <v>0</v>
      </c>
      <c r="EE31" s="76">
        <f>+Tabla1[[#This Row],[mto_pim]]-Tabla1[[#This Row],[TRANSF ESC2 ]]</f>
        <v>6500</v>
      </c>
      <c r="EF31" s="76">
        <f>+Tabla1[[#This Row],[mto_pim]]-Tabla1[[#This Row],[TRANFS ESC 3 ]]</f>
        <v>6500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0</v>
      </c>
      <c r="ES31" s="58">
        <f>+SUM(Tabla1[[#This Row],[PF OCTUBRE]:[PF DICIEMBRE
]])</f>
        <v>6500</v>
      </c>
      <c r="ET31" s="58">
        <f>+SUM(Tabla1[[#This Row],[EJECUTADO 01]:[EJECUTADO 09]])</f>
        <v>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1656</v>
      </c>
      <c r="AD32" s="369" t="s">
        <v>1668</v>
      </c>
      <c r="AE32" s="369" t="s">
        <v>1669</v>
      </c>
      <c r="AF32" s="369" t="s">
        <v>1669</v>
      </c>
      <c r="AG32" s="369" t="s">
        <v>1670</v>
      </c>
      <c r="AH32" s="369">
        <v>0</v>
      </c>
      <c r="AI32" s="369">
        <v>20204</v>
      </c>
      <c r="AJ32" s="369">
        <v>20204</v>
      </c>
      <c r="AK32" s="370">
        <v>19362</v>
      </c>
      <c r="AL32" s="370">
        <v>19362</v>
      </c>
      <c r="AM32" s="370">
        <v>1683.64</v>
      </c>
      <c r="AN32" s="370">
        <v>1683.64</v>
      </c>
      <c r="AO32" s="370">
        <v>1683.64</v>
      </c>
      <c r="AP32" s="370">
        <v>1683.64</v>
      </c>
      <c r="AQ32" s="370">
        <v>1683.64</v>
      </c>
      <c r="AR32" s="370">
        <v>1683.64</v>
      </c>
      <c r="AS32" s="370">
        <v>1683.64</v>
      </c>
      <c r="AT32" s="370">
        <v>1683.64</v>
      </c>
      <c r="AU32" s="370">
        <v>1683.64</v>
      </c>
      <c r="AV32" s="370">
        <v>841.82</v>
      </c>
      <c r="AW32" s="370">
        <v>0</v>
      </c>
      <c r="AX32" s="370">
        <v>0</v>
      </c>
      <c r="AY32" s="370">
        <v>1683.64</v>
      </c>
      <c r="AZ32" s="370">
        <v>1683.64</v>
      </c>
      <c r="BA32" s="370">
        <v>1683.64</v>
      </c>
      <c r="BB32" s="370">
        <v>1683.64</v>
      </c>
      <c r="BC32" s="370">
        <v>1683.64</v>
      </c>
      <c r="BD32" s="370">
        <v>1683.64</v>
      </c>
      <c r="BE32" s="370">
        <v>1683.64</v>
      </c>
      <c r="BF32" s="370">
        <v>1683.64</v>
      </c>
      <c r="BG32" s="370">
        <v>1683.64</v>
      </c>
      <c r="BH32" s="370">
        <v>841.82</v>
      </c>
      <c r="BI32" s="370">
        <v>0</v>
      </c>
      <c r="BJ32" s="370">
        <v>0</v>
      </c>
      <c r="BK32" s="370">
        <v>1683.64</v>
      </c>
      <c r="BL32" s="370">
        <v>1683.64</v>
      </c>
      <c r="BM32" s="370">
        <v>1683.64</v>
      </c>
      <c r="BN32" s="370">
        <v>1683.64</v>
      </c>
      <c r="BO32" s="370">
        <v>1683.64</v>
      </c>
      <c r="BP32" s="370">
        <v>1683.64</v>
      </c>
      <c r="BQ32" s="370">
        <v>1683.64</v>
      </c>
      <c r="BR32" s="370">
        <v>1683.64</v>
      </c>
      <c r="BS32" s="370">
        <v>1683.64</v>
      </c>
      <c r="BT32" s="370">
        <v>841.82</v>
      </c>
      <c r="BU32" s="370">
        <v>0</v>
      </c>
      <c r="BV32" s="370">
        <v>0</v>
      </c>
      <c r="BW32" s="370">
        <v>1683.64</v>
      </c>
      <c r="BX32" s="370">
        <v>1683.64</v>
      </c>
      <c r="BY32" s="370">
        <v>1683.64</v>
      </c>
      <c r="BZ32" s="370">
        <v>1683.64</v>
      </c>
      <c r="CA32" s="370">
        <v>1683.64</v>
      </c>
      <c r="CB32" s="370">
        <v>1683.64</v>
      </c>
      <c r="CC32" s="370">
        <v>1683.64</v>
      </c>
      <c r="CD32" s="370">
        <v>1683.64</v>
      </c>
      <c r="CE32" s="370">
        <v>1683.64</v>
      </c>
      <c r="CF32" s="370">
        <v>841.82</v>
      </c>
      <c r="CG32" s="370">
        <v>0</v>
      </c>
      <c r="CH32" s="370">
        <v>0</v>
      </c>
      <c r="CI32" s="48" t="s">
        <v>1987</v>
      </c>
      <c r="CJ32" s="48" t="s">
        <v>1990</v>
      </c>
      <c r="CK32" s="48" t="s">
        <v>1991</v>
      </c>
      <c r="CL32" s="48" t="s">
        <v>1990</v>
      </c>
      <c r="CM32" s="48" t="s">
        <v>1990</v>
      </c>
      <c r="CN32" s="48" t="s">
        <v>2010</v>
      </c>
      <c r="CO32" s="48" t="str">
        <f t="shared" si="16"/>
        <v>2.1.3.1.1.13</v>
      </c>
      <c r="CP32" s="48" t="str">
        <f>+VLOOKUP(Tabla1[[#This Row],[ESPECÍFICA]],CLASIFICADOR_,2,0)</f>
        <v>2.1.3.1.1.13 - CONTRIBUCIONES A ESSALUD DEL PERSONAL ADMINISTRATIVO</v>
      </c>
      <c r="CQ32" s="48" t="str">
        <f>+VLOOKUP(Tabla1[[#This Row],[ESPECÍFICA]],CLASIFICADOR_,3,0)</f>
        <v>02.SERVIR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2.1.PERSONAL Y OBLIGACIONES SOCIALES</v>
      </c>
      <c r="CX32" s="48" t="str">
        <f t="shared" si="5"/>
        <v>0003-DE</v>
      </c>
      <c r="CY32" s="113" t="str">
        <f t="shared" si="6"/>
        <v>0003-DE (FT)</v>
      </c>
      <c r="CZ32" s="20" t="str">
        <f t="shared" si="7"/>
        <v>0003-DE</v>
      </c>
      <c r="DA32" s="113" t="str">
        <f>+CONCATENATE(Tabla1[[#This Row],[CC COMPLETO]],Tabla1[[#This Row],[ESPECÍFICA]])</f>
        <v>0003-DE2.1.3.1.1.13</v>
      </c>
      <c r="DB32" s="49">
        <f t="shared" si="8"/>
        <v>15994.579999999998</v>
      </c>
      <c r="DC32" s="49">
        <f t="shared" si="9"/>
        <v>15994.579999999998</v>
      </c>
      <c r="DD32" s="49">
        <f t="shared" si="10"/>
        <v>15994.579999999998</v>
      </c>
      <c r="DE32" s="49">
        <f t="shared" si="11"/>
        <v>842</v>
      </c>
      <c r="DF32" s="49">
        <f t="shared" si="12"/>
        <v>0</v>
      </c>
      <c r="DG32" s="49">
        <f t="shared" si="13"/>
        <v>3367.4200000000019</v>
      </c>
      <c r="DH32" s="49">
        <f t="shared" si="14"/>
        <v>4209.4200000000019</v>
      </c>
      <c r="DI32" s="50">
        <f t="shared" si="15"/>
        <v>0</v>
      </c>
      <c r="DJ32" s="78">
        <f>+SUM(Tabla1[[#This Row],[EJECUTADO 01]:[EJECUTADO 06]])</f>
        <v>10101.84</v>
      </c>
      <c r="DK32" s="78">
        <f>+Tabla1[[#This Row],[mto_devenga_01]]</f>
        <v>1683.64</v>
      </c>
      <c r="DL32" s="78">
        <f>+Tabla1[[#This Row],[mto_devenga_02]]</f>
        <v>1683.64</v>
      </c>
      <c r="DM32" s="78">
        <f>+Tabla1[[#This Row],[mto_devenga_03]]</f>
        <v>1683.64</v>
      </c>
      <c r="DN32" s="78">
        <f>+Tabla1[[#This Row],[mto_devenga_04]]</f>
        <v>1683.64</v>
      </c>
      <c r="DO32" s="78">
        <f>+Tabla1[[#This Row],[mto_devenga_05]]</f>
        <v>1683.64</v>
      </c>
      <c r="DP32" s="76">
        <f>+Tabla1[[#This Row],[mto_devenga_06]]</f>
        <v>1683.64</v>
      </c>
      <c r="DQ32" s="76">
        <f>+Tabla1[[#This Row],[mto_devenga_07]]</f>
        <v>1683.64</v>
      </c>
      <c r="DR32" s="76">
        <f>+Tabla1[[#This Row],[mto_devenga_08]]</f>
        <v>1683.64</v>
      </c>
      <c r="DS32" s="76">
        <f>+Tabla1[[#This Row],[mto_devenga_09]]</f>
        <v>1683.64</v>
      </c>
      <c r="DT32" s="76">
        <f>IFERROR(VLOOKUP(Tabla1[[#This Row],[COD SE]],PF_OCTUBRE,14,0),"0")</f>
        <v>1683.64</v>
      </c>
      <c r="DU32" s="76">
        <f>IFERROR(VLOOKUP(Tabla1[[#This Row],[COD SE]],PF_OCTUBRE,15,0),"0")</f>
        <v>1683.64</v>
      </c>
      <c r="DV32" s="76">
        <f>IFERROR(VLOOKUP(Tabla1[[#This Row],[COD SE]],PF_OCTUBRE,16,0),"0")</f>
        <v>1683.64</v>
      </c>
      <c r="DW32" s="76">
        <f>+SUM(Tabla1[[#This Row],[EJECUTADO 01]:[PF DICIEMBRE
]])</f>
        <v>20203.679999999997</v>
      </c>
      <c r="DX32" s="76">
        <f>IFERROR(VLOOKUP(Tabla1[[#This Row],[COD SE]],PF_OCTUBRE,18,0),"0")</f>
        <v>0</v>
      </c>
      <c r="DY32" s="76">
        <f>IFERROR(VLOOKUP(Tabla1[[#This Row],[COD SE]],PF_OCTUBRE,19,0),"0")</f>
        <v>0.31999999999993634</v>
      </c>
      <c r="DZ32" s="76">
        <f>IFERROR(VLOOKUP(Tabla1[[#This Row],[COD SE]],PF_OCTUBRE,20,0),"0")</f>
        <v>0.31999999999993634</v>
      </c>
      <c r="EA32" s="76">
        <f>+Tabla1[[#This Row],[TOTAL EJEC REAL]]+Tabla1[[#This Row],[SALDO FINAL]]</f>
        <v>20203.999999999996</v>
      </c>
      <c r="EB32" s="76">
        <f>IFERROR(VLOOKUP(Tabla1[[#This Row],[COD SE]],PF_OCTUBRE,22,0),"0")</f>
        <v>1683.96</v>
      </c>
      <c r="EC32" s="76">
        <f>+IFERROR(VLOOKUP(Tabla1[[#This Row],[COD SE]],SALDO_ESC_2,7,0),0)</f>
        <v>0</v>
      </c>
      <c r="ED32" s="76">
        <f>+IFERROR(VLOOKUP(Tabla1[[#This Row],[COD SE]],SALDO_ESC_3,7,0),0)</f>
        <v>0.31999999999993634</v>
      </c>
      <c r="EE32" s="76">
        <f>+Tabla1[[#This Row],[mto_pim]]-Tabla1[[#This Row],[TRANSF ESC2 ]]</f>
        <v>20204</v>
      </c>
      <c r="EF32" s="76">
        <f>+Tabla1[[#This Row],[mto_pim]]-Tabla1[[#This Row],[TRANFS ESC 3 ]]</f>
        <v>20203.68</v>
      </c>
      <c r="EG32" s="76">
        <f>+IFERROR(VLOOKUP(Tabla1[[#This Row],[COD SE]],HISTORICO,4,0),0)</f>
        <v>1683.64</v>
      </c>
      <c r="EH32" s="76">
        <f>+IFERROR(VLOOKUP(Tabla1[[#This Row],[COD SE]],HISTORICO,5,0),0)</f>
        <v>1683.6399999999999</v>
      </c>
      <c r="EI32" s="76">
        <f>+IFERROR(VLOOKUP(Tabla1[[#This Row],[COD SE]],HISTORICO,6,0),0)</f>
        <v>1683.64</v>
      </c>
      <c r="EJ32" s="76">
        <f>+IFERROR(VLOOKUP(Tabla1[[#This Row],[COD SE]],HISTORICO,7,0),0)</f>
        <v>1683.64</v>
      </c>
      <c r="EK32" s="76">
        <f>+IFERROR(VLOOKUP(Tabla1[[#This Row],[COD SE]],HISTORICO,8,0),0)</f>
        <v>1683.64</v>
      </c>
      <c r="EL32" s="76">
        <f>+IFERROR(VLOOKUP(Tabla1[[#This Row],[COD SE]],HISTORICO,9,0),0)</f>
        <v>1683.64</v>
      </c>
      <c r="EM32" s="76">
        <f>+IFERROR(VLOOKUP(Tabla1[[#This Row],[COD SE]],HISTORICO,10,0),0)</f>
        <v>1683.64</v>
      </c>
      <c r="EN32" s="76">
        <f>+IFERROR(VLOOKUP(Tabla1[[#This Row],[COD SE]],HISTORICO,11,0),0)</f>
        <v>1683.64</v>
      </c>
      <c r="EO32" s="76">
        <f>+IFERROR(VLOOKUP(Tabla1[[#This Row],[COD SE]],HISTORICO,12,0),0)</f>
        <v>1683.64</v>
      </c>
      <c r="EP32" s="58">
        <f>+SUM(Tabla1[[#This Row],[EJECUTADO 01]:[EJECUTADO 03]])</f>
        <v>5050.92</v>
      </c>
      <c r="EQ32" s="58">
        <f>+SUM(Tabla1[[#This Row],[EJECUTADO 04]:[EJECUTADO 06]])</f>
        <v>5050.92</v>
      </c>
      <c r="ER32" s="58">
        <f>+SUM(Tabla1[[#This Row],[EJECUTADO 07]:[EJECUTADO 09]])</f>
        <v>5050.92</v>
      </c>
      <c r="ES32" s="58">
        <f>+SUM(Tabla1[[#This Row],[PF OCTUBRE]:[PF DICIEMBRE
]])</f>
        <v>5050.92</v>
      </c>
      <c r="ET32" s="58">
        <f>+SUM(Tabla1[[#This Row],[EJECUTADO 01]:[EJECUTADO 09]])</f>
        <v>15152.759999999998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1678</v>
      </c>
      <c r="AF33" s="369" t="s">
        <v>1679</v>
      </c>
      <c r="AG33" s="369" t="s">
        <v>1680</v>
      </c>
      <c r="AH33" s="369">
        <v>11651</v>
      </c>
      <c r="AI33" s="369">
        <v>0</v>
      </c>
      <c r="AJ33" s="369">
        <v>11651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70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1989</v>
      </c>
      <c r="CM33" s="48" t="s">
        <v>2013</v>
      </c>
      <c r="CN33" s="48" t="s">
        <v>1998</v>
      </c>
      <c r="CO33" s="48" t="str">
        <f t="shared" si="16"/>
        <v>2.3.2.7.10.99</v>
      </c>
      <c r="CP33" s="48" t="str">
        <f>+VLOOKUP(Tabla1[[#This Row],[ESPECÍFICA]],CLASIFICADOR_,2,0)</f>
        <v>2.3.2.7.10.99 - OTRAS ATENCIONES Y CELEBRACIONES</v>
      </c>
      <c r="CQ33" s="48" t="str">
        <f>+VLOOKUP(Tabla1[[#This Row],[ESPECÍFICA]],CLASIFICADOR_,3,0)</f>
        <v>2.3.2.7 - SERVICIOS PROFESIONALES Y TECNICOS</v>
      </c>
      <c r="CR33" s="48" t="str">
        <f>+VLOOKUP(Tabla1[[#This Row],[ESPECÍFICA]],CLASIFICADOR_,4,0)</f>
        <v>Límite de Gasto</v>
      </c>
      <c r="CS33" s="48" t="str">
        <f>+VLOOKUP(Tabla1[[#This Row],[ESPECÍFICA]],CLASIFICADOR_,5,0)</f>
        <v>10.6 f)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5"/>
        <v>0003-DE</v>
      </c>
      <c r="CY33" s="113" t="str">
        <f t="shared" si="6"/>
        <v>0003-DE (FT)</v>
      </c>
      <c r="CZ33" s="20" t="str">
        <f t="shared" si="7"/>
        <v>0003-DE</v>
      </c>
      <c r="DA33" s="113" t="str">
        <f>+CONCATENATE(Tabla1[[#This Row],[CC COMPLETO]],Tabla1[[#This Row],[ESPECÍFICA]])</f>
        <v>0003-DE2.3.2.7.10.99</v>
      </c>
      <c r="DB33" s="49">
        <f t="shared" si="8"/>
        <v>0</v>
      </c>
      <c r="DC33" s="49">
        <f t="shared" si="9"/>
        <v>0</v>
      </c>
      <c r="DD33" s="49">
        <f t="shared" si="10"/>
        <v>0</v>
      </c>
      <c r="DE33" s="49">
        <f t="shared" si="11"/>
        <v>11651</v>
      </c>
      <c r="DF33" s="49">
        <f t="shared" si="12"/>
        <v>0</v>
      </c>
      <c r="DG33" s="49">
        <f t="shared" si="13"/>
        <v>0</v>
      </c>
      <c r="DH33" s="49">
        <f t="shared" si="14"/>
        <v>11651</v>
      </c>
      <c r="DI33" s="50">
        <f t="shared" si="15"/>
        <v>0</v>
      </c>
      <c r="DJ33" s="78">
        <f>+SUM(Tabla1[[#This Row],[EJECUTADO 01]:[EJECUTADO 06]])</f>
        <v>0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0</v>
      </c>
      <c r="DO33" s="78">
        <f>+Tabla1[[#This Row],[mto_devenga_05]]</f>
        <v>0</v>
      </c>
      <c r="DP33" s="76">
        <f>+Tabla1[[#This Row],[mto_devenga_06]]</f>
        <v>0</v>
      </c>
      <c r="DQ33" s="76">
        <f>+Tabla1[[#This Row],[mto_devenga_07]]</f>
        <v>0</v>
      </c>
      <c r="DR33" s="76">
        <f>+Tabla1[[#This Row],[mto_devenga_08]]</f>
        <v>0</v>
      </c>
      <c r="DS33" s="76">
        <f>+Tabla1[[#This Row],[mto_devenga_09]]</f>
        <v>0</v>
      </c>
      <c r="DT33" s="76">
        <f>IFERROR(VLOOKUP(Tabla1[[#This Row],[COD SE]],PF_OCTUBRE,14,0),"0")</f>
        <v>0</v>
      </c>
      <c r="DU33" s="76">
        <f>IFERROR(VLOOKUP(Tabla1[[#This Row],[COD SE]],PF_OCTUBRE,15,0),"0")</f>
        <v>0</v>
      </c>
      <c r="DV33" s="76">
        <f>IFERROR(VLOOKUP(Tabla1[[#This Row],[COD SE]],PF_OCTUBRE,16,0),"0")</f>
        <v>0</v>
      </c>
      <c r="DW33" s="76">
        <f>+SUM(Tabla1[[#This Row],[EJECUTADO 01]:[PF DICIEMBRE
]])</f>
        <v>0</v>
      </c>
      <c r="DX33" s="76">
        <f>IFERROR(VLOOKUP(Tabla1[[#This Row],[COD SE]],PF_OCTUBRE,18,0),"0")</f>
        <v>0</v>
      </c>
      <c r="DY33" s="76">
        <f>IFERROR(VLOOKUP(Tabla1[[#This Row],[COD SE]],PF_OCTUBRE,19,0),"0")</f>
        <v>11651</v>
      </c>
      <c r="DZ33" s="76">
        <f>IFERROR(VLOOKUP(Tabla1[[#This Row],[COD SE]],PF_OCTUBRE,20,0),"0")</f>
        <v>11651</v>
      </c>
      <c r="EA33" s="76">
        <f>+Tabla1[[#This Row],[TOTAL EJEC REAL]]+Tabla1[[#This Row],[SALDO FINAL]]</f>
        <v>11651</v>
      </c>
      <c r="EB33" s="76">
        <f>IFERROR(VLOOKUP(Tabla1[[#This Row],[COD SE]],PF_OCTUBRE,22,0),"0")</f>
        <v>11651</v>
      </c>
      <c r="EC33" s="76">
        <f>+IFERROR(VLOOKUP(Tabla1[[#This Row],[COD SE]],SALDO_ESC_2,7,0),0)</f>
        <v>0</v>
      </c>
      <c r="ED33" s="76">
        <f>+IFERROR(VLOOKUP(Tabla1[[#This Row],[COD SE]],SALDO_ESC_3,7,0),0)</f>
        <v>11651</v>
      </c>
      <c r="EE33" s="76">
        <f>+Tabla1[[#This Row],[mto_pim]]-Tabla1[[#This Row],[TRANSF ESC2 ]]</f>
        <v>11651</v>
      </c>
      <c r="EF33" s="76">
        <f>+Tabla1[[#This Row],[mto_pim]]-Tabla1[[#This Row],[TRANFS ESC 3 ]]</f>
        <v>0</v>
      </c>
      <c r="EG33" s="76">
        <f>+IFERROR(VLOOKUP(Tabla1[[#This Row],[COD SE]],HISTORICO,4,0),0)</f>
        <v>0</v>
      </c>
      <c r="EH33" s="76">
        <f>+IFERROR(VLOOKUP(Tabla1[[#This Row],[COD SE]],HISTORICO,5,0),0)</f>
        <v>0</v>
      </c>
      <c r="EI33" s="76">
        <f>+IFERROR(VLOOKUP(Tabla1[[#This Row],[COD SE]],HISTORICO,6,0),0)</f>
        <v>4000</v>
      </c>
      <c r="EJ33" s="76">
        <f>+IFERROR(VLOOKUP(Tabla1[[#This Row],[COD SE]],HISTORICO,7,0),0)</f>
        <v>0</v>
      </c>
      <c r="EK33" s="76">
        <f>+IFERROR(VLOOKUP(Tabla1[[#This Row],[COD SE]],HISTORICO,8,0),0)</f>
        <v>0</v>
      </c>
      <c r="EL33" s="76">
        <f>+IFERROR(VLOOKUP(Tabla1[[#This Row],[COD SE]],HISTORICO,9,0),0)</f>
        <v>0</v>
      </c>
      <c r="EM33" s="76">
        <f>+IFERROR(VLOOKUP(Tabla1[[#This Row],[COD SE]],HISTORICO,10,0),0)</f>
        <v>0</v>
      </c>
      <c r="EN33" s="76">
        <f>+IFERROR(VLOOKUP(Tabla1[[#This Row],[COD SE]],HISTORICO,11,0),0)</f>
        <v>0</v>
      </c>
      <c r="EO33" s="76">
        <f>+IFERROR(VLOOKUP(Tabla1[[#This Row],[COD SE]],HISTORICO,12,0),0)</f>
        <v>0</v>
      </c>
      <c r="EP33" s="58">
        <f>+SUM(Tabla1[[#This Row],[EJECUTADO 01]:[EJECUTADO 03]])</f>
        <v>0</v>
      </c>
      <c r="EQ33" s="58">
        <f>+SUM(Tabla1[[#This Row],[EJECUTADO 04]:[EJECUTADO 06]])</f>
        <v>0</v>
      </c>
      <c r="ER33" s="58">
        <f>+SUM(Tabla1[[#This Row],[EJECUTADO 07]:[EJECUTADO 09]])</f>
        <v>0</v>
      </c>
      <c r="ES33" s="58">
        <f>+SUM(Tabla1[[#This Row],[PF OCTUBRE]:[PF DICIEMBRE
]])</f>
        <v>0</v>
      </c>
      <c r="ET33" s="58">
        <f>+SUM(Tabla1[[#This Row],[EJECUTADO 01]:[EJECUTADO 09]])</f>
        <v>0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1656</v>
      </c>
      <c r="AD34" s="369" t="s">
        <v>2006</v>
      </c>
      <c r="AE34" s="369" t="s">
        <v>2007</v>
      </c>
      <c r="AF34" s="369" t="s">
        <v>2007</v>
      </c>
      <c r="AG34" s="369" t="s">
        <v>2015</v>
      </c>
      <c r="AH34" s="369">
        <v>0</v>
      </c>
      <c r="AI34" s="369">
        <v>57865</v>
      </c>
      <c r="AJ34" s="369">
        <v>57865</v>
      </c>
      <c r="AK34" s="370">
        <v>57865</v>
      </c>
      <c r="AL34" s="370">
        <v>50646</v>
      </c>
      <c r="AM34" s="370">
        <v>0</v>
      </c>
      <c r="AN34" s="370">
        <v>0</v>
      </c>
      <c r="AO34" s="370">
        <v>0</v>
      </c>
      <c r="AP34" s="370">
        <v>20115.900000000001</v>
      </c>
      <c r="AQ34" s="370">
        <v>10886.75</v>
      </c>
      <c r="AR34" s="370">
        <v>0</v>
      </c>
      <c r="AS34" s="370">
        <v>19639.400000000001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20115.900000000001</v>
      </c>
      <c r="BC34" s="370">
        <v>10886.75</v>
      </c>
      <c r="BD34" s="370">
        <v>0</v>
      </c>
      <c r="BE34" s="370">
        <v>19639.400000000001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20115.900000000001</v>
      </c>
      <c r="BO34" s="370">
        <v>10886.75</v>
      </c>
      <c r="BP34" s="370">
        <v>0</v>
      </c>
      <c r="BQ34" s="370">
        <v>19639.400000000001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17912.23</v>
      </c>
      <c r="CA34" s="370">
        <v>10752.68</v>
      </c>
      <c r="CB34" s="370">
        <v>0</v>
      </c>
      <c r="CC34" s="370">
        <v>19124.62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1990</v>
      </c>
      <c r="CK34" s="48" t="s">
        <v>1993</v>
      </c>
      <c r="CL34" s="48" t="s">
        <v>1990</v>
      </c>
      <c r="CM34" s="48" t="s">
        <v>1990</v>
      </c>
      <c r="CN34" s="48" t="s">
        <v>1989</v>
      </c>
      <c r="CO34" s="48" t="str">
        <f t="shared" si="16"/>
        <v>2.1.4.1.1.7</v>
      </c>
      <c r="CP34" s="48" t="str">
        <f>+VLOOKUP(Tabla1[[#This Row],[ESPECÍFICA]],CLASIFICADOR_,2,0)</f>
        <v>2.1.4.1.1.7 - VACACIONES TRUNCAS PERSONAL CAS</v>
      </c>
      <c r="CQ34" s="48" t="str">
        <f>+VLOOKUP(Tabla1[[#This Row],[ESPECÍFICA]],CLASIFICADOR_,3,0)</f>
        <v>01.CAS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N/R</v>
      </c>
      <c r="CU34" s="48" t="str">
        <f>+VLOOKUP(Tabla1[[#This Row],[ESPECÍFICA]],CLASIFICADOR_,7,0)</f>
        <v>N/R</v>
      </c>
      <c r="CV34" s="48">
        <f>+VLOOKUP(Tabla1[[#This Row],[ESPECÍFICA]],CLASIFICADOR_,8,0)</f>
        <v>0</v>
      </c>
      <c r="CW34" s="113" t="str">
        <f>+CONCATENATE("2.",Tabla1[[#This Row],[generica]])</f>
        <v>2.1.PERSONAL Y OBLIGACIONES SOCIALES</v>
      </c>
      <c r="CX34" s="48" t="str">
        <f t="shared" si="5"/>
        <v>0003-DE</v>
      </c>
      <c r="CY34" s="113" t="str">
        <f t="shared" si="6"/>
        <v>0003-DE (FT)</v>
      </c>
      <c r="CZ34" s="20" t="str">
        <f t="shared" si="7"/>
        <v>0003-DE</v>
      </c>
      <c r="DA34" s="113" t="str">
        <f>+CONCATENATE(Tabla1[[#This Row],[CC COMPLETO]],Tabla1[[#This Row],[ESPECÍFICA]])</f>
        <v>0003-DE2.1.4.1.1.7</v>
      </c>
      <c r="DB34" s="49">
        <f t="shared" si="8"/>
        <v>50642.05</v>
      </c>
      <c r="DC34" s="49">
        <f t="shared" si="9"/>
        <v>50642.05</v>
      </c>
      <c r="DD34" s="49">
        <f t="shared" si="10"/>
        <v>50642.05</v>
      </c>
      <c r="DE34" s="49">
        <f t="shared" si="11"/>
        <v>0</v>
      </c>
      <c r="DF34" s="49">
        <f t="shared" si="12"/>
        <v>7219</v>
      </c>
      <c r="DG34" s="49">
        <f t="shared" si="13"/>
        <v>3.9499999999970896</v>
      </c>
      <c r="DH34" s="49">
        <f t="shared" si="14"/>
        <v>7222.9499999999971</v>
      </c>
      <c r="DI34" s="50">
        <f t="shared" si="15"/>
        <v>0</v>
      </c>
      <c r="DJ34" s="78">
        <f>+SUM(Tabla1[[#This Row],[EJECUTADO 01]:[EJECUTADO 06]])</f>
        <v>31002.65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20115.900000000001</v>
      </c>
      <c r="DO34" s="78">
        <f>+Tabla1[[#This Row],[mto_devenga_05]]</f>
        <v>10886.75</v>
      </c>
      <c r="DP34" s="76">
        <f>+Tabla1[[#This Row],[mto_devenga_06]]</f>
        <v>0</v>
      </c>
      <c r="DQ34" s="76">
        <f>+Tabla1[[#This Row],[mto_devenga_07]]</f>
        <v>19639.400000000001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0</v>
      </c>
      <c r="DV34" s="76">
        <f>IFERROR(VLOOKUP(Tabla1[[#This Row],[COD SE]],PF_OCTUBRE,16,0),"0")</f>
        <v>0</v>
      </c>
      <c r="DW34" s="76">
        <f>+SUM(Tabla1[[#This Row],[EJECUTADO 01]:[PF DICIEMBRE
]])</f>
        <v>50642.05</v>
      </c>
      <c r="DX34" s="76">
        <f>IFERROR(VLOOKUP(Tabla1[[#This Row],[COD SE]],PF_OCTUBRE,18,0),"0")</f>
        <v>0</v>
      </c>
      <c r="DY34" s="76">
        <f>IFERROR(VLOOKUP(Tabla1[[#This Row],[COD SE]],PF_OCTUBRE,19,0),"0")</f>
        <v>3.9499999999996183</v>
      </c>
      <c r="DZ34" s="76">
        <f>IFERROR(VLOOKUP(Tabla1[[#This Row],[COD SE]],PF_OCTUBRE,20,0),"0")</f>
        <v>3.9499999999996183</v>
      </c>
      <c r="EA34" s="76">
        <f>+Tabla1[[#This Row],[TOTAL EJEC REAL]]+Tabla1[[#This Row],[SALDO FINAL]]</f>
        <v>50646</v>
      </c>
      <c r="EB34" s="76">
        <f>IFERROR(VLOOKUP(Tabla1[[#This Row],[COD SE]],PF_OCTUBRE,22,0),"0")</f>
        <v>3.9499999999996183</v>
      </c>
      <c r="EC34" s="76">
        <f>+IFERROR(VLOOKUP(Tabla1[[#This Row],[COD SE]],SALDO_ESC_2,7,0),0)</f>
        <v>0</v>
      </c>
      <c r="ED34" s="76">
        <f>+IFERROR(VLOOKUP(Tabla1[[#This Row],[COD SE]],SALDO_ESC_3,7,0),0)</f>
        <v>3.9499999999996183</v>
      </c>
      <c r="EE34" s="76">
        <f>+Tabla1[[#This Row],[mto_pim]]-Tabla1[[#This Row],[TRANSF ESC2 ]]</f>
        <v>57865</v>
      </c>
      <c r="EF34" s="76">
        <f>+Tabla1[[#This Row],[mto_pim]]-Tabla1[[#This Row],[TRANFS ESC 3 ]]</f>
        <v>57861.05</v>
      </c>
      <c r="EG34" s="76">
        <f>+IFERROR(VLOOKUP(Tabla1[[#This Row],[COD SE]],HISTORICO,4,0),0)</f>
        <v>0</v>
      </c>
      <c r="EH34" s="76">
        <f>+IFERROR(VLOOKUP(Tabla1[[#This Row],[COD SE]],HISTORICO,5,0),0)</f>
        <v>0</v>
      </c>
      <c r="EI34" s="76">
        <f>+IFERROR(VLOOKUP(Tabla1[[#This Row],[COD SE]],HISTORICO,6,0),0)</f>
        <v>20118</v>
      </c>
      <c r="EJ34" s="76">
        <f>+IFERROR(VLOOKUP(Tabla1[[#This Row],[COD SE]],HISTORICO,7,0),0)</f>
        <v>20118</v>
      </c>
      <c r="EK34" s="76">
        <f>+IFERROR(VLOOKUP(Tabla1[[#This Row],[COD SE]],HISTORICO,8,0),0)</f>
        <v>10888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31002.65</v>
      </c>
      <c r="ER34" s="58">
        <f>+SUM(Tabla1[[#This Row],[EJECUTADO 07]:[EJECUTADO 09]])</f>
        <v>19639.400000000001</v>
      </c>
      <c r="ES34" s="58">
        <f>+SUM(Tabla1[[#This Row],[PF OCTUBRE]:[PF DICIEMBRE
]])</f>
        <v>0</v>
      </c>
      <c r="ET34" s="58">
        <f>+SUM(Tabla1[[#This Row],[EJECUTADO 01]:[EJECUTADO 09]])</f>
        <v>50642.05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1684</v>
      </c>
      <c r="AE35" s="369" t="s">
        <v>1685</v>
      </c>
      <c r="AF35" s="369" t="s">
        <v>1686</v>
      </c>
      <c r="AG35" s="369" t="s">
        <v>1687</v>
      </c>
      <c r="AH35" s="369">
        <v>11615</v>
      </c>
      <c r="AI35" s="369">
        <v>-4615</v>
      </c>
      <c r="AJ35" s="369">
        <v>7000</v>
      </c>
      <c r="AK35" s="370">
        <v>1903.99</v>
      </c>
      <c r="AL35" s="370">
        <v>1903.99</v>
      </c>
      <c r="AM35" s="370">
        <v>0</v>
      </c>
      <c r="AN35" s="370">
        <v>0</v>
      </c>
      <c r="AO35" s="370">
        <v>1903.99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1903.99</v>
      </c>
      <c r="BC35" s="370">
        <v>-1903.99</v>
      </c>
      <c r="BD35" s="370">
        <v>1903.99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1903.99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1903.99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1990</v>
      </c>
      <c r="CL35" s="48" t="s">
        <v>1998</v>
      </c>
      <c r="CM35" s="48" t="s">
        <v>1990</v>
      </c>
      <c r="CN35" s="48" t="s">
        <v>1991</v>
      </c>
      <c r="CO35" s="48" t="str">
        <f t="shared" si="16"/>
        <v>2.3.1.99.1.3</v>
      </c>
      <c r="CP35" s="48" t="str">
        <f>+VLOOKUP(Tabla1[[#This Row],[ESPECÍFICA]],CLASIFICADOR_,2,0)</f>
        <v>2.3.1.99.1.3 - LIBROS, DIARIOS, REVISTAS Y OTROS BIENES IMPRESOS NO VINCULADOS A ENSEÑANZA</v>
      </c>
      <c r="CQ35" s="48" t="str">
        <f>+VLOOKUP(Tabla1[[#This Row],[ESPECÍFICA]],CLASIFICADOR_,3,0)</f>
        <v>2.3.1.99 - COMPRA DE OTROS BIENES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5"/>
        <v>0003-DE</v>
      </c>
      <c r="CY35" s="113" t="str">
        <f t="shared" si="6"/>
        <v>0003-DE (FT)</v>
      </c>
      <c r="CZ35" s="20" t="str">
        <f t="shared" si="7"/>
        <v>0003-DE</v>
      </c>
      <c r="DA35" s="113" t="str">
        <f>+CONCATENATE(Tabla1[[#This Row],[CC COMPLETO]],Tabla1[[#This Row],[ESPECÍFICA]])</f>
        <v>0003-DE2.3.1.99.1.3</v>
      </c>
      <c r="DB35" s="49">
        <f t="shared" si="8"/>
        <v>1903.99</v>
      </c>
      <c r="DC35" s="49">
        <f t="shared" si="9"/>
        <v>1903.99</v>
      </c>
      <c r="DD35" s="49">
        <f t="shared" si="10"/>
        <v>1903.99</v>
      </c>
      <c r="DE35" s="49">
        <f t="shared" si="11"/>
        <v>5096.01</v>
      </c>
      <c r="DF35" s="49">
        <f t="shared" si="12"/>
        <v>0</v>
      </c>
      <c r="DG35" s="49">
        <f t="shared" si="13"/>
        <v>0</v>
      </c>
      <c r="DH35" s="49">
        <f t="shared" si="14"/>
        <v>5096.01</v>
      </c>
      <c r="DI35" s="50">
        <f t="shared" si="15"/>
        <v>0.16392509685751183</v>
      </c>
      <c r="DJ35" s="78">
        <f>+SUM(Tabla1[[#This Row],[EJECUTADO 01]:[EJECUTADO 06]])</f>
        <v>1903.99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1903.99</v>
      </c>
      <c r="DO35" s="78">
        <f>+Tabla1[[#This Row],[mto_devenga_05]]</f>
        <v>-1903.99</v>
      </c>
      <c r="DP35" s="76">
        <f>+Tabla1[[#This Row],[mto_devenga_06]]</f>
        <v>1903.99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1903.99</v>
      </c>
      <c r="DX35" s="76">
        <f>IFERROR(VLOOKUP(Tabla1[[#This Row],[COD SE]],PF_OCTUBRE,18,0),"0")</f>
        <v>0</v>
      </c>
      <c r="DY35" s="76">
        <f>IFERROR(VLOOKUP(Tabla1[[#This Row],[COD SE]],PF_OCTUBRE,19,0),"0")</f>
        <v>5096.01</v>
      </c>
      <c r="DZ35" s="76">
        <f>IFERROR(VLOOKUP(Tabla1[[#This Row],[COD SE]],PF_OCTUBRE,20,0),"0")</f>
        <v>5096.01</v>
      </c>
      <c r="EA35" s="76">
        <f>+Tabla1[[#This Row],[TOTAL EJEC REAL]]+Tabla1[[#This Row],[SALDO FINAL]]</f>
        <v>7000</v>
      </c>
      <c r="EB35" s="76">
        <f>IFERROR(VLOOKUP(Tabla1[[#This Row],[COD SE]],PF_OCTUBRE,22,0),"0")</f>
        <v>5096.01</v>
      </c>
      <c r="EC35" s="76">
        <f>+IFERROR(VLOOKUP(Tabla1[[#This Row],[COD SE]],SALDO_ESC_2,7,0),0)</f>
        <v>0</v>
      </c>
      <c r="ED35" s="76">
        <f>+IFERROR(VLOOKUP(Tabla1[[#This Row],[COD SE]],SALDO_ESC_3,7,0),0)</f>
        <v>5096.01</v>
      </c>
      <c r="EE35" s="76">
        <f>+Tabla1[[#This Row],[mto_pim]]-Tabla1[[#This Row],[TRANSF ESC2 ]]</f>
        <v>7000</v>
      </c>
      <c r="EF35" s="76">
        <f>+Tabla1[[#This Row],[mto_pim]]-Tabla1[[#This Row],[TRANFS ESC 3 ]]</f>
        <v>1903.9899999999998</v>
      </c>
      <c r="EG35" s="76">
        <f>+IFERROR(VLOOKUP(Tabla1[[#This Row],[COD SE]],HISTORICO,4,0),0)</f>
        <v>1500</v>
      </c>
      <c r="EH35" s="76">
        <f>+IFERROR(VLOOKUP(Tabla1[[#This Row],[COD SE]],HISTORICO,5,0),0)</f>
        <v>0</v>
      </c>
      <c r="EI35" s="76">
        <f>+IFERROR(VLOOKUP(Tabla1[[#This Row],[COD SE]],HISTORICO,6,0),0)</f>
        <v>4000</v>
      </c>
      <c r="EJ35" s="76">
        <f>+IFERROR(VLOOKUP(Tabla1[[#This Row],[COD SE]],HISTORICO,7,0),0)</f>
        <v>4403.99</v>
      </c>
      <c r="EK35" s="76">
        <f>+IFERROR(VLOOKUP(Tabla1[[#This Row],[COD SE]],HISTORICO,8,0),0)</f>
        <v>0</v>
      </c>
      <c r="EL35" s="76">
        <f>+IFERROR(VLOOKUP(Tabla1[[#This Row],[COD SE]],HISTORICO,9,0),0)</f>
        <v>1903.99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1903.99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1903.99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1663</v>
      </c>
      <c r="AH36" s="369">
        <v>3388841</v>
      </c>
      <c r="AI36" s="369">
        <v>-1256539</v>
      </c>
      <c r="AJ36" s="369">
        <v>2132302</v>
      </c>
      <c r="AK36" s="370">
        <v>1647330.21</v>
      </c>
      <c r="AL36" s="370">
        <v>1397562.26</v>
      </c>
      <c r="AM36" s="370">
        <v>164932.89000000001</v>
      </c>
      <c r="AN36" s="370">
        <v>121379.3</v>
      </c>
      <c r="AO36" s="370">
        <v>111720.69</v>
      </c>
      <c r="AP36" s="370">
        <v>103228.38</v>
      </c>
      <c r="AQ36" s="370">
        <v>80728.38</v>
      </c>
      <c r="AR36" s="370">
        <v>80477.47</v>
      </c>
      <c r="AS36" s="370">
        <v>89231.59</v>
      </c>
      <c r="AT36" s="370">
        <v>92264.67</v>
      </c>
      <c r="AU36" s="370">
        <v>100279.9</v>
      </c>
      <c r="AV36" s="370">
        <v>110344.35</v>
      </c>
      <c r="AW36" s="370">
        <v>0</v>
      </c>
      <c r="AX36" s="370">
        <v>0</v>
      </c>
      <c r="AY36" s="370">
        <v>167136.56</v>
      </c>
      <c r="AZ36" s="370">
        <v>121379.3</v>
      </c>
      <c r="BA36" s="370">
        <v>111854.76</v>
      </c>
      <c r="BB36" s="370">
        <v>101024.71</v>
      </c>
      <c r="BC36" s="370">
        <v>80594.31</v>
      </c>
      <c r="BD36" s="370">
        <v>80477.47</v>
      </c>
      <c r="BE36" s="370">
        <v>89231.59</v>
      </c>
      <c r="BF36" s="370">
        <v>92264.67</v>
      </c>
      <c r="BG36" s="370">
        <v>100279.9</v>
      </c>
      <c r="BH36" s="370">
        <v>110344.35</v>
      </c>
      <c r="BI36" s="370">
        <v>0</v>
      </c>
      <c r="BJ36" s="370">
        <v>0</v>
      </c>
      <c r="BK36" s="370">
        <v>167105.24</v>
      </c>
      <c r="BL36" s="370">
        <v>121410.62</v>
      </c>
      <c r="BM36" s="370">
        <v>111854.76</v>
      </c>
      <c r="BN36" s="370">
        <v>92695.27</v>
      </c>
      <c r="BO36" s="370">
        <v>88923.75</v>
      </c>
      <c r="BP36" s="370">
        <v>80477.47</v>
      </c>
      <c r="BQ36" s="370">
        <v>89231.59</v>
      </c>
      <c r="BR36" s="370">
        <v>92264.67</v>
      </c>
      <c r="BS36" s="370">
        <v>100279.9</v>
      </c>
      <c r="BT36" s="370">
        <v>102800.32000000001</v>
      </c>
      <c r="BU36" s="370">
        <v>0</v>
      </c>
      <c r="BV36" s="370">
        <v>0</v>
      </c>
      <c r="BW36" s="370">
        <v>167136.56</v>
      </c>
      <c r="BX36" s="370">
        <v>121379.3</v>
      </c>
      <c r="BY36" s="370">
        <v>111854.76</v>
      </c>
      <c r="BZ36" s="370">
        <v>103228.38</v>
      </c>
      <c r="CA36" s="370">
        <v>80728.38</v>
      </c>
      <c r="CB36" s="370">
        <v>80477.47</v>
      </c>
      <c r="CC36" s="370">
        <v>89231.59</v>
      </c>
      <c r="CD36" s="370">
        <v>92264.67</v>
      </c>
      <c r="CE36" s="370">
        <v>100279.9</v>
      </c>
      <c r="CF36" s="370">
        <v>102800.32000000001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1987</v>
      </c>
      <c r="CO36" s="48" t="str">
        <f t="shared" si="16"/>
        <v>2.1.1.13.1.2</v>
      </c>
      <c r="CP36" s="48" t="str">
        <f>+VLOOKUP(Tabla1[[#This Row],[ESPECÍFICA]],CLASIFICADOR_,2,0)</f>
        <v>2.1.1.13.1.2 - CONTRATO ADMINISTRATIVO DE SERVICIOS - TRANSITORIO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5"/>
        <v>0003-DE</v>
      </c>
      <c r="CY36" s="113" t="str">
        <f t="shared" si="6"/>
        <v>0003-DE (FT)</v>
      </c>
      <c r="CZ36" s="20" t="str">
        <f t="shared" si="7"/>
        <v>0003-DE</v>
      </c>
      <c r="DA36" s="113" t="str">
        <f>+CONCATENATE(Tabla1[[#This Row],[CC COMPLETO]],Tabla1[[#This Row],[ESPECÍFICA]])</f>
        <v>0003-DE2.1.1.13.1.2</v>
      </c>
      <c r="DB36" s="49">
        <f t="shared" si="8"/>
        <v>1054587.6200000001</v>
      </c>
      <c r="DC36" s="49">
        <f t="shared" si="9"/>
        <v>1054587.6200000001</v>
      </c>
      <c r="DD36" s="49">
        <f t="shared" si="10"/>
        <v>1047043.5900000001</v>
      </c>
      <c r="DE36" s="49">
        <f t="shared" si="11"/>
        <v>484971.79000000004</v>
      </c>
      <c r="DF36" s="49">
        <f t="shared" si="12"/>
        <v>249767.94999999995</v>
      </c>
      <c r="DG36" s="49">
        <f t="shared" si="13"/>
        <v>342974.6399999999</v>
      </c>
      <c r="DH36" s="49">
        <f t="shared" si="14"/>
        <v>1077714.3799999999</v>
      </c>
      <c r="DI36" s="50">
        <f t="shared" si="15"/>
        <v>0.31119418703916768</v>
      </c>
      <c r="DJ36" s="78">
        <f>+SUM(Tabla1[[#This Row],[EJECUTADO 01]:[EJECUTADO 06]])</f>
        <v>662467.11</v>
      </c>
      <c r="DK36" s="78">
        <f>+Tabla1[[#This Row],[mto_devenga_01]]</f>
        <v>167136.56</v>
      </c>
      <c r="DL36" s="78">
        <f>+Tabla1[[#This Row],[mto_devenga_02]]</f>
        <v>121379.3</v>
      </c>
      <c r="DM36" s="78">
        <f>+Tabla1[[#This Row],[mto_devenga_03]]</f>
        <v>111854.76</v>
      </c>
      <c r="DN36" s="78">
        <f>+Tabla1[[#This Row],[mto_devenga_04]]</f>
        <v>101024.71</v>
      </c>
      <c r="DO36" s="78">
        <f>+Tabla1[[#This Row],[mto_devenga_05]]</f>
        <v>80594.31</v>
      </c>
      <c r="DP36" s="76">
        <f>+Tabla1[[#This Row],[mto_devenga_06]]</f>
        <v>80477.47</v>
      </c>
      <c r="DQ36" s="76">
        <f>+Tabla1[[#This Row],[mto_devenga_07]]</f>
        <v>89231.59</v>
      </c>
      <c r="DR36" s="76">
        <f>+Tabla1[[#This Row],[mto_devenga_08]]</f>
        <v>92264.67</v>
      </c>
      <c r="DS36" s="76">
        <f>+Tabla1[[#This Row],[mto_devenga_09]]</f>
        <v>100279.9</v>
      </c>
      <c r="DT36" s="76">
        <f>IFERROR(VLOOKUP(Tabla1[[#This Row],[COD SE]],PF_OCTUBRE,14,0),"0")</f>
        <v>111263.52000000002</v>
      </c>
      <c r="DU36" s="76">
        <f>IFERROR(VLOOKUP(Tabla1[[#This Row],[COD SE]],PF_OCTUBRE,15,0),"0")</f>
        <v>111263.52000000002</v>
      </c>
      <c r="DV36" s="76">
        <f>IFERROR(VLOOKUP(Tabla1[[#This Row],[COD SE]],PF_OCTUBRE,16,0),"0")</f>
        <v>111519.84000000003</v>
      </c>
      <c r="DW36" s="76">
        <f>+SUM(Tabla1[[#This Row],[EJECUTADO 01]:[PF DICIEMBRE
]])</f>
        <v>1278290.1500000001</v>
      </c>
      <c r="DX36" s="76">
        <f>IFERROR(VLOOKUP(Tabla1[[#This Row],[COD SE]],PF_OCTUBRE,18,0),"0")</f>
        <v>0</v>
      </c>
      <c r="DY36" s="76">
        <f>IFERROR(VLOOKUP(Tabla1[[#This Row],[COD SE]],PF_OCTUBRE,19,0),"0")</f>
        <v>800011.85000000009</v>
      </c>
      <c r="DZ36" s="76">
        <f>IFERROR(VLOOKUP(Tabla1[[#This Row],[COD SE]],PF_OCTUBRE,20,0),"0")</f>
        <v>800011.85000000009</v>
      </c>
      <c r="EA36" s="76">
        <f>+Tabla1[[#This Row],[TOTAL EJEC REAL]]+Tabla1[[#This Row],[SALDO FINAL]]</f>
        <v>2078302.0000000002</v>
      </c>
      <c r="EB36" s="76">
        <f>IFERROR(VLOOKUP(Tabla1[[#This Row],[COD SE]],PF_OCTUBRE,22,0),"0")</f>
        <v>911531.69000000006</v>
      </c>
      <c r="EC36" s="76">
        <f>+IFERROR(VLOOKUP(Tabla1[[#This Row],[COD SE]],SALDO_ESC_2,7,0),0)</f>
        <v>0</v>
      </c>
      <c r="ED36" s="76">
        <f>+IFERROR(VLOOKUP(Tabla1[[#This Row],[COD SE]],SALDO_ESC_3,7,0),0)</f>
        <v>800011.85000000009</v>
      </c>
      <c r="EE36" s="76">
        <f>+Tabla1[[#This Row],[mto_pim]]-Tabla1[[#This Row],[TRANSF ESC2 ]]</f>
        <v>2132302</v>
      </c>
      <c r="EF36" s="76">
        <f>+Tabla1[[#This Row],[mto_pim]]-Tabla1[[#This Row],[TRANFS ESC 3 ]]</f>
        <v>1332290.1499999999</v>
      </c>
      <c r="EG36" s="76">
        <f>+IFERROR(VLOOKUP(Tabla1[[#This Row],[COD SE]],HISTORICO,4,0),0)</f>
        <v>255518.27000000005</v>
      </c>
      <c r="EH36" s="76">
        <f>+IFERROR(VLOOKUP(Tabla1[[#This Row],[COD SE]],HISTORICO,5,0),0)</f>
        <v>136491.23000000001</v>
      </c>
      <c r="EI36" s="76">
        <f>+IFERROR(VLOOKUP(Tabla1[[#This Row],[COD SE]],HISTORICO,6,0),0)</f>
        <v>113698.66000000002</v>
      </c>
      <c r="EJ36" s="76">
        <f>+IFERROR(VLOOKUP(Tabla1[[#This Row],[COD SE]],HISTORICO,7,0),0)</f>
        <v>113698.66000000002</v>
      </c>
      <c r="EK36" s="76">
        <f>+IFERROR(VLOOKUP(Tabla1[[#This Row],[COD SE]],HISTORICO,8,0),0)</f>
        <v>138291.23000000001</v>
      </c>
      <c r="EL36" s="76">
        <f>+IFERROR(VLOOKUP(Tabla1[[#This Row],[COD SE]],HISTORICO,9,0),0)</f>
        <v>81641.900000000009</v>
      </c>
      <c r="EM36" s="76">
        <f>+IFERROR(VLOOKUP(Tabla1[[#This Row],[COD SE]],HISTORICO,10,0),0)</f>
        <v>95377.71</v>
      </c>
      <c r="EN36" s="76">
        <f>+IFERROR(VLOOKUP(Tabla1[[#This Row],[COD SE]],HISTORICO,11,0),0)</f>
        <v>95263.52</v>
      </c>
      <c r="EO36" s="76">
        <f>+IFERROR(VLOOKUP(Tabla1[[#This Row],[COD SE]],HISTORICO,12,0),0)</f>
        <v>111263.52000000002</v>
      </c>
      <c r="EP36" s="58">
        <f>+SUM(Tabla1[[#This Row],[EJECUTADO 01]:[EJECUTADO 03]])</f>
        <v>400370.62</v>
      </c>
      <c r="EQ36" s="58">
        <f>+SUM(Tabla1[[#This Row],[EJECUTADO 04]:[EJECUTADO 06]])</f>
        <v>262096.49000000002</v>
      </c>
      <c r="ER36" s="58">
        <f>+SUM(Tabla1[[#This Row],[EJECUTADO 07]:[EJECUTADO 09]])</f>
        <v>281776.16000000003</v>
      </c>
      <c r="ES36" s="58">
        <f>+SUM(Tabla1[[#This Row],[PF OCTUBRE]:[PF DICIEMBRE
]])</f>
        <v>334046.88000000006</v>
      </c>
      <c r="ET36" s="58">
        <f>+SUM(Tabla1[[#This Row],[EJECUTADO 01]:[EJECUTADO 09]])</f>
        <v>944243.27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1671</v>
      </c>
      <c r="AH37" s="369">
        <v>200237</v>
      </c>
      <c r="AI37" s="369">
        <v>-43360</v>
      </c>
      <c r="AJ37" s="369">
        <v>156877</v>
      </c>
      <c r="AK37" s="370">
        <v>133940.82999999999</v>
      </c>
      <c r="AL37" s="370">
        <v>128356</v>
      </c>
      <c r="AM37" s="370">
        <v>13434.16</v>
      </c>
      <c r="AN37" s="370">
        <v>12350.76</v>
      </c>
      <c r="AO37" s="370">
        <v>11700.72</v>
      </c>
      <c r="AP37" s="370">
        <v>12281.25</v>
      </c>
      <c r="AQ37" s="370">
        <v>9900.67</v>
      </c>
      <c r="AR37" s="370">
        <v>9317.24</v>
      </c>
      <c r="AS37" s="370">
        <v>9317.24</v>
      </c>
      <c r="AT37" s="370">
        <v>9100.56</v>
      </c>
      <c r="AU37" s="370">
        <v>9317.24</v>
      </c>
      <c r="AV37" s="370">
        <v>9533.92</v>
      </c>
      <c r="AW37" s="370">
        <v>0</v>
      </c>
      <c r="AX37" s="370">
        <v>0</v>
      </c>
      <c r="AY37" s="370">
        <v>13434.16</v>
      </c>
      <c r="AZ37" s="370">
        <v>12350.76</v>
      </c>
      <c r="BA37" s="370">
        <v>11700.72</v>
      </c>
      <c r="BB37" s="370">
        <v>12281.25</v>
      </c>
      <c r="BC37" s="370">
        <v>9900.67</v>
      </c>
      <c r="BD37" s="370">
        <v>9317.24</v>
      </c>
      <c r="BE37" s="370">
        <v>9317.24</v>
      </c>
      <c r="BF37" s="370">
        <v>9100.56</v>
      </c>
      <c r="BG37" s="370">
        <v>9317.24</v>
      </c>
      <c r="BH37" s="370">
        <v>9533.92</v>
      </c>
      <c r="BI37" s="370">
        <v>0</v>
      </c>
      <c r="BJ37" s="370">
        <v>0</v>
      </c>
      <c r="BK37" s="370">
        <v>13434.16</v>
      </c>
      <c r="BL37" s="370">
        <v>12350.76</v>
      </c>
      <c r="BM37" s="370">
        <v>11700.72</v>
      </c>
      <c r="BN37" s="370">
        <v>12281.25</v>
      </c>
      <c r="BO37" s="370">
        <v>9900.67</v>
      </c>
      <c r="BP37" s="370">
        <v>9317.24</v>
      </c>
      <c r="BQ37" s="370">
        <v>9317.24</v>
      </c>
      <c r="BR37" s="370">
        <v>9100.56</v>
      </c>
      <c r="BS37" s="370">
        <v>9317.24</v>
      </c>
      <c r="BT37" s="370">
        <v>9533.92</v>
      </c>
      <c r="BU37" s="370">
        <v>0</v>
      </c>
      <c r="BV37" s="370">
        <v>0</v>
      </c>
      <c r="BW37" s="370">
        <v>13434.16</v>
      </c>
      <c r="BX37" s="370">
        <v>12350.76</v>
      </c>
      <c r="BY37" s="370">
        <v>11700.72</v>
      </c>
      <c r="BZ37" s="370">
        <v>12281.25</v>
      </c>
      <c r="CA37" s="370">
        <v>9900.67</v>
      </c>
      <c r="CB37" s="370">
        <v>9317.24</v>
      </c>
      <c r="CC37" s="370">
        <v>9317.24</v>
      </c>
      <c r="CD37" s="370">
        <v>9100.56</v>
      </c>
      <c r="CE37" s="370">
        <v>9317.24</v>
      </c>
      <c r="CF37" s="370">
        <v>9533.92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2014</v>
      </c>
      <c r="CO37" s="48" t="str">
        <f t="shared" si="16"/>
        <v>2.1.3.1.1.15</v>
      </c>
      <c r="CP37" s="48" t="str">
        <f>+VLOOKUP(Tabla1[[#This Row],[ESPECÍFICA]],CLASIFICADOR_,2,0)</f>
        <v>2.1.3.1.1.15 - CONTRIBUCIONES A ESSALUD DE CONTRATO ADMINISTRATIVO DE SERVICIOS</v>
      </c>
      <c r="CQ37" s="48" t="str">
        <f>+VLOOKUP(Tabla1[[#This Row],[ESPECÍFICA]],CLASIFICADOR_,3,0)</f>
        <v>01.CAS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5"/>
        <v>0003-DE</v>
      </c>
      <c r="CY37" s="113" t="str">
        <f t="shared" si="6"/>
        <v>0003-DE (FT)</v>
      </c>
      <c r="CZ37" s="20" t="str">
        <f t="shared" si="7"/>
        <v>0003-DE</v>
      </c>
      <c r="DA37" s="113" t="str">
        <f>+CONCATENATE(Tabla1[[#This Row],[CC COMPLETO]],Tabla1[[#This Row],[ESPECÍFICA]])</f>
        <v>0003-DE2.1.3.1.1.15</v>
      </c>
      <c r="DB37" s="49">
        <f t="shared" si="8"/>
        <v>106253.76000000001</v>
      </c>
      <c r="DC37" s="49">
        <f t="shared" si="9"/>
        <v>106253.76000000001</v>
      </c>
      <c r="DD37" s="49">
        <f t="shared" si="10"/>
        <v>106253.76000000001</v>
      </c>
      <c r="DE37" s="49">
        <f t="shared" si="11"/>
        <v>22936.170000000013</v>
      </c>
      <c r="DF37" s="49">
        <f t="shared" si="12"/>
        <v>5584.8299999999872</v>
      </c>
      <c r="DG37" s="49">
        <f t="shared" si="13"/>
        <v>22102.239999999991</v>
      </c>
      <c r="DH37" s="49">
        <f t="shared" si="14"/>
        <v>50623.239999999991</v>
      </c>
      <c r="DI37" s="50">
        <f t="shared" si="15"/>
        <v>0.53063999160994224</v>
      </c>
      <c r="DJ37" s="78">
        <f>+SUM(Tabla1[[#This Row],[EJECUTADO 01]:[EJECUTADO 06]])</f>
        <v>68984.800000000003</v>
      </c>
      <c r="DK37" s="78">
        <f>+Tabla1[[#This Row],[mto_devenga_01]]</f>
        <v>13434.16</v>
      </c>
      <c r="DL37" s="78">
        <f>+Tabla1[[#This Row],[mto_devenga_02]]</f>
        <v>12350.76</v>
      </c>
      <c r="DM37" s="78">
        <f>+Tabla1[[#This Row],[mto_devenga_03]]</f>
        <v>11700.72</v>
      </c>
      <c r="DN37" s="78">
        <f>+Tabla1[[#This Row],[mto_devenga_04]]</f>
        <v>12281.25</v>
      </c>
      <c r="DO37" s="78">
        <f>+Tabla1[[#This Row],[mto_devenga_05]]</f>
        <v>9900.67</v>
      </c>
      <c r="DP37" s="76">
        <f>+Tabla1[[#This Row],[mto_devenga_06]]</f>
        <v>9317.24</v>
      </c>
      <c r="DQ37" s="76">
        <f>+Tabla1[[#This Row],[mto_devenga_07]]</f>
        <v>9317.24</v>
      </c>
      <c r="DR37" s="76">
        <f>+Tabla1[[#This Row],[mto_devenga_08]]</f>
        <v>9100.56</v>
      </c>
      <c r="DS37" s="76">
        <f>+Tabla1[[#This Row],[mto_devenga_09]]</f>
        <v>9317.24</v>
      </c>
      <c r="DT37" s="76">
        <f>IFERROR(VLOOKUP(Tabla1[[#This Row],[COD SE]],PF_OCTUBRE,14,0),"0")</f>
        <v>10183.960000000006</v>
      </c>
      <c r="DU37" s="76">
        <f>IFERROR(VLOOKUP(Tabla1[[#This Row],[COD SE]],PF_OCTUBRE,15,0),"0")</f>
        <v>10183.960000000006</v>
      </c>
      <c r="DV37" s="76">
        <f>IFERROR(VLOOKUP(Tabla1[[#This Row],[COD SE]],PF_OCTUBRE,16,0),"0")</f>
        <v>10183.960000000006</v>
      </c>
      <c r="DW37" s="76">
        <f>+SUM(Tabla1[[#This Row],[EJECUTADO 01]:[PF DICIEMBRE
]])</f>
        <v>127271.72000000003</v>
      </c>
      <c r="DX37" s="76">
        <f>IFERROR(VLOOKUP(Tabla1[[#This Row],[COD SE]],PF_OCTUBRE,18,0),"0")</f>
        <v>0</v>
      </c>
      <c r="DY37" s="76">
        <f>IFERROR(VLOOKUP(Tabla1[[#This Row],[COD SE]],PF_OCTUBRE,19,0),"0")</f>
        <v>29605.279999999995</v>
      </c>
      <c r="DZ37" s="76">
        <f>IFERROR(VLOOKUP(Tabla1[[#This Row],[COD SE]],PF_OCTUBRE,20,0),"0")</f>
        <v>29605.279999999995</v>
      </c>
      <c r="EA37" s="76">
        <f>+Tabla1[[#This Row],[TOTAL EJEC REAL]]+Tabla1[[#This Row],[SALDO FINAL]]</f>
        <v>156877.00000000003</v>
      </c>
      <c r="EB37" s="76">
        <f>IFERROR(VLOOKUP(Tabla1[[#This Row],[COD SE]],PF_OCTUBRE,22,0),"0")</f>
        <v>39789.240000000005</v>
      </c>
      <c r="EC37" s="76">
        <f>+IFERROR(VLOOKUP(Tabla1[[#This Row],[COD SE]],SALDO_ESC_2,7,0),0)</f>
        <v>0</v>
      </c>
      <c r="ED37" s="76">
        <f>+IFERROR(VLOOKUP(Tabla1[[#This Row],[COD SE]],SALDO_ESC_3,7,0),0)</f>
        <v>29605.279999999995</v>
      </c>
      <c r="EE37" s="76">
        <f>+Tabla1[[#This Row],[mto_pim]]-Tabla1[[#This Row],[TRANSF ESC2 ]]</f>
        <v>156877</v>
      </c>
      <c r="EF37" s="76">
        <f>+Tabla1[[#This Row],[mto_pim]]-Tabla1[[#This Row],[TRANFS ESC 3 ]]</f>
        <v>127271.72</v>
      </c>
      <c r="EG37" s="76">
        <f>+IFERROR(VLOOKUP(Tabla1[[#This Row],[COD SE]],HISTORICO,4,0),0)</f>
        <v>14477.060000000012</v>
      </c>
      <c r="EH37" s="76">
        <f>+IFERROR(VLOOKUP(Tabla1[[#This Row],[COD SE]],HISTORICO,5,0),0)</f>
        <v>12350.760000000009</v>
      </c>
      <c r="EI37" s="76">
        <f>+IFERROR(VLOOKUP(Tabla1[[#This Row],[COD SE]],HISTORICO,6,0),0)</f>
        <v>11917.400000000009</v>
      </c>
      <c r="EJ37" s="76">
        <f>+IFERROR(VLOOKUP(Tabla1[[#This Row],[COD SE]],HISTORICO,7,0),0)</f>
        <v>11917.400000000009</v>
      </c>
      <c r="EK37" s="76">
        <f>+IFERROR(VLOOKUP(Tabla1[[#This Row],[COD SE]],HISTORICO,8,0),0)</f>
        <v>12526.940000000006</v>
      </c>
      <c r="EL37" s="76">
        <f>+IFERROR(VLOOKUP(Tabla1[[#This Row],[COD SE]],HISTORICO,9,0),0)</f>
        <v>9533.9200000000055</v>
      </c>
      <c r="EM37" s="76">
        <f>+IFERROR(VLOOKUP(Tabla1[[#This Row],[COD SE]],HISTORICO,10,0),0)</f>
        <v>9533.9200000000055</v>
      </c>
      <c r="EN37" s="76">
        <f>+IFERROR(VLOOKUP(Tabla1[[#This Row],[COD SE]],HISTORICO,11,0),0)</f>
        <v>9100.5600000000049</v>
      </c>
      <c r="EO37" s="76">
        <f>+IFERROR(VLOOKUP(Tabla1[[#This Row],[COD SE]],HISTORICO,12,0),0)</f>
        <v>9750.6000000000058</v>
      </c>
      <c r="EP37" s="58">
        <f>+SUM(Tabla1[[#This Row],[EJECUTADO 01]:[EJECUTADO 03]])</f>
        <v>37485.64</v>
      </c>
      <c r="EQ37" s="58">
        <f>+SUM(Tabla1[[#This Row],[EJECUTADO 04]:[EJECUTADO 06]])</f>
        <v>31499.159999999996</v>
      </c>
      <c r="ER37" s="58">
        <f>+SUM(Tabla1[[#This Row],[EJECUTADO 07]:[EJECUTADO 09]])</f>
        <v>27735.040000000001</v>
      </c>
      <c r="ES37" s="58">
        <f>+SUM(Tabla1[[#This Row],[PF OCTUBRE]:[PF DICIEMBRE
]])</f>
        <v>30551.880000000019</v>
      </c>
      <c r="ET37" s="58">
        <f>+SUM(Tabla1[[#This Row],[EJECUTADO 01]:[EJECUTADO 09]])</f>
        <v>96719.840000000011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1672</v>
      </c>
      <c r="AD38" s="369" t="s">
        <v>1673</v>
      </c>
      <c r="AE38" s="369" t="s">
        <v>1674</v>
      </c>
      <c r="AF38" s="369" t="s">
        <v>1675</v>
      </c>
      <c r="AG38" s="369" t="s">
        <v>1676</v>
      </c>
      <c r="AH38" s="369">
        <v>9600</v>
      </c>
      <c r="AI38" s="369">
        <v>0</v>
      </c>
      <c r="AJ38" s="369">
        <v>9600</v>
      </c>
      <c r="AK38" s="370">
        <v>2393.1</v>
      </c>
      <c r="AL38" s="370">
        <v>2393.1</v>
      </c>
      <c r="AM38" s="370">
        <v>0</v>
      </c>
      <c r="AN38" s="370">
        <v>0</v>
      </c>
      <c r="AO38" s="370">
        <v>0</v>
      </c>
      <c r="AP38" s="370">
        <v>0</v>
      </c>
      <c r="AQ38" s="370">
        <v>483.92</v>
      </c>
      <c r="AR38" s="370">
        <v>0</v>
      </c>
      <c r="AS38" s="370">
        <v>1909.18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483.92</v>
      </c>
      <c r="BE38" s="370">
        <v>1360.19</v>
      </c>
      <c r="BF38" s="370">
        <v>548.99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483.92</v>
      </c>
      <c r="BQ38" s="370">
        <v>1360.19</v>
      </c>
      <c r="BR38" s="370">
        <v>548.99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483.92</v>
      </c>
      <c r="CB38" s="370">
        <v>0</v>
      </c>
      <c r="CC38" s="370">
        <v>1911.18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1991</v>
      </c>
      <c r="CK38" s="48" t="s">
        <v>1987</v>
      </c>
      <c r="CL38" s="48" t="s">
        <v>1990</v>
      </c>
      <c r="CM38" s="48" t="s">
        <v>1987</v>
      </c>
      <c r="CN38" s="48" t="s">
        <v>1990</v>
      </c>
      <c r="CO38" s="48" t="str">
        <f t="shared" si="16"/>
        <v>2.3.2.1.2.1</v>
      </c>
      <c r="CP38" s="48" t="str">
        <f>+VLOOKUP(Tabla1[[#This Row],[ESPECÍFICA]],CLASIFICADOR_,2,0)</f>
        <v>2.3.2.1.2.1 - PASAJES Y GASTOS DE TRANSPORTE</v>
      </c>
      <c r="CQ38" s="48" t="str">
        <f>+VLOOKUP(Tabla1[[#This Row],[ESPECÍFICA]],CLASIFICADOR_,3,0)</f>
        <v>2.3.2.1 - VIAJES</v>
      </c>
      <c r="CR38" s="48" t="str">
        <f>+VLOOKUP(Tabla1[[#This Row],[ESPECÍFICA]],CLASIFICADOR_,4,0)</f>
        <v>Límite de Gasto</v>
      </c>
      <c r="CS38" s="48" t="str">
        <f>+VLOOKUP(Tabla1[[#This Row],[ESPECÍFICA]],CLASIFICADOR_,5,0)</f>
        <v>10.6 b)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2.3.BIENES Y SERVICIOS</v>
      </c>
      <c r="CX38" s="48" t="str">
        <f t="shared" si="5"/>
        <v>0003-DE</v>
      </c>
      <c r="CY38" s="113" t="str">
        <f t="shared" si="6"/>
        <v>0003-DE (FT)</v>
      </c>
      <c r="CZ38" s="20" t="str">
        <f t="shared" si="7"/>
        <v>0003-DE</v>
      </c>
      <c r="DA38" s="113" t="str">
        <f>+CONCATENATE(Tabla1[[#This Row],[CC COMPLETO]],Tabla1[[#This Row],[ESPECÍFICA]])</f>
        <v>0003-DE2.3.2.1.2.1</v>
      </c>
      <c r="DB38" s="49">
        <f t="shared" si="8"/>
        <v>2393.1</v>
      </c>
      <c r="DC38" s="49">
        <f t="shared" si="9"/>
        <v>2393.1000000000004</v>
      </c>
      <c r="DD38" s="49">
        <f t="shared" si="10"/>
        <v>2393.1000000000004</v>
      </c>
      <c r="DE38" s="49">
        <f t="shared" si="11"/>
        <v>7206.9</v>
      </c>
      <c r="DF38" s="49">
        <f t="shared" si="12"/>
        <v>0</v>
      </c>
      <c r="DG38" s="49">
        <f t="shared" si="13"/>
        <v>0</v>
      </c>
      <c r="DH38" s="49">
        <f t="shared" si="14"/>
        <v>7206.9</v>
      </c>
      <c r="DI38" s="50">
        <f t="shared" si="15"/>
        <v>0.24928125000000004</v>
      </c>
      <c r="DJ38" s="78">
        <f>+SUM(Tabla1[[#This Row],[EJECUTADO 01]:[EJECUTADO 06]])</f>
        <v>483.92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0</v>
      </c>
      <c r="DO38" s="78">
        <f>+Tabla1[[#This Row],[mto_devenga_05]]</f>
        <v>0</v>
      </c>
      <c r="DP38" s="76">
        <f>+Tabla1[[#This Row],[mto_devenga_06]]</f>
        <v>483.92</v>
      </c>
      <c r="DQ38" s="76">
        <f>+Tabla1[[#This Row],[mto_devenga_07]]</f>
        <v>1360.19</v>
      </c>
      <c r="DR38" s="76">
        <f>+Tabla1[[#This Row],[mto_devenga_08]]</f>
        <v>548.99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2393.1000000000004</v>
      </c>
      <c r="DX38" s="76">
        <f>IFERROR(VLOOKUP(Tabla1[[#This Row],[COD SE]],PF_OCTUBRE,18,0),"0")</f>
        <v>0</v>
      </c>
      <c r="DY38" s="76">
        <f>IFERROR(VLOOKUP(Tabla1[[#This Row],[COD SE]],PF_OCTUBRE,19,0),"0")</f>
        <v>7206.9</v>
      </c>
      <c r="DZ38" s="76">
        <f>IFERROR(VLOOKUP(Tabla1[[#This Row],[COD SE]],PF_OCTUBRE,20,0),"0")</f>
        <v>7206.9</v>
      </c>
      <c r="EA38" s="76">
        <f>+Tabla1[[#This Row],[TOTAL EJEC REAL]]+Tabla1[[#This Row],[SALDO FINAL]]</f>
        <v>9600</v>
      </c>
      <c r="EB38" s="76">
        <f>IFERROR(VLOOKUP(Tabla1[[#This Row],[COD SE]],PF_OCTUBRE,22,0),"0")</f>
        <v>7206.9</v>
      </c>
      <c r="EC38" s="76">
        <f>+IFERROR(VLOOKUP(Tabla1[[#This Row],[COD SE]],SALDO_ESC_2,7,0),0)</f>
        <v>0</v>
      </c>
      <c r="ED38" s="76">
        <f>+IFERROR(VLOOKUP(Tabla1[[#This Row],[COD SE]],SALDO_ESC_3,7,0),0)</f>
        <v>7206.9</v>
      </c>
      <c r="EE38" s="76">
        <f>+Tabla1[[#This Row],[mto_pim]]-Tabla1[[#This Row],[TRANSF ESC2 ]]</f>
        <v>9600</v>
      </c>
      <c r="EF38" s="76">
        <f>+Tabla1[[#This Row],[mto_pim]]-Tabla1[[#This Row],[TRANFS ESC 3 ]]</f>
        <v>2393.1000000000004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0</v>
      </c>
      <c r="EJ38" s="76">
        <f>+IFERROR(VLOOKUP(Tabla1[[#This Row],[COD SE]],HISTORICO,7,0),0)</f>
        <v>0</v>
      </c>
      <c r="EK38" s="76">
        <f>+IFERROR(VLOOKUP(Tabla1[[#This Row],[COD SE]],HISTORICO,8,0),0)</f>
        <v>0</v>
      </c>
      <c r="EL38" s="76">
        <f>+IFERROR(VLOOKUP(Tabla1[[#This Row],[COD SE]],HISTORICO,9,0),0)</f>
        <v>0</v>
      </c>
      <c r="EM38" s="76">
        <f>+IFERROR(VLOOKUP(Tabla1[[#This Row],[COD SE]],HISTORICO,10,0),0)</f>
        <v>1200</v>
      </c>
      <c r="EN38" s="76">
        <f>+IFERROR(VLOOKUP(Tabla1[[#This Row],[COD SE]],HISTORICO,11,0),0)</f>
        <v>550.99</v>
      </c>
      <c r="EO38" s="76">
        <f>+IFERROR(VLOOKUP(Tabla1[[#This Row],[COD SE]],HISTORICO,12,0),0)</f>
        <v>2002</v>
      </c>
      <c r="EP38" s="58">
        <f>+SUM(Tabla1[[#This Row],[EJECUTADO 01]:[EJECUTADO 03]])</f>
        <v>0</v>
      </c>
      <c r="EQ38" s="58">
        <f>+SUM(Tabla1[[#This Row],[EJECUTADO 04]:[EJECUTADO 06]])</f>
        <v>483.92</v>
      </c>
      <c r="ER38" s="58">
        <f>+SUM(Tabla1[[#This Row],[EJECUTADO 07]:[EJECUTADO 09]])</f>
        <v>1909.18</v>
      </c>
      <c r="ES38" s="58">
        <f>+SUM(Tabla1[[#This Row],[PF OCTUBRE]:[PF DICIEMBRE
]])</f>
        <v>0</v>
      </c>
      <c r="ET38" s="58">
        <f>+SUM(Tabla1[[#This Row],[EJECUTADO 01]:[EJECUTADO 09]])</f>
        <v>2393.1000000000004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1678</v>
      </c>
      <c r="AF39" s="369" t="s">
        <v>1699</v>
      </c>
      <c r="AG39" s="369" t="s">
        <v>1700</v>
      </c>
      <c r="AH39" s="369">
        <v>342000</v>
      </c>
      <c r="AI39" s="369">
        <v>24000</v>
      </c>
      <c r="AJ39" s="369">
        <v>366000</v>
      </c>
      <c r="AK39" s="370">
        <v>168500</v>
      </c>
      <c r="AL39" s="370">
        <v>168500</v>
      </c>
      <c r="AM39" s="370">
        <v>0</v>
      </c>
      <c r="AN39" s="370">
        <v>46000</v>
      </c>
      <c r="AO39" s="370">
        <v>39000</v>
      </c>
      <c r="AP39" s="370">
        <v>34500</v>
      </c>
      <c r="AQ39" s="370">
        <v>0</v>
      </c>
      <c r="AR39" s="370">
        <v>0</v>
      </c>
      <c r="AS39" s="370">
        <v>49000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23000</v>
      </c>
      <c r="BB39" s="370">
        <v>26000</v>
      </c>
      <c r="BC39" s="370">
        <v>23000</v>
      </c>
      <c r="BD39" s="370">
        <v>36000</v>
      </c>
      <c r="BE39" s="370">
        <v>11500</v>
      </c>
      <c r="BF39" s="370">
        <v>13000</v>
      </c>
      <c r="BG39" s="370">
        <v>36000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23000</v>
      </c>
      <c r="BN39" s="370">
        <v>13000</v>
      </c>
      <c r="BO39" s="370">
        <v>36000</v>
      </c>
      <c r="BP39" s="370">
        <v>24500</v>
      </c>
      <c r="BQ39" s="370">
        <v>23000</v>
      </c>
      <c r="BR39" s="370">
        <v>13000</v>
      </c>
      <c r="BS39" s="370">
        <v>36000</v>
      </c>
      <c r="BT39" s="370">
        <v>0</v>
      </c>
      <c r="BU39" s="370">
        <v>0</v>
      </c>
      <c r="BV39" s="370">
        <v>0</v>
      </c>
      <c r="BW39" s="370">
        <v>0</v>
      </c>
      <c r="BX39" s="370">
        <v>46000</v>
      </c>
      <c r="BY39" s="370">
        <v>39000</v>
      </c>
      <c r="BZ39" s="370">
        <v>34500</v>
      </c>
      <c r="CA39" s="370">
        <v>0</v>
      </c>
      <c r="CB39" s="370">
        <v>0</v>
      </c>
      <c r="CC39" s="370">
        <v>49000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1989</v>
      </c>
      <c r="CM39" s="48" t="s">
        <v>2020</v>
      </c>
      <c r="CN39" s="48" t="s">
        <v>2012</v>
      </c>
      <c r="CO39" s="48" t="str">
        <f t="shared" si="16"/>
        <v>2.3.2.7.14.98</v>
      </c>
      <c r="CP39" s="48" t="str">
        <f>+VLOOKUP(Tabla1[[#This Row],[ESPECÍFICA]],CLASIFICADOR_,2,0)</f>
        <v>2.3.2.7.14.98 - OTROS SERVICIOS TÉCNICOS Y PROFESIONALES DESARROLLADOS POR PERSONAS NATURALES</v>
      </c>
      <c r="CQ39" s="48" t="str">
        <f>+VLOOKUP(Tabla1[[#This Row],[ESPECÍFICA]],CLASIFICADOR_,3,0)</f>
        <v>2.3.2.7 - SERVICIOS PROFESIONALES Y TECNICOS</v>
      </c>
      <c r="CR39" s="48" t="str">
        <f>+VLOOKUP(Tabla1[[#This Row],[ESPECÍFICA]],CLASIFICADOR_,4,0)</f>
        <v xml:space="preserve"> </v>
      </c>
      <c r="CS39" s="48">
        <f>+VLOOKUP(Tabla1[[#This Row],[ESPECÍFICA]],CLASIFICADOR_,5,0)</f>
        <v>0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5"/>
        <v>0003-DE</v>
      </c>
      <c r="CY39" s="113" t="str">
        <f t="shared" si="6"/>
        <v>0003-DE (FT)</v>
      </c>
      <c r="CZ39" s="20" t="str">
        <f t="shared" si="7"/>
        <v>0003-DE</v>
      </c>
      <c r="DA39" s="113" t="str">
        <f>+CONCATENATE(Tabla1[[#This Row],[CC COMPLETO]],Tabla1[[#This Row],[ESPECÍFICA]])</f>
        <v>0003-DE2.3.2.7.14.98</v>
      </c>
      <c r="DB39" s="49">
        <f t="shared" si="8"/>
        <v>168500</v>
      </c>
      <c r="DC39" s="49">
        <f t="shared" si="9"/>
        <v>168500</v>
      </c>
      <c r="DD39" s="49">
        <f t="shared" si="10"/>
        <v>168500</v>
      </c>
      <c r="DE39" s="49">
        <f t="shared" si="11"/>
        <v>197500</v>
      </c>
      <c r="DF39" s="49">
        <f t="shared" si="12"/>
        <v>0</v>
      </c>
      <c r="DG39" s="49">
        <f t="shared" si="13"/>
        <v>0</v>
      </c>
      <c r="DH39" s="49">
        <f t="shared" si="14"/>
        <v>197500</v>
      </c>
      <c r="DI39" s="50">
        <f t="shared" si="15"/>
        <v>0.49269005847953218</v>
      </c>
      <c r="DJ39" s="78">
        <f>+SUM(Tabla1[[#This Row],[EJECUTADO 01]:[EJECUTADO 06]])</f>
        <v>108000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23000</v>
      </c>
      <c r="DN39" s="78">
        <f>+Tabla1[[#This Row],[mto_devenga_04]]</f>
        <v>26000</v>
      </c>
      <c r="DO39" s="78">
        <f>+Tabla1[[#This Row],[mto_devenga_05]]</f>
        <v>23000</v>
      </c>
      <c r="DP39" s="76">
        <f>+Tabla1[[#This Row],[mto_devenga_06]]</f>
        <v>36000</v>
      </c>
      <c r="DQ39" s="76">
        <f>+Tabla1[[#This Row],[mto_devenga_07]]</f>
        <v>11500</v>
      </c>
      <c r="DR39" s="76">
        <f>+Tabla1[[#This Row],[mto_devenga_08]]</f>
        <v>13000</v>
      </c>
      <c r="DS39" s="76">
        <f>+Tabla1[[#This Row],[mto_devenga_09]]</f>
        <v>36000</v>
      </c>
      <c r="DT39" s="76">
        <f>IFERROR(VLOOKUP(Tabla1[[#This Row],[COD SE]],PF_OCTUBRE,14,0),"0")</f>
        <v>0</v>
      </c>
      <c r="DU39" s="76">
        <f>IFERROR(VLOOKUP(Tabla1[[#This Row],[COD SE]],PF_OCTUBRE,15,0),"0")</f>
        <v>53250</v>
      </c>
      <c r="DV39" s="76">
        <f>IFERROR(VLOOKUP(Tabla1[[#This Row],[COD SE]],PF_OCTUBRE,16,0),"0")</f>
        <v>53250</v>
      </c>
      <c r="DW39" s="76">
        <f>+SUM(Tabla1[[#This Row],[EJECUTADO 01]:[PF DICIEMBRE
]])</f>
        <v>275000</v>
      </c>
      <c r="DX39" s="76">
        <f>IFERROR(VLOOKUP(Tabla1[[#This Row],[COD SE]],PF_OCTUBRE,18,0),"0")</f>
        <v>0</v>
      </c>
      <c r="DY39" s="76">
        <f>IFERROR(VLOOKUP(Tabla1[[#This Row],[COD SE]],PF_OCTUBRE,19,0),"0")</f>
        <v>91000</v>
      </c>
      <c r="DZ39" s="76">
        <f>IFERROR(VLOOKUP(Tabla1[[#This Row],[COD SE]],PF_OCTUBRE,20,0),"0")</f>
        <v>91000</v>
      </c>
      <c r="EA39" s="76">
        <f>+Tabla1[[#This Row],[TOTAL EJEC REAL]]+Tabla1[[#This Row],[SALDO FINAL]]</f>
        <v>366000</v>
      </c>
      <c r="EB39" s="76">
        <f>IFERROR(VLOOKUP(Tabla1[[#This Row],[COD SE]],PF_OCTUBRE,22,0),"0")</f>
        <v>144250</v>
      </c>
      <c r="EC39" s="76">
        <f>+IFERROR(VLOOKUP(Tabla1[[#This Row],[COD SE]],SALDO_ESC_2,7,0),0)</f>
        <v>0</v>
      </c>
      <c r="ED39" s="76">
        <f>+IFERROR(VLOOKUP(Tabla1[[#This Row],[COD SE]],SALDO_ESC_3,7,0),0)</f>
        <v>91000</v>
      </c>
      <c r="EE39" s="76">
        <f>+Tabla1[[#This Row],[mto_pim]]-Tabla1[[#This Row],[TRANSF ESC2 ]]</f>
        <v>366000</v>
      </c>
      <c r="EF39" s="76">
        <f>+Tabla1[[#This Row],[mto_pim]]-Tabla1[[#This Row],[TRANFS ESC 3 ]]</f>
        <v>275000</v>
      </c>
      <c r="EG39" s="76">
        <f>+IFERROR(VLOOKUP(Tabla1[[#This Row],[COD SE]],HISTORICO,4,0),0)</f>
        <v>0</v>
      </c>
      <c r="EH39" s="76">
        <f>+IFERROR(VLOOKUP(Tabla1[[#This Row],[COD SE]],HISTORICO,5,0),0)</f>
        <v>16000</v>
      </c>
      <c r="EI39" s="76">
        <f>+IFERROR(VLOOKUP(Tabla1[[#This Row],[COD SE]],HISTORICO,6,0),0)</f>
        <v>23000</v>
      </c>
      <c r="EJ39" s="76">
        <f>+IFERROR(VLOOKUP(Tabla1[[#This Row],[COD SE]],HISTORICO,7,0),0)</f>
        <v>23000</v>
      </c>
      <c r="EK39" s="76">
        <f>+IFERROR(VLOOKUP(Tabla1[[#This Row],[COD SE]],HISTORICO,8,0),0)</f>
        <v>34500</v>
      </c>
      <c r="EL39" s="76">
        <f>+IFERROR(VLOOKUP(Tabla1[[#This Row],[COD SE]],HISTORICO,9,0),0)</f>
        <v>36000</v>
      </c>
      <c r="EM39" s="76">
        <f>+IFERROR(VLOOKUP(Tabla1[[#This Row],[COD SE]],HISTORICO,10,0),0)</f>
        <v>44000</v>
      </c>
      <c r="EN39" s="76">
        <f>+IFERROR(VLOOKUP(Tabla1[[#This Row],[COD SE]],HISTORICO,11,0),0)</f>
        <v>24500</v>
      </c>
      <c r="EO39" s="76">
        <f>+IFERROR(VLOOKUP(Tabla1[[#This Row],[COD SE]],HISTORICO,12,0),0)</f>
        <v>36000</v>
      </c>
      <c r="EP39" s="58">
        <f>+SUM(Tabla1[[#This Row],[EJECUTADO 01]:[EJECUTADO 03]])</f>
        <v>23000</v>
      </c>
      <c r="EQ39" s="58">
        <f>+SUM(Tabla1[[#This Row],[EJECUTADO 04]:[EJECUTADO 06]])</f>
        <v>85000</v>
      </c>
      <c r="ER39" s="58">
        <f>+SUM(Tabla1[[#This Row],[EJECUTADO 07]:[EJECUTADO 09]])</f>
        <v>60500</v>
      </c>
      <c r="ES39" s="58">
        <f>+SUM(Tabla1[[#This Row],[PF OCTUBRE]:[PF DICIEMBRE
]])</f>
        <v>106500</v>
      </c>
      <c r="ET39" s="58">
        <f>+SUM(Tabla1[[#This Row],[EJECUTADO 01]:[EJECUTADO 09]])</f>
        <v>168500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1656</v>
      </c>
      <c r="AD40" s="369" t="s">
        <v>1657</v>
      </c>
      <c r="AE40" s="369" t="s">
        <v>1664</v>
      </c>
      <c r="AF40" s="369" t="s">
        <v>1665</v>
      </c>
      <c r="AG40" s="369" t="s">
        <v>1666</v>
      </c>
      <c r="AH40" s="369">
        <v>0</v>
      </c>
      <c r="AI40" s="369">
        <v>37415</v>
      </c>
      <c r="AJ40" s="369">
        <v>37415</v>
      </c>
      <c r="AK40" s="370">
        <v>37415</v>
      </c>
      <c r="AL40" s="370">
        <v>37415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18707.14</v>
      </c>
      <c r="AT40" s="370">
        <v>0</v>
      </c>
      <c r="AU40" s="370">
        <v>6235.71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18707.14</v>
      </c>
      <c r="BF40" s="370">
        <v>0</v>
      </c>
      <c r="BG40" s="370">
        <v>6235.71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70">
        <v>18707.14</v>
      </c>
      <c r="BR40" s="370">
        <v>0</v>
      </c>
      <c r="BS40" s="370">
        <v>6235.71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18707.14</v>
      </c>
      <c r="CD40" s="370">
        <v>0</v>
      </c>
      <c r="CE40" s="370">
        <v>3539.34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1990</v>
      </c>
      <c r="CK40" s="48" t="s">
        <v>1990</v>
      </c>
      <c r="CL40" s="48" t="s">
        <v>2005</v>
      </c>
      <c r="CM40" s="48" t="s">
        <v>1990</v>
      </c>
      <c r="CN40" s="48" t="s">
        <v>1987</v>
      </c>
      <c r="CO40" s="48" t="str">
        <f t="shared" si="16"/>
        <v>2.1.1.9.1.2</v>
      </c>
      <c r="CP40" s="48" t="str">
        <f>+VLOOKUP(Tabla1[[#This Row],[ESPECÍFICA]],CLASIFICADOR_,2,0)</f>
        <v>2.1.1.9.1.2 - AGUINALDOS</v>
      </c>
      <c r="CQ40" s="48" t="str">
        <f>+VLOOKUP(Tabla1[[#This Row],[ESPECÍFICA]],CLASIFICADOR_,3,0)</f>
        <v>02.SERVIR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2.1.PERSONAL Y OBLIGACIONES SOCIALES</v>
      </c>
      <c r="CX40" s="48" t="str">
        <f t="shared" si="5"/>
        <v>0003-DE</v>
      </c>
      <c r="CY40" s="113" t="str">
        <f t="shared" si="6"/>
        <v>0003-DE (FT)</v>
      </c>
      <c r="CZ40" s="20" t="str">
        <f t="shared" si="7"/>
        <v>0003-DE</v>
      </c>
      <c r="DA40" s="113" t="str">
        <f>+CONCATENATE(Tabla1[[#This Row],[CC COMPLETO]],Tabla1[[#This Row],[ESPECÍFICA]])</f>
        <v>0003-DE2.1.1.9.1.2</v>
      </c>
      <c r="DB40" s="49">
        <f t="shared" si="8"/>
        <v>24942.85</v>
      </c>
      <c r="DC40" s="49">
        <f t="shared" si="9"/>
        <v>24942.85</v>
      </c>
      <c r="DD40" s="49">
        <f t="shared" si="10"/>
        <v>24942.85</v>
      </c>
      <c r="DE40" s="49">
        <f t="shared" si="11"/>
        <v>0</v>
      </c>
      <c r="DF40" s="49">
        <f t="shared" si="12"/>
        <v>0</v>
      </c>
      <c r="DG40" s="49">
        <f t="shared" si="13"/>
        <v>12472.150000000001</v>
      </c>
      <c r="DH40" s="49">
        <f t="shared" si="14"/>
        <v>12472.150000000001</v>
      </c>
      <c r="DI40" s="50">
        <f t="shared" si="15"/>
        <v>0</v>
      </c>
      <c r="DJ40" s="78">
        <f>+SUM(Tabla1[[#This Row],[EJECUTADO 01]:[EJECUTADO 06]])</f>
        <v>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0</v>
      </c>
      <c r="DN40" s="78">
        <f>+Tabla1[[#This Row],[mto_devenga_04]]</f>
        <v>0</v>
      </c>
      <c r="DO40" s="78">
        <f>+Tabla1[[#This Row],[mto_devenga_05]]</f>
        <v>0</v>
      </c>
      <c r="DP40" s="76">
        <f>+Tabla1[[#This Row],[mto_devenga_06]]</f>
        <v>0</v>
      </c>
      <c r="DQ40" s="76">
        <f>+Tabla1[[#This Row],[mto_devenga_07]]</f>
        <v>18707.14</v>
      </c>
      <c r="DR40" s="76">
        <f>+Tabla1[[#This Row],[mto_devenga_08]]</f>
        <v>0</v>
      </c>
      <c r="DS40" s="76">
        <f>+Tabla1[[#This Row],[mto_devenga_09]]</f>
        <v>6235.71</v>
      </c>
      <c r="DT40" s="76">
        <f>IFERROR(VLOOKUP(Tabla1[[#This Row],[COD SE]],PF_OCTUBRE,14,0),"0")</f>
        <v>0</v>
      </c>
      <c r="DU40" s="76">
        <f>IFERROR(VLOOKUP(Tabla1[[#This Row],[COD SE]],PF_OCTUBRE,15,0),"0")</f>
        <v>0</v>
      </c>
      <c r="DV40" s="76">
        <f>IFERROR(VLOOKUP(Tabla1[[#This Row],[COD SE]],PF_OCTUBRE,16,0),"0")</f>
        <v>18707.14</v>
      </c>
      <c r="DW40" s="76">
        <f>+SUM(Tabla1[[#This Row],[EJECUTADO 01]:[PF DICIEMBRE
]])</f>
        <v>43649.99</v>
      </c>
      <c r="DX40" s="76">
        <f>IFERROR(VLOOKUP(Tabla1[[#This Row],[COD SE]],PF_OCTUBRE,18,0),"0")</f>
        <v>0</v>
      </c>
      <c r="DY40" s="76">
        <f>IFERROR(VLOOKUP(Tabla1[[#This Row],[COD SE]],PF_OCTUBRE,19,0),"0")</f>
        <v>-6234.99</v>
      </c>
      <c r="DZ40" s="76">
        <f>IFERROR(VLOOKUP(Tabla1[[#This Row],[COD SE]],PF_OCTUBRE,20,0),"0")</f>
        <v>-6234.99</v>
      </c>
      <c r="EA40" s="76">
        <f>+Tabla1[[#This Row],[TOTAL EJEC REAL]]+Tabla1[[#This Row],[SALDO FINAL]]</f>
        <v>37415</v>
      </c>
      <c r="EB40" s="76">
        <f>IFERROR(VLOOKUP(Tabla1[[#This Row],[COD SE]],PF_OCTUBRE,22,0),"0")</f>
        <v>12472.15</v>
      </c>
      <c r="EC40" s="76">
        <f>+IFERROR(VLOOKUP(Tabla1[[#This Row],[COD SE]],SALDO_ESC_2,7,0),0)</f>
        <v>0</v>
      </c>
      <c r="ED40" s="76">
        <f>+IFERROR(VLOOKUP(Tabla1[[#This Row],[COD SE]],SALDO_ESC_3,7,0),0)</f>
        <v>-6234.99</v>
      </c>
      <c r="EE40" s="76">
        <f>+Tabla1[[#This Row],[mto_pim]]-Tabla1[[#This Row],[TRANSF ESC2 ]]</f>
        <v>37415</v>
      </c>
      <c r="EF40" s="76">
        <f>+Tabla1[[#This Row],[mto_pim]]-Tabla1[[#This Row],[TRANFS ESC 3 ]]</f>
        <v>43649.99</v>
      </c>
      <c r="EG40" s="76">
        <f>+IFERROR(VLOOKUP(Tabla1[[#This Row],[COD SE]],HISTORICO,4,0),0)</f>
        <v>0</v>
      </c>
      <c r="EH40" s="76">
        <f>+IFERROR(VLOOKUP(Tabla1[[#This Row],[COD SE]],HISTORICO,5,0),0)</f>
        <v>0</v>
      </c>
      <c r="EI40" s="76">
        <f>+IFERROR(VLOOKUP(Tabla1[[#This Row],[COD SE]],HISTORICO,6,0),0)</f>
        <v>0</v>
      </c>
      <c r="EJ40" s="76">
        <f>+IFERROR(VLOOKUP(Tabla1[[#This Row],[COD SE]],HISTORICO,7,0),0)</f>
        <v>0</v>
      </c>
      <c r="EK40" s="76">
        <f>+IFERROR(VLOOKUP(Tabla1[[#This Row],[COD SE]],HISTORICO,8,0),0)</f>
        <v>0</v>
      </c>
      <c r="EL40" s="76">
        <f>+IFERROR(VLOOKUP(Tabla1[[#This Row],[COD SE]],HISTORICO,9,0),0)</f>
        <v>0</v>
      </c>
      <c r="EM40" s="76">
        <f>+IFERROR(VLOOKUP(Tabla1[[#This Row],[COD SE]],HISTORICO,10,0),0)</f>
        <v>18707.5</v>
      </c>
      <c r="EN40" s="76">
        <f>+IFERROR(VLOOKUP(Tabla1[[#This Row],[COD SE]],HISTORICO,11,0),0)</f>
        <v>0</v>
      </c>
      <c r="EO40" s="76">
        <f>+IFERROR(VLOOKUP(Tabla1[[#This Row],[COD SE]],HISTORICO,12,0),0)</f>
        <v>0</v>
      </c>
      <c r="EP40" s="58">
        <f>+SUM(Tabla1[[#This Row],[EJECUTADO 01]:[EJECUTADO 03]])</f>
        <v>0</v>
      </c>
      <c r="EQ40" s="58">
        <f>+SUM(Tabla1[[#This Row],[EJECUTADO 04]:[EJECUTADO 06]])</f>
        <v>0</v>
      </c>
      <c r="ER40" s="58">
        <f>+SUM(Tabla1[[#This Row],[EJECUTADO 07]:[EJECUTADO 09]])</f>
        <v>24942.85</v>
      </c>
      <c r="ES40" s="58">
        <f>+SUM(Tabla1[[#This Row],[PF OCTUBRE]:[PF DICIEMBRE
]])</f>
        <v>18707.14</v>
      </c>
      <c r="ET40" s="58">
        <f>+SUM(Tabla1[[#This Row],[EJECUTADO 01]:[EJECUTADO 09]])</f>
        <v>24942.85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1656</v>
      </c>
      <c r="AD41" s="369" t="s">
        <v>1657</v>
      </c>
      <c r="AE41" s="369" t="s">
        <v>1664</v>
      </c>
      <c r="AF41" s="369" t="s">
        <v>1665</v>
      </c>
      <c r="AG41" s="369" t="s">
        <v>1667</v>
      </c>
      <c r="AH41" s="369">
        <v>48000</v>
      </c>
      <c r="AI41" s="369">
        <v>-13200</v>
      </c>
      <c r="AJ41" s="369">
        <v>34800</v>
      </c>
      <c r="AK41" s="370">
        <v>30900</v>
      </c>
      <c r="AL41" s="370">
        <v>30900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12600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12600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12600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12600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1990</v>
      </c>
      <c r="CK41" s="48" t="s">
        <v>1990</v>
      </c>
      <c r="CL41" s="48" t="s">
        <v>2005</v>
      </c>
      <c r="CM41" s="48" t="s">
        <v>1990</v>
      </c>
      <c r="CN41" s="48" t="s">
        <v>1993</v>
      </c>
      <c r="CO41" s="48" t="str">
        <f t="shared" si="16"/>
        <v>2.1.1.9.1.4</v>
      </c>
      <c r="CP41" s="48" t="str">
        <f>+VLOOKUP(Tabla1[[#This Row],[ESPECÍFICA]],CLASIFICADOR_,2,0)</f>
        <v>2.1.1.9.1.4 - AGUINALDOS DE CONTRATO ADMINISTRATIVO DE SERVICIOS</v>
      </c>
      <c r="CQ41" s="48" t="str">
        <f>+VLOOKUP(Tabla1[[#This Row],[ESPECÍFICA]],CLASIFICADOR_,3,0)</f>
        <v>01.CAS</v>
      </c>
      <c r="CR41" s="48" t="str">
        <f>+VLOOKUP(Tabla1[[#This Row],[ESPECÍFICA]],CLASIFICADOR_,4,0)</f>
        <v xml:space="preserve"> </v>
      </c>
      <c r="CS41" s="48">
        <f>+VLOOKUP(Tabla1[[#This Row],[ESPECÍFICA]],CLASIFICADOR_,5,0)</f>
        <v>0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2.1.PERSONAL Y OBLIGACIONES SOCIALES</v>
      </c>
      <c r="CX41" s="48" t="str">
        <f t="shared" si="5"/>
        <v>0003-DE</v>
      </c>
      <c r="CY41" s="113" t="str">
        <f t="shared" si="6"/>
        <v>0003-DE (FT)</v>
      </c>
      <c r="CZ41" s="20" t="str">
        <f t="shared" si="7"/>
        <v>0003-DE</v>
      </c>
      <c r="DA41" s="113" t="str">
        <f>+CONCATENATE(Tabla1[[#This Row],[CC COMPLETO]],Tabla1[[#This Row],[ESPECÍFICA]])</f>
        <v>0003-DE2.1.1.9.1.4</v>
      </c>
      <c r="DB41" s="49">
        <f t="shared" si="8"/>
        <v>12600</v>
      </c>
      <c r="DC41" s="49">
        <f t="shared" si="9"/>
        <v>12600</v>
      </c>
      <c r="DD41" s="49">
        <f t="shared" si="10"/>
        <v>12600</v>
      </c>
      <c r="DE41" s="49">
        <f t="shared" si="11"/>
        <v>3900</v>
      </c>
      <c r="DF41" s="49">
        <f t="shared" si="12"/>
        <v>0</v>
      </c>
      <c r="DG41" s="49">
        <f t="shared" si="13"/>
        <v>18300</v>
      </c>
      <c r="DH41" s="49">
        <f t="shared" si="14"/>
        <v>22200</v>
      </c>
      <c r="DI41" s="50">
        <f t="shared" si="15"/>
        <v>0.26250000000000001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12600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14100</v>
      </c>
      <c r="DW41" s="76">
        <f>+SUM(Tabla1[[#This Row],[EJECUTADO 01]:[PF DICIEMBRE
]])</f>
        <v>26700</v>
      </c>
      <c r="DX41" s="76">
        <f>IFERROR(VLOOKUP(Tabla1[[#This Row],[COD SE]],PF_OCTUBRE,18,0),"0")</f>
        <v>0</v>
      </c>
      <c r="DY41" s="76">
        <f>IFERROR(VLOOKUP(Tabla1[[#This Row],[COD SE]],PF_OCTUBRE,19,0),"0")</f>
        <v>8100</v>
      </c>
      <c r="DZ41" s="76">
        <f>IFERROR(VLOOKUP(Tabla1[[#This Row],[COD SE]],PF_OCTUBRE,20,0),"0")</f>
        <v>8100</v>
      </c>
      <c r="EA41" s="76">
        <f>+Tabla1[[#This Row],[TOTAL EJEC REAL]]+Tabla1[[#This Row],[SALDO FINAL]]</f>
        <v>34800</v>
      </c>
      <c r="EB41" s="76">
        <f>IFERROR(VLOOKUP(Tabla1[[#This Row],[COD SE]],PF_OCTUBRE,22,0),"0")</f>
        <v>22200</v>
      </c>
      <c r="EC41" s="76">
        <f>+IFERROR(VLOOKUP(Tabla1[[#This Row],[COD SE]],SALDO_ESC_2,7,0),0)</f>
        <v>0</v>
      </c>
      <c r="ED41" s="76">
        <f>+IFERROR(VLOOKUP(Tabla1[[#This Row],[COD SE]],SALDO_ESC_3,7,0),0)</f>
        <v>8100</v>
      </c>
      <c r="EE41" s="76">
        <f>+Tabla1[[#This Row],[mto_pim]]-Tabla1[[#This Row],[TRANSF ESC2 ]]</f>
        <v>34800</v>
      </c>
      <c r="EF41" s="76">
        <f>+Tabla1[[#This Row],[mto_pim]]-Tabla1[[#This Row],[TRANFS ESC 3 ]]</f>
        <v>26700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12600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12600</v>
      </c>
      <c r="ES41" s="58">
        <f>+SUM(Tabla1[[#This Row],[PF OCTUBRE]:[PF DICIEMBRE
]])</f>
        <v>14100</v>
      </c>
      <c r="ET41" s="58">
        <f>+SUM(Tabla1[[#This Row],[EJECUTADO 01]:[EJECUTADO 09]])</f>
        <v>12600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1672</v>
      </c>
      <c r="AD42" s="369" t="s">
        <v>1673</v>
      </c>
      <c r="AE42" s="369" t="s">
        <v>1688</v>
      </c>
      <c r="AF42" s="369" t="s">
        <v>1689</v>
      </c>
      <c r="AG42" s="369" t="s">
        <v>1690</v>
      </c>
      <c r="AH42" s="369">
        <v>16000</v>
      </c>
      <c r="AI42" s="369">
        <v>-7219</v>
      </c>
      <c r="AJ42" s="369">
        <v>8781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>
        <v>0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1991</v>
      </c>
      <c r="CK42" s="48" t="s">
        <v>1987</v>
      </c>
      <c r="CL42" s="48" t="s">
        <v>1987</v>
      </c>
      <c r="CM42" s="48" t="s">
        <v>1993</v>
      </c>
      <c r="CN42" s="48" t="s">
        <v>1990</v>
      </c>
      <c r="CO42" s="48" t="str">
        <f t="shared" si="16"/>
        <v>2.3.2.2.4.1</v>
      </c>
      <c r="CP42" s="48" t="str">
        <f>+VLOOKUP(Tabla1[[#This Row],[ESPECÍFICA]],CLASIFICADOR_,2,0)</f>
        <v>2.3.2.2.4.1 - SERVICIO DE PUBLICIDAD</v>
      </c>
      <c r="CQ42" s="48" t="str">
        <f>+VLOOKUP(Tabla1[[#This Row],[ESPECÍFICA]],CLASIFICADOR_,3,0)</f>
        <v>2.3.2.2 - SERVICIOS BASICOS, COMUNICACIONES, PUBLICIDAD Y DIFUSION</v>
      </c>
      <c r="CR42" s="48" t="str">
        <f>+VLOOKUP(Tabla1[[#This Row],[ESPECÍFICA]],CLASIFICADOR_,4,0)</f>
        <v>Límite de Gasto</v>
      </c>
      <c r="CS42" s="48" t="str">
        <f>+VLOOKUP(Tabla1[[#This Row],[ESPECÍFICA]],CLASIFICADOR_,5,0)</f>
        <v>10.6 d)</v>
      </c>
      <c r="CT42" s="113" t="str">
        <f>+VLOOKUP(Tabla1[[#This Row],[ESPECÍFICA]],CLASIFICADOR_,6,0)</f>
        <v>Partidas restringidas</v>
      </c>
      <c r="CU42" s="48">
        <f>+VLOOKUP(Tabla1[[#This Row],[ESPECÍFICA]],CLASIFICADOR_,7,0)</f>
        <v>9.1300000000000008</v>
      </c>
      <c r="CV42" s="48">
        <f>+VLOOKUP(Tabla1[[#This Row],[ESPECÍFICA]],CLASIFICADOR_,8,0)</f>
        <v>9</v>
      </c>
      <c r="CW42" s="113" t="str">
        <f>+CONCATENATE("2.",Tabla1[[#This Row],[generica]])</f>
        <v>2.3.BIENES Y SERVICIOS</v>
      </c>
      <c r="CX42" s="48" t="str">
        <f t="shared" si="5"/>
        <v>0003-DE</v>
      </c>
      <c r="CY42" s="113" t="str">
        <f t="shared" si="6"/>
        <v>0003-DE (FT)</v>
      </c>
      <c r="CZ42" s="20" t="str">
        <f t="shared" si="7"/>
        <v>0003-DE</v>
      </c>
      <c r="DA42" s="113" t="str">
        <f>+CONCATENATE(Tabla1[[#This Row],[CC COMPLETO]],Tabla1[[#This Row],[ESPECÍFICA]])</f>
        <v>0003-DE2.3.2.2.4.1</v>
      </c>
      <c r="DB42" s="49">
        <f t="shared" si="8"/>
        <v>0</v>
      </c>
      <c r="DC42" s="49">
        <f t="shared" si="9"/>
        <v>0</v>
      </c>
      <c r="DD42" s="49">
        <f t="shared" si="10"/>
        <v>0</v>
      </c>
      <c r="DE42" s="49">
        <f t="shared" si="11"/>
        <v>8781</v>
      </c>
      <c r="DF42" s="49">
        <f t="shared" si="12"/>
        <v>0</v>
      </c>
      <c r="DG42" s="49">
        <f t="shared" si="13"/>
        <v>0</v>
      </c>
      <c r="DH42" s="49">
        <f t="shared" si="14"/>
        <v>8781</v>
      </c>
      <c r="DI42" s="50">
        <f t="shared" si="15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0</v>
      </c>
      <c r="DR42" s="76">
        <f>+Tabla1[[#This Row],[mto_devenga_08]]</f>
        <v>0</v>
      </c>
      <c r="DS42" s="76">
        <f>+Tabla1[[#This Row],[mto_devenga_09]]</f>
        <v>0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0</v>
      </c>
      <c r="DW42" s="76">
        <f>+SUM(Tabla1[[#This Row],[EJECUTADO 01]:[PF DICIEMBRE
]])</f>
        <v>0</v>
      </c>
      <c r="DX42" s="76">
        <f>IFERROR(VLOOKUP(Tabla1[[#This Row],[COD SE]],PF_OCTUBRE,18,0),"0")</f>
        <v>0</v>
      </c>
      <c r="DY42" s="76">
        <f>IFERROR(VLOOKUP(Tabla1[[#This Row],[COD SE]],PF_OCTUBRE,19,0),"0")</f>
        <v>16000</v>
      </c>
      <c r="DZ42" s="76">
        <f>IFERROR(VLOOKUP(Tabla1[[#This Row],[COD SE]],PF_OCTUBRE,20,0),"0")</f>
        <v>16000</v>
      </c>
      <c r="EA42" s="76">
        <f>+Tabla1[[#This Row],[TOTAL EJEC REAL]]+Tabla1[[#This Row],[SALDO FINAL]]</f>
        <v>16000</v>
      </c>
      <c r="EB42" s="76">
        <f>IFERROR(VLOOKUP(Tabla1[[#This Row],[COD SE]],PF_OCTUBRE,22,0),"0")</f>
        <v>16000</v>
      </c>
      <c r="EC42" s="76">
        <f>+IFERROR(VLOOKUP(Tabla1[[#This Row],[COD SE]],SALDO_ESC_2,7,0),0)</f>
        <v>0</v>
      </c>
      <c r="ED42" s="76">
        <f>+IFERROR(VLOOKUP(Tabla1[[#This Row],[COD SE]],SALDO_ESC_3,7,0),0)</f>
        <v>16000</v>
      </c>
      <c r="EE42" s="76">
        <f>+Tabla1[[#This Row],[mto_pim]]-Tabla1[[#This Row],[TRANSF ESC2 ]]</f>
        <v>8781</v>
      </c>
      <c r="EF42" s="76">
        <f>+Tabla1[[#This Row],[mto_pim]]-Tabla1[[#This Row],[TRANFS ESC 3 ]]</f>
        <v>-7219</v>
      </c>
      <c r="EG42" s="76">
        <f>+IFERROR(VLOOKUP(Tabla1[[#This Row],[COD SE]],HISTORICO,4,0),0)</f>
        <v>8000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0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0</v>
      </c>
      <c r="ES42" s="58">
        <f>+SUM(Tabla1[[#This Row],[PF OCTUBRE]:[PF DICIEMBRE
]])</f>
        <v>0</v>
      </c>
      <c r="ET42" s="58">
        <f>+SUM(Tabla1[[#This Row],[EJECUTADO 01]:[EJECUTADO 09]])</f>
        <v>0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6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5"/>
        <v>0003-DE</v>
      </c>
      <c r="CY43" s="113" t="str">
        <f t="shared" si="6"/>
        <v>0003-DE (FT)</v>
      </c>
      <c r="CZ43" s="20" t="str">
        <f t="shared" si="7"/>
        <v>0003-DE</v>
      </c>
      <c r="DA43" s="113" t="str">
        <f>+CONCATENATE(Tabla1[[#This Row],[CC COMPLETO]],Tabla1[[#This Row],[ESPECÍFICA]])</f>
        <v>0003-DE2.1.4.1.1.1</v>
      </c>
      <c r="DB43" s="49">
        <f t="shared" si="8"/>
        <v>12422.720000000001</v>
      </c>
      <c r="DC43" s="49">
        <f t="shared" si="9"/>
        <v>12422.720000000001</v>
      </c>
      <c r="DD43" s="49">
        <f t="shared" si="10"/>
        <v>12422.720000000001</v>
      </c>
      <c r="DE43" s="49">
        <f t="shared" si="11"/>
        <v>0</v>
      </c>
      <c r="DF43" s="49">
        <f t="shared" si="12"/>
        <v>0</v>
      </c>
      <c r="DG43" s="49">
        <f t="shared" si="13"/>
        <v>6285.2799999999988</v>
      </c>
      <c r="DH43" s="49">
        <f t="shared" si="14"/>
        <v>6285.2799999999988</v>
      </c>
      <c r="DI43" s="50">
        <f t="shared" si="15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1672</v>
      </c>
      <c r="AD44" s="369" t="s">
        <v>1673</v>
      </c>
      <c r="AE44" s="369" t="s">
        <v>1678</v>
      </c>
      <c r="AF44" s="369" t="s">
        <v>1679</v>
      </c>
      <c r="AG44" s="369" t="s">
        <v>1696</v>
      </c>
      <c r="AH44" s="369">
        <v>45000</v>
      </c>
      <c r="AI44" s="369">
        <v>0</v>
      </c>
      <c r="AJ44" s="369">
        <v>45000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>
        <v>0</v>
      </c>
      <c r="AW44" s="370">
        <v>0</v>
      </c>
      <c r="AX44" s="370">
        <v>0</v>
      </c>
      <c r="AY44" s="370">
        <v>0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70">
        <v>0</v>
      </c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0">
        <v>0</v>
      </c>
      <c r="CF44" s="370">
        <v>0</v>
      </c>
      <c r="CG44" s="370">
        <v>0</v>
      </c>
      <c r="CH44" s="370">
        <v>0</v>
      </c>
      <c r="CI44" s="48" t="s">
        <v>1987</v>
      </c>
      <c r="CJ44" s="48" t="s">
        <v>1991</v>
      </c>
      <c r="CK44" s="48" t="s">
        <v>1987</v>
      </c>
      <c r="CL44" s="48" t="s">
        <v>1989</v>
      </c>
      <c r="CM44" s="48" t="s">
        <v>2013</v>
      </c>
      <c r="CN44" s="48" t="s">
        <v>1990</v>
      </c>
      <c r="CO44" s="48" t="str">
        <f t="shared" si="16"/>
        <v>2.3.2.7.10.1</v>
      </c>
      <c r="CP44" s="48" t="str">
        <f>+VLOOKUP(Tabla1[[#This Row],[ESPECÍFICA]],CLASIFICADOR_,2,0)</f>
        <v>2.3.2.7.10.1 - SEMINARIOS ,TALLERES Y SIMILARES ORGANIZADOS POR LA  INSTITUCION</v>
      </c>
      <c r="CQ44" s="48" t="str">
        <f>+VLOOKUP(Tabla1[[#This Row],[ESPECÍFICA]],CLASIFICADOR_,3,0)</f>
        <v>2.3.2.7 - SERVICIOS PROFESIONALES Y TECNICOS</v>
      </c>
      <c r="CR44" s="48" t="str">
        <f>+VLOOKUP(Tabla1[[#This Row],[ESPECÍFICA]],CLASIFICADOR_,4,0)</f>
        <v>Límite de Gasto</v>
      </c>
      <c r="CS44" s="48" t="str">
        <f>+VLOOKUP(Tabla1[[#This Row],[ESPECÍFICA]],CLASIFICADOR_,5,0)</f>
        <v>10.6 f)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2.3.BIENES Y SERVICIOS</v>
      </c>
      <c r="CX44" s="48" t="str">
        <f t="shared" si="5"/>
        <v>0003-DE</v>
      </c>
      <c r="CY44" s="113" t="str">
        <f t="shared" si="6"/>
        <v>0003-DE (FT)</v>
      </c>
      <c r="CZ44" s="20" t="str">
        <f t="shared" si="7"/>
        <v>0003-DE</v>
      </c>
      <c r="DA44" s="113" t="str">
        <f>+CONCATENATE(Tabla1[[#This Row],[CC COMPLETO]],Tabla1[[#This Row],[ESPECÍFICA]])</f>
        <v>0003-DE2.3.2.7.10.1</v>
      </c>
      <c r="DB44" s="49">
        <f t="shared" si="8"/>
        <v>0</v>
      </c>
      <c r="DC44" s="49">
        <f t="shared" si="9"/>
        <v>0</v>
      </c>
      <c r="DD44" s="49">
        <f t="shared" si="10"/>
        <v>0</v>
      </c>
      <c r="DE44" s="49">
        <f t="shared" si="11"/>
        <v>45000</v>
      </c>
      <c r="DF44" s="49">
        <f t="shared" si="12"/>
        <v>0</v>
      </c>
      <c r="DG44" s="49">
        <f t="shared" si="13"/>
        <v>0</v>
      </c>
      <c r="DH44" s="49">
        <f t="shared" si="14"/>
        <v>45000</v>
      </c>
      <c r="DI44" s="50">
        <f t="shared" si="15"/>
        <v>0</v>
      </c>
      <c r="DJ44" s="78">
        <f>+SUM(Tabla1[[#This Row],[EJECUTADO 01]:[EJECUTADO 06]])</f>
        <v>0</v>
      </c>
      <c r="DK44" s="78">
        <f>+Tabla1[[#This Row],[mto_devenga_01]]</f>
        <v>0</v>
      </c>
      <c r="DL44" s="78">
        <f>+Tabla1[[#This Row],[mto_devenga_02]]</f>
        <v>0</v>
      </c>
      <c r="DM44" s="78">
        <f>+Tabla1[[#This Row],[mto_devenga_03]]</f>
        <v>0</v>
      </c>
      <c r="DN44" s="78">
        <f>+Tabla1[[#This Row],[mto_devenga_04]]</f>
        <v>0</v>
      </c>
      <c r="DO44" s="78">
        <f>+Tabla1[[#This Row],[mto_devenga_05]]</f>
        <v>0</v>
      </c>
      <c r="DP44" s="76">
        <f>+Tabla1[[#This Row],[mto_devenga_06]]</f>
        <v>0</v>
      </c>
      <c r="DQ44" s="76">
        <f>+Tabla1[[#This Row],[mto_devenga_07]]</f>
        <v>0</v>
      </c>
      <c r="DR44" s="76">
        <f>+Tabla1[[#This Row],[mto_devenga_08]]</f>
        <v>0</v>
      </c>
      <c r="DS44" s="76">
        <f>+Tabla1[[#This Row],[mto_devenga_09]]</f>
        <v>0</v>
      </c>
      <c r="DT44" s="76">
        <f>IFERROR(VLOOKUP(Tabla1[[#This Row],[COD SE]],PF_OCTUBRE,14,0),"0")</f>
        <v>0</v>
      </c>
      <c r="DU44" s="76">
        <f>IFERROR(VLOOKUP(Tabla1[[#This Row],[COD SE]],PF_OCTUBRE,15,0),"0")</f>
        <v>0</v>
      </c>
      <c r="DV44" s="76">
        <f>IFERROR(VLOOKUP(Tabla1[[#This Row],[COD SE]],PF_OCTUBRE,16,0),"0")</f>
        <v>0</v>
      </c>
      <c r="DW44" s="76">
        <f>+SUM(Tabla1[[#This Row],[EJECUTADO 01]:[PF DICIEMBRE
]])</f>
        <v>0</v>
      </c>
      <c r="DX44" s="76">
        <f>IFERROR(VLOOKUP(Tabla1[[#This Row],[COD SE]],PF_OCTUBRE,18,0),"0")</f>
        <v>0</v>
      </c>
      <c r="DY44" s="76">
        <f>IFERROR(VLOOKUP(Tabla1[[#This Row],[COD SE]],PF_OCTUBRE,19,0),"0")</f>
        <v>45000</v>
      </c>
      <c r="DZ44" s="76">
        <f>IFERROR(VLOOKUP(Tabla1[[#This Row],[COD SE]],PF_OCTUBRE,20,0),"0")</f>
        <v>45000</v>
      </c>
      <c r="EA44" s="76">
        <f>+Tabla1[[#This Row],[TOTAL EJEC REAL]]+Tabla1[[#This Row],[SALDO FINAL]]</f>
        <v>45000</v>
      </c>
      <c r="EB44" s="76">
        <f>IFERROR(VLOOKUP(Tabla1[[#This Row],[COD SE]],PF_OCTUBRE,22,0),"0")</f>
        <v>45000</v>
      </c>
      <c r="EC44" s="76">
        <f>+IFERROR(VLOOKUP(Tabla1[[#This Row],[COD SE]],SALDO_ESC_2,7,0),0)</f>
        <v>0</v>
      </c>
      <c r="ED44" s="76">
        <f>+IFERROR(VLOOKUP(Tabla1[[#This Row],[COD SE]],SALDO_ESC_3,7,0),0)</f>
        <v>45000</v>
      </c>
      <c r="EE44" s="76">
        <f>+Tabla1[[#This Row],[mto_pim]]-Tabla1[[#This Row],[TRANSF ESC2 ]]</f>
        <v>45000</v>
      </c>
      <c r="EF44" s="76">
        <f>+Tabla1[[#This Row],[mto_pim]]-Tabla1[[#This Row],[TRANFS ESC 3 ]]</f>
        <v>0</v>
      </c>
      <c r="EG44" s="76">
        <f>+IFERROR(VLOOKUP(Tabla1[[#This Row],[COD SE]],HISTORICO,4,0),0)</f>
        <v>0</v>
      </c>
      <c r="EH44" s="76">
        <f>+IFERROR(VLOOKUP(Tabla1[[#This Row],[COD SE]],HISTORICO,5,0),0)</f>
        <v>0</v>
      </c>
      <c r="EI44" s="76">
        <f>+IFERROR(VLOOKUP(Tabla1[[#This Row],[COD SE]],HISTORICO,6,0),0)</f>
        <v>0</v>
      </c>
      <c r="EJ44" s="76">
        <f>+IFERROR(VLOOKUP(Tabla1[[#This Row],[COD SE]],HISTORICO,7,0),0)</f>
        <v>0</v>
      </c>
      <c r="EK44" s="76">
        <f>+IFERROR(VLOOKUP(Tabla1[[#This Row],[COD SE]],HISTORICO,8,0),0)</f>
        <v>0</v>
      </c>
      <c r="EL44" s="76">
        <f>+IFERROR(VLOOKUP(Tabla1[[#This Row],[COD SE]],HISTORICO,9,0),0)</f>
        <v>0</v>
      </c>
      <c r="EM44" s="76">
        <f>+IFERROR(VLOOKUP(Tabla1[[#This Row],[COD SE]],HISTORICO,10,0),0)</f>
        <v>0</v>
      </c>
      <c r="EN44" s="76">
        <f>+IFERROR(VLOOKUP(Tabla1[[#This Row],[COD SE]],HISTORICO,11,0),0)</f>
        <v>0</v>
      </c>
      <c r="EO44" s="76">
        <f>+IFERROR(VLOOKUP(Tabla1[[#This Row],[COD SE]],HISTORICO,12,0),0)</f>
        <v>0</v>
      </c>
      <c r="EP44" s="58">
        <f>+SUM(Tabla1[[#This Row],[EJECUTADO 01]:[EJECUTADO 03]])</f>
        <v>0</v>
      </c>
      <c r="EQ44" s="58">
        <f>+SUM(Tabla1[[#This Row],[EJECUTADO 04]:[EJECUTADO 06]])</f>
        <v>0</v>
      </c>
      <c r="ER44" s="58">
        <f>+SUM(Tabla1[[#This Row],[EJECUTADO 07]:[EJECUTADO 09]])</f>
        <v>0</v>
      </c>
      <c r="ES44" s="58">
        <f>+SUM(Tabla1[[#This Row],[PF OCTUBRE]:[PF DICIEMBRE
]])</f>
        <v>0</v>
      </c>
      <c r="ET44" s="58">
        <f>+SUM(Tabla1[[#This Row],[EJECUTADO 01]:[EJECUTADO 09]])</f>
        <v>0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1657</v>
      </c>
      <c r="AE45" s="369" t="s">
        <v>1658</v>
      </c>
      <c r="AF45" s="369" t="s">
        <v>1658</v>
      </c>
      <c r="AG45" s="369" t="s">
        <v>1659</v>
      </c>
      <c r="AH45" s="369">
        <v>0</v>
      </c>
      <c r="AI45" s="369">
        <v>224486</v>
      </c>
      <c r="AJ45" s="369">
        <v>224486</v>
      </c>
      <c r="AK45" s="370">
        <v>202038</v>
      </c>
      <c r="AL45" s="370">
        <v>188943</v>
      </c>
      <c r="AM45" s="370">
        <v>18707.14</v>
      </c>
      <c r="AN45" s="370">
        <v>18707.14</v>
      </c>
      <c r="AO45" s="370">
        <v>18707.14</v>
      </c>
      <c r="AP45" s="370">
        <v>18707.14</v>
      </c>
      <c r="AQ45" s="370">
        <v>18707.14</v>
      </c>
      <c r="AR45" s="370">
        <v>18707.14</v>
      </c>
      <c r="AS45" s="370">
        <v>18707.14</v>
      </c>
      <c r="AT45" s="370">
        <v>18707.14</v>
      </c>
      <c r="AU45" s="370">
        <v>5612.14</v>
      </c>
      <c r="AV45" s="370">
        <v>9353.57</v>
      </c>
      <c r="AW45" s="370">
        <v>0</v>
      </c>
      <c r="AX45" s="370">
        <v>0</v>
      </c>
      <c r="AY45" s="370">
        <v>18707.14</v>
      </c>
      <c r="AZ45" s="370">
        <v>18707.14</v>
      </c>
      <c r="BA45" s="370">
        <v>18707.14</v>
      </c>
      <c r="BB45" s="370">
        <v>18707.14</v>
      </c>
      <c r="BC45" s="370">
        <v>18707.14</v>
      </c>
      <c r="BD45" s="370">
        <v>18707.14</v>
      </c>
      <c r="BE45" s="370">
        <v>18707.14</v>
      </c>
      <c r="BF45" s="370">
        <v>18707.14</v>
      </c>
      <c r="BG45" s="370">
        <v>5612.14</v>
      </c>
      <c r="BH45" s="370">
        <v>9353.57</v>
      </c>
      <c r="BI45" s="370">
        <v>0</v>
      </c>
      <c r="BJ45" s="370">
        <v>0</v>
      </c>
      <c r="BK45" s="370">
        <v>18707.14</v>
      </c>
      <c r="BL45" s="370">
        <v>18707.14</v>
      </c>
      <c r="BM45" s="370">
        <v>18707.14</v>
      </c>
      <c r="BN45" s="370">
        <v>16354</v>
      </c>
      <c r="BO45" s="370">
        <v>21060.28</v>
      </c>
      <c r="BP45" s="370">
        <v>18707.14</v>
      </c>
      <c r="BQ45" s="370">
        <v>18707.14</v>
      </c>
      <c r="BR45" s="370">
        <v>18707.14</v>
      </c>
      <c r="BS45" s="370">
        <v>5612.14</v>
      </c>
      <c r="BT45" s="370">
        <v>9353.57</v>
      </c>
      <c r="BU45" s="370">
        <v>0</v>
      </c>
      <c r="BV45" s="370">
        <v>0</v>
      </c>
      <c r="BW45" s="370">
        <v>18707.14</v>
      </c>
      <c r="BX45" s="370">
        <v>18707.14</v>
      </c>
      <c r="BY45" s="370">
        <v>18707.14</v>
      </c>
      <c r="BZ45" s="370">
        <v>18707.14</v>
      </c>
      <c r="CA45" s="370">
        <v>18707.14</v>
      </c>
      <c r="CB45" s="370">
        <v>18707.14</v>
      </c>
      <c r="CC45" s="370">
        <v>18707.14</v>
      </c>
      <c r="CD45" s="370">
        <v>18707.14</v>
      </c>
      <c r="CE45" s="370">
        <v>18707.14</v>
      </c>
      <c r="CF45" s="370">
        <v>9353.57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1990</v>
      </c>
      <c r="CL45" s="48" t="s">
        <v>1990</v>
      </c>
      <c r="CM45" s="48" t="s">
        <v>1990</v>
      </c>
      <c r="CN45" s="48" t="s">
        <v>1992</v>
      </c>
      <c r="CO45" s="48" t="str">
        <f t="shared" si="16"/>
        <v>2.1.1.1.1.8</v>
      </c>
      <c r="CP45" s="48" t="str">
        <f>+VLOOKUP(Tabla1[[#This Row],[ESPECÍFICA]],CLASIFICADOR_,2,0)</f>
        <v>2.1.1.1.1.8 - PERSONAL DE LA LEY SERVIR (RÉGIMEN DEL SERVICIO CIVIL)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5"/>
        <v>0003-DE</v>
      </c>
      <c r="CY45" s="113" t="str">
        <f t="shared" si="6"/>
        <v>0003-DE (FT)</v>
      </c>
      <c r="CZ45" s="20" t="str">
        <f t="shared" si="7"/>
        <v>0003-DE</v>
      </c>
      <c r="DA45" s="113" t="str">
        <f>+CONCATENATE(Tabla1[[#This Row],[CC COMPLETO]],Tabla1[[#This Row],[ESPECÍFICA]])</f>
        <v>0003-DE2.1.1.1.1.8</v>
      </c>
      <c r="DB45" s="49">
        <f t="shared" si="8"/>
        <v>164622.83000000002</v>
      </c>
      <c r="DC45" s="49">
        <f t="shared" si="9"/>
        <v>164622.83000000002</v>
      </c>
      <c r="DD45" s="49">
        <f t="shared" si="10"/>
        <v>164622.83000000002</v>
      </c>
      <c r="DE45" s="49">
        <f t="shared" si="11"/>
        <v>22448</v>
      </c>
      <c r="DF45" s="49">
        <f t="shared" si="12"/>
        <v>13095</v>
      </c>
      <c r="DG45" s="49">
        <f t="shared" si="13"/>
        <v>24320.169999999984</v>
      </c>
      <c r="DH45" s="49">
        <f t="shared" si="14"/>
        <v>59863.169999999984</v>
      </c>
      <c r="DI45" s="50">
        <f t="shared" si="15"/>
        <v>0</v>
      </c>
      <c r="DJ45" s="78">
        <f>+SUM(Tabla1[[#This Row],[EJECUTADO 01]:[EJECUTADO 06]])</f>
        <v>112242.84</v>
      </c>
      <c r="DK45" s="78">
        <f>+Tabla1[[#This Row],[mto_devenga_01]]</f>
        <v>18707.14</v>
      </c>
      <c r="DL45" s="78">
        <f>+Tabla1[[#This Row],[mto_devenga_02]]</f>
        <v>18707.14</v>
      </c>
      <c r="DM45" s="78">
        <f>+Tabla1[[#This Row],[mto_devenga_03]]</f>
        <v>18707.14</v>
      </c>
      <c r="DN45" s="78">
        <f>+Tabla1[[#This Row],[mto_devenga_04]]</f>
        <v>18707.14</v>
      </c>
      <c r="DO45" s="78">
        <f>+Tabla1[[#This Row],[mto_devenga_05]]</f>
        <v>18707.14</v>
      </c>
      <c r="DP45" s="76">
        <f>+Tabla1[[#This Row],[mto_devenga_06]]</f>
        <v>18707.14</v>
      </c>
      <c r="DQ45" s="76">
        <f>+Tabla1[[#This Row],[mto_devenga_07]]</f>
        <v>18707.14</v>
      </c>
      <c r="DR45" s="76">
        <f>+Tabla1[[#This Row],[mto_devenga_08]]</f>
        <v>18707.14</v>
      </c>
      <c r="DS45" s="76">
        <f>+Tabla1[[#This Row],[mto_devenga_09]]</f>
        <v>5612.14</v>
      </c>
      <c r="DT45" s="76">
        <f>IFERROR(VLOOKUP(Tabla1[[#This Row],[COD SE]],PF_OCTUBRE,14,0),"0")</f>
        <v>18707.140000000007</v>
      </c>
      <c r="DU45" s="76">
        <f>IFERROR(VLOOKUP(Tabla1[[#This Row],[COD SE]],PF_OCTUBRE,15,0),"0")</f>
        <v>18707.14</v>
      </c>
      <c r="DV45" s="76">
        <f>IFERROR(VLOOKUP(Tabla1[[#This Row],[COD SE]],PF_OCTUBRE,16,0),"0")</f>
        <v>18707.14</v>
      </c>
      <c r="DW45" s="76">
        <f>+SUM(Tabla1[[#This Row],[EJECUTADO 01]:[PF DICIEMBRE
]])</f>
        <v>211390.68000000005</v>
      </c>
      <c r="DX45" s="76">
        <f>IFERROR(VLOOKUP(Tabla1[[#This Row],[COD SE]],PF_OCTUBRE,18,0),"0")</f>
        <v>0</v>
      </c>
      <c r="DY45" s="76">
        <f>IFERROR(VLOOKUP(Tabla1[[#This Row],[COD SE]],PF_OCTUBRE,19,0),"0")</f>
        <v>13095.32</v>
      </c>
      <c r="DZ45" s="76">
        <f>IFERROR(VLOOKUP(Tabla1[[#This Row],[COD SE]],PF_OCTUBRE,20,0),"0")</f>
        <v>13095.32</v>
      </c>
      <c r="EA45" s="76">
        <f>+Tabla1[[#This Row],[TOTAL EJEC REAL]]+Tabla1[[#This Row],[SALDO FINAL]]</f>
        <v>224486.00000000006</v>
      </c>
      <c r="EB45" s="76">
        <f>IFERROR(VLOOKUP(Tabla1[[#This Row],[COD SE]],PF_OCTUBRE,22,0),"0")</f>
        <v>31802.46</v>
      </c>
      <c r="EC45" s="76">
        <f>+IFERROR(VLOOKUP(Tabla1[[#This Row],[COD SE]],SALDO_ESC_2,7,0),0)</f>
        <v>0</v>
      </c>
      <c r="ED45" s="76">
        <f>+IFERROR(VLOOKUP(Tabla1[[#This Row],[COD SE]],SALDO_ESC_3,7,0),0)</f>
        <v>13095.32</v>
      </c>
      <c r="EE45" s="76">
        <f>+Tabla1[[#This Row],[mto_pim]]-Tabla1[[#This Row],[TRANSF ESC2 ]]</f>
        <v>224486</v>
      </c>
      <c r="EF45" s="76">
        <f>+Tabla1[[#This Row],[mto_pim]]-Tabla1[[#This Row],[TRANFS ESC 3 ]]</f>
        <v>211390.68</v>
      </c>
      <c r="EG45" s="76">
        <f>+IFERROR(VLOOKUP(Tabla1[[#This Row],[COD SE]],HISTORICO,4,0),0)</f>
        <v>18707.140000000003</v>
      </c>
      <c r="EH45" s="76">
        <f>+IFERROR(VLOOKUP(Tabla1[[#This Row],[COD SE]],HISTORICO,5,0),0)</f>
        <v>18707.140000000003</v>
      </c>
      <c r="EI45" s="76">
        <f>+IFERROR(VLOOKUP(Tabla1[[#This Row],[COD SE]],HISTORICO,6,0),0)</f>
        <v>18707.140000000003</v>
      </c>
      <c r="EJ45" s="76">
        <f>+IFERROR(VLOOKUP(Tabla1[[#This Row],[COD SE]],HISTORICO,7,0),0)</f>
        <v>18707.140000000003</v>
      </c>
      <c r="EK45" s="76">
        <f>+IFERROR(VLOOKUP(Tabla1[[#This Row],[COD SE]],HISTORICO,8,0),0)</f>
        <v>18707.140000000003</v>
      </c>
      <c r="EL45" s="76">
        <f>+IFERROR(VLOOKUP(Tabla1[[#This Row],[COD SE]],HISTORICO,9,0),0)</f>
        <v>18707.140000000003</v>
      </c>
      <c r="EM45" s="76">
        <f>+IFERROR(VLOOKUP(Tabla1[[#This Row],[COD SE]],HISTORICO,10,0),0)</f>
        <v>18707.140000000003</v>
      </c>
      <c r="EN45" s="76">
        <f>+IFERROR(VLOOKUP(Tabla1[[#This Row],[COD SE]],HISTORICO,11,0),0)</f>
        <v>18707.140000000003</v>
      </c>
      <c r="EO45" s="76">
        <f>+IFERROR(VLOOKUP(Tabla1[[#This Row],[COD SE]],HISTORICO,12,0),0)</f>
        <v>18707.140000000003</v>
      </c>
      <c r="EP45" s="58">
        <f>+SUM(Tabla1[[#This Row],[EJECUTADO 01]:[EJECUTADO 03]])</f>
        <v>56121.42</v>
      </c>
      <c r="EQ45" s="58">
        <f>+SUM(Tabla1[[#This Row],[EJECUTADO 04]:[EJECUTADO 06]])</f>
        <v>56121.42</v>
      </c>
      <c r="ER45" s="58">
        <f>+SUM(Tabla1[[#This Row],[EJECUTADO 07]:[EJECUTADO 09]])</f>
        <v>43026.42</v>
      </c>
      <c r="ES45" s="58">
        <f>+SUM(Tabla1[[#This Row],[PF OCTUBRE]:[PF DICIEMBRE
]])</f>
        <v>56121.420000000006</v>
      </c>
      <c r="ET45" s="58">
        <f>+SUM(Tabla1[[#This Row],[EJECUTADO 01]:[EJECUTADO 09]])</f>
        <v>155269.26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6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5"/>
        <v>0003-DE</v>
      </c>
      <c r="CY46" s="113" t="str">
        <f t="shared" si="6"/>
        <v>0003-DE (FT)</v>
      </c>
      <c r="CZ46" s="20" t="str">
        <f t="shared" si="7"/>
        <v>0003-DE</v>
      </c>
      <c r="DA46" s="113" t="str">
        <f>+CONCATENATE(Tabla1[[#This Row],[CC COMPLETO]],Tabla1[[#This Row],[ESPECÍFICA]])</f>
        <v>0003-DE2.3.2.1.2.2</v>
      </c>
      <c r="DB46" s="49">
        <f t="shared" si="8"/>
        <v>2131.5</v>
      </c>
      <c r="DC46" s="49">
        <f t="shared" si="9"/>
        <v>2131.5</v>
      </c>
      <c r="DD46" s="49">
        <f t="shared" si="10"/>
        <v>2131.5</v>
      </c>
      <c r="DE46" s="49">
        <f t="shared" si="11"/>
        <v>5428.5</v>
      </c>
      <c r="DF46" s="49">
        <f t="shared" si="12"/>
        <v>0</v>
      </c>
      <c r="DG46" s="49">
        <f t="shared" si="13"/>
        <v>0</v>
      </c>
      <c r="DH46" s="49">
        <f t="shared" si="14"/>
        <v>5428.5</v>
      </c>
      <c r="DI46" s="50">
        <f t="shared" si="15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1672</v>
      </c>
      <c r="AD47" s="369" t="s">
        <v>1673</v>
      </c>
      <c r="AE47" s="369" t="s">
        <v>1688</v>
      </c>
      <c r="AF47" s="369" t="s">
        <v>1691</v>
      </c>
      <c r="AG47" s="369" t="s">
        <v>1692</v>
      </c>
      <c r="AH47" s="369">
        <v>323200</v>
      </c>
      <c r="AI47" s="369">
        <v>-24000</v>
      </c>
      <c r="AJ47" s="369">
        <v>299200</v>
      </c>
      <c r="AK47" s="370">
        <v>151228.20000000001</v>
      </c>
      <c r="AL47" s="370">
        <v>151228.20000000001</v>
      </c>
      <c r="AM47" s="370">
        <v>0</v>
      </c>
      <c r="AN47" s="370">
        <v>0</v>
      </c>
      <c r="AO47" s="370">
        <v>2174</v>
      </c>
      <c r="AP47" s="370">
        <v>3175</v>
      </c>
      <c r="AQ47" s="370">
        <v>145879.20000000001</v>
      </c>
      <c r="AR47" s="370">
        <v>0</v>
      </c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0</v>
      </c>
      <c r="AZ47" s="370">
        <v>0</v>
      </c>
      <c r="BA47" s="370">
        <v>0</v>
      </c>
      <c r="BB47" s="370">
        <v>2174</v>
      </c>
      <c r="BC47" s="370">
        <v>0</v>
      </c>
      <c r="BD47" s="370">
        <v>7966.13</v>
      </c>
      <c r="BE47" s="370">
        <v>9796.7800000000007</v>
      </c>
      <c r="BF47" s="370">
        <v>8119.77</v>
      </c>
      <c r="BG47" s="370">
        <v>12240.5</v>
      </c>
      <c r="BH47" s="370">
        <v>5869.44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2174</v>
      </c>
      <c r="BO47" s="370">
        <v>0</v>
      </c>
      <c r="BP47" s="370">
        <v>7966.13</v>
      </c>
      <c r="BQ47" s="370">
        <v>8724.14</v>
      </c>
      <c r="BR47" s="370">
        <v>9192.41</v>
      </c>
      <c r="BS47" s="370">
        <v>12240.5</v>
      </c>
      <c r="BT47" s="370">
        <v>3677.96</v>
      </c>
      <c r="BU47" s="370">
        <v>0</v>
      </c>
      <c r="BV47" s="370">
        <v>0</v>
      </c>
      <c r="BW47" s="370">
        <v>0</v>
      </c>
      <c r="BX47" s="370">
        <v>0</v>
      </c>
      <c r="BY47" s="370">
        <v>2174</v>
      </c>
      <c r="BZ47" s="370">
        <v>3175</v>
      </c>
      <c r="CA47" s="370">
        <v>38626.14</v>
      </c>
      <c r="CB47" s="370">
        <v>0</v>
      </c>
      <c r="CC47" s="370">
        <v>0</v>
      </c>
      <c r="CD47" s="370">
        <v>0</v>
      </c>
      <c r="CE47" s="370">
        <v>0</v>
      </c>
      <c r="CF47" s="370">
        <v>0</v>
      </c>
      <c r="CG47" s="370">
        <v>0</v>
      </c>
      <c r="CH47" s="370">
        <v>0</v>
      </c>
      <c r="CI47" s="48" t="s">
        <v>1987</v>
      </c>
      <c r="CJ47" s="48" t="s">
        <v>1991</v>
      </c>
      <c r="CK47" s="48" t="s">
        <v>1987</v>
      </c>
      <c r="CL47" s="48" t="s">
        <v>1987</v>
      </c>
      <c r="CM47" s="48" t="s">
        <v>2011</v>
      </c>
      <c r="CN47" s="48" t="s">
        <v>1990</v>
      </c>
      <c r="CO47" s="48" t="str">
        <f t="shared" si="16"/>
        <v>2.3.2.2.5.1</v>
      </c>
      <c r="CP47" s="48" t="str">
        <f>+VLOOKUP(Tabla1[[#This Row],[ESPECÍFICA]],CLASIFICADOR_,2,0)</f>
        <v>2.3.2.2.5.1 - DIFUSIÓN EN EL DIARIO OFICIAL</v>
      </c>
      <c r="CQ47" s="48" t="str">
        <f>+VLOOKUP(Tabla1[[#This Row],[ESPECÍFICA]],CLASIFICADOR_,3,0)</f>
        <v>2.3.2.2 - SERVICIOS BASICOS, COMUNICACIONES, PUBLICIDAD Y DIFUSION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2.3.BIENES Y SERVICIOS</v>
      </c>
      <c r="CX47" s="48" t="str">
        <f t="shared" si="5"/>
        <v>0003-DE</v>
      </c>
      <c r="CY47" s="113" t="str">
        <f t="shared" si="6"/>
        <v>0003-DE (FT)</v>
      </c>
      <c r="CZ47" s="20" t="str">
        <f t="shared" si="7"/>
        <v>0003-DE</v>
      </c>
      <c r="DA47" s="113" t="str">
        <f>+CONCATENATE(Tabla1[[#This Row],[CC COMPLETO]],Tabla1[[#This Row],[ESPECÍFICA]])</f>
        <v>0003-DE2.3.2.2.5.1</v>
      </c>
      <c r="DB47" s="49">
        <f t="shared" si="8"/>
        <v>151228.20000000001</v>
      </c>
      <c r="DC47" s="49">
        <f t="shared" si="9"/>
        <v>46166.62000000001</v>
      </c>
      <c r="DD47" s="49">
        <f t="shared" si="10"/>
        <v>43975.14</v>
      </c>
      <c r="DE47" s="49">
        <f t="shared" si="11"/>
        <v>147971.79999999999</v>
      </c>
      <c r="DF47" s="49">
        <f t="shared" si="12"/>
        <v>0</v>
      </c>
      <c r="DG47" s="49">
        <f t="shared" si="13"/>
        <v>105061.58</v>
      </c>
      <c r="DH47" s="49">
        <f t="shared" si="14"/>
        <v>253033.38</v>
      </c>
      <c r="DI47" s="50">
        <f t="shared" si="15"/>
        <v>0.14284226485148518</v>
      </c>
      <c r="DJ47" s="78">
        <f>+SUM(Tabla1[[#This Row],[EJECUTADO 01]:[EJECUTADO 06]])</f>
        <v>10140.130000000001</v>
      </c>
      <c r="DK47" s="78">
        <f>+Tabla1[[#This Row],[mto_devenga_01]]</f>
        <v>0</v>
      </c>
      <c r="DL47" s="78">
        <f>+Tabla1[[#This Row],[mto_devenga_02]]</f>
        <v>0</v>
      </c>
      <c r="DM47" s="78">
        <f>+Tabla1[[#This Row],[mto_devenga_03]]</f>
        <v>0</v>
      </c>
      <c r="DN47" s="78">
        <f>+Tabla1[[#This Row],[mto_devenga_04]]</f>
        <v>2174</v>
      </c>
      <c r="DO47" s="78">
        <f>+Tabla1[[#This Row],[mto_devenga_05]]</f>
        <v>0</v>
      </c>
      <c r="DP47" s="76">
        <f>+Tabla1[[#This Row],[mto_devenga_06]]</f>
        <v>7966.13</v>
      </c>
      <c r="DQ47" s="76">
        <f>+Tabla1[[#This Row],[mto_devenga_07]]</f>
        <v>9796.7800000000007</v>
      </c>
      <c r="DR47" s="76">
        <f>+Tabla1[[#This Row],[mto_devenga_08]]</f>
        <v>8119.77</v>
      </c>
      <c r="DS47" s="76">
        <f>+Tabla1[[#This Row],[mto_devenga_09]]</f>
        <v>12240.5</v>
      </c>
      <c r="DT47" s="76">
        <f>IFERROR(VLOOKUP(Tabla1[[#This Row],[COD SE]],PF_OCTUBRE,14,0),"0")</f>
        <v>19564.8</v>
      </c>
      <c r="DU47" s="76">
        <f>IFERROR(VLOOKUP(Tabla1[[#This Row],[COD SE]],PF_OCTUBRE,15,0),"0")</f>
        <v>66474.34</v>
      </c>
      <c r="DV47" s="76">
        <f>IFERROR(VLOOKUP(Tabla1[[#This Row],[COD SE]],PF_OCTUBRE,16,0),"0")</f>
        <v>24891.88</v>
      </c>
      <c r="DW47" s="76">
        <f>+SUM(Tabla1[[#This Row],[EJECUTADO 01]:[PF DICIEMBRE
]])</f>
        <v>151228.20000000001</v>
      </c>
      <c r="DX47" s="76">
        <f>IFERROR(VLOOKUP(Tabla1[[#This Row],[COD SE]],PF_OCTUBRE,18,0),"0")</f>
        <v>0</v>
      </c>
      <c r="DY47" s="76">
        <f>IFERROR(VLOOKUP(Tabla1[[#This Row],[COD SE]],PF_OCTUBRE,19,0),"0")</f>
        <v>147971.79999999999</v>
      </c>
      <c r="DZ47" s="76">
        <f>IFERROR(VLOOKUP(Tabla1[[#This Row],[COD SE]],PF_OCTUBRE,20,0),"0")</f>
        <v>147971.79999999999</v>
      </c>
      <c r="EA47" s="76">
        <f>+Tabla1[[#This Row],[TOTAL EJEC REAL]]+Tabla1[[#This Row],[SALDO FINAL]]</f>
        <v>299200</v>
      </c>
      <c r="EB47" s="76">
        <f>IFERROR(VLOOKUP(Tabla1[[#This Row],[COD SE]],PF_OCTUBRE,22,0),"0")</f>
        <v>172863.68</v>
      </c>
      <c r="EC47" s="76">
        <f>+IFERROR(VLOOKUP(Tabla1[[#This Row],[COD SE]],SALDO_ESC_2,7,0),0)</f>
        <v>0</v>
      </c>
      <c r="ED47" s="76">
        <f>+IFERROR(VLOOKUP(Tabla1[[#This Row],[COD SE]],SALDO_ESC_3,7,0),0)</f>
        <v>147971.79999999999</v>
      </c>
      <c r="EE47" s="76">
        <f>+Tabla1[[#This Row],[mto_pim]]-Tabla1[[#This Row],[TRANSF ESC2 ]]</f>
        <v>299200</v>
      </c>
      <c r="EF47" s="76">
        <f>+Tabla1[[#This Row],[mto_pim]]-Tabla1[[#This Row],[TRANFS ESC 3 ]]</f>
        <v>151228.20000000001</v>
      </c>
      <c r="EG47" s="76">
        <f>+IFERROR(VLOOKUP(Tabla1[[#This Row],[COD SE]],HISTORICO,4,0),0)</f>
        <v>170120</v>
      </c>
      <c r="EH47" s="76">
        <f>+IFERROR(VLOOKUP(Tabla1[[#This Row],[COD SE]],HISTORICO,5,0),0)</f>
        <v>0</v>
      </c>
      <c r="EI47" s="76">
        <f>+IFERROR(VLOOKUP(Tabla1[[#This Row],[COD SE]],HISTORICO,6,0),0)</f>
        <v>174120</v>
      </c>
      <c r="EJ47" s="76">
        <f>+IFERROR(VLOOKUP(Tabla1[[#This Row],[COD SE]],HISTORICO,7,0),0)</f>
        <v>0</v>
      </c>
      <c r="EK47" s="76">
        <f>+IFERROR(VLOOKUP(Tabla1[[#This Row],[COD SE]],HISTORICO,8,0),0)</f>
        <v>3175</v>
      </c>
      <c r="EL47" s="76">
        <f>+IFERROR(VLOOKUP(Tabla1[[#This Row],[COD SE]],HISTORICO,9,0),0)</f>
        <v>9175</v>
      </c>
      <c r="EM47" s="76">
        <f>+IFERROR(VLOOKUP(Tabla1[[#This Row],[COD SE]],HISTORICO,10,0),0)</f>
        <v>15000</v>
      </c>
      <c r="EN47" s="76">
        <f>+IFERROR(VLOOKUP(Tabla1[[#This Row],[COD SE]],HISTORICO,11,0),0)</f>
        <v>10000</v>
      </c>
      <c r="EO47" s="76">
        <f>+IFERROR(VLOOKUP(Tabla1[[#This Row],[COD SE]],HISTORICO,12,0),0)</f>
        <v>16880.23</v>
      </c>
      <c r="EP47" s="58">
        <f>+SUM(Tabla1[[#This Row],[EJECUTADO 01]:[EJECUTADO 03]])</f>
        <v>0</v>
      </c>
      <c r="EQ47" s="58">
        <f>+SUM(Tabla1[[#This Row],[EJECUTADO 04]:[EJECUTADO 06]])</f>
        <v>10140.130000000001</v>
      </c>
      <c r="ER47" s="58">
        <f>+SUM(Tabla1[[#This Row],[EJECUTADO 07]:[EJECUTADO 09]])</f>
        <v>30157.050000000003</v>
      </c>
      <c r="ES47" s="58">
        <f>+SUM(Tabla1[[#This Row],[PF OCTUBRE]:[PF DICIEMBRE
]])</f>
        <v>110931.02</v>
      </c>
      <c r="ET47" s="58">
        <f>+SUM(Tabla1[[#This Row],[EJECUTADO 01]:[EJECUTADO 09]])</f>
        <v>40297.180000000008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1672</v>
      </c>
      <c r="AD48" s="369" t="s">
        <v>1673</v>
      </c>
      <c r="AE48" s="369" t="s">
        <v>1681</v>
      </c>
      <c r="AF48" s="369" t="s">
        <v>1682</v>
      </c>
      <c r="AG48" s="369" t="s">
        <v>1682</v>
      </c>
      <c r="AH48" s="369">
        <v>295380</v>
      </c>
      <c r="AI48" s="369">
        <v>-211380</v>
      </c>
      <c r="AJ48" s="369">
        <v>84000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70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>
        <v>0</v>
      </c>
      <c r="CF48" s="370">
        <v>0</v>
      </c>
      <c r="CG48" s="370">
        <v>0</v>
      </c>
      <c r="CH48" s="370">
        <v>0</v>
      </c>
      <c r="CI48" s="48" t="s">
        <v>1987</v>
      </c>
      <c r="CJ48" s="48" t="s">
        <v>1991</v>
      </c>
      <c r="CK48" s="48" t="s">
        <v>1987</v>
      </c>
      <c r="CL48" s="48" t="s">
        <v>2005</v>
      </c>
      <c r="CM48" s="48" t="s">
        <v>1990</v>
      </c>
      <c r="CN48" s="48" t="s">
        <v>1990</v>
      </c>
      <c r="CO48" s="48" t="str">
        <f t="shared" si="16"/>
        <v>2.3.2.9.1.1</v>
      </c>
      <c r="CP48" s="48" t="str">
        <f>+VLOOKUP(Tabla1[[#This Row],[ESPECÍFICA]],CLASIFICADOR_,2,0)</f>
        <v>2.3.2.9.1.1 - LOCACIÓN DE SERVICIOS REALIZADOS POR PERSONA NATURAL</v>
      </c>
      <c r="CQ48" s="48" t="str">
        <f>+VLOOKUP(Tabla1[[#This Row],[ESPECÍFICA]],CLASIFICADOR_,3,0)</f>
        <v>2.3.2.9 - LOCACIÓN DE SERVICIOS REALIZADOS POR PERSONA NATURAL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2.3.BIENES Y SERVICIOS</v>
      </c>
      <c r="CX48" s="48" t="str">
        <f t="shared" si="5"/>
        <v>0003-DE</v>
      </c>
      <c r="CY48" s="113" t="str">
        <f t="shared" si="6"/>
        <v>0003-DE (FT)</v>
      </c>
      <c r="CZ48" s="20" t="str">
        <f t="shared" si="7"/>
        <v>0003-DE</v>
      </c>
      <c r="DA48" s="113" t="str">
        <f>+CONCATENATE(Tabla1[[#This Row],[CC COMPLETO]],Tabla1[[#This Row],[ESPECÍFICA]])</f>
        <v>0003-DE2.3.2.9.1.1</v>
      </c>
      <c r="DB48" s="49">
        <f t="shared" si="8"/>
        <v>0</v>
      </c>
      <c r="DC48" s="49">
        <f t="shared" si="9"/>
        <v>0</v>
      </c>
      <c r="DD48" s="49">
        <f t="shared" si="10"/>
        <v>0</v>
      </c>
      <c r="DE48" s="49">
        <f t="shared" si="11"/>
        <v>84000</v>
      </c>
      <c r="DF48" s="49">
        <f t="shared" si="12"/>
        <v>0</v>
      </c>
      <c r="DG48" s="49">
        <f t="shared" si="13"/>
        <v>0</v>
      </c>
      <c r="DH48" s="49">
        <f t="shared" si="14"/>
        <v>84000</v>
      </c>
      <c r="DI48" s="50">
        <f t="shared" si="15"/>
        <v>0</v>
      </c>
      <c r="DJ48" s="78">
        <f>+SUM(Tabla1[[#This Row],[EJECUTADO 01]:[EJECUTADO 06]])</f>
        <v>0</v>
      </c>
      <c r="DK48" s="78">
        <f>+Tabla1[[#This Row],[mto_devenga_01]]</f>
        <v>0</v>
      </c>
      <c r="DL48" s="78">
        <f>+Tabla1[[#This Row],[mto_devenga_02]]</f>
        <v>0</v>
      </c>
      <c r="DM48" s="78">
        <f>+Tabla1[[#This Row],[mto_devenga_03]]</f>
        <v>0</v>
      </c>
      <c r="DN48" s="78">
        <f>+Tabla1[[#This Row],[mto_devenga_04]]</f>
        <v>0</v>
      </c>
      <c r="DO48" s="78">
        <f>+Tabla1[[#This Row],[mto_devenga_05]]</f>
        <v>0</v>
      </c>
      <c r="DP48" s="76">
        <f>+Tabla1[[#This Row],[mto_devenga_06]]</f>
        <v>0</v>
      </c>
      <c r="DQ48" s="76">
        <f>+Tabla1[[#This Row],[mto_devenga_07]]</f>
        <v>0</v>
      </c>
      <c r="DR48" s="76">
        <f>+Tabla1[[#This Row],[mto_devenga_08]]</f>
        <v>0</v>
      </c>
      <c r="DS48" s="76">
        <f>+Tabla1[[#This Row],[mto_devenga_09]]</f>
        <v>0</v>
      </c>
      <c r="DT48" s="76">
        <f>IFERROR(VLOOKUP(Tabla1[[#This Row],[COD SE]],PF_OCTUBRE,14,0),"0")</f>
        <v>0</v>
      </c>
      <c r="DU48" s="76">
        <f>IFERROR(VLOOKUP(Tabla1[[#This Row],[COD SE]],PF_OCTUBRE,15,0),"0")</f>
        <v>0</v>
      </c>
      <c r="DV48" s="76">
        <f>IFERROR(VLOOKUP(Tabla1[[#This Row],[COD SE]],PF_OCTUBRE,16,0),"0")</f>
        <v>0</v>
      </c>
      <c r="DW48" s="76">
        <f>+SUM(Tabla1[[#This Row],[EJECUTADO 01]:[PF DICIEMBRE
]])</f>
        <v>0</v>
      </c>
      <c r="DX48" s="76">
        <f>IFERROR(VLOOKUP(Tabla1[[#This Row],[COD SE]],PF_OCTUBRE,18,0),"0")</f>
        <v>0</v>
      </c>
      <c r="DY48" s="76">
        <f>IFERROR(VLOOKUP(Tabla1[[#This Row],[COD SE]],PF_OCTUBRE,19,0),"0")</f>
        <v>84000</v>
      </c>
      <c r="DZ48" s="76">
        <f>IFERROR(VLOOKUP(Tabla1[[#This Row],[COD SE]],PF_OCTUBRE,20,0),"0")</f>
        <v>84000</v>
      </c>
      <c r="EA48" s="76">
        <f>+Tabla1[[#This Row],[TOTAL EJEC REAL]]+Tabla1[[#This Row],[SALDO FINAL]]</f>
        <v>84000</v>
      </c>
      <c r="EB48" s="76">
        <f>IFERROR(VLOOKUP(Tabla1[[#This Row],[COD SE]],PF_OCTUBRE,22,0),"0")</f>
        <v>84000</v>
      </c>
      <c r="EC48" s="76">
        <f>+IFERROR(VLOOKUP(Tabla1[[#This Row],[COD SE]],SALDO_ESC_2,7,0),0)</f>
        <v>0</v>
      </c>
      <c r="ED48" s="76">
        <f>+IFERROR(VLOOKUP(Tabla1[[#This Row],[COD SE]],SALDO_ESC_3,7,0),0)</f>
        <v>84000</v>
      </c>
      <c r="EE48" s="76">
        <f>+Tabla1[[#This Row],[mto_pim]]-Tabla1[[#This Row],[TRANSF ESC2 ]]</f>
        <v>84000</v>
      </c>
      <c r="EF48" s="76">
        <f>+Tabla1[[#This Row],[mto_pim]]-Tabla1[[#This Row],[TRANFS ESC 3 ]]</f>
        <v>0</v>
      </c>
      <c r="EG48" s="76">
        <f>+IFERROR(VLOOKUP(Tabla1[[#This Row],[COD SE]],HISTORICO,4,0),0)</f>
        <v>0</v>
      </c>
      <c r="EH48" s="76">
        <f>+IFERROR(VLOOKUP(Tabla1[[#This Row],[COD SE]],HISTORICO,5,0),0)</f>
        <v>36000</v>
      </c>
      <c r="EI48" s="76">
        <f>+IFERROR(VLOOKUP(Tabla1[[#This Row],[COD SE]],HISTORICO,6,0),0)</f>
        <v>36000</v>
      </c>
      <c r="EJ48" s="76">
        <f>+IFERROR(VLOOKUP(Tabla1[[#This Row],[COD SE]],HISTORICO,7,0),0)</f>
        <v>0</v>
      </c>
      <c r="EK48" s="76">
        <f>+IFERROR(VLOOKUP(Tabla1[[#This Row],[COD SE]],HISTORICO,8,0),0)</f>
        <v>0</v>
      </c>
      <c r="EL48" s="76">
        <f>+IFERROR(VLOOKUP(Tabla1[[#This Row],[COD SE]],HISTORICO,9,0),0)</f>
        <v>0</v>
      </c>
      <c r="EM48" s="76">
        <f>+IFERROR(VLOOKUP(Tabla1[[#This Row],[COD SE]],HISTORICO,10,0),0)</f>
        <v>0</v>
      </c>
      <c r="EN48" s="76">
        <f>+IFERROR(VLOOKUP(Tabla1[[#This Row],[COD SE]],HISTORICO,11,0),0)</f>
        <v>0</v>
      </c>
      <c r="EO48" s="76">
        <f>+IFERROR(VLOOKUP(Tabla1[[#This Row],[COD SE]],HISTORICO,12,0),0)</f>
        <v>0</v>
      </c>
      <c r="EP48" s="58">
        <f>+SUM(Tabla1[[#This Row],[EJECUTADO 01]:[EJECUTADO 03]])</f>
        <v>0</v>
      </c>
      <c r="EQ48" s="58">
        <f>+SUM(Tabla1[[#This Row],[EJECUTADO 04]:[EJECUTADO 06]])</f>
        <v>0</v>
      </c>
      <c r="ER48" s="58">
        <f>+SUM(Tabla1[[#This Row],[EJECUTADO 07]:[EJECUTADO 09]])</f>
        <v>0</v>
      </c>
      <c r="ES48" s="58">
        <f>+SUM(Tabla1[[#This Row],[PF OCTUBRE]:[PF DICIEMBRE
]])</f>
        <v>0</v>
      </c>
      <c r="ET48" s="58">
        <f>+SUM(Tabla1[[#This Row],[EJECUTADO 01]:[EJECUTADO 09]])</f>
        <v>0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1678</v>
      </c>
      <c r="AF49" s="369" t="s">
        <v>1697</v>
      </c>
      <c r="AG49" s="369" t="s">
        <v>1698</v>
      </c>
      <c r="AH49" s="369">
        <v>90000</v>
      </c>
      <c r="AI49" s="369">
        <v>0</v>
      </c>
      <c r="AJ49" s="369">
        <v>90000</v>
      </c>
      <c r="AK49" s="370">
        <v>73065.149999999994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1989</v>
      </c>
      <c r="CM49" s="48" t="s">
        <v>2021</v>
      </c>
      <c r="CN49" s="48" t="s">
        <v>1998</v>
      </c>
      <c r="CO49" s="48" t="str">
        <f t="shared" si="16"/>
        <v>2.3.2.7.11.99</v>
      </c>
      <c r="CP49" s="48" t="str">
        <f>+VLOOKUP(Tabla1[[#This Row],[ESPECÍFICA]],CLASIFICADOR_,2,0)</f>
        <v>2.3.2.7.11.99 - SERVICIOS DIVERSOS</v>
      </c>
      <c r="CQ49" s="48" t="str">
        <f>+VLOOKUP(Tabla1[[#This Row],[ESPECÍFICA]],CLASIFICADOR_,3,0)</f>
        <v>2.3.2.7 - SERVICIOS PROFESIONALES Y TECNICOS</v>
      </c>
      <c r="CR49" s="48" t="str">
        <f>+VLOOKUP(Tabla1[[#This Row],[ESPECÍFICA]],CLASIFICADOR_,4,0)</f>
        <v xml:space="preserve"> </v>
      </c>
      <c r="CS49" s="48">
        <f>+VLOOKUP(Tabla1[[#This Row],[ESPECÍFICA]],CLASIFICADOR_,5,0)</f>
        <v>0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10</v>
      </c>
      <c r="CW49" s="113" t="str">
        <f>+CONCATENATE("2.",Tabla1[[#This Row],[generica]])</f>
        <v>2.3.BIENES Y SERVICIOS</v>
      </c>
      <c r="CX49" s="48" t="str">
        <f t="shared" si="5"/>
        <v>0003-DE</v>
      </c>
      <c r="CY49" s="113" t="str">
        <f t="shared" si="6"/>
        <v>0003-DE (FT)</v>
      </c>
      <c r="CZ49" s="20" t="str">
        <f t="shared" si="7"/>
        <v>0003-DE</v>
      </c>
      <c r="DA49" s="113" t="str">
        <f>+CONCATENATE(Tabla1[[#This Row],[CC COMPLETO]],Tabla1[[#This Row],[ESPECÍFICA]])</f>
        <v>0003-DE2.3.2.7.11.99</v>
      </c>
      <c r="DB49" s="49">
        <f t="shared" si="8"/>
        <v>0</v>
      </c>
      <c r="DC49" s="49">
        <f t="shared" si="9"/>
        <v>0</v>
      </c>
      <c r="DD49" s="49">
        <f t="shared" si="10"/>
        <v>0</v>
      </c>
      <c r="DE49" s="49">
        <f t="shared" si="11"/>
        <v>16934.850000000006</v>
      </c>
      <c r="DF49" s="49">
        <f t="shared" si="12"/>
        <v>73065.149999999994</v>
      </c>
      <c r="DG49" s="49">
        <f t="shared" si="13"/>
        <v>0</v>
      </c>
      <c r="DH49" s="49">
        <f t="shared" si="14"/>
        <v>90000</v>
      </c>
      <c r="DI49" s="50">
        <f t="shared" si="15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90000</v>
      </c>
      <c r="DV49" s="76">
        <f>IFERROR(VLOOKUP(Tabla1[[#This Row],[COD SE]],PF_OCTUBRE,16,0),"0")</f>
        <v>0</v>
      </c>
      <c r="DW49" s="76">
        <f>+SUM(Tabla1[[#This Row],[EJECUTADO 01]:[PF DICIEMBRE
]])</f>
        <v>90000</v>
      </c>
      <c r="DX49" s="76">
        <f>IFERROR(VLOOKUP(Tabla1[[#This Row],[COD SE]],PF_OCTUBRE,18,0),"0")</f>
        <v>0</v>
      </c>
      <c r="DY49" s="76">
        <f>IFERROR(VLOOKUP(Tabla1[[#This Row],[COD SE]],PF_OCTUBRE,19,0),"0")</f>
        <v>0</v>
      </c>
      <c r="DZ49" s="76">
        <f>IFERROR(VLOOKUP(Tabla1[[#This Row],[COD SE]],PF_OCTUBRE,20,0),"0")</f>
        <v>0</v>
      </c>
      <c r="EA49" s="76">
        <f>+Tabla1[[#This Row],[TOTAL EJEC REAL]]+Tabla1[[#This Row],[SALDO FINAL]]</f>
        <v>90000</v>
      </c>
      <c r="EB49" s="76">
        <f>IFERROR(VLOOKUP(Tabla1[[#This Row],[COD SE]],PF_OCTUBRE,22,0),"0")</f>
        <v>0</v>
      </c>
      <c r="EC49" s="76">
        <f>+IFERROR(VLOOKUP(Tabla1[[#This Row],[COD SE]],SALDO_ESC_2,7,0),0)</f>
        <v>0</v>
      </c>
      <c r="ED49" s="76">
        <f>+IFERROR(VLOOKUP(Tabla1[[#This Row],[COD SE]],SALDO_ESC_3,7,0),0)</f>
        <v>0</v>
      </c>
      <c r="EE49" s="76">
        <f>+Tabla1[[#This Row],[mto_pim]]-Tabla1[[#This Row],[TRANSF ESC2 ]]</f>
        <v>90000</v>
      </c>
      <c r="EF49" s="76">
        <f>+Tabla1[[#This Row],[mto_pim]]-Tabla1[[#This Row],[TRANFS ESC 3 ]]</f>
        <v>90000</v>
      </c>
      <c r="EG49" s="76">
        <f>+IFERROR(VLOOKUP(Tabla1[[#This Row],[COD SE]],HISTORICO,4,0),0)</f>
        <v>90000</v>
      </c>
      <c r="EH49" s="76">
        <f>+IFERROR(VLOOKUP(Tabla1[[#This Row],[COD SE]],HISTORICO,5,0),0)</f>
        <v>0</v>
      </c>
      <c r="EI49" s="76">
        <f>+IFERROR(VLOOKUP(Tabla1[[#This Row],[COD SE]],HISTORICO,6,0),0)</f>
        <v>90000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90000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1656</v>
      </c>
      <c r="AD50" s="369" t="s">
        <v>2006</v>
      </c>
      <c r="AE50" s="369" t="s">
        <v>2007</v>
      </c>
      <c r="AF50" s="369" t="s">
        <v>2007</v>
      </c>
      <c r="AG50" s="369" t="s">
        <v>2008</v>
      </c>
      <c r="AH50" s="369">
        <v>0</v>
      </c>
      <c r="AI50" s="369">
        <v>4729</v>
      </c>
      <c r="AJ50" s="369">
        <v>4729</v>
      </c>
      <c r="AK50" s="370">
        <v>4729</v>
      </c>
      <c r="AL50" s="370">
        <v>4729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4728.71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0">
        <v>0</v>
      </c>
      <c r="BG50" s="370">
        <v>4728.71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0</v>
      </c>
      <c r="BQ50" s="370">
        <v>0</v>
      </c>
      <c r="BR50" s="370">
        <v>0</v>
      </c>
      <c r="BS50" s="370">
        <v>4728.71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1990</v>
      </c>
      <c r="CK50" s="48" t="s">
        <v>1993</v>
      </c>
      <c r="CL50" s="48" t="s">
        <v>1990</v>
      </c>
      <c r="CM50" s="48" t="s">
        <v>1990</v>
      </c>
      <c r="CN50" s="48" t="s">
        <v>1988</v>
      </c>
      <c r="CO50" s="48" t="str">
        <f t="shared" si="16"/>
        <v>2.1.4.1.1.6</v>
      </c>
      <c r="CP50" s="48" t="str">
        <f>+VLOOKUP(Tabla1[[#This Row],[ESPECÍFICA]],CLASIFICADOR_,2,0)</f>
        <v>2.1.4.1.1.6 - COMPENSACION VACACIONAL (VACACIONES TRUNCAS) AL PERSONAL ACTIVO</v>
      </c>
      <c r="CQ50" s="48" t="str">
        <f>+VLOOKUP(Tabla1[[#This Row],[ESPECÍFICA]],CLASIFICADOR_,3,0)</f>
        <v>02.SERVIR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2.1.PERSONAL Y OBLIGACIONES SOCIALES</v>
      </c>
      <c r="CX50" s="48" t="str">
        <f t="shared" si="5"/>
        <v>0003-DE</v>
      </c>
      <c r="CY50" s="113" t="str">
        <f t="shared" si="6"/>
        <v>0003-DE (FT)</v>
      </c>
      <c r="CZ50" s="20" t="str">
        <f t="shared" si="7"/>
        <v>0003-DE</v>
      </c>
      <c r="DA50" s="113" t="str">
        <f>+CONCATENATE(Tabla1[[#This Row],[CC COMPLETO]],Tabla1[[#This Row],[ESPECÍFICA]])</f>
        <v>0003-DE2.1.4.1.1.6</v>
      </c>
      <c r="DB50" s="49">
        <f t="shared" si="8"/>
        <v>4728.71</v>
      </c>
      <c r="DC50" s="49">
        <f t="shared" si="9"/>
        <v>4728.71</v>
      </c>
      <c r="DD50" s="49">
        <f t="shared" si="10"/>
        <v>4728.71</v>
      </c>
      <c r="DE50" s="49">
        <f t="shared" si="11"/>
        <v>0</v>
      </c>
      <c r="DF50" s="49">
        <f t="shared" si="12"/>
        <v>0</v>
      </c>
      <c r="DG50" s="49">
        <f t="shared" si="13"/>
        <v>0.28999999999996362</v>
      </c>
      <c r="DH50" s="49">
        <f t="shared" si="14"/>
        <v>0.28999999999996362</v>
      </c>
      <c r="DI50" s="50">
        <f t="shared" si="15"/>
        <v>0</v>
      </c>
      <c r="DJ50" s="78">
        <f>+SUM(Tabla1[[#This Row],[EJECUTADO 01]:[EJECUTADO 06]])</f>
        <v>0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0</v>
      </c>
      <c r="DO50" s="78">
        <f>+Tabla1[[#This Row],[mto_devenga_05]]</f>
        <v>0</v>
      </c>
      <c r="DP50" s="76">
        <f>+Tabla1[[#This Row],[mto_devenga_06]]</f>
        <v>0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4728.71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4728.71</v>
      </c>
      <c r="DX50" s="76">
        <f>IFERROR(VLOOKUP(Tabla1[[#This Row],[COD SE]],PF_OCTUBRE,18,0),"0")</f>
        <v>0</v>
      </c>
      <c r="DY50" s="76">
        <f>IFERROR(VLOOKUP(Tabla1[[#This Row],[COD SE]],PF_OCTUBRE,19,0),"0")</f>
        <v>0.28999999999999998</v>
      </c>
      <c r="DZ50" s="76">
        <f>IFERROR(VLOOKUP(Tabla1[[#This Row],[COD SE]],PF_OCTUBRE,20,0),"0")</f>
        <v>0.28999999999999998</v>
      </c>
      <c r="EA50" s="76">
        <f>+Tabla1[[#This Row],[TOTAL EJEC REAL]]+Tabla1[[#This Row],[SALDO FINAL]]</f>
        <v>4729</v>
      </c>
      <c r="EB50" s="76">
        <f>IFERROR(VLOOKUP(Tabla1[[#This Row],[COD SE]],PF_OCTUBRE,22,0),"0")</f>
        <v>0.28999999999999998</v>
      </c>
      <c r="EC50" s="76">
        <f>+IFERROR(VLOOKUP(Tabla1[[#This Row],[COD SE]],SALDO_ESC_2,7,0),0)</f>
        <v>0</v>
      </c>
      <c r="ED50" s="76">
        <f>+IFERROR(VLOOKUP(Tabla1[[#This Row],[COD SE]],SALDO_ESC_3,7,0),0)</f>
        <v>0.28999999999999998</v>
      </c>
      <c r="EE50" s="76">
        <f>+Tabla1[[#This Row],[mto_pim]]-Tabla1[[#This Row],[TRANSF ESC2 ]]</f>
        <v>4729</v>
      </c>
      <c r="EF50" s="76">
        <f>+Tabla1[[#This Row],[mto_pim]]-Tabla1[[#This Row],[TRANFS ESC 3 ]]</f>
        <v>4728.71</v>
      </c>
      <c r="EG50" s="76">
        <f>+IFERROR(VLOOKUP(Tabla1[[#This Row],[COD SE]],HISTORICO,4,0),0)</f>
        <v>0</v>
      </c>
      <c r="EH50" s="76">
        <f>+IFERROR(VLOOKUP(Tabla1[[#This Row],[COD SE]],HISTORICO,5,0),0)</f>
        <v>0</v>
      </c>
      <c r="EI50" s="76">
        <f>+IFERROR(VLOOKUP(Tabla1[[#This Row],[COD SE]],HISTORICO,6,0),0)</f>
        <v>0</v>
      </c>
      <c r="EJ50" s="76">
        <f>+IFERROR(VLOOKUP(Tabla1[[#This Row],[COD SE]],HISTORICO,7,0),0)</f>
        <v>0</v>
      </c>
      <c r="EK50" s="76">
        <f>+IFERROR(VLOOKUP(Tabla1[[#This Row],[COD SE]],HISTORICO,8,0),0)</f>
        <v>0</v>
      </c>
      <c r="EL50" s="76">
        <f>+IFERROR(VLOOKUP(Tabla1[[#This Row],[COD SE]],HISTORICO,9,0),0)</f>
        <v>0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0</v>
      </c>
      <c r="ER50" s="58">
        <f>+SUM(Tabla1[[#This Row],[EJECUTADO 07]:[EJECUTADO 09]])</f>
        <v>4728.71</v>
      </c>
      <c r="ES50" s="58">
        <f>+SUM(Tabla1[[#This Row],[PF OCTUBRE]:[PF DICIEMBRE
]])</f>
        <v>0</v>
      </c>
      <c r="ET50" s="58">
        <f>+SUM(Tabla1[[#This Row],[EJECUTADO 01]:[EJECUTADO 09]])</f>
        <v>4728.71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1702</v>
      </c>
      <c r="AE51" s="369" t="s">
        <v>1703</v>
      </c>
      <c r="AF51" s="369" t="s">
        <v>2024</v>
      </c>
      <c r="AG51" s="369" t="s">
        <v>2025</v>
      </c>
      <c r="AH51" s="369">
        <v>0</v>
      </c>
      <c r="AI51" s="369">
        <v>42391</v>
      </c>
      <c r="AJ51" s="369">
        <v>42391</v>
      </c>
      <c r="AK51" s="370">
        <v>42390.2</v>
      </c>
      <c r="AL51" s="370">
        <v>42390.2</v>
      </c>
      <c r="AM51" s="370">
        <v>0</v>
      </c>
      <c r="AN51" s="370">
        <v>0</v>
      </c>
      <c r="AO51" s="370">
        <v>0</v>
      </c>
      <c r="AP51" s="370">
        <v>42390.2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42390.2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42390.2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42390.2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1991</v>
      </c>
      <c r="CL51" s="48" t="s">
        <v>1987</v>
      </c>
      <c r="CM51" s="48" t="s">
        <v>2005</v>
      </c>
      <c r="CN51" s="48" t="s">
        <v>1993</v>
      </c>
      <c r="CO51" s="48" t="str">
        <f t="shared" si="16"/>
        <v>2.6.3.2.9.4</v>
      </c>
      <c r="CP51" s="48" t="str">
        <f>+VLOOKUP(Tabla1[[#This Row],[ESPECÍFICA]],CLASIFICADOR_,2,0)</f>
        <v>2.6.3.2.9.4 - ELECTRICIDAD Y ELECTRONICA</v>
      </c>
      <c r="CQ51" s="48" t="str">
        <f>+VLOOKUP(Tabla1[[#This Row],[ESPECÍFICA]],CLASIFICADOR_,3,0)</f>
        <v>2.6.3.2 - ADQUISICION DE MAQUINARIAS, EQUIPO Y MOBILIARIO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5"/>
        <v>0004-PI 1</v>
      </c>
      <c r="CY51" s="113" t="str">
        <f t="shared" si="6"/>
        <v>0004-PI 1</v>
      </c>
      <c r="CZ51" s="20" t="str">
        <f t="shared" si="7"/>
        <v>0004-PI 1</v>
      </c>
      <c r="DA51" s="113" t="str">
        <f>+CONCATENATE(Tabla1[[#This Row],[CC COMPLETO]],Tabla1[[#This Row],[ESPECÍFICA]])</f>
        <v>0004-PI 12.6.3.2.9.4</v>
      </c>
      <c r="DB51" s="49">
        <f t="shared" si="8"/>
        <v>42390.2</v>
      </c>
      <c r="DC51" s="49">
        <f t="shared" si="9"/>
        <v>42390.2</v>
      </c>
      <c r="DD51" s="49">
        <f t="shared" si="10"/>
        <v>42390.2</v>
      </c>
      <c r="DE51" s="49">
        <f t="shared" si="11"/>
        <v>0.80000000000291038</v>
      </c>
      <c r="DF51" s="49">
        <f t="shared" si="12"/>
        <v>0</v>
      </c>
      <c r="DG51" s="49">
        <f t="shared" si="13"/>
        <v>0</v>
      </c>
      <c r="DH51" s="49">
        <f t="shared" si="14"/>
        <v>0.80000000000291038</v>
      </c>
      <c r="DI51" s="50">
        <f t="shared" si="15"/>
        <v>0</v>
      </c>
      <c r="DJ51" s="78">
        <f>+SUM(Tabla1[[#This Row],[EJECUTADO 01]:[EJECUTADO 06]])</f>
        <v>42390.2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42390.2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0.80000000000291038</v>
      </c>
      <c r="DW51" s="76">
        <f>+SUM(Tabla1[[#This Row],[EJECUTADO 01]:[PF DICIEMBRE
]])</f>
        <v>42391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42391</v>
      </c>
      <c r="EB51" s="76">
        <f>IFERROR(VLOOKUP(Tabla1[[#This Row],[COD SE]],PF_OCTUBRE,22,0),"0")</f>
        <v>0.80000000000291038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42391</v>
      </c>
      <c r="EF51" s="76">
        <f>+Tabla1[[#This Row],[mto_pim]]-Tabla1[[#This Row],[TRANFS ESC 3 ]]</f>
        <v>42391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42391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42390.2</v>
      </c>
      <c r="ER51" s="58">
        <f>+SUM(Tabla1[[#This Row],[EJECUTADO 07]:[EJECUTADO 09]])</f>
        <v>0</v>
      </c>
      <c r="ES51" s="58">
        <f>+SUM(Tabla1[[#This Row],[PF OCTUBRE]:[PF DICIEMBRE
]])</f>
        <v>0.80000000000291038</v>
      </c>
      <c r="ET51" s="58">
        <f>+SUM(Tabla1[[#This Row],[EJECUTADO 01]:[EJECUTADO 09]])</f>
        <v>42390.2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2026</v>
      </c>
      <c r="AG52" s="369" t="s">
        <v>2027</v>
      </c>
      <c r="AH52" s="369">
        <v>0</v>
      </c>
      <c r="AI52" s="369">
        <v>26581</v>
      </c>
      <c r="AJ52" s="369">
        <v>26581</v>
      </c>
      <c r="AK52" s="370">
        <v>26581</v>
      </c>
      <c r="AL52" s="370">
        <v>26581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26581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26581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70">
        <v>26581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26581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1990</v>
      </c>
      <c r="CN52" s="48" t="s">
        <v>1987</v>
      </c>
      <c r="CO52" s="48" t="str">
        <f t="shared" si="16"/>
        <v>2.6.3.2.1.2</v>
      </c>
      <c r="CP52" s="48" t="str">
        <f>+VLOOKUP(Tabla1[[#This Row],[ESPECÍFICA]],CLASIFICADOR_,2,0)</f>
        <v>2.6.3.2.1.2 - MOBILIARIO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5"/>
        <v>0004-PI 1</v>
      </c>
      <c r="CY52" s="113" t="str">
        <f t="shared" si="6"/>
        <v>0004-PI 1</v>
      </c>
      <c r="CZ52" s="20" t="str">
        <f t="shared" si="7"/>
        <v>0004-PI 1</v>
      </c>
      <c r="DA52" s="113" t="str">
        <f>+CONCATENATE(Tabla1[[#This Row],[CC COMPLETO]],Tabla1[[#This Row],[ESPECÍFICA]])</f>
        <v>0004-PI 12.6.3.2.1.2</v>
      </c>
      <c r="DB52" s="49">
        <f t="shared" si="8"/>
        <v>26581</v>
      </c>
      <c r="DC52" s="49">
        <f t="shared" si="9"/>
        <v>26581</v>
      </c>
      <c r="DD52" s="49">
        <f t="shared" si="10"/>
        <v>26581</v>
      </c>
      <c r="DE52" s="49">
        <f t="shared" si="11"/>
        <v>0</v>
      </c>
      <c r="DF52" s="49">
        <f t="shared" si="12"/>
        <v>0</v>
      </c>
      <c r="DG52" s="49">
        <f t="shared" si="13"/>
        <v>0</v>
      </c>
      <c r="DH52" s="49">
        <f t="shared" si="14"/>
        <v>0</v>
      </c>
      <c r="DI52" s="50">
        <f t="shared" si="15"/>
        <v>0</v>
      </c>
      <c r="DJ52" s="78">
        <f>+SUM(Tabla1[[#This Row],[EJECUTADO 01]:[EJECUTADO 06]])</f>
        <v>0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0</v>
      </c>
      <c r="DQ52" s="76">
        <f>+Tabla1[[#This Row],[mto_devenga_07]]</f>
        <v>26581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</v>
      </c>
      <c r="DW52" s="76">
        <f>+SUM(Tabla1[[#This Row],[EJECUTADO 01]:[PF DICIEMBRE
]])</f>
        <v>26581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26581</v>
      </c>
      <c r="EB52" s="76">
        <f>IFERROR(VLOOKUP(Tabla1[[#This Row],[COD SE]],PF_OCTUBRE,22,0),"0")</f>
        <v>0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26581</v>
      </c>
      <c r="EF52" s="76">
        <f>+Tabla1[[#This Row],[mto_pim]]-Tabla1[[#This Row],[TRANFS ESC 3 ]]</f>
        <v>26581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0</v>
      </c>
      <c r="EM52" s="76">
        <f>+IFERROR(VLOOKUP(Tabla1[[#This Row],[COD SE]],HISTORICO,10,0),0)</f>
        <v>26581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0</v>
      </c>
      <c r="ER52" s="58">
        <f>+SUM(Tabla1[[#This Row],[EJECUTADO 07]:[EJECUTADO 09]])</f>
        <v>26581</v>
      </c>
      <c r="ES52" s="58">
        <f>+SUM(Tabla1[[#This Row],[PF OCTUBRE]:[PF DICIEMBRE
]])</f>
        <v>0</v>
      </c>
      <c r="ET52" s="58">
        <f>+SUM(Tabla1[[#This Row],[EJECUTADO 01]:[EJECUTADO 09]])</f>
        <v>26581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1704</v>
      </c>
      <c r="AG53" s="369" t="s">
        <v>1705</v>
      </c>
      <c r="AH53" s="369">
        <v>50000</v>
      </c>
      <c r="AI53" s="369">
        <v>21987</v>
      </c>
      <c r="AJ53" s="369">
        <v>71987</v>
      </c>
      <c r="AK53" s="370">
        <v>71986.25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0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0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1991</v>
      </c>
      <c r="CN53" s="48" t="s">
        <v>1990</v>
      </c>
      <c r="CO53" s="48" t="str">
        <f t="shared" si="16"/>
        <v>2.6.3.2.3.1</v>
      </c>
      <c r="CP53" s="48" t="str">
        <f>+VLOOKUP(Tabla1[[#This Row],[ESPECÍFICA]],CLASIFICADOR_,2,0)</f>
        <v>2.6.3.2.3.1 - EQUIPOS COMPUTACIONALES Y PERIFERICOS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5"/>
        <v>0004-PI 1</v>
      </c>
      <c r="CY53" s="113" t="str">
        <f t="shared" si="6"/>
        <v>0004-PI 1</v>
      </c>
      <c r="CZ53" s="20" t="str">
        <f t="shared" si="7"/>
        <v>0004-PI 1</v>
      </c>
      <c r="DA53" s="113" t="str">
        <f>+CONCATENATE(Tabla1[[#This Row],[CC COMPLETO]],Tabla1[[#This Row],[ESPECÍFICA]])</f>
        <v>0004-PI 12.6.3.2.3.1</v>
      </c>
      <c r="DB53" s="49">
        <f t="shared" si="8"/>
        <v>0</v>
      </c>
      <c r="DC53" s="49">
        <f t="shared" si="9"/>
        <v>0</v>
      </c>
      <c r="DD53" s="49">
        <f t="shared" si="10"/>
        <v>0</v>
      </c>
      <c r="DE53" s="49">
        <f t="shared" si="11"/>
        <v>0.75</v>
      </c>
      <c r="DF53" s="49">
        <f t="shared" si="12"/>
        <v>71986.25</v>
      </c>
      <c r="DG53" s="49">
        <f t="shared" si="13"/>
        <v>0</v>
      </c>
      <c r="DH53" s="49">
        <f t="shared" si="14"/>
        <v>71987</v>
      </c>
      <c r="DI53" s="50">
        <f t="shared" si="15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0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0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0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71987</v>
      </c>
      <c r="EF53" s="76">
        <f>+Tabla1[[#This Row],[mto_pim]]-Tabla1[[#This Row],[TRANFS ESC 3 ]]</f>
        <v>71987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0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0</v>
      </c>
      <c r="ES53" s="58">
        <f>+SUM(Tabla1[[#This Row],[PF OCTUBRE]:[PF DICIEMBRE
]])</f>
        <v>0</v>
      </c>
      <c r="ET53" s="58">
        <f>+SUM(Tabla1[[#This Row],[EJECUTADO 01]:[EJECUTADO 09]])</f>
        <v>0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1649</v>
      </c>
      <c r="AE54" s="369" t="s">
        <v>1650</v>
      </c>
      <c r="AF54" s="369" t="s">
        <v>1653</v>
      </c>
      <c r="AG54" s="369" t="s">
        <v>1654</v>
      </c>
      <c r="AH54" s="369">
        <v>24000</v>
      </c>
      <c r="AI54" s="369">
        <v>56399</v>
      </c>
      <c r="AJ54" s="369">
        <v>80399</v>
      </c>
      <c r="AK54" s="370">
        <v>64000</v>
      </c>
      <c r="AL54" s="370">
        <v>64000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24000</v>
      </c>
      <c r="AU54" s="370">
        <v>0</v>
      </c>
      <c r="AV54" s="370">
        <v>40000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14400</v>
      </c>
      <c r="BH54" s="370">
        <v>9600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14400</v>
      </c>
      <c r="BT54" s="370">
        <v>9600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24000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1992</v>
      </c>
      <c r="CL54" s="48" t="s">
        <v>1990</v>
      </c>
      <c r="CM54" s="48" t="s">
        <v>1993</v>
      </c>
      <c r="CN54" s="48" t="s">
        <v>1991</v>
      </c>
      <c r="CO54" s="48" t="str">
        <f t="shared" si="16"/>
        <v>2.6.8.1.4.3</v>
      </c>
      <c r="CP54" s="48" t="str">
        <f>+VLOOKUP(Tabla1[[#This Row],[ESPECÍFICA]],CLASIFICADOR_,2,0)</f>
        <v>2.6.8.1.4.3 - GASTO POR LA CONTRATACION DE SERVICIOS</v>
      </c>
      <c r="CQ54" s="48" t="str">
        <f>+VLOOKUP(Tabla1[[#This Row],[ESPECÍFICA]],CLASIFICADOR_,3,0)</f>
        <v>2.6.8.1 - OTROS GASTOS DE ACTIVOS NO FINANCIEROS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5"/>
        <v>0004-PI 1</v>
      </c>
      <c r="CY54" s="113" t="str">
        <f t="shared" si="6"/>
        <v>0004-PI 1</v>
      </c>
      <c r="CZ54" s="20" t="str">
        <f t="shared" si="7"/>
        <v>0004-PI 1</v>
      </c>
      <c r="DA54" s="113" t="str">
        <f>+CONCATENATE(Tabla1[[#This Row],[CC COMPLETO]],Tabla1[[#This Row],[ESPECÍFICA]])</f>
        <v>0004-PI 12.6.8.1.4.3</v>
      </c>
      <c r="DB54" s="49">
        <f t="shared" si="8"/>
        <v>64000</v>
      </c>
      <c r="DC54" s="49">
        <f t="shared" si="9"/>
        <v>24000</v>
      </c>
      <c r="DD54" s="49">
        <f t="shared" si="10"/>
        <v>24000</v>
      </c>
      <c r="DE54" s="49">
        <f t="shared" si="11"/>
        <v>16399</v>
      </c>
      <c r="DF54" s="49">
        <f t="shared" si="12"/>
        <v>0</v>
      </c>
      <c r="DG54" s="49">
        <f t="shared" si="13"/>
        <v>40000</v>
      </c>
      <c r="DH54" s="49">
        <f t="shared" si="14"/>
        <v>56399</v>
      </c>
      <c r="DI54" s="50">
        <f t="shared" si="15"/>
        <v>1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14400</v>
      </c>
      <c r="DT54" s="76">
        <f>IFERROR(VLOOKUP(Tabla1[[#This Row],[COD SE]],PF_OCTUBRE,14,0),"0")</f>
        <v>9600</v>
      </c>
      <c r="DU54" s="76">
        <f>IFERROR(VLOOKUP(Tabla1[[#This Row],[COD SE]],PF_OCTUBRE,15,0),"0")</f>
        <v>21399</v>
      </c>
      <c r="DV54" s="76">
        <f>IFERROR(VLOOKUP(Tabla1[[#This Row],[COD SE]],PF_OCTUBRE,16,0),"0")</f>
        <v>35000</v>
      </c>
      <c r="DW54" s="76">
        <f>+SUM(Tabla1[[#This Row],[EJECUTADO 01]:[PF DICIEMBRE
]])</f>
        <v>80399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80399</v>
      </c>
      <c r="EB54" s="76">
        <f>IFERROR(VLOOKUP(Tabla1[[#This Row],[COD SE]],PF_OCTUBRE,22,0),"0")</f>
        <v>35000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80399</v>
      </c>
      <c r="EF54" s="76">
        <f>+Tabla1[[#This Row],[mto_pim]]-Tabla1[[#This Row],[TRANFS ESC 3 ]]</f>
        <v>80399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14400</v>
      </c>
      <c r="ES54" s="58">
        <f>+SUM(Tabla1[[#This Row],[PF OCTUBRE]:[PF DICIEMBRE
]])</f>
        <v>65999</v>
      </c>
      <c r="ET54" s="58">
        <f>+SUM(Tabla1[[#This Row],[EJECUTADO 01]:[EJECUTADO 09]])</f>
        <v>14400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1651</v>
      </c>
      <c r="AG55" s="369" t="s">
        <v>1652</v>
      </c>
      <c r="AH55" s="369">
        <v>104570</v>
      </c>
      <c r="AI55" s="369">
        <v>-104570</v>
      </c>
      <c r="AJ55" s="369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1991</v>
      </c>
      <c r="CN55" s="48" t="s">
        <v>1990</v>
      </c>
      <c r="CO55" s="48" t="str">
        <f t="shared" si="16"/>
        <v>2.6.8.1.3.1</v>
      </c>
      <c r="CP55" s="48" t="str">
        <f>+VLOOKUP(Tabla1[[#This Row],[ESPECÍFICA]],CLASIFICADOR_,2,0)</f>
        <v>2.6.8.1.3.1 - ELABORACION DE EXPEDIENTES TECNICOS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5"/>
        <v>0004-PI 1</v>
      </c>
      <c r="CY55" s="113" t="str">
        <f t="shared" si="6"/>
        <v>0004-PI 1</v>
      </c>
      <c r="CZ55" s="20" t="str">
        <f t="shared" si="7"/>
        <v>0004-PI 1</v>
      </c>
      <c r="DA55" s="113" t="str">
        <f>+CONCATENATE(Tabla1[[#This Row],[CC COMPLETO]],Tabla1[[#This Row],[ESPECÍFICA]])</f>
        <v>0004-PI 12.6.8.1.3.1</v>
      </c>
      <c r="DB55" s="49">
        <f t="shared" si="8"/>
        <v>0</v>
      </c>
      <c r="DC55" s="49">
        <f t="shared" si="9"/>
        <v>0</v>
      </c>
      <c r="DD55" s="49">
        <f t="shared" si="10"/>
        <v>0</v>
      </c>
      <c r="DE55" s="49">
        <f t="shared" si="11"/>
        <v>0</v>
      </c>
      <c r="DF55" s="49">
        <f t="shared" si="12"/>
        <v>0</v>
      </c>
      <c r="DG55" s="49">
        <f t="shared" si="13"/>
        <v>0</v>
      </c>
      <c r="DH55" s="49">
        <f t="shared" si="14"/>
        <v>0</v>
      </c>
      <c r="DI55" s="50">
        <f t="shared" si="15"/>
        <v>0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0</v>
      </c>
      <c r="DT55" s="76">
        <f>IFERROR(VLOOKUP(Tabla1[[#This Row],[COD SE]],PF_OCTUBRE,14,0),"0")</f>
        <v>0</v>
      </c>
      <c r="DU55" s="76">
        <f>IFERROR(VLOOKUP(Tabla1[[#This Row],[COD SE]],PF_OCTUBRE,15,0),"0")</f>
        <v>0</v>
      </c>
      <c r="DV55" s="76">
        <f>IFERROR(VLOOKUP(Tabla1[[#This Row],[COD SE]],PF_OCTUBRE,16,0),"0")</f>
        <v>0</v>
      </c>
      <c r="DW55" s="76">
        <f>+SUM(Tabla1[[#This Row],[EJECUTADO 01]:[PF DICIEMBRE
]])</f>
        <v>0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0</v>
      </c>
      <c r="EB55" s="76">
        <f>IFERROR(VLOOKUP(Tabla1[[#This Row],[COD SE]],PF_OCTUBRE,22,0),"0")</f>
        <v>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0</v>
      </c>
      <c r="EF55" s="76">
        <f>+Tabla1[[#This Row],[mto_pim]]-Tabla1[[#This Row],[TRANFS ESC 3 ]]</f>
        <v>0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0</v>
      </c>
      <c r="ES55" s="58">
        <f>+SUM(Tabla1[[#This Row],[PF OCTUBRE]:[PF DICIEMBRE
]])</f>
        <v>0</v>
      </c>
      <c r="ET55" s="58">
        <f>+SUM(Tabla1[[#This Row],[EJECUTADO 01]:[EJECUTADO 09]])</f>
        <v>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6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5"/>
        <v>0004-PI 1</v>
      </c>
      <c r="CY56" s="113" t="str">
        <f t="shared" si="6"/>
        <v>0004-PI 1</v>
      </c>
      <c r="CZ56" s="20" t="str">
        <f t="shared" si="7"/>
        <v>0004-PI 1</v>
      </c>
      <c r="DA56" s="113" t="str">
        <f>+CONCATENATE(Tabla1[[#This Row],[CC COMPLETO]],Tabla1[[#This Row],[ESPECÍFICA]])</f>
        <v>0004-PI 12.6.3.2.3.2</v>
      </c>
      <c r="DB56" s="49">
        <f t="shared" si="8"/>
        <v>42795.06</v>
      </c>
      <c r="DC56" s="49">
        <f t="shared" si="9"/>
        <v>42795.06</v>
      </c>
      <c r="DD56" s="49">
        <f t="shared" si="10"/>
        <v>42795.06</v>
      </c>
      <c r="DE56" s="49">
        <f t="shared" si="11"/>
        <v>0.94000000000232831</v>
      </c>
      <c r="DF56" s="49">
        <f t="shared" si="12"/>
        <v>0</v>
      </c>
      <c r="DG56" s="49">
        <f t="shared" si="13"/>
        <v>0</v>
      </c>
      <c r="DH56" s="49">
        <f t="shared" si="14"/>
        <v>0.94000000000232831</v>
      </c>
      <c r="DI56" s="50">
        <f t="shared" si="15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1666</v>
      </c>
      <c r="AH57" s="369">
        <v>0</v>
      </c>
      <c r="AI57" s="369">
        <v>27819</v>
      </c>
      <c r="AJ57" s="369">
        <v>27819</v>
      </c>
      <c r="AK57" s="370">
        <v>23882</v>
      </c>
      <c r="AL57" s="370">
        <v>23882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5369.44</v>
      </c>
      <c r="AT57" s="370">
        <v>0</v>
      </c>
      <c r="AU57" s="370">
        <v>4602.38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5369.44</v>
      </c>
      <c r="BF57" s="370">
        <v>0</v>
      </c>
      <c r="BG57" s="370">
        <v>4602.38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5369.44</v>
      </c>
      <c r="BR57" s="370">
        <v>0</v>
      </c>
      <c r="BS57" s="370">
        <v>4602.38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5369.44</v>
      </c>
      <c r="CD57" s="370">
        <v>0</v>
      </c>
      <c r="CE57" s="370">
        <v>4602.38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1987</v>
      </c>
      <c r="CO57" s="48" t="str">
        <f t="shared" si="16"/>
        <v>2.1.1.9.1.2</v>
      </c>
      <c r="CP57" s="48" t="str">
        <f>+VLOOKUP(Tabla1[[#This Row],[ESPECÍFICA]],CLASIFICADOR_,2,0)</f>
        <v>2.1.1.9.1.2 - AGUINALDOS</v>
      </c>
      <c r="CQ57" s="48" t="str">
        <f>+VLOOKUP(Tabla1[[#This Row],[ESPECÍFICA]],CLASIFICADOR_,3,0)</f>
        <v>02.SERVIR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5"/>
        <v>0005-OPP</v>
      </c>
      <c r="CY57" s="113" t="str">
        <f t="shared" si="6"/>
        <v>0005-OPP</v>
      </c>
      <c r="CZ57" s="20" t="str">
        <f t="shared" si="7"/>
        <v>0005-OPP</v>
      </c>
      <c r="DA57" s="113" t="str">
        <f>+CONCATENATE(Tabla1[[#This Row],[CC COMPLETO]],Tabla1[[#This Row],[ESPECÍFICA]])</f>
        <v>0005-OPP2.1.1.9.1.2</v>
      </c>
      <c r="DB57" s="49">
        <f t="shared" si="8"/>
        <v>9971.82</v>
      </c>
      <c r="DC57" s="49">
        <f t="shared" si="9"/>
        <v>9971.82</v>
      </c>
      <c r="DD57" s="49">
        <f t="shared" si="10"/>
        <v>9971.82</v>
      </c>
      <c r="DE57" s="49">
        <f t="shared" si="11"/>
        <v>3937</v>
      </c>
      <c r="DF57" s="49">
        <f t="shared" si="12"/>
        <v>0</v>
      </c>
      <c r="DG57" s="49">
        <f t="shared" si="13"/>
        <v>13910.18</v>
      </c>
      <c r="DH57" s="49">
        <f t="shared" si="14"/>
        <v>17847.18</v>
      </c>
      <c r="DI57" s="50">
        <f t="shared" si="15"/>
        <v>0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5369.44</v>
      </c>
      <c r="DR57" s="76">
        <f>+Tabla1[[#This Row],[mto_devenga_08]]</f>
        <v>0</v>
      </c>
      <c r="DS57" s="76">
        <f>+Tabla1[[#This Row],[mto_devenga_09]]</f>
        <v>4602.38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13909.35</v>
      </c>
      <c r="DW57" s="76">
        <f>+SUM(Tabla1[[#This Row],[EJECUTADO 01]:[PF DICIEMBRE
]])</f>
        <v>23881.17</v>
      </c>
      <c r="DX57" s="76">
        <f>IFERROR(VLOOKUP(Tabla1[[#This Row],[COD SE]],PF_OCTUBRE,18,0),"0")</f>
        <v>0</v>
      </c>
      <c r="DY57" s="76">
        <f>IFERROR(VLOOKUP(Tabla1[[#This Row],[COD SE]],PF_OCTUBRE,19,0),"0")</f>
        <v>3937.83</v>
      </c>
      <c r="DZ57" s="76">
        <f>IFERROR(VLOOKUP(Tabla1[[#This Row],[COD SE]],PF_OCTUBRE,20,0),"0")</f>
        <v>3937.83</v>
      </c>
      <c r="EA57" s="76">
        <f>+Tabla1[[#This Row],[TOTAL EJEC REAL]]+Tabla1[[#This Row],[SALDO FINAL]]</f>
        <v>27819</v>
      </c>
      <c r="EB57" s="76">
        <f>IFERROR(VLOOKUP(Tabla1[[#This Row],[COD SE]],PF_OCTUBRE,22,0),"0")</f>
        <v>17847.18</v>
      </c>
      <c r="EC57" s="76">
        <f>+IFERROR(VLOOKUP(Tabla1[[#This Row],[COD SE]],SALDO_ESC_2,7,0),0)</f>
        <v>0</v>
      </c>
      <c r="ED57" s="76">
        <f>+IFERROR(VLOOKUP(Tabla1[[#This Row],[COD SE]],SALDO_ESC_3,7,0),0)</f>
        <v>3937.83</v>
      </c>
      <c r="EE57" s="76">
        <f>+Tabla1[[#This Row],[mto_pim]]-Tabla1[[#This Row],[TRANSF ESC2 ]]</f>
        <v>27819</v>
      </c>
      <c r="EF57" s="76">
        <f>+Tabla1[[#This Row],[mto_pim]]-Tabla1[[#This Row],[TRANFS ESC 3 ]]</f>
        <v>23881.17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13909.35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9971.82</v>
      </c>
      <c r="ES57" s="58">
        <f>+SUM(Tabla1[[#This Row],[PF OCTUBRE]:[PF DICIEMBRE
]])</f>
        <v>13909.35</v>
      </c>
      <c r="ET57" s="58">
        <f>+SUM(Tabla1[[#This Row],[EJECUTADO 01]:[EJECUTADO 09]])</f>
        <v>9971.82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1672</v>
      </c>
      <c r="AD58" s="369" t="s">
        <v>1673</v>
      </c>
      <c r="AE58" s="369" t="s">
        <v>1678</v>
      </c>
      <c r="AF58" s="369" t="s">
        <v>1679</v>
      </c>
      <c r="AG58" s="369" t="s">
        <v>1696</v>
      </c>
      <c r="AH58" s="369">
        <v>0</v>
      </c>
      <c r="AI58" s="369">
        <v>1100</v>
      </c>
      <c r="AJ58" s="369">
        <v>1100</v>
      </c>
      <c r="AK58" s="370">
        <v>1100</v>
      </c>
      <c r="AL58" s="370">
        <v>1100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1100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1100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1100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1100</v>
      </c>
      <c r="CC58" s="370">
        <v>0</v>
      </c>
      <c r="CD58" s="370">
        <v>0</v>
      </c>
      <c r="CE58" s="370">
        <v>0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1991</v>
      </c>
      <c r="CK58" s="48" t="s">
        <v>1987</v>
      </c>
      <c r="CL58" s="48" t="s">
        <v>1989</v>
      </c>
      <c r="CM58" s="48" t="s">
        <v>2013</v>
      </c>
      <c r="CN58" s="48" t="s">
        <v>1990</v>
      </c>
      <c r="CO58" s="48" t="str">
        <f t="shared" si="16"/>
        <v>2.3.2.7.10.1</v>
      </c>
      <c r="CP58" s="48" t="str">
        <f>+VLOOKUP(Tabla1[[#This Row],[ESPECÍFICA]],CLASIFICADOR_,2,0)</f>
        <v>2.3.2.7.10.1 - SEMINARIOS ,TALLERES Y SIMILARES ORGANIZADOS POR LA  INSTITUCION</v>
      </c>
      <c r="CQ58" s="48" t="str">
        <f>+VLOOKUP(Tabla1[[#This Row],[ESPECÍFICA]],CLASIFICADOR_,3,0)</f>
        <v>2.3.2.7 - SERVICIOS PROFESIONALES Y TECNICOS</v>
      </c>
      <c r="CR58" s="48" t="str">
        <f>+VLOOKUP(Tabla1[[#This Row],[ESPECÍFICA]],CLASIFICADOR_,4,0)</f>
        <v>Límite de Gasto</v>
      </c>
      <c r="CS58" s="48" t="str">
        <f>+VLOOKUP(Tabla1[[#This Row],[ESPECÍFICA]],CLASIFICADOR_,5,0)</f>
        <v>10.6 f)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2.3.BIENES Y SERVICIOS</v>
      </c>
      <c r="CX58" s="48" t="str">
        <f t="shared" si="5"/>
        <v>0005-OPP</v>
      </c>
      <c r="CY58" s="113" t="str">
        <f t="shared" si="6"/>
        <v>0005-OPP</v>
      </c>
      <c r="CZ58" s="20" t="str">
        <f t="shared" si="7"/>
        <v>0005-OPP</v>
      </c>
      <c r="DA58" s="113" t="str">
        <f>+CONCATENATE(Tabla1[[#This Row],[CC COMPLETO]],Tabla1[[#This Row],[ESPECÍFICA]])</f>
        <v>0005-OPP2.3.2.7.10.1</v>
      </c>
      <c r="DB58" s="49">
        <f t="shared" si="8"/>
        <v>1100</v>
      </c>
      <c r="DC58" s="49">
        <f t="shared" si="9"/>
        <v>1100</v>
      </c>
      <c r="DD58" s="49">
        <f t="shared" si="10"/>
        <v>1100</v>
      </c>
      <c r="DE58" s="49">
        <f t="shared" si="11"/>
        <v>0</v>
      </c>
      <c r="DF58" s="49">
        <f t="shared" si="12"/>
        <v>0</v>
      </c>
      <c r="DG58" s="49">
        <f t="shared" si="13"/>
        <v>0</v>
      </c>
      <c r="DH58" s="49">
        <f t="shared" si="14"/>
        <v>0</v>
      </c>
      <c r="DI58" s="50">
        <f t="shared" si="15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1100</v>
      </c>
      <c r="DR58" s="76">
        <f>+Tabla1[[#This Row],[mto_devenga_08]]</f>
        <v>0</v>
      </c>
      <c r="DS58" s="76">
        <f>+Tabla1[[#This Row],[mto_devenga_09]]</f>
        <v>0</v>
      </c>
      <c r="DT58" s="76">
        <f>IFERROR(VLOOKUP(Tabla1[[#This Row],[COD SE]],PF_OCTUBRE,14,0),"0")</f>
        <v>0</v>
      </c>
      <c r="DU58" s="76">
        <f>IFERROR(VLOOKUP(Tabla1[[#This Row],[COD SE]],PF_OCTUBRE,15,0),"0")</f>
        <v>0</v>
      </c>
      <c r="DV58" s="76">
        <f>IFERROR(VLOOKUP(Tabla1[[#This Row],[COD SE]],PF_OCTUBRE,16,0),"0")</f>
        <v>0</v>
      </c>
      <c r="DW58" s="76">
        <f>+SUM(Tabla1[[#This Row],[EJECUTADO 01]:[PF DICIEMBRE
]])</f>
        <v>1100</v>
      </c>
      <c r="DX58" s="76">
        <f>IFERROR(VLOOKUP(Tabla1[[#This Row],[COD SE]],PF_OCTUBRE,18,0),"0")</f>
        <v>0</v>
      </c>
      <c r="DY58" s="76">
        <f>IFERROR(VLOOKUP(Tabla1[[#This Row],[COD SE]],PF_OCTUBRE,19,0),"0")</f>
        <v>0</v>
      </c>
      <c r="DZ58" s="76">
        <f>IFERROR(VLOOKUP(Tabla1[[#This Row],[COD SE]],PF_OCTUBRE,20,0),"0")</f>
        <v>0</v>
      </c>
      <c r="EA58" s="76">
        <f>+Tabla1[[#This Row],[TOTAL EJEC REAL]]+Tabla1[[#This Row],[SALDO FINAL]]</f>
        <v>1100</v>
      </c>
      <c r="EB58" s="76">
        <f>IFERROR(VLOOKUP(Tabla1[[#This Row],[COD SE]],PF_OCTUBRE,22,0),"0")</f>
        <v>0</v>
      </c>
      <c r="EC58" s="76">
        <f>+IFERROR(VLOOKUP(Tabla1[[#This Row],[COD SE]],SALDO_ESC_2,7,0),0)</f>
        <v>0</v>
      </c>
      <c r="ED58" s="76">
        <f>+IFERROR(VLOOKUP(Tabla1[[#This Row],[COD SE]],SALDO_ESC_3,7,0),0)</f>
        <v>0</v>
      </c>
      <c r="EE58" s="76">
        <f>+Tabla1[[#This Row],[mto_pim]]-Tabla1[[#This Row],[TRANSF ESC2 ]]</f>
        <v>1100</v>
      </c>
      <c r="EF58" s="76">
        <f>+Tabla1[[#This Row],[mto_pim]]-Tabla1[[#This Row],[TRANFS ESC 3 ]]</f>
        <v>1100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1585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1100</v>
      </c>
      <c r="ES58" s="58">
        <f>+SUM(Tabla1[[#This Row],[PF OCTUBRE]:[PF DICIEMBRE
]])</f>
        <v>0</v>
      </c>
      <c r="ET58" s="58">
        <f>+SUM(Tabla1[[#This Row],[EJECUTADO 01]:[EJECUTADO 09]])</f>
        <v>1100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1681</v>
      </c>
      <c r="AF59" s="369" t="s">
        <v>1682</v>
      </c>
      <c r="AG59" s="369" t="s">
        <v>1682</v>
      </c>
      <c r="AH59" s="369">
        <v>148000</v>
      </c>
      <c r="AI59" s="369">
        <v>152761</v>
      </c>
      <c r="AJ59" s="369">
        <v>300761</v>
      </c>
      <c r="AK59" s="370">
        <v>270280</v>
      </c>
      <c r="AL59" s="370">
        <v>270280</v>
      </c>
      <c r="AM59" s="370">
        <v>104780</v>
      </c>
      <c r="AN59" s="370">
        <v>27000</v>
      </c>
      <c r="AO59" s="370">
        <v>36000</v>
      </c>
      <c r="AP59" s="370">
        <v>6000</v>
      </c>
      <c r="AQ59" s="370">
        <v>18000</v>
      </c>
      <c r="AR59" s="370">
        <v>18000</v>
      </c>
      <c r="AS59" s="370">
        <v>0</v>
      </c>
      <c r="AT59" s="370">
        <v>0</v>
      </c>
      <c r="AU59" s="370">
        <v>40500</v>
      </c>
      <c r="AV59" s="370">
        <v>20000</v>
      </c>
      <c r="AW59" s="370">
        <v>0</v>
      </c>
      <c r="AX59" s="370">
        <v>0</v>
      </c>
      <c r="AY59" s="370">
        <v>21000</v>
      </c>
      <c r="AZ59" s="370">
        <v>24360</v>
      </c>
      <c r="BA59" s="370">
        <v>51920</v>
      </c>
      <c r="BB59" s="370">
        <v>37500</v>
      </c>
      <c r="BC59" s="370">
        <v>21000</v>
      </c>
      <c r="BD59" s="370">
        <v>36000</v>
      </c>
      <c r="BE59" s="370">
        <v>18000</v>
      </c>
      <c r="BF59" s="370">
        <v>0</v>
      </c>
      <c r="BG59" s="370">
        <v>0</v>
      </c>
      <c r="BH59" s="370">
        <v>13500</v>
      </c>
      <c r="BI59" s="370">
        <v>0</v>
      </c>
      <c r="BJ59" s="370">
        <v>0</v>
      </c>
      <c r="BK59" s="370">
        <v>21000</v>
      </c>
      <c r="BL59" s="370">
        <v>24360</v>
      </c>
      <c r="BM59" s="370">
        <v>51920</v>
      </c>
      <c r="BN59" s="370">
        <v>37500</v>
      </c>
      <c r="BO59" s="370">
        <v>0</v>
      </c>
      <c r="BP59" s="370">
        <v>48000</v>
      </c>
      <c r="BQ59" s="370">
        <v>27000</v>
      </c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104780</v>
      </c>
      <c r="BX59" s="370">
        <v>27000</v>
      </c>
      <c r="BY59" s="370">
        <v>36000</v>
      </c>
      <c r="BZ59" s="370">
        <v>6000</v>
      </c>
      <c r="CA59" s="370">
        <v>18000</v>
      </c>
      <c r="CB59" s="370">
        <v>18000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2005</v>
      </c>
      <c r="CM59" s="48" t="s">
        <v>1990</v>
      </c>
      <c r="CN59" s="48" t="s">
        <v>1990</v>
      </c>
      <c r="CO59" s="48" t="str">
        <f t="shared" si="16"/>
        <v>2.3.2.9.1.1</v>
      </c>
      <c r="CP59" s="48" t="str">
        <f>+VLOOKUP(Tabla1[[#This Row],[ESPECÍFICA]],CLASIFICADOR_,2,0)</f>
        <v>2.3.2.9.1.1 - LOCACIÓN DE SERVICIOS REALIZADOS POR PERSONA NATURAL</v>
      </c>
      <c r="CQ59" s="48" t="str">
        <f>+VLOOKUP(Tabla1[[#This Row],[ESPECÍFICA]],CLASIFICADOR_,3,0)</f>
        <v>2.3.2.9 - LOCACIÓN DE SERVICIOS REALIZADOS POR PERSONA NATURAL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5"/>
        <v>0005-OPP</v>
      </c>
      <c r="CY59" s="113" t="str">
        <f t="shared" si="6"/>
        <v>0005-OPP</v>
      </c>
      <c r="CZ59" s="20" t="str">
        <f t="shared" si="7"/>
        <v>0005-OPP</v>
      </c>
      <c r="DA59" s="113" t="str">
        <f>+CONCATENATE(Tabla1[[#This Row],[CC COMPLETO]],Tabla1[[#This Row],[ESPECÍFICA]])</f>
        <v>0005-OPP2.3.2.9.1.1</v>
      </c>
      <c r="DB59" s="49">
        <f t="shared" si="8"/>
        <v>270280</v>
      </c>
      <c r="DC59" s="49">
        <f t="shared" si="9"/>
        <v>223280</v>
      </c>
      <c r="DD59" s="49">
        <f t="shared" si="10"/>
        <v>209780</v>
      </c>
      <c r="DE59" s="49">
        <f t="shared" si="11"/>
        <v>30481</v>
      </c>
      <c r="DF59" s="49">
        <f t="shared" si="12"/>
        <v>0</v>
      </c>
      <c r="DG59" s="49">
        <f t="shared" si="13"/>
        <v>47000</v>
      </c>
      <c r="DH59" s="49">
        <f t="shared" si="14"/>
        <v>77481</v>
      </c>
      <c r="DI59" s="50">
        <f t="shared" si="15"/>
        <v>1.5086486486486486</v>
      </c>
      <c r="DJ59" s="78">
        <f>+SUM(Tabla1[[#This Row],[EJECUTADO 01]:[EJECUTADO 06]])</f>
        <v>191780</v>
      </c>
      <c r="DK59" s="78">
        <f>+Tabla1[[#This Row],[mto_devenga_01]]</f>
        <v>21000</v>
      </c>
      <c r="DL59" s="78">
        <f>+Tabla1[[#This Row],[mto_devenga_02]]</f>
        <v>24360</v>
      </c>
      <c r="DM59" s="78">
        <f>+Tabla1[[#This Row],[mto_devenga_03]]</f>
        <v>51920</v>
      </c>
      <c r="DN59" s="78">
        <f>+Tabla1[[#This Row],[mto_devenga_04]]</f>
        <v>37500</v>
      </c>
      <c r="DO59" s="78">
        <f>+Tabla1[[#This Row],[mto_devenga_05]]</f>
        <v>21000</v>
      </c>
      <c r="DP59" s="76">
        <f>+Tabla1[[#This Row],[mto_devenga_06]]</f>
        <v>36000</v>
      </c>
      <c r="DQ59" s="76">
        <f>+Tabla1[[#This Row],[mto_devenga_07]]</f>
        <v>18000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13500</v>
      </c>
      <c r="DU59" s="76">
        <f>IFERROR(VLOOKUP(Tabla1[[#This Row],[COD SE]],PF_OCTUBRE,15,0),"0")</f>
        <v>13500</v>
      </c>
      <c r="DV59" s="76">
        <f>IFERROR(VLOOKUP(Tabla1[[#This Row],[COD SE]],PF_OCTUBRE,16,0),"0")</f>
        <v>13500</v>
      </c>
      <c r="DW59" s="76">
        <f>+SUM(Tabla1[[#This Row],[EJECUTADO 01]:[PF DICIEMBRE
]])</f>
        <v>250280</v>
      </c>
      <c r="DX59" s="76">
        <f>IFERROR(VLOOKUP(Tabla1[[#This Row],[COD SE]],PF_OCTUBRE,18,0),"0")</f>
        <v>0</v>
      </c>
      <c r="DY59" s="76">
        <f>IFERROR(VLOOKUP(Tabla1[[#This Row],[COD SE]],PF_OCTUBRE,19,0),"0")</f>
        <v>94115</v>
      </c>
      <c r="DZ59" s="76">
        <f>IFERROR(VLOOKUP(Tabla1[[#This Row],[COD SE]],PF_OCTUBRE,20,0),"0")</f>
        <v>94115</v>
      </c>
      <c r="EA59" s="76">
        <f>+Tabla1[[#This Row],[TOTAL EJEC REAL]]+Tabla1[[#This Row],[SALDO FINAL]]</f>
        <v>344395</v>
      </c>
      <c r="EB59" s="76">
        <f>IFERROR(VLOOKUP(Tabla1[[#This Row],[COD SE]],PF_OCTUBRE,22,0),"0")</f>
        <v>107615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300761</v>
      </c>
      <c r="EF59" s="76">
        <f>+Tabla1[[#This Row],[mto_pim]]-Tabla1[[#This Row],[TRANFS ESC 3 ]]</f>
        <v>300761</v>
      </c>
      <c r="EG59" s="76">
        <f>+IFERROR(VLOOKUP(Tabla1[[#This Row],[COD SE]],HISTORICO,4,0),0)</f>
        <v>12360</v>
      </c>
      <c r="EH59" s="76">
        <f>+IFERROR(VLOOKUP(Tabla1[[#This Row],[COD SE]],HISTORICO,5,0),0)</f>
        <v>24360</v>
      </c>
      <c r="EI59" s="76">
        <f>+IFERROR(VLOOKUP(Tabla1[[#This Row],[COD SE]],HISTORICO,6,0),0)</f>
        <v>51920</v>
      </c>
      <c r="EJ59" s="76">
        <f>+IFERROR(VLOOKUP(Tabla1[[#This Row],[COD SE]],HISTORICO,7,0),0)</f>
        <v>37500</v>
      </c>
      <c r="EK59" s="76">
        <f>+IFERROR(VLOOKUP(Tabla1[[#This Row],[COD SE]],HISTORICO,8,0),0)</f>
        <v>36000</v>
      </c>
      <c r="EL59" s="76">
        <f>+IFERROR(VLOOKUP(Tabla1[[#This Row],[COD SE]],HISTORICO,9,0),0)</f>
        <v>36000</v>
      </c>
      <c r="EM59" s="76">
        <f>+IFERROR(VLOOKUP(Tabla1[[#This Row],[COD SE]],HISTORICO,10,0),0)</f>
        <v>18000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97280</v>
      </c>
      <c r="EQ59" s="58">
        <f>+SUM(Tabla1[[#This Row],[EJECUTADO 04]:[EJECUTADO 06]])</f>
        <v>94500</v>
      </c>
      <c r="ER59" s="58">
        <f>+SUM(Tabla1[[#This Row],[EJECUTADO 07]:[EJECUTADO 09]])</f>
        <v>18000</v>
      </c>
      <c r="ES59" s="58">
        <f>+SUM(Tabla1[[#This Row],[PF OCTUBRE]:[PF DICIEMBRE
]])</f>
        <v>40500</v>
      </c>
      <c r="ET59" s="58">
        <f>+SUM(Tabla1[[#This Row],[EJECUTADO 01]:[EJECUTADO 09]])</f>
        <v>209780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2006</v>
      </c>
      <c r="AE60" s="369" t="s">
        <v>2007</v>
      </c>
      <c r="AF60" s="369" t="s">
        <v>2007</v>
      </c>
      <c r="AG60" s="369" t="s">
        <v>2008</v>
      </c>
      <c r="AH60" s="369">
        <v>0</v>
      </c>
      <c r="AI60" s="369">
        <v>5830</v>
      </c>
      <c r="AJ60" s="369">
        <v>5830</v>
      </c>
      <c r="AK60" s="370">
        <v>5830</v>
      </c>
      <c r="AL60" s="370">
        <v>5830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>
        <v>0</v>
      </c>
      <c r="AS60" s="370">
        <v>0</v>
      </c>
      <c r="AT60" s="370">
        <v>0</v>
      </c>
      <c r="AU60" s="370">
        <v>5829.7</v>
      </c>
      <c r="AV60" s="370">
        <v>0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0">
        <v>0</v>
      </c>
      <c r="BG60" s="370">
        <v>5829.7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70">
        <v>0</v>
      </c>
      <c r="BR60" s="370">
        <v>0</v>
      </c>
      <c r="BS60" s="370">
        <v>5829.7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0">
        <v>2147.8000000000002</v>
      </c>
      <c r="CF60" s="370">
        <v>0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1993</v>
      </c>
      <c r="CL60" s="48" t="s">
        <v>1990</v>
      </c>
      <c r="CM60" s="48" t="s">
        <v>1990</v>
      </c>
      <c r="CN60" s="48" t="s">
        <v>1988</v>
      </c>
      <c r="CO60" s="48" t="str">
        <f t="shared" si="16"/>
        <v>2.1.4.1.1.6</v>
      </c>
      <c r="CP60" s="48" t="str">
        <f>+VLOOKUP(Tabla1[[#This Row],[ESPECÍFICA]],CLASIFICADOR_,2,0)</f>
        <v>2.1.4.1.1.6 - COMPENSACION VACACIONAL (VACACIONES TRUNCAS) AL PERSONAL ACTIVO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5"/>
        <v>0005-OPP</v>
      </c>
      <c r="CY60" s="113" t="str">
        <f t="shared" si="6"/>
        <v>0005-OPP</v>
      </c>
      <c r="CZ60" s="20" t="str">
        <f t="shared" si="7"/>
        <v>0005-OPP</v>
      </c>
      <c r="DA60" s="113" t="str">
        <f>+CONCATENATE(Tabla1[[#This Row],[CC COMPLETO]],Tabla1[[#This Row],[ESPECÍFICA]])</f>
        <v>0005-OPP2.1.4.1.1.6</v>
      </c>
      <c r="DB60" s="49">
        <f t="shared" si="8"/>
        <v>5829.7</v>
      </c>
      <c r="DC60" s="49">
        <f t="shared" si="9"/>
        <v>5829.7</v>
      </c>
      <c r="DD60" s="49">
        <f t="shared" si="10"/>
        <v>5829.7</v>
      </c>
      <c r="DE60" s="49">
        <f t="shared" si="11"/>
        <v>0</v>
      </c>
      <c r="DF60" s="49">
        <f t="shared" si="12"/>
        <v>0</v>
      </c>
      <c r="DG60" s="49">
        <f t="shared" si="13"/>
        <v>0.3000000000001819</v>
      </c>
      <c r="DH60" s="49">
        <f t="shared" si="14"/>
        <v>0.3000000000001819</v>
      </c>
      <c r="DI60" s="50">
        <f t="shared" si="15"/>
        <v>0</v>
      </c>
      <c r="DJ60" s="78">
        <f>+SUM(Tabla1[[#This Row],[EJECUTADO 01]:[EJECUTADO 06]])</f>
        <v>0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0</v>
      </c>
      <c r="DO60" s="78">
        <f>+Tabla1[[#This Row],[mto_devenga_05]]</f>
        <v>0</v>
      </c>
      <c r="DP60" s="76">
        <f>+Tabla1[[#This Row],[mto_devenga_06]]</f>
        <v>0</v>
      </c>
      <c r="DQ60" s="76">
        <f>+Tabla1[[#This Row],[mto_devenga_07]]</f>
        <v>0</v>
      </c>
      <c r="DR60" s="76">
        <f>+Tabla1[[#This Row],[mto_devenga_08]]</f>
        <v>0</v>
      </c>
      <c r="DS60" s="76">
        <f>+Tabla1[[#This Row],[mto_devenga_09]]</f>
        <v>5829.7</v>
      </c>
      <c r="DT60" s="76">
        <f>IFERROR(VLOOKUP(Tabla1[[#This Row],[COD SE]],PF_OCTUBRE,14,0),"0")</f>
        <v>0</v>
      </c>
      <c r="DU60" s="76">
        <f>IFERROR(VLOOKUP(Tabla1[[#This Row],[COD SE]],PF_OCTUBRE,15,0),"0")</f>
        <v>0</v>
      </c>
      <c r="DV60" s="76">
        <f>IFERROR(VLOOKUP(Tabla1[[#This Row],[COD SE]],PF_OCTUBRE,16,0),"0")</f>
        <v>0</v>
      </c>
      <c r="DW60" s="76">
        <f>+SUM(Tabla1[[#This Row],[EJECUTADO 01]:[PF DICIEMBRE
]])</f>
        <v>5829.7</v>
      </c>
      <c r="DX60" s="76">
        <f>IFERROR(VLOOKUP(Tabla1[[#This Row],[COD SE]],PF_OCTUBRE,18,0),"0")</f>
        <v>0</v>
      </c>
      <c r="DY60" s="76">
        <f>IFERROR(VLOOKUP(Tabla1[[#This Row],[COD SE]],PF_OCTUBRE,19,0),"0")</f>
        <v>0.3</v>
      </c>
      <c r="DZ60" s="76">
        <f>IFERROR(VLOOKUP(Tabla1[[#This Row],[COD SE]],PF_OCTUBRE,20,0),"0")</f>
        <v>0.3</v>
      </c>
      <c r="EA60" s="76">
        <f>+Tabla1[[#This Row],[TOTAL EJEC REAL]]+Tabla1[[#This Row],[SALDO FINAL]]</f>
        <v>5830</v>
      </c>
      <c r="EB60" s="76">
        <f>IFERROR(VLOOKUP(Tabla1[[#This Row],[COD SE]],PF_OCTUBRE,22,0),"0")</f>
        <v>0.3</v>
      </c>
      <c r="EC60" s="76">
        <f>+IFERROR(VLOOKUP(Tabla1[[#This Row],[COD SE]],SALDO_ESC_2,7,0),0)</f>
        <v>0</v>
      </c>
      <c r="ED60" s="76">
        <f>+IFERROR(VLOOKUP(Tabla1[[#This Row],[COD SE]],SALDO_ESC_3,7,0),0)</f>
        <v>0.3</v>
      </c>
      <c r="EE60" s="76">
        <f>+Tabla1[[#This Row],[mto_pim]]-Tabla1[[#This Row],[TRANSF ESC2 ]]</f>
        <v>5830</v>
      </c>
      <c r="EF60" s="76">
        <f>+Tabla1[[#This Row],[mto_pim]]-Tabla1[[#This Row],[TRANFS ESC 3 ]]</f>
        <v>5829.7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0</v>
      </c>
      <c r="EL60" s="76">
        <f>+IFERROR(VLOOKUP(Tabla1[[#This Row],[COD SE]],HISTORICO,9,0),0)</f>
        <v>0</v>
      </c>
      <c r="EM60" s="76">
        <f>+IFERROR(VLOOKUP(Tabla1[[#This Row],[COD SE]],HISTORICO,10,0),0)</f>
        <v>0</v>
      </c>
      <c r="EN60" s="76">
        <f>+IFERROR(VLOOKUP(Tabla1[[#This Row],[COD SE]],HISTORICO,11,0),0)</f>
        <v>0</v>
      </c>
      <c r="EO60" s="76">
        <f>+IFERROR(VLOOKUP(Tabla1[[#This Row],[COD SE]],HISTORICO,12,0),0)</f>
        <v>0</v>
      </c>
      <c r="EP60" s="58">
        <f>+SUM(Tabla1[[#This Row],[EJECUTADO 01]:[EJECUTADO 03]])</f>
        <v>0</v>
      </c>
      <c r="EQ60" s="58">
        <f>+SUM(Tabla1[[#This Row],[EJECUTADO 04]:[EJECUTADO 06]])</f>
        <v>0</v>
      </c>
      <c r="ER60" s="58">
        <f>+SUM(Tabla1[[#This Row],[EJECUTADO 07]:[EJECUTADO 09]])</f>
        <v>5829.7</v>
      </c>
      <c r="ES60" s="58">
        <f>+SUM(Tabla1[[#This Row],[PF OCTUBRE]:[PF DICIEMBRE
]])</f>
        <v>0</v>
      </c>
      <c r="ET60" s="58">
        <f>+SUM(Tabla1[[#This Row],[EJECUTADO 01]:[EJECUTADO 09]])</f>
        <v>5829.7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2009</v>
      </c>
      <c r="AH61" s="369">
        <v>0</v>
      </c>
      <c r="AI61" s="369">
        <v>13909</v>
      </c>
      <c r="AJ61" s="369">
        <v>13909</v>
      </c>
      <c r="AK61" s="370">
        <v>6955</v>
      </c>
      <c r="AL61" s="370">
        <v>6955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4855.3999999999996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4855.3999999999996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4855.3999999999996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4855.3999999999996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1990</v>
      </c>
      <c r="CO61" s="48" t="str">
        <f t="shared" si="16"/>
        <v>2.1.4.1.1.1</v>
      </c>
      <c r="CP61" s="48" t="str">
        <f>+VLOOKUP(Tabla1[[#This Row],[ESPECÍFICA]],CLASIFICADOR_,2,0)</f>
        <v>2.1.4.1.1.1 - COMPENSACION POR TIEMPO DE SERVICIOS DEL REGIMEN LABORAL PRIVADO Y REGIMEN DEL SERVICIO CIVIL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5"/>
        <v>0005-OPP</v>
      </c>
      <c r="CY61" s="113" t="str">
        <f t="shared" si="6"/>
        <v>0005-OPP</v>
      </c>
      <c r="CZ61" s="20" t="str">
        <f t="shared" si="7"/>
        <v>0005-OPP</v>
      </c>
      <c r="DA61" s="113" t="str">
        <f>+CONCATENATE(Tabla1[[#This Row],[CC COMPLETO]],Tabla1[[#This Row],[ESPECÍFICA]])</f>
        <v>0005-OPP2.1.4.1.1.1</v>
      </c>
      <c r="DB61" s="49">
        <f t="shared" si="8"/>
        <v>4855.3999999999996</v>
      </c>
      <c r="DC61" s="49">
        <f t="shared" si="9"/>
        <v>4855.3999999999996</v>
      </c>
      <c r="DD61" s="49">
        <f t="shared" si="10"/>
        <v>4855.3999999999996</v>
      </c>
      <c r="DE61" s="49">
        <f t="shared" si="11"/>
        <v>6954</v>
      </c>
      <c r="DF61" s="49">
        <f t="shared" si="12"/>
        <v>0</v>
      </c>
      <c r="DG61" s="49">
        <f t="shared" si="13"/>
        <v>2099.6000000000004</v>
      </c>
      <c r="DH61" s="49">
        <f t="shared" si="14"/>
        <v>9053.6</v>
      </c>
      <c r="DI61" s="50">
        <f t="shared" si="15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4855.3999999999996</v>
      </c>
      <c r="DT61" s="76">
        <f>IFERROR(VLOOKUP(Tabla1[[#This Row],[COD SE]],PF_OCTUBRE,14,0),"0")</f>
        <v>0</v>
      </c>
      <c r="DU61" s="76">
        <f>IFERROR(VLOOKUP(Tabla1[[#This Row],[COD SE]],PF_OCTUBRE,15,0),"0")</f>
        <v>6954.68</v>
      </c>
      <c r="DV61" s="76">
        <f>IFERROR(VLOOKUP(Tabla1[[#This Row],[COD SE]],PF_OCTUBRE,16,0),"0")</f>
        <v>0</v>
      </c>
      <c r="DW61" s="76">
        <f>+SUM(Tabla1[[#This Row],[EJECUTADO 01]:[PF DICIEMBRE
]])</f>
        <v>11810.08</v>
      </c>
      <c r="DX61" s="76">
        <f>IFERROR(VLOOKUP(Tabla1[[#This Row],[COD SE]],PF_OCTUBRE,18,0),"0")</f>
        <v>0</v>
      </c>
      <c r="DY61" s="76">
        <f>IFERROR(VLOOKUP(Tabla1[[#This Row],[COD SE]],PF_OCTUBRE,19,0),"0")</f>
        <v>2098.92</v>
      </c>
      <c r="DZ61" s="76">
        <f>IFERROR(VLOOKUP(Tabla1[[#This Row],[COD SE]],PF_OCTUBRE,20,0),"0")</f>
        <v>2098.92</v>
      </c>
      <c r="EA61" s="76">
        <f>+Tabla1[[#This Row],[TOTAL EJEC REAL]]+Tabla1[[#This Row],[SALDO FINAL]]</f>
        <v>13909</v>
      </c>
      <c r="EB61" s="76">
        <f>IFERROR(VLOOKUP(Tabla1[[#This Row],[COD SE]],PF_OCTUBRE,22,0),"0")</f>
        <v>2098.92</v>
      </c>
      <c r="EC61" s="76">
        <f>+IFERROR(VLOOKUP(Tabla1[[#This Row],[COD SE]],SALDO_ESC_2,7,0),0)</f>
        <v>0</v>
      </c>
      <c r="ED61" s="76">
        <f>+IFERROR(VLOOKUP(Tabla1[[#This Row],[COD SE]],SALDO_ESC_3,7,0),0)</f>
        <v>2098.92</v>
      </c>
      <c r="EE61" s="76">
        <f>+Tabla1[[#This Row],[mto_pim]]-Tabla1[[#This Row],[TRANSF ESC2 ]]</f>
        <v>13909</v>
      </c>
      <c r="EF61" s="76">
        <f>+Tabla1[[#This Row],[mto_pim]]-Tabla1[[#This Row],[TRANFS ESC 3 ]]</f>
        <v>11810.08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4855.3999999999996</v>
      </c>
      <c r="ES61" s="58">
        <f>+SUM(Tabla1[[#This Row],[PF OCTUBRE]:[PF DICIEMBRE
]])</f>
        <v>6954.68</v>
      </c>
      <c r="ET61" s="58">
        <f>+SUM(Tabla1[[#This Row],[EJECUTADO 01]:[EJECUTADO 09]])</f>
        <v>4855.3999999999996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1656</v>
      </c>
      <c r="AD62" s="369" t="s">
        <v>1657</v>
      </c>
      <c r="AE62" s="369" t="s">
        <v>1664</v>
      </c>
      <c r="AF62" s="369" t="s">
        <v>1665</v>
      </c>
      <c r="AG62" s="369" t="s">
        <v>1667</v>
      </c>
      <c r="AH62" s="369">
        <v>9600</v>
      </c>
      <c r="AI62" s="369">
        <v>600</v>
      </c>
      <c r="AJ62" s="369">
        <v>10200</v>
      </c>
      <c r="AK62" s="370">
        <v>8700</v>
      </c>
      <c r="AL62" s="370">
        <v>8600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>
        <v>0</v>
      </c>
      <c r="AS62" s="370">
        <v>3800</v>
      </c>
      <c r="AT62" s="370">
        <v>0</v>
      </c>
      <c r="AU62" s="370">
        <v>0</v>
      </c>
      <c r="AV62" s="370">
        <v>0</v>
      </c>
      <c r="AW62" s="370">
        <v>0</v>
      </c>
      <c r="AX62" s="370">
        <v>0</v>
      </c>
      <c r="AY62" s="370">
        <v>0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3800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>
        <v>0</v>
      </c>
      <c r="BN62" s="370">
        <v>0</v>
      </c>
      <c r="BO62" s="370">
        <v>0</v>
      </c>
      <c r="BP62" s="370">
        <v>0</v>
      </c>
      <c r="BQ62" s="370">
        <v>3800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3800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1990</v>
      </c>
      <c r="CK62" s="48" t="s">
        <v>1990</v>
      </c>
      <c r="CL62" s="48" t="s">
        <v>2005</v>
      </c>
      <c r="CM62" s="48" t="s">
        <v>1990</v>
      </c>
      <c r="CN62" s="48" t="s">
        <v>1993</v>
      </c>
      <c r="CO62" s="48" t="str">
        <f t="shared" si="16"/>
        <v>2.1.1.9.1.4</v>
      </c>
      <c r="CP62" s="48" t="str">
        <f>+VLOOKUP(Tabla1[[#This Row],[ESPECÍFICA]],CLASIFICADOR_,2,0)</f>
        <v>2.1.1.9.1.4 - AGUINALDOS DE CONTRATO ADMINISTRATIVO DE SERVICIOS</v>
      </c>
      <c r="CQ62" s="48" t="str">
        <f>+VLOOKUP(Tabla1[[#This Row],[ESPECÍFICA]],CLASIFICADOR_,3,0)</f>
        <v>01.CAS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2.1.PERSONAL Y OBLIGACIONES SOCIALES</v>
      </c>
      <c r="CX62" s="48" t="str">
        <f t="shared" si="5"/>
        <v>0005-OPP</v>
      </c>
      <c r="CY62" s="113" t="str">
        <f t="shared" si="6"/>
        <v>0005-OPP</v>
      </c>
      <c r="CZ62" s="20" t="str">
        <f t="shared" si="7"/>
        <v>0005-OPP</v>
      </c>
      <c r="DA62" s="113" t="str">
        <f>+CONCATENATE(Tabla1[[#This Row],[CC COMPLETO]],Tabla1[[#This Row],[ESPECÍFICA]])</f>
        <v>0005-OPP2.1.1.9.1.4</v>
      </c>
      <c r="DB62" s="49">
        <f t="shared" si="8"/>
        <v>3800</v>
      </c>
      <c r="DC62" s="49">
        <f t="shared" si="9"/>
        <v>3800</v>
      </c>
      <c r="DD62" s="49">
        <f t="shared" si="10"/>
        <v>3800</v>
      </c>
      <c r="DE62" s="49">
        <f t="shared" si="11"/>
        <v>1500</v>
      </c>
      <c r="DF62" s="49">
        <f t="shared" si="12"/>
        <v>100</v>
      </c>
      <c r="DG62" s="49">
        <f t="shared" si="13"/>
        <v>4800</v>
      </c>
      <c r="DH62" s="49">
        <f t="shared" si="14"/>
        <v>6400</v>
      </c>
      <c r="DI62" s="50">
        <f t="shared" si="15"/>
        <v>0.39583333333333331</v>
      </c>
      <c r="DJ62" s="78">
        <f>+SUM(Tabla1[[#This Row],[EJECUTADO 01]:[EJECUTADO 06]])</f>
        <v>0</v>
      </c>
      <c r="DK62" s="78">
        <f>+Tabla1[[#This Row],[mto_devenga_01]]</f>
        <v>0</v>
      </c>
      <c r="DL62" s="78">
        <f>+Tabla1[[#This Row],[mto_devenga_02]]</f>
        <v>0</v>
      </c>
      <c r="DM62" s="78">
        <f>+Tabla1[[#This Row],[mto_devenga_03]]</f>
        <v>0</v>
      </c>
      <c r="DN62" s="78">
        <f>+Tabla1[[#This Row],[mto_devenga_04]]</f>
        <v>0</v>
      </c>
      <c r="DO62" s="78">
        <f>+Tabla1[[#This Row],[mto_devenga_05]]</f>
        <v>0</v>
      </c>
      <c r="DP62" s="76">
        <f>+Tabla1[[#This Row],[mto_devenga_06]]</f>
        <v>0</v>
      </c>
      <c r="DQ62" s="76">
        <f>+Tabla1[[#This Row],[mto_devenga_07]]</f>
        <v>3800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0</v>
      </c>
      <c r="DU62" s="76">
        <f>IFERROR(VLOOKUP(Tabla1[[#This Row],[COD SE]],PF_OCTUBRE,15,0),"0")</f>
        <v>0</v>
      </c>
      <c r="DV62" s="76">
        <f>IFERROR(VLOOKUP(Tabla1[[#This Row],[COD SE]],PF_OCTUBRE,16,0),"0")</f>
        <v>4800</v>
      </c>
      <c r="DW62" s="76">
        <f>+SUM(Tabla1[[#This Row],[EJECUTADO 01]:[PF DICIEMBRE
]])</f>
        <v>8600</v>
      </c>
      <c r="DX62" s="76">
        <f>IFERROR(VLOOKUP(Tabla1[[#This Row],[COD SE]],PF_OCTUBRE,18,0),"0")</f>
        <v>0</v>
      </c>
      <c r="DY62" s="76">
        <f>IFERROR(VLOOKUP(Tabla1[[#This Row],[COD SE]],PF_OCTUBRE,19,0),"0")</f>
        <v>1600</v>
      </c>
      <c r="DZ62" s="76">
        <f>IFERROR(VLOOKUP(Tabla1[[#This Row],[COD SE]],PF_OCTUBRE,20,0),"0")</f>
        <v>1600</v>
      </c>
      <c r="EA62" s="76">
        <f>+Tabla1[[#This Row],[TOTAL EJEC REAL]]+Tabla1[[#This Row],[SALDO FINAL]]</f>
        <v>10200</v>
      </c>
      <c r="EB62" s="76">
        <f>IFERROR(VLOOKUP(Tabla1[[#This Row],[COD SE]],PF_OCTUBRE,22,0),"0")</f>
        <v>6400</v>
      </c>
      <c r="EC62" s="76">
        <f>+IFERROR(VLOOKUP(Tabla1[[#This Row],[COD SE]],SALDO_ESC_2,7,0),0)</f>
        <v>0</v>
      </c>
      <c r="ED62" s="76">
        <f>+IFERROR(VLOOKUP(Tabla1[[#This Row],[COD SE]],SALDO_ESC_3,7,0),0)</f>
        <v>1600</v>
      </c>
      <c r="EE62" s="76">
        <f>+Tabla1[[#This Row],[mto_pim]]-Tabla1[[#This Row],[TRANSF ESC2 ]]</f>
        <v>10200</v>
      </c>
      <c r="EF62" s="76">
        <f>+Tabla1[[#This Row],[mto_pim]]-Tabla1[[#This Row],[TRANFS ESC 3 ]]</f>
        <v>8600</v>
      </c>
      <c r="EG62" s="76">
        <f>+IFERROR(VLOOKUP(Tabla1[[#This Row],[COD SE]],HISTORICO,4,0),0)</f>
        <v>0</v>
      </c>
      <c r="EH62" s="76">
        <f>+IFERROR(VLOOKUP(Tabla1[[#This Row],[COD SE]],HISTORICO,5,0),0)</f>
        <v>0</v>
      </c>
      <c r="EI62" s="76">
        <f>+IFERROR(VLOOKUP(Tabla1[[#This Row],[COD SE]],HISTORICO,6,0),0)</f>
        <v>0</v>
      </c>
      <c r="EJ62" s="76">
        <f>+IFERROR(VLOOKUP(Tabla1[[#This Row],[COD SE]],HISTORICO,7,0),0)</f>
        <v>0</v>
      </c>
      <c r="EK62" s="76">
        <f>+IFERROR(VLOOKUP(Tabla1[[#This Row],[COD SE]],HISTORICO,8,0),0)</f>
        <v>0</v>
      </c>
      <c r="EL62" s="76">
        <f>+IFERROR(VLOOKUP(Tabla1[[#This Row],[COD SE]],HISTORICO,9,0),0)</f>
        <v>0</v>
      </c>
      <c r="EM62" s="76">
        <f>+IFERROR(VLOOKUP(Tabla1[[#This Row],[COD SE]],HISTORICO,10,0),0)</f>
        <v>3900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0</v>
      </c>
      <c r="EQ62" s="58">
        <f>+SUM(Tabla1[[#This Row],[EJECUTADO 04]:[EJECUTADO 06]])</f>
        <v>0</v>
      </c>
      <c r="ER62" s="58">
        <f>+SUM(Tabla1[[#This Row],[EJECUTADO 07]:[EJECUTADO 09]])</f>
        <v>3800</v>
      </c>
      <c r="ES62" s="58">
        <f>+SUM(Tabla1[[#This Row],[PF OCTUBRE]:[PF DICIEMBRE
]])</f>
        <v>4800</v>
      </c>
      <c r="ET62" s="58">
        <f>+SUM(Tabla1[[#This Row],[EJECUTADO 01]:[EJECUTADO 09]])</f>
        <v>3800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1672</v>
      </c>
      <c r="AD63" s="369" t="s">
        <v>1673</v>
      </c>
      <c r="AE63" s="369" t="s">
        <v>1678</v>
      </c>
      <c r="AF63" s="369" t="s">
        <v>1810</v>
      </c>
      <c r="AG63" s="369" t="s">
        <v>2016</v>
      </c>
      <c r="AH63" s="369">
        <v>0</v>
      </c>
      <c r="AI63" s="369">
        <v>5650</v>
      </c>
      <c r="AJ63" s="369">
        <v>5650</v>
      </c>
      <c r="AK63" s="370">
        <v>5650</v>
      </c>
      <c r="AL63" s="370">
        <v>5650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>
        <v>0</v>
      </c>
      <c r="AS63" s="370">
        <v>0</v>
      </c>
      <c r="AT63" s="370">
        <v>188.33</v>
      </c>
      <c r="AU63" s="370">
        <v>1130</v>
      </c>
      <c r="AV63" s="370">
        <v>1130</v>
      </c>
      <c r="AW63" s="370">
        <v>0</v>
      </c>
      <c r="AX63" s="370">
        <v>0</v>
      </c>
      <c r="AY63" s="370">
        <v>0</v>
      </c>
      <c r="AZ63" s="370">
        <v>0</v>
      </c>
      <c r="BA63" s="370">
        <v>0</v>
      </c>
      <c r="BB63" s="370">
        <v>0</v>
      </c>
      <c r="BC63" s="370">
        <v>0</v>
      </c>
      <c r="BD63" s="370">
        <v>0</v>
      </c>
      <c r="BE63" s="370">
        <v>0</v>
      </c>
      <c r="BF63" s="370">
        <v>188.33</v>
      </c>
      <c r="BG63" s="370">
        <v>1130</v>
      </c>
      <c r="BH63" s="370">
        <v>1130</v>
      </c>
      <c r="BI63" s="370">
        <v>0</v>
      </c>
      <c r="BJ63" s="370">
        <v>0</v>
      </c>
      <c r="BK63" s="370">
        <v>0</v>
      </c>
      <c r="BL63" s="370">
        <v>0</v>
      </c>
      <c r="BM63" s="370">
        <v>0</v>
      </c>
      <c r="BN63" s="370">
        <v>0</v>
      </c>
      <c r="BO63" s="370">
        <v>0</v>
      </c>
      <c r="BP63" s="370">
        <v>0</v>
      </c>
      <c r="BQ63" s="370">
        <v>0</v>
      </c>
      <c r="BR63" s="370">
        <v>188.33</v>
      </c>
      <c r="BS63" s="370">
        <v>1130</v>
      </c>
      <c r="BT63" s="370">
        <v>1130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188.33</v>
      </c>
      <c r="CE63" s="370">
        <v>1130</v>
      </c>
      <c r="CF63" s="370">
        <v>1130</v>
      </c>
      <c r="CG63" s="370">
        <v>0</v>
      </c>
      <c r="CH63" s="370">
        <v>0</v>
      </c>
      <c r="CI63" s="48" t="s">
        <v>1987</v>
      </c>
      <c r="CJ63" s="48" t="s">
        <v>1991</v>
      </c>
      <c r="CK63" s="48" t="s">
        <v>1987</v>
      </c>
      <c r="CL63" s="48" t="s">
        <v>1989</v>
      </c>
      <c r="CM63" s="48" t="s">
        <v>2011</v>
      </c>
      <c r="CN63" s="48" t="s">
        <v>1987</v>
      </c>
      <c r="CO63" s="48" t="str">
        <f t="shared" si="16"/>
        <v>2.3.2.7.5.2</v>
      </c>
      <c r="CP63" s="48" t="str">
        <f>+VLOOKUP(Tabla1[[#This Row],[ESPECÍFICA]],CLASIFICADOR_,2,0)</f>
        <v>2.3.2.7.5.2 - PROPINAS PARA PRACTICANTES</v>
      </c>
      <c r="CQ63" s="48" t="str">
        <f>+VLOOKUP(Tabla1[[#This Row],[ESPECÍFICA]],CLASIFICADOR_,3,0)</f>
        <v>2.3.2.7 - SERVICIOS PROFESIONALES Y TECNICOS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2.3.BIENES Y SERVICIOS</v>
      </c>
      <c r="CX63" s="48" t="str">
        <f t="shared" si="5"/>
        <v>0005-OPP</v>
      </c>
      <c r="CY63" s="113" t="str">
        <f t="shared" si="6"/>
        <v>0005-OPP</v>
      </c>
      <c r="CZ63" s="20" t="str">
        <f t="shared" si="7"/>
        <v>0005-OPP</v>
      </c>
      <c r="DA63" s="113" t="str">
        <f>+CONCATENATE(Tabla1[[#This Row],[CC COMPLETO]],Tabla1[[#This Row],[ESPECÍFICA]])</f>
        <v>0005-OPP2.3.2.7.5.2</v>
      </c>
      <c r="DB63" s="49">
        <f t="shared" si="8"/>
        <v>2448.33</v>
      </c>
      <c r="DC63" s="49">
        <f t="shared" si="9"/>
        <v>2448.33</v>
      </c>
      <c r="DD63" s="49">
        <f t="shared" si="10"/>
        <v>2448.33</v>
      </c>
      <c r="DE63" s="49">
        <f t="shared" si="11"/>
        <v>0</v>
      </c>
      <c r="DF63" s="49">
        <f t="shared" si="12"/>
        <v>0</v>
      </c>
      <c r="DG63" s="49">
        <f t="shared" si="13"/>
        <v>3201.67</v>
      </c>
      <c r="DH63" s="49">
        <f t="shared" si="14"/>
        <v>3201.67</v>
      </c>
      <c r="DI63" s="50">
        <f t="shared" si="15"/>
        <v>0</v>
      </c>
      <c r="DJ63" s="78">
        <f>+SUM(Tabla1[[#This Row],[EJECUTADO 01]:[EJECUTADO 06]])</f>
        <v>0</v>
      </c>
      <c r="DK63" s="78">
        <f>+Tabla1[[#This Row],[mto_devenga_01]]</f>
        <v>0</v>
      </c>
      <c r="DL63" s="78">
        <f>+Tabla1[[#This Row],[mto_devenga_02]]</f>
        <v>0</v>
      </c>
      <c r="DM63" s="78">
        <f>+Tabla1[[#This Row],[mto_devenga_03]]</f>
        <v>0</v>
      </c>
      <c r="DN63" s="78">
        <f>+Tabla1[[#This Row],[mto_devenga_04]]</f>
        <v>0</v>
      </c>
      <c r="DO63" s="78">
        <f>+Tabla1[[#This Row],[mto_devenga_05]]</f>
        <v>0</v>
      </c>
      <c r="DP63" s="76">
        <f>+Tabla1[[#This Row],[mto_devenga_06]]</f>
        <v>0</v>
      </c>
      <c r="DQ63" s="76">
        <f>+Tabla1[[#This Row],[mto_devenga_07]]</f>
        <v>0</v>
      </c>
      <c r="DR63" s="76">
        <f>+Tabla1[[#This Row],[mto_devenga_08]]</f>
        <v>188.33</v>
      </c>
      <c r="DS63" s="76">
        <f>+Tabla1[[#This Row],[mto_devenga_09]]</f>
        <v>1130</v>
      </c>
      <c r="DT63" s="76">
        <f>IFERROR(VLOOKUP(Tabla1[[#This Row],[COD SE]],PF_OCTUBRE,14,0),"0")</f>
        <v>1130</v>
      </c>
      <c r="DU63" s="76">
        <f>IFERROR(VLOOKUP(Tabla1[[#This Row],[COD SE]],PF_OCTUBRE,15,0),"0")</f>
        <v>1130</v>
      </c>
      <c r="DV63" s="76">
        <f>IFERROR(VLOOKUP(Tabla1[[#This Row],[COD SE]],PF_OCTUBRE,16,0),"0")</f>
        <v>2071.67</v>
      </c>
      <c r="DW63" s="76">
        <f>+SUM(Tabla1[[#This Row],[EJECUTADO 01]:[PF DICIEMBRE
]])</f>
        <v>5650</v>
      </c>
      <c r="DX63" s="76">
        <f>IFERROR(VLOOKUP(Tabla1[[#This Row],[COD SE]],PF_OCTUBRE,18,0),"0")</f>
        <v>0</v>
      </c>
      <c r="DY63" s="76">
        <f>IFERROR(VLOOKUP(Tabla1[[#This Row],[COD SE]],PF_OCTUBRE,19,0),"0")</f>
        <v>0</v>
      </c>
      <c r="DZ63" s="76">
        <f>IFERROR(VLOOKUP(Tabla1[[#This Row],[COD SE]],PF_OCTUBRE,20,0),"0")</f>
        <v>0</v>
      </c>
      <c r="EA63" s="76">
        <f>+Tabla1[[#This Row],[TOTAL EJEC REAL]]+Tabla1[[#This Row],[SALDO FINAL]]</f>
        <v>5650</v>
      </c>
      <c r="EB63" s="76">
        <f>IFERROR(VLOOKUP(Tabla1[[#This Row],[COD SE]],PF_OCTUBRE,22,0),"0")</f>
        <v>2071.67</v>
      </c>
      <c r="EC63" s="76">
        <f>+IFERROR(VLOOKUP(Tabla1[[#This Row],[COD SE]],SALDO_ESC_2,7,0),0)</f>
        <v>0</v>
      </c>
      <c r="ED63" s="76">
        <f>+IFERROR(VLOOKUP(Tabla1[[#This Row],[COD SE]],SALDO_ESC_3,7,0),0)</f>
        <v>0</v>
      </c>
      <c r="EE63" s="76">
        <f>+Tabla1[[#This Row],[mto_pim]]-Tabla1[[#This Row],[TRANSF ESC2 ]]</f>
        <v>5650</v>
      </c>
      <c r="EF63" s="76">
        <f>+Tabla1[[#This Row],[mto_pim]]-Tabla1[[#This Row],[TRANFS ESC 3 ]]</f>
        <v>5650</v>
      </c>
      <c r="EG63" s="76">
        <f>+IFERROR(VLOOKUP(Tabla1[[#This Row],[COD SE]],HISTORICO,4,0),0)</f>
        <v>0</v>
      </c>
      <c r="EH63" s="76">
        <f>+IFERROR(VLOOKUP(Tabla1[[#This Row],[COD SE]],HISTORICO,5,0),0)</f>
        <v>0</v>
      </c>
      <c r="EI63" s="76">
        <f>+IFERROR(VLOOKUP(Tabla1[[#This Row],[COD SE]],HISTORICO,6,0),0)</f>
        <v>0</v>
      </c>
      <c r="EJ63" s="76">
        <f>+IFERROR(VLOOKUP(Tabla1[[#This Row],[COD SE]],HISTORICO,7,0),0)</f>
        <v>0</v>
      </c>
      <c r="EK63" s="76">
        <f>+IFERROR(VLOOKUP(Tabla1[[#This Row],[COD SE]],HISTORICO,8,0),0)</f>
        <v>0</v>
      </c>
      <c r="EL63" s="76">
        <f>+IFERROR(VLOOKUP(Tabla1[[#This Row],[COD SE]],HISTORICO,9,0),0)</f>
        <v>0</v>
      </c>
      <c r="EM63" s="76">
        <f>+IFERROR(VLOOKUP(Tabla1[[#This Row],[COD SE]],HISTORICO,10,0),0)</f>
        <v>0</v>
      </c>
      <c r="EN63" s="76">
        <f>+IFERROR(VLOOKUP(Tabla1[[#This Row],[COD SE]],HISTORICO,11,0),0)</f>
        <v>0</v>
      </c>
      <c r="EO63" s="76">
        <f>+IFERROR(VLOOKUP(Tabla1[[#This Row],[COD SE]],HISTORICO,12,0),0)</f>
        <v>1130</v>
      </c>
      <c r="EP63" s="58">
        <f>+SUM(Tabla1[[#This Row],[EJECUTADO 01]:[EJECUTADO 03]])</f>
        <v>0</v>
      </c>
      <c r="EQ63" s="58">
        <f>+SUM(Tabla1[[#This Row],[EJECUTADO 04]:[EJECUTADO 06]])</f>
        <v>0</v>
      </c>
      <c r="ER63" s="58">
        <f>+SUM(Tabla1[[#This Row],[EJECUTADO 07]:[EJECUTADO 09]])</f>
        <v>1318.33</v>
      </c>
      <c r="ES63" s="58">
        <f>+SUM(Tabla1[[#This Row],[PF OCTUBRE]:[PF DICIEMBRE
]])</f>
        <v>4331.67</v>
      </c>
      <c r="ET63" s="58">
        <f>+SUM(Tabla1[[#This Row],[EJECUTADO 01]:[EJECUTADO 09]])</f>
        <v>1318.33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1656</v>
      </c>
      <c r="AD64" s="369" t="s">
        <v>1668</v>
      </c>
      <c r="AE64" s="369" t="s">
        <v>1669</v>
      </c>
      <c r="AF64" s="369" t="s">
        <v>1669</v>
      </c>
      <c r="AG64" s="369" t="s">
        <v>1671</v>
      </c>
      <c r="AH64" s="369">
        <v>40043</v>
      </c>
      <c r="AI64" s="369">
        <v>4160</v>
      </c>
      <c r="AJ64" s="369">
        <v>44203</v>
      </c>
      <c r="AK64" s="370">
        <v>37702.32</v>
      </c>
      <c r="AL64" s="370">
        <v>37674</v>
      </c>
      <c r="AM64" s="370">
        <v>2816.84</v>
      </c>
      <c r="AN64" s="370">
        <v>2816.84</v>
      </c>
      <c r="AO64" s="370">
        <v>2816.84</v>
      </c>
      <c r="AP64" s="370">
        <v>2816.84</v>
      </c>
      <c r="AQ64" s="370">
        <v>3221.03</v>
      </c>
      <c r="AR64" s="370">
        <v>2816.84</v>
      </c>
      <c r="AS64" s="370">
        <v>3250.2</v>
      </c>
      <c r="AT64" s="370">
        <v>3250.2</v>
      </c>
      <c r="AU64" s="370">
        <v>3466.88</v>
      </c>
      <c r="AV64" s="370">
        <v>3466.88</v>
      </c>
      <c r="AW64" s="370">
        <v>0</v>
      </c>
      <c r="AX64" s="370">
        <v>0</v>
      </c>
      <c r="AY64" s="370">
        <v>2816.84</v>
      </c>
      <c r="AZ64" s="370">
        <v>2816.84</v>
      </c>
      <c r="BA64" s="370">
        <v>2816.84</v>
      </c>
      <c r="BB64" s="370">
        <v>2816.84</v>
      </c>
      <c r="BC64" s="370">
        <v>3221.03</v>
      </c>
      <c r="BD64" s="370">
        <v>2816.84</v>
      </c>
      <c r="BE64" s="370">
        <v>3250.2</v>
      </c>
      <c r="BF64" s="370">
        <v>3250.2</v>
      </c>
      <c r="BG64" s="370">
        <v>3466.88</v>
      </c>
      <c r="BH64" s="370">
        <v>3466.88</v>
      </c>
      <c r="BI64" s="370">
        <v>0</v>
      </c>
      <c r="BJ64" s="370">
        <v>0</v>
      </c>
      <c r="BK64" s="370">
        <v>2816.84</v>
      </c>
      <c r="BL64" s="370">
        <v>2816.84</v>
      </c>
      <c r="BM64" s="370">
        <v>2816.84</v>
      </c>
      <c r="BN64" s="370">
        <v>2816.84</v>
      </c>
      <c r="BO64" s="370">
        <v>3221.03</v>
      </c>
      <c r="BP64" s="370">
        <v>2816.84</v>
      </c>
      <c r="BQ64" s="370">
        <v>3250.2</v>
      </c>
      <c r="BR64" s="370">
        <v>3250.2</v>
      </c>
      <c r="BS64" s="370">
        <v>3466.88</v>
      </c>
      <c r="BT64" s="370">
        <v>3466.88</v>
      </c>
      <c r="BU64" s="370">
        <v>0</v>
      </c>
      <c r="BV64" s="370">
        <v>0</v>
      </c>
      <c r="BW64" s="370">
        <v>2816.84</v>
      </c>
      <c r="BX64" s="370">
        <v>2816.84</v>
      </c>
      <c r="BY64" s="370">
        <v>2816.84</v>
      </c>
      <c r="BZ64" s="370">
        <v>2816.84</v>
      </c>
      <c r="CA64" s="370">
        <v>3221.03</v>
      </c>
      <c r="CB64" s="370">
        <v>2816.84</v>
      </c>
      <c r="CC64" s="370">
        <v>3250.2</v>
      </c>
      <c r="CD64" s="370">
        <v>3250.2</v>
      </c>
      <c r="CE64" s="370">
        <v>3466.88</v>
      </c>
      <c r="CF64" s="370">
        <v>3466.88</v>
      </c>
      <c r="CG64" s="370">
        <v>0</v>
      </c>
      <c r="CH64" s="370">
        <v>0</v>
      </c>
      <c r="CI64" s="48" t="s">
        <v>1987</v>
      </c>
      <c r="CJ64" s="48" t="s">
        <v>1990</v>
      </c>
      <c r="CK64" s="48" t="s">
        <v>1991</v>
      </c>
      <c r="CL64" s="48" t="s">
        <v>1990</v>
      </c>
      <c r="CM64" s="48" t="s">
        <v>1990</v>
      </c>
      <c r="CN64" s="48" t="s">
        <v>2014</v>
      </c>
      <c r="CO64" s="48" t="str">
        <f t="shared" si="16"/>
        <v>2.1.3.1.1.15</v>
      </c>
      <c r="CP64" s="48" t="str">
        <f>+VLOOKUP(Tabla1[[#This Row],[ESPECÍFICA]],CLASIFICADOR_,2,0)</f>
        <v>2.1.3.1.1.15 - CONTRIBUCIONES A ESSALUD DE CONTRATO ADMINISTRATIVO DE SERVICIOS</v>
      </c>
      <c r="CQ64" s="48" t="str">
        <f>+VLOOKUP(Tabla1[[#This Row],[ESPECÍFICA]],CLASIFICADOR_,3,0)</f>
        <v>01.CAS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N/R</v>
      </c>
      <c r="CU64" s="48" t="str">
        <f>+VLOOKUP(Tabla1[[#This Row],[ESPECÍFICA]],CLASIFICADOR_,7,0)</f>
        <v>N/R</v>
      </c>
      <c r="CV64" s="48">
        <f>+VLOOKUP(Tabla1[[#This Row],[ESPECÍFICA]],CLASIFICADOR_,8,0)</f>
        <v>0</v>
      </c>
      <c r="CW64" s="113" t="str">
        <f>+CONCATENATE("2.",Tabla1[[#This Row],[generica]])</f>
        <v>2.1.PERSONAL Y OBLIGACIONES SOCIALES</v>
      </c>
      <c r="CX64" s="48" t="str">
        <f t="shared" si="5"/>
        <v>0005-OPP</v>
      </c>
      <c r="CY64" s="113" t="str">
        <f t="shared" si="6"/>
        <v>0005-OPP</v>
      </c>
      <c r="CZ64" s="20" t="str">
        <f t="shared" si="7"/>
        <v>0005-OPP</v>
      </c>
      <c r="DA64" s="113" t="str">
        <f>+CONCATENATE(Tabla1[[#This Row],[CC COMPLETO]],Tabla1[[#This Row],[ESPECÍFICA]])</f>
        <v>0005-OPP2.1.3.1.1.15</v>
      </c>
      <c r="DB64" s="49">
        <f t="shared" si="8"/>
        <v>30739.390000000007</v>
      </c>
      <c r="DC64" s="49">
        <f t="shared" si="9"/>
        <v>30739.390000000007</v>
      </c>
      <c r="DD64" s="49">
        <f t="shared" si="10"/>
        <v>30739.390000000007</v>
      </c>
      <c r="DE64" s="49">
        <f t="shared" si="11"/>
        <v>6500.68</v>
      </c>
      <c r="DF64" s="49">
        <f t="shared" si="12"/>
        <v>28.319999999999709</v>
      </c>
      <c r="DG64" s="49">
        <f t="shared" si="13"/>
        <v>6934.6099999999933</v>
      </c>
      <c r="DH64" s="49">
        <f t="shared" si="14"/>
        <v>13463.609999999993</v>
      </c>
      <c r="DI64" s="50">
        <f t="shared" si="15"/>
        <v>0.76765951602027838</v>
      </c>
      <c r="DJ64" s="78">
        <f>+SUM(Tabla1[[#This Row],[EJECUTADO 01]:[EJECUTADO 06]])</f>
        <v>17305.230000000003</v>
      </c>
      <c r="DK64" s="78">
        <f>+Tabla1[[#This Row],[mto_devenga_01]]</f>
        <v>2816.84</v>
      </c>
      <c r="DL64" s="78">
        <f>+Tabla1[[#This Row],[mto_devenga_02]]</f>
        <v>2816.84</v>
      </c>
      <c r="DM64" s="78">
        <f>+Tabla1[[#This Row],[mto_devenga_03]]</f>
        <v>2816.84</v>
      </c>
      <c r="DN64" s="78">
        <f>+Tabla1[[#This Row],[mto_devenga_04]]</f>
        <v>2816.84</v>
      </c>
      <c r="DO64" s="78">
        <f>+Tabla1[[#This Row],[mto_devenga_05]]</f>
        <v>3221.03</v>
      </c>
      <c r="DP64" s="76">
        <f>+Tabla1[[#This Row],[mto_devenga_06]]</f>
        <v>2816.84</v>
      </c>
      <c r="DQ64" s="76">
        <f>+Tabla1[[#This Row],[mto_devenga_07]]</f>
        <v>3250.2</v>
      </c>
      <c r="DR64" s="76">
        <f>+Tabla1[[#This Row],[mto_devenga_08]]</f>
        <v>3250.2</v>
      </c>
      <c r="DS64" s="76">
        <f>+Tabla1[[#This Row],[mto_devenga_09]]</f>
        <v>3466.88</v>
      </c>
      <c r="DT64" s="76">
        <f>IFERROR(VLOOKUP(Tabla1[[#This Row],[COD SE]],PF_OCTUBRE,14,0),"0")</f>
        <v>3466.8799999999992</v>
      </c>
      <c r="DU64" s="76">
        <f>IFERROR(VLOOKUP(Tabla1[[#This Row],[COD SE]],PF_OCTUBRE,15,0),"0")</f>
        <v>3466.8799999999992</v>
      </c>
      <c r="DV64" s="76">
        <f>IFERROR(VLOOKUP(Tabla1[[#This Row],[COD SE]],PF_OCTUBRE,16,0),"0")</f>
        <v>3466.8799999999997</v>
      </c>
      <c r="DW64" s="76">
        <f>+SUM(Tabla1[[#This Row],[EJECUTADO 01]:[PF DICIEMBRE
]])</f>
        <v>37673.15</v>
      </c>
      <c r="DX64" s="76">
        <f>IFERROR(VLOOKUP(Tabla1[[#This Row],[COD SE]],PF_OCTUBRE,18,0),"0")</f>
        <v>0</v>
      </c>
      <c r="DY64" s="76">
        <f>IFERROR(VLOOKUP(Tabla1[[#This Row],[COD SE]],PF_OCTUBRE,19,0),"0")</f>
        <v>6529.8499999999995</v>
      </c>
      <c r="DZ64" s="76">
        <f>IFERROR(VLOOKUP(Tabla1[[#This Row],[COD SE]],PF_OCTUBRE,20,0),"0")</f>
        <v>6529.8499999999995</v>
      </c>
      <c r="EA64" s="76">
        <f>+Tabla1[[#This Row],[TOTAL EJEC REAL]]+Tabla1[[#This Row],[SALDO FINAL]]</f>
        <v>44203</v>
      </c>
      <c r="EB64" s="76">
        <f>IFERROR(VLOOKUP(Tabla1[[#This Row],[COD SE]],PF_OCTUBRE,22,0),"0")</f>
        <v>9996.73</v>
      </c>
      <c r="EC64" s="76">
        <f>+IFERROR(VLOOKUP(Tabla1[[#This Row],[COD SE]],SALDO_ESC_2,7,0),0)</f>
        <v>0</v>
      </c>
      <c r="ED64" s="76">
        <f>+IFERROR(VLOOKUP(Tabla1[[#This Row],[COD SE]],SALDO_ESC_3,7,0),0)</f>
        <v>6529.8499999999995</v>
      </c>
      <c r="EE64" s="76">
        <f>+Tabla1[[#This Row],[mto_pim]]-Tabla1[[#This Row],[TRANSF ESC2 ]]</f>
        <v>44203</v>
      </c>
      <c r="EF64" s="76">
        <f>+Tabla1[[#This Row],[mto_pim]]-Tabla1[[#This Row],[TRANFS ESC 3 ]]</f>
        <v>37673.15</v>
      </c>
      <c r="EG64" s="76">
        <f>+IFERROR(VLOOKUP(Tabla1[[#This Row],[COD SE]],HISTORICO,4,0),0)</f>
        <v>3450.6799999999994</v>
      </c>
      <c r="EH64" s="76">
        <f>+IFERROR(VLOOKUP(Tabla1[[#This Row],[COD SE]],HISTORICO,5,0),0)</f>
        <v>2816.8399999999997</v>
      </c>
      <c r="EI64" s="76">
        <f>+IFERROR(VLOOKUP(Tabla1[[#This Row],[COD SE]],HISTORICO,6,0),0)</f>
        <v>2816.8399999999997</v>
      </c>
      <c r="EJ64" s="76">
        <f>+IFERROR(VLOOKUP(Tabla1[[#This Row],[COD SE]],HISTORICO,7,0),0)</f>
        <v>2816.8399999999997</v>
      </c>
      <c r="EK64" s="76">
        <f>+IFERROR(VLOOKUP(Tabla1[[#This Row],[COD SE]],HISTORICO,8,0),0)</f>
        <v>3189.4399999999996</v>
      </c>
      <c r="EL64" s="76">
        <f>+IFERROR(VLOOKUP(Tabla1[[#This Row],[COD SE]],HISTORICO,9,0),0)</f>
        <v>2816.8399999999997</v>
      </c>
      <c r="EM64" s="76">
        <f>+IFERROR(VLOOKUP(Tabla1[[#This Row],[COD SE]],HISTORICO,10,0),0)</f>
        <v>3250.1999999999994</v>
      </c>
      <c r="EN64" s="76">
        <f>+IFERROR(VLOOKUP(Tabla1[[#This Row],[COD SE]],HISTORICO,11,0),0)</f>
        <v>3250.1999999999994</v>
      </c>
      <c r="EO64" s="76">
        <f>+IFERROR(VLOOKUP(Tabla1[[#This Row],[COD SE]],HISTORICO,12,0),0)</f>
        <v>3466.8799999999992</v>
      </c>
      <c r="EP64" s="58">
        <f>+SUM(Tabla1[[#This Row],[EJECUTADO 01]:[EJECUTADO 03]])</f>
        <v>8450.52</v>
      </c>
      <c r="EQ64" s="58">
        <f>+SUM(Tabla1[[#This Row],[EJECUTADO 04]:[EJECUTADO 06]])</f>
        <v>8854.7100000000009</v>
      </c>
      <c r="ER64" s="58">
        <f>+SUM(Tabla1[[#This Row],[EJECUTADO 07]:[EJECUTADO 09]])</f>
        <v>9967.2799999999988</v>
      </c>
      <c r="ES64" s="58">
        <f>+SUM(Tabla1[[#This Row],[PF OCTUBRE]:[PF DICIEMBRE
]])</f>
        <v>10400.639999999998</v>
      </c>
      <c r="ET64" s="58">
        <f>+SUM(Tabla1[[#This Row],[EJECUTADO 01]:[EJECUTADO 09]])</f>
        <v>27272.510000000006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1672</v>
      </c>
      <c r="AD65" s="369" t="s">
        <v>1673</v>
      </c>
      <c r="AE65" s="369" t="s">
        <v>1678</v>
      </c>
      <c r="AF65" s="369" t="s">
        <v>1707</v>
      </c>
      <c r="AG65" s="369" t="s">
        <v>1708</v>
      </c>
      <c r="AH65" s="369">
        <v>425000</v>
      </c>
      <c r="AI65" s="369">
        <v>-425000</v>
      </c>
      <c r="AJ65" s="369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>
        <v>0</v>
      </c>
      <c r="AS65" s="370">
        <v>0</v>
      </c>
      <c r="AT65" s="370">
        <v>0</v>
      </c>
      <c r="AU65" s="370">
        <v>0</v>
      </c>
      <c r="AV65" s="370">
        <v>0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70">
        <v>0</v>
      </c>
      <c r="BR65" s="370">
        <v>0</v>
      </c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0">
        <v>0</v>
      </c>
      <c r="CF65" s="370">
        <v>0</v>
      </c>
      <c r="CG65" s="370">
        <v>0</v>
      </c>
      <c r="CH65" s="370">
        <v>0</v>
      </c>
      <c r="CI65" s="48" t="s">
        <v>1987</v>
      </c>
      <c r="CJ65" s="48" t="s">
        <v>1991</v>
      </c>
      <c r="CK65" s="48" t="s">
        <v>1987</v>
      </c>
      <c r="CL65" s="48" t="s">
        <v>1989</v>
      </c>
      <c r="CM65" s="48" t="s">
        <v>2010</v>
      </c>
      <c r="CN65" s="48" t="s">
        <v>2012</v>
      </c>
      <c r="CO65" s="48" t="str">
        <f t="shared" si="16"/>
        <v>2.3.2.7.13.98</v>
      </c>
      <c r="CP65" s="48" t="str">
        <f>+VLOOKUP(Tabla1[[#This Row],[ESPECÍFICA]],CLASIFICADOR_,2,0)</f>
        <v>2.3.2.7.13.98 - OTROS SERVICIOS TÉCNICOS Y PROFESIONALES DESARROLLADOS POR PERSONAS JURÍDICAS</v>
      </c>
      <c r="CQ65" s="48" t="str">
        <f>+VLOOKUP(Tabla1[[#This Row],[ESPECÍFICA]],CLASIFICADOR_,3,0)</f>
        <v>2.3.2.7 - SERVICIOS PROFESIONALES Y TECNICOS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2.3.BIENES Y SERVICIOS</v>
      </c>
      <c r="CX65" s="48" t="str">
        <f t="shared" si="5"/>
        <v>0005-OPP</v>
      </c>
      <c r="CY65" s="113" t="str">
        <f t="shared" si="6"/>
        <v>0005-OPP</v>
      </c>
      <c r="CZ65" s="20" t="str">
        <f t="shared" si="7"/>
        <v>0005-OPP</v>
      </c>
      <c r="DA65" s="113" t="str">
        <f>+CONCATENATE(Tabla1[[#This Row],[CC COMPLETO]],Tabla1[[#This Row],[ESPECÍFICA]])</f>
        <v>0005-OPP2.3.2.7.13.98</v>
      </c>
      <c r="DB65" s="49">
        <f t="shared" si="8"/>
        <v>0</v>
      </c>
      <c r="DC65" s="49">
        <f t="shared" si="9"/>
        <v>0</v>
      </c>
      <c r="DD65" s="49">
        <f t="shared" si="10"/>
        <v>0</v>
      </c>
      <c r="DE65" s="49">
        <f t="shared" si="11"/>
        <v>0</v>
      </c>
      <c r="DF65" s="49">
        <f t="shared" si="12"/>
        <v>0</v>
      </c>
      <c r="DG65" s="49">
        <f t="shared" si="13"/>
        <v>0</v>
      </c>
      <c r="DH65" s="49">
        <f t="shared" si="14"/>
        <v>0</v>
      </c>
      <c r="DI65" s="50">
        <f t="shared" si="15"/>
        <v>0</v>
      </c>
      <c r="DJ65" s="78">
        <f>+SUM(Tabla1[[#This Row],[EJECUTADO 01]:[EJECUTADO 06]])</f>
        <v>0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0</v>
      </c>
      <c r="DO65" s="78">
        <f>+Tabla1[[#This Row],[mto_devenga_05]]</f>
        <v>0</v>
      </c>
      <c r="DP65" s="76">
        <f>+Tabla1[[#This Row],[mto_devenga_06]]</f>
        <v>0</v>
      </c>
      <c r="DQ65" s="76">
        <f>+Tabla1[[#This Row],[mto_devenga_07]]</f>
        <v>0</v>
      </c>
      <c r="DR65" s="76">
        <f>+Tabla1[[#This Row],[mto_devenga_08]]</f>
        <v>0</v>
      </c>
      <c r="DS65" s="76">
        <f>+Tabla1[[#This Row],[mto_devenga_09]]</f>
        <v>0</v>
      </c>
      <c r="DT65" s="76">
        <f>IFERROR(VLOOKUP(Tabla1[[#This Row],[COD SE]],PF_OCTUBRE,14,0),"0")</f>
        <v>0</v>
      </c>
      <c r="DU65" s="76">
        <f>IFERROR(VLOOKUP(Tabla1[[#This Row],[COD SE]],PF_OCTUBRE,15,0),"0")</f>
        <v>0</v>
      </c>
      <c r="DV65" s="76">
        <f>IFERROR(VLOOKUP(Tabla1[[#This Row],[COD SE]],PF_OCTUBRE,16,0),"0")</f>
        <v>0</v>
      </c>
      <c r="DW65" s="76">
        <f>+SUM(Tabla1[[#This Row],[EJECUTADO 01]:[PF DICIEMBRE
]])</f>
        <v>0</v>
      </c>
      <c r="DX65" s="76">
        <f>IFERROR(VLOOKUP(Tabla1[[#This Row],[COD SE]],PF_OCTUBRE,18,0),"0")</f>
        <v>0</v>
      </c>
      <c r="DY65" s="76">
        <f>IFERROR(VLOOKUP(Tabla1[[#This Row],[COD SE]],PF_OCTUBRE,19,0),"0")</f>
        <v>0</v>
      </c>
      <c r="DZ65" s="76">
        <f>IFERROR(VLOOKUP(Tabla1[[#This Row],[COD SE]],PF_OCTUBRE,20,0),"0")</f>
        <v>0</v>
      </c>
      <c r="EA65" s="76">
        <f>+Tabla1[[#This Row],[TOTAL EJEC REAL]]+Tabla1[[#This Row],[SALDO FINAL]]</f>
        <v>0</v>
      </c>
      <c r="EB65" s="76">
        <f>IFERROR(VLOOKUP(Tabla1[[#This Row],[COD SE]],PF_OCTUBRE,22,0),"0")</f>
        <v>0</v>
      </c>
      <c r="EC65" s="76">
        <f>+IFERROR(VLOOKUP(Tabla1[[#This Row],[COD SE]],SALDO_ESC_2,7,0),0)</f>
        <v>0</v>
      </c>
      <c r="ED65" s="76">
        <f>+IFERROR(VLOOKUP(Tabla1[[#This Row],[COD SE]],SALDO_ESC_3,7,0),0)</f>
        <v>0</v>
      </c>
      <c r="EE65" s="76">
        <f>+Tabla1[[#This Row],[mto_pim]]-Tabla1[[#This Row],[TRANSF ESC2 ]]</f>
        <v>0</v>
      </c>
      <c r="EF65" s="76">
        <f>+Tabla1[[#This Row],[mto_pim]]-Tabla1[[#This Row],[TRANFS ESC 3 ]]</f>
        <v>0</v>
      </c>
      <c r="EG65" s="76">
        <f>+IFERROR(VLOOKUP(Tabla1[[#This Row],[COD SE]],HISTORICO,4,0),0)</f>
        <v>6853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0</v>
      </c>
      <c r="EL65" s="76">
        <f>+IFERROR(VLOOKUP(Tabla1[[#This Row],[COD SE]],HISTORICO,9,0),0)</f>
        <v>0</v>
      </c>
      <c r="EM65" s="76">
        <f>+IFERROR(VLOOKUP(Tabla1[[#This Row],[COD SE]],HISTORICO,10,0),0)</f>
        <v>0</v>
      </c>
      <c r="EN65" s="76">
        <f>+IFERROR(VLOOKUP(Tabla1[[#This Row],[COD SE]],HISTORICO,11,0),0)</f>
        <v>0</v>
      </c>
      <c r="EO65" s="76">
        <f>+IFERROR(VLOOKUP(Tabla1[[#This Row],[COD SE]],HISTORICO,12,0),0)</f>
        <v>0</v>
      </c>
      <c r="EP65" s="58">
        <f>+SUM(Tabla1[[#This Row],[EJECUTADO 01]:[EJECUTADO 03]])</f>
        <v>0</v>
      </c>
      <c r="EQ65" s="58">
        <f>+SUM(Tabla1[[#This Row],[EJECUTADO 04]:[EJECUTADO 06]])</f>
        <v>0</v>
      </c>
      <c r="ER65" s="58">
        <f>+SUM(Tabla1[[#This Row],[EJECUTADO 07]:[EJECUTADO 09]])</f>
        <v>0</v>
      </c>
      <c r="ES65" s="58">
        <f>+SUM(Tabla1[[#This Row],[PF OCTUBRE]:[PF DICIEMBRE
]])</f>
        <v>0</v>
      </c>
      <c r="ET65" s="58">
        <f>+SUM(Tabla1[[#This Row],[EJECUTADO 01]:[EJECUTADO 09]])</f>
        <v>0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1657</v>
      </c>
      <c r="AE66" s="369" t="s">
        <v>1660</v>
      </c>
      <c r="AF66" s="369" t="s">
        <v>1661</v>
      </c>
      <c r="AG66" s="369" t="s">
        <v>1663</v>
      </c>
      <c r="AH66" s="369">
        <v>493870</v>
      </c>
      <c r="AI66" s="369">
        <v>109981</v>
      </c>
      <c r="AJ66" s="369">
        <v>603851</v>
      </c>
      <c r="AK66" s="370">
        <v>414340.56</v>
      </c>
      <c r="AL66" s="370">
        <v>257696.28</v>
      </c>
      <c r="AM66" s="370">
        <v>19329.75</v>
      </c>
      <c r="AN66" s="370">
        <v>19318.79</v>
      </c>
      <c r="AO66" s="370">
        <v>19200</v>
      </c>
      <c r="AP66" s="370">
        <v>14729.28</v>
      </c>
      <c r="AQ66" s="370">
        <v>4200</v>
      </c>
      <c r="AR66" s="370">
        <v>4200</v>
      </c>
      <c r="AS66" s="370">
        <v>20979.87</v>
      </c>
      <c r="AT66" s="370">
        <v>25143.21</v>
      </c>
      <c r="AU66" s="370">
        <v>33179.629999999997</v>
      </c>
      <c r="AV66" s="370">
        <v>34014.92</v>
      </c>
      <c r="AW66" s="370">
        <v>0</v>
      </c>
      <c r="AX66" s="370">
        <v>0</v>
      </c>
      <c r="AY66" s="370">
        <v>19329.75</v>
      </c>
      <c r="AZ66" s="370">
        <v>19318.79</v>
      </c>
      <c r="BA66" s="370">
        <v>19200</v>
      </c>
      <c r="BB66" s="370">
        <v>19200</v>
      </c>
      <c r="BC66" s="370">
        <v>129.28</v>
      </c>
      <c r="BD66" s="370">
        <v>4200</v>
      </c>
      <c r="BE66" s="370">
        <v>20050.59</v>
      </c>
      <c r="BF66" s="370">
        <v>25143.21</v>
      </c>
      <c r="BG66" s="370">
        <v>33179.629999999997</v>
      </c>
      <c r="BH66" s="370">
        <v>34014.92</v>
      </c>
      <c r="BI66" s="370">
        <v>0</v>
      </c>
      <c r="BJ66" s="370">
        <v>0</v>
      </c>
      <c r="BK66" s="370">
        <v>19329.75</v>
      </c>
      <c r="BL66" s="370">
        <v>19318.79</v>
      </c>
      <c r="BM66" s="370">
        <v>19200</v>
      </c>
      <c r="BN66" s="370">
        <v>17056.18</v>
      </c>
      <c r="BO66" s="370">
        <v>1743.82</v>
      </c>
      <c r="BP66" s="370">
        <v>4200</v>
      </c>
      <c r="BQ66" s="370">
        <v>20579.87</v>
      </c>
      <c r="BR66" s="370">
        <v>25143.21</v>
      </c>
      <c r="BS66" s="370">
        <v>33179.629999999997</v>
      </c>
      <c r="BT66" s="370">
        <v>29833.49</v>
      </c>
      <c r="BU66" s="370">
        <v>0</v>
      </c>
      <c r="BV66" s="370">
        <v>0</v>
      </c>
      <c r="BW66" s="370">
        <v>19329.75</v>
      </c>
      <c r="BX66" s="370">
        <v>19318.79</v>
      </c>
      <c r="BY66" s="370">
        <v>19200</v>
      </c>
      <c r="BZ66" s="370">
        <v>18670.72</v>
      </c>
      <c r="CA66" s="370">
        <v>4200</v>
      </c>
      <c r="CB66" s="370">
        <v>4200</v>
      </c>
      <c r="CC66" s="370">
        <v>20979.87</v>
      </c>
      <c r="CD66" s="370">
        <v>25143.21</v>
      </c>
      <c r="CE66" s="370">
        <v>33179.629999999997</v>
      </c>
      <c r="CF66" s="370">
        <v>29833.49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1990</v>
      </c>
      <c r="CL66" s="48" t="s">
        <v>2010</v>
      </c>
      <c r="CM66" s="48" t="s">
        <v>1990</v>
      </c>
      <c r="CN66" s="48" t="s">
        <v>1987</v>
      </c>
      <c r="CO66" s="48" t="str">
        <f t="shared" si="16"/>
        <v>2.1.1.13.1.2</v>
      </c>
      <c r="CP66" s="48" t="str">
        <f>+VLOOKUP(Tabla1[[#This Row],[ESPECÍFICA]],CLASIFICADOR_,2,0)</f>
        <v>2.1.1.13.1.2 - CONTRATO ADMINISTRATIVO DE SERVICIOS - TRANSITORIO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5"/>
        <v>0005-OPP</v>
      </c>
      <c r="CY66" s="113" t="str">
        <f t="shared" si="6"/>
        <v>0005-OPP</v>
      </c>
      <c r="CZ66" s="20" t="str">
        <f t="shared" si="7"/>
        <v>0005-OPP</v>
      </c>
      <c r="DA66" s="113" t="str">
        <f>+CONCATENATE(Tabla1[[#This Row],[CC COMPLETO]],Tabla1[[#This Row],[ESPECÍFICA]])</f>
        <v>0005-OPP2.1.1.13.1.2</v>
      </c>
      <c r="DB66" s="49">
        <f t="shared" si="8"/>
        <v>194295.45</v>
      </c>
      <c r="DC66" s="49">
        <f t="shared" si="9"/>
        <v>193766.16999999998</v>
      </c>
      <c r="DD66" s="49">
        <f t="shared" si="10"/>
        <v>189584.74</v>
      </c>
      <c r="DE66" s="49">
        <f t="shared" si="11"/>
        <v>189510.44</v>
      </c>
      <c r="DF66" s="49">
        <f t="shared" si="12"/>
        <v>156644.28</v>
      </c>
      <c r="DG66" s="49">
        <f t="shared" si="13"/>
        <v>63930.110000000015</v>
      </c>
      <c r="DH66" s="49">
        <f t="shared" si="14"/>
        <v>410084.83</v>
      </c>
      <c r="DI66" s="50">
        <f t="shared" si="15"/>
        <v>0.39234245854172145</v>
      </c>
      <c r="DJ66" s="78">
        <f>+SUM(Tabla1[[#This Row],[EJECUTADO 01]:[EJECUTADO 06]])</f>
        <v>81377.820000000007</v>
      </c>
      <c r="DK66" s="78">
        <f>+Tabla1[[#This Row],[mto_devenga_01]]</f>
        <v>19329.75</v>
      </c>
      <c r="DL66" s="78">
        <f>+Tabla1[[#This Row],[mto_devenga_02]]</f>
        <v>19318.79</v>
      </c>
      <c r="DM66" s="78">
        <f>+Tabla1[[#This Row],[mto_devenga_03]]</f>
        <v>19200</v>
      </c>
      <c r="DN66" s="78">
        <f>+Tabla1[[#This Row],[mto_devenga_04]]</f>
        <v>19200</v>
      </c>
      <c r="DO66" s="78">
        <f>+Tabla1[[#This Row],[mto_devenga_05]]</f>
        <v>129.28</v>
      </c>
      <c r="DP66" s="76">
        <f>+Tabla1[[#This Row],[mto_devenga_06]]</f>
        <v>4200</v>
      </c>
      <c r="DQ66" s="76">
        <f>+Tabla1[[#This Row],[mto_devenga_07]]</f>
        <v>20050.59</v>
      </c>
      <c r="DR66" s="76">
        <f>+Tabla1[[#This Row],[mto_devenga_08]]</f>
        <v>25143.21</v>
      </c>
      <c r="DS66" s="76">
        <f>+Tabla1[[#This Row],[mto_devenga_09]]</f>
        <v>33179.629999999997</v>
      </c>
      <c r="DT66" s="76">
        <f>IFERROR(VLOOKUP(Tabla1[[#This Row],[COD SE]],PF_OCTUBRE,14,0),"0")</f>
        <v>34200</v>
      </c>
      <c r="DU66" s="76">
        <f>IFERROR(VLOOKUP(Tabla1[[#This Row],[COD SE]],PF_OCTUBRE,15,0),"0")</f>
        <v>34200</v>
      </c>
      <c r="DV66" s="76">
        <f>IFERROR(VLOOKUP(Tabla1[[#This Row],[COD SE]],PF_OCTUBRE,16,0),"0")</f>
        <v>34200</v>
      </c>
      <c r="DW66" s="76">
        <f>+SUM(Tabla1[[#This Row],[EJECUTADO 01]:[PF DICIEMBRE
]])</f>
        <v>262351.25</v>
      </c>
      <c r="DX66" s="76">
        <f>IFERROR(VLOOKUP(Tabla1[[#This Row],[COD SE]],PF_OCTUBRE,18,0),"0")</f>
        <v>0</v>
      </c>
      <c r="DY66" s="76">
        <f>IFERROR(VLOOKUP(Tabla1[[#This Row],[COD SE]],PF_OCTUBRE,19,0),"0")</f>
        <v>341499.75000000006</v>
      </c>
      <c r="DZ66" s="76">
        <f>IFERROR(VLOOKUP(Tabla1[[#This Row],[COD SE]],PF_OCTUBRE,20,0),"0")</f>
        <v>341499.75000000006</v>
      </c>
      <c r="EA66" s="76">
        <f>+Tabla1[[#This Row],[TOTAL EJEC REAL]]+Tabla1[[#This Row],[SALDO FINAL]]</f>
        <v>603851</v>
      </c>
      <c r="EB66" s="76">
        <f>IFERROR(VLOOKUP(Tabla1[[#This Row],[COD SE]],PF_OCTUBRE,22,0),"0")</f>
        <v>375699.75000000006</v>
      </c>
      <c r="EC66" s="76">
        <f>+IFERROR(VLOOKUP(Tabla1[[#This Row],[COD SE]],SALDO_ESC_2,7,0),0)</f>
        <v>0</v>
      </c>
      <c r="ED66" s="76">
        <f>+IFERROR(VLOOKUP(Tabla1[[#This Row],[COD SE]],SALDO_ESC_3,7,0),0)</f>
        <v>341499.75000000006</v>
      </c>
      <c r="EE66" s="76">
        <f>+Tabla1[[#This Row],[mto_pim]]-Tabla1[[#This Row],[TRANSF ESC2 ]]</f>
        <v>603851</v>
      </c>
      <c r="EF66" s="76">
        <f>+Tabla1[[#This Row],[mto_pim]]-Tabla1[[#This Row],[TRANFS ESC 3 ]]</f>
        <v>262351.24999999994</v>
      </c>
      <c r="EG66" s="76">
        <f>+IFERROR(VLOOKUP(Tabla1[[#This Row],[COD SE]],HISTORICO,4,0),0)</f>
        <v>40856.76</v>
      </c>
      <c r="EH66" s="76">
        <f>+IFERROR(VLOOKUP(Tabla1[[#This Row],[COD SE]],HISTORICO,5,0),0)</f>
        <v>19414.189999999999</v>
      </c>
      <c r="EI66" s="76">
        <f>+IFERROR(VLOOKUP(Tabla1[[#This Row],[COD SE]],HISTORICO,6,0),0)</f>
        <v>19414.189999999999</v>
      </c>
      <c r="EJ66" s="76">
        <f>+IFERROR(VLOOKUP(Tabla1[[#This Row],[COD SE]],HISTORICO,7,0),0)</f>
        <v>19414.189999999999</v>
      </c>
      <c r="EK66" s="76">
        <f>+IFERROR(VLOOKUP(Tabla1[[#This Row],[COD SE]],HISTORICO,8,0),0)</f>
        <v>4200</v>
      </c>
      <c r="EL66" s="76">
        <f>+IFERROR(VLOOKUP(Tabla1[[#This Row],[COD SE]],HISTORICO,9,0),0)</f>
        <v>4200</v>
      </c>
      <c r="EM66" s="76">
        <f>+IFERROR(VLOOKUP(Tabla1[[#This Row],[COD SE]],HISTORICO,10,0),0)</f>
        <v>25200</v>
      </c>
      <c r="EN66" s="76">
        <f>+IFERROR(VLOOKUP(Tabla1[[#This Row],[COD SE]],HISTORICO,11,0),0)</f>
        <v>25200</v>
      </c>
      <c r="EO66" s="76">
        <f>+IFERROR(VLOOKUP(Tabla1[[#This Row],[COD SE]],HISTORICO,12,0),0)</f>
        <v>34200</v>
      </c>
      <c r="EP66" s="58">
        <f>+SUM(Tabla1[[#This Row],[EJECUTADO 01]:[EJECUTADO 03]])</f>
        <v>57848.54</v>
      </c>
      <c r="EQ66" s="58">
        <f>+SUM(Tabla1[[#This Row],[EJECUTADO 04]:[EJECUTADO 06]])</f>
        <v>23529.279999999999</v>
      </c>
      <c r="ER66" s="58">
        <f>+SUM(Tabla1[[#This Row],[EJECUTADO 07]:[EJECUTADO 09]])</f>
        <v>78373.429999999993</v>
      </c>
      <c r="ES66" s="58">
        <f>+SUM(Tabla1[[#This Row],[PF OCTUBRE]:[PF DICIEMBRE
]])</f>
        <v>102600</v>
      </c>
      <c r="ET66" s="58">
        <f>+SUM(Tabla1[[#This Row],[EJECUTADO 01]:[EJECUTADO 09]])</f>
        <v>159751.25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1656</v>
      </c>
      <c r="AD67" s="369" t="s">
        <v>1657</v>
      </c>
      <c r="AE67" s="369" t="s">
        <v>1660</v>
      </c>
      <c r="AF67" s="369" t="s">
        <v>1661</v>
      </c>
      <c r="AG67" s="369" t="s">
        <v>1662</v>
      </c>
      <c r="AH67" s="369">
        <v>1163644</v>
      </c>
      <c r="AI67" s="369">
        <v>14400</v>
      </c>
      <c r="AJ67" s="369">
        <v>1178044</v>
      </c>
      <c r="AK67" s="370">
        <v>1102873.08</v>
      </c>
      <c r="AL67" s="370">
        <v>1101214.08</v>
      </c>
      <c r="AM67" s="370">
        <v>91492.13</v>
      </c>
      <c r="AN67" s="370">
        <v>91755.89</v>
      </c>
      <c r="AO67" s="370">
        <v>91767.17</v>
      </c>
      <c r="AP67" s="370">
        <v>91906.09</v>
      </c>
      <c r="AQ67" s="370">
        <v>98170.28</v>
      </c>
      <c r="AR67" s="370">
        <v>97821.91</v>
      </c>
      <c r="AS67" s="370">
        <v>97449.56</v>
      </c>
      <c r="AT67" s="370">
        <v>96048.1</v>
      </c>
      <c r="AU67" s="370">
        <v>97825.9</v>
      </c>
      <c r="AV67" s="370">
        <v>97963.81</v>
      </c>
      <c r="AW67" s="370">
        <v>0</v>
      </c>
      <c r="AX67" s="370">
        <v>0</v>
      </c>
      <c r="AY67" s="370">
        <v>91492.13</v>
      </c>
      <c r="AZ67" s="370">
        <v>91755.89</v>
      </c>
      <c r="BA67" s="370">
        <v>91767.17</v>
      </c>
      <c r="BB67" s="370">
        <v>91906.09</v>
      </c>
      <c r="BC67" s="370">
        <v>98170.28</v>
      </c>
      <c r="BD67" s="370">
        <v>97821.91</v>
      </c>
      <c r="BE67" s="370">
        <v>97449.56</v>
      </c>
      <c r="BF67" s="370">
        <v>97707.1</v>
      </c>
      <c r="BG67" s="370">
        <v>96166.9</v>
      </c>
      <c r="BH67" s="370">
        <v>97963.81</v>
      </c>
      <c r="BI67" s="370">
        <v>0</v>
      </c>
      <c r="BJ67" s="370">
        <v>0</v>
      </c>
      <c r="BK67" s="370">
        <v>91346.85</v>
      </c>
      <c r="BL67" s="370">
        <v>91901.17</v>
      </c>
      <c r="BM67" s="370">
        <v>91767.17</v>
      </c>
      <c r="BN67" s="370">
        <v>82960.820000000007</v>
      </c>
      <c r="BO67" s="370">
        <v>107115.55</v>
      </c>
      <c r="BP67" s="370">
        <v>97821.91</v>
      </c>
      <c r="BQ67" s="370">
        <v>97449.56</v>
      </c>
      <c r="BR67" s="370">
        <v>97707.1</v>
      </c>
      <c r="BS67" s="370">
        <v>96166.9</v>
      </c>
      <c r="BT67" s="370">
        <v>88198.92</v>
      </c>
      <c r="BU67" s="370">
        <v>0</v>
      </c>
      <c r="BV67" s="370">
        <v>0</v>
      </c>
      <c r="BW67" s="370">
        <v>91492.13</v>
      </c>
      <c r="BX67" s="370">
        <v>91755.89</v>
      </c>
      <c r="BY67" s="370">
        <v>91767.17</v>
      </c>
      <c r="BZ67" s="370">
        <v>91906.09</v>
      </c>
      <c r="CA67" s="370">
        <v>98170.28</v>
      </c>
      <c r="CB67" s="370">
        <v>97821.91</v>
      </c>
      <c r="CC67" s="370">
        <v>97449.56</v>
      </c>
      <c r="CD67" s="370">
        <v>97707.1</v>
      </c>
      <c r="CE67" s="370">
        <v>96166.9</v>
      </c>
      <c r="CF67" s="370">
        <v>88198.92</v>
      </c>
      <c r="CG67" s="370">
        <v>0</v>
      </c>
      <c r="CH67" s="370">
        <v>0</v>
      </c>
      <c r="CI67" s="48" t="s">
        <v>1987</v>
      </c>
      <c r="CJ67" s="48" t="s">
        <v>1990</v>
      </c>
      <c r="CK67" s="48" t="s">
        <v>1990</v>
      </c>
      <c r="CL67" s="48" t="s">
        <v>2010</v>
      </c>
      <c r="CM67" s="48" t="s">
        <v>1990</v>
      </c>
      <c r="CN67" s="48" t="s">
        <v>1990</v>
      </c>
      <c r="CO67" s="48" t="str">
        <f t="shared" si="16"/>
        <v>2.1.1.13.1.1</v>
      </c>
      <c r="CP67" s="48" t="str">
        <f>+VLOOKUP(Tabla1[[#This Row],[ESPECÍFICA]],CLASIFICADOR_,2,0)</f>
        <v>2.1.1.13.1.1 - CONTRATO ADMINISTRATIVO DE SERVICIOS - INDETERMINADO</v>
      </c>
      <c r="CQ67" s="48" t="str">
        <f>+VLOOKUP(Tabla1[[#This Row],[ESPECÍFICA]],CLASIFICADOR_,3,0)</f>
        <v>01.CAS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2.1.PERSONAL Y OBLIGACIONES SOCIALES</v>
      </c>
      <c r="CX67" s="48" t="str">
        <f t="shared" si="5"/>
        <v>0005-OPP</v>
      </c>
      <c r="CY67" s="113" t="str">
        <f t="shared" si="6"/>
        <v>0005-OPP</v>
      </c>
      <c r="CZ67" s="20" t="str">
        <f t="shared" si="7"/>
        <v>0005-OPP</v>
      </c>
      <c r="DA67" s="113" t="str">
        <f>+CONCATENATE(Tabla1[[#This Row],[CC COMPLETO]],Tabla1[[#This Row],[ESPECÍFICA]])</f>
        <v>0005-OPP2.1.1.13.1.1</v>
      </c>
      <c r="DB67" s="49">
        <f t="shared" si="8"/>
        <v>952200.84000000008</v>
      </c>
      <c r="DC67" s="49">
        <f t="shared" si="9"/>
        <v>952200.84000000008</v>
      </c>
      <c r="DD67" s="49">
        <f t="shared" si="10"/>
        <v>942435.95000000007</v>
      </c>
      <c r="DE67" s="49">
        <f t="shared" si="11"/>
        <v>75170.919999999925</v>
      </c>
      <c r="DF67" s="49">
        <f t="shared" si="12"/>
        <v>1659</v>
      </c>
      <c r="DG67" s="49">
        <f t="shared" si="13"/>
        <v>149013.24</v>
      </c>
      <c r="DH67" s="49">
        <f t="shared" si="14"/>
        <v>225843.15999999992</v>
      </c>
      <c r="DI67" s="50">
        <f t="shared" si="15"/>
        <v>0.81829222683226144</v>
      </c>
      <c r="DJ67" s="78">
        <f>+SUM(Tabla1[[#This Row],[EJECUTADO 01]:[EJECUTADO 06]])</f>
        <v>562913.47000000009</v>
      </c>
      <c r="DK67" s="78">
        <f>+Tabla1[[#This Row],[mto_devenga_01]]</f>
        <v>91492.13</v>
      </c>
      <c r="DL67" s="78">
        <f>+Tabla1[[#This Row],[mto_devenga_02]]</f>
        <v>91755.89</v>
      </c>
      <c r="DM67" s="78">
        <f>+Tabla1[[#This Row],[mto_devenga_03]]</f>
        <v>91767.17</v>
      </c>
      <c r="DN67" s="78">
        <f>+Tabla1[[#This Row],[mto_devenga_04]]</f>
        <v>91906.09</v>
      </c>
      <c r="DO67" s="78">
        <f>+Tabla1[[#This Row],[mto_devenga_05]]</f>
        <v>98170.28</v>
      </c>
      <c r="DP67" s="76">
        <f>+Tabla1[[#This Row],[mto_devenga_06]]</f>
        <v>97821.91</v>
      </c>
      <c r="DQ67" s="76">
        <f>+Tabla1[[#This Row],[mto_devenga_07]]</f>
        <v>97449.56</v>
      </c>
      <c r="DR67" s="76">
        <f>+Tabla1[[#This Row],[mto_devenga_08]]</f>
        <v>97707.1</v>
      </c>
      <c r="DS67" s="76">
        <f>+Tabla1[[#This Row],[mto_devenga_09]]</f>
        <v>96166.9</v>
      </c>
      <c r="DT67" s="76">
        <f>IFERROR(VLOOKUP(Tabla1[[#This Row],[COD SE]],PF_OCTUBRE,14,0),"0")</f>
        <v>98170.280000000013</v>
      </c>
      <c r="DU67" s="76">
        <f>IFERROR(VLOOKUP(Tabla1[[#This Row],[COD SE]],PF_OCTUBRE,15,0),"0")</f>
        <v>98170.280000000013</v>
      </c>
      <c r="DV67" s="76">
        <f>IFERROR(VLOOKUP(Tabla1[[#This Row],[COD SE]],PF_OCTUBRE,16,0),"0")</f>
        <v>98170.280000000013</v>
      </c>
      <c r="DW67" s="76">
        <f>+SUM(Tabla1[[#This Row],[EJECUTADO 01]:[PF DICIEMBRE
]])</f>
        <v>1148747.8700000001</v>
      </c>
      <c r="DX67" s="76">
        <f>IFERROR(VLOOKUP(Tabla1[[#This Row],[COD SE]],PF_OCTUBRE,18,0),"0")</f>
        <v>0</v>
      </c>
      <c r="DY67" s="76">
        <f>IFERROR(VLOOKUP(Tabla1[[#This Row],[COD SE]],PF_OCTUBRE,19,0),"0")</f>
        <v>29296.130000000005</v>
      </c>
      <c r="DZ67" s="76">
        <f>IFERROR(VLOOKUP(Tabla1[[#This Row],[COD SE]],PF_OCTUBRE,20,0),"0")</f>
        <v>29296.130000000005</v>
      </c>
      <c r="EA67" s="76">
        <f>+Tabla1[[#This Row],[TOTAL EJEC REAL]]+Tabla1[[#This Row],[SALDO FINAL]]</f>
        <v>1178044</v>
      </c>
      <c r="EB67" s="76">
        <f>IFERROR(VLOOKUP(Tabla1[[#This Row],[COD SE]],PF_OCTUBRE,22,0),"0")</f>
        <v>127466.41</v>
      </c>
      <c r="EC67" s="76">
        <f>+IFERROR(VLOOKUP(Tabla1[[#This Row],[COD SE]],SALDO_ESC_2,7,0),0)</f>
        <v>0</v>
      </c>
      <c r="ED67" s="76">
        <f>+IFERROR(VLOOKUP(Tabla1[[#This Row],[COD SE]],SALDO_ESC_3,7,0),0)</f>
        <v>29296.130000000005</v>
      </c>
      <c r="EE67" s="76">
        <f>+Tabla1[[#This Row],[mto_pim]]-Tabla1[[#This Row],[TRANSF ESC2 ]]</f>
        <v>1178044</v>
      </c>
      <c r="EF67" s="76">
        <f>+Tabla1[[#This Row],[mto_pim]]-Tabla1[[#This Row],[TRANFS ESC 3 ]]</f>
        <v>1148747.8700000001</v>
      </c>
      <c r="EG67" s="76">
        <f>+IFERROR(VLOOKUP(Tabla1[[#This Row],[COD SE]],HISTORICO,4,0),0)</f>
        <v>98170.280000000013</v>
      </c>
      <c r="EH67" s="76">
        <f>+IFERROR(VLOOKUP(Tabla1[[#This Row],[COD SE]],HISTORICO,5,0),0)</f>
        <v>91906.090000000011</v>
      </c>
      <c r="EI67" s="76">
        <f>+IFERROR(VLOOKUP(Tabla1[[#This Row],[COD SE]],HISTORICO,6,0),0)</f>
        <v>91906.090000000011</v>
      </c>
      <c r="EJ67" s="76">
        <f>+IFERROR(VLOOKUP(Tabla1[[#This Row],[COD SE]],HISTORICO,7,0),0)</f>
        <v>91906.090000000011</v>
      </c>
      <c r="EK67" s="76">
        <f>+IFERROR(VLOOKUP(Tabla1[[#This Row],[COD SE]],HISTORICO,8,0),0)</f>
        <v>98593.940000000017</v>
      </c>
      <c r="EL67" s="76">
        <f>+IFERROR(VLOOKUP(Tabla1[[#This Row],[COD SE]],HISTORICO,9,0),0)</f>
        <v>98170.280000000013</v>
      </c>
      <c r="EM67" s="76">
        <f>+IFERROR(VLOOKUP(Tabla1[[#This Row],[COD SE]],HISTORICO,10,0),0)</f>
        <v>123286.87000000001</v>
      </c>
      <c r="EN67" s="76">
        <f>+IFERROR(VLOOKUP(Tabla1[[#This Row],[COD SE]],HISTORICO,11,0),0)</f>
        <v>98170.280000000013</v>
      </c>
      <c r="EO67" s="76">
        <f>+IFERROR(VLOOKUP(Tabla1[[#This Row],[COD SE]],HISTORICO,12,0),0)</f>
        <v>98170.280000000013</v>
      </c>
      <c r="EP67" s="58">
        <f>+SUM(Tabla1[[#This Row],[EJECUTADO 01]:[EJECUTADO 03]])</f>
        <v>275015.19</v>
      </c>
      <c r="EQ67" s="58">
        <f>+SUM(Tabla1[[#This Row],[EJECUTADO 04]:[EJECUTADO 06]])</f>
        <v>287898.28000000003</v>
      </c>
      <c r="ER67" s="58">
        <f>+SUM(Tabla1[[#This Row],[EJECUTADO 07]:[EJECUTADO 09]])</f>
        <v>291323.56</v>
      </c>
      <c r="ES67" s="58">
        <f>+SUM(Tabla1[[#This Row],[PF OCTUBRE]:[PF DICIEMBRE
]])</f>
        <v>294510.84000000003</v>
      </c>
      <c r="ET67" s="58">
        <f>+SUM(Tabla1[[#This Row],[EJECUTADO 01]:[EJECUTADO 09]])</f>
        <v>854237.03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1697</v>
      </c>
      <c r="AG68" s="369" t="s">
        <v>1698</v>
      </c>
      <c r="AH68" s="369">
        <v>41000</v>
      </c>
      <c r="AI68" s="369">
        <v>-38074</v>
      </c>
      <c r="AJ68" s="369">
        <v>2926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>
        <v>0</v>
      </c>
      <c r="CF68" s="370">
        <v>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2021</v>
      </c>
      <c r="CN68" s="48" t="s">
        <v>1998</v>
      </c>
      <c r="CO68" s="48" t="str">
        <f t="shared" si="16"/>
        <v>2.3.2.7.11.99</v>
      </c>
      <c r="CP68" s="48" t="str">
        <f>+VLOOKUP(Tabla1[[#This Row],[ESPECÍFICA]],CLASIFICADOR_,2,0)</f>
        <v>2.3.2.7.11.99 - SERVICIOS DIVERSOS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Partidas restringidas</v>
      </c>
      <c r="CU68" s="48">
        <f>+VLOOKUP(Tabla1[[#This Row],[ESPECÍFICA]],CLASIFICADOR_,7,0)</f>
        <v>9.1300000000000008</v>
      </c>
      <c r="CV68" s="48">
        <f>+VLOOKUP(Tabla1[[#This Row],[ESPECÍFICA]],CLASIFICADOR_,8,0)</f>
        <v>10</v>
      </c>
      <c r="CW68" s="113" t="str">
        <f>+CONCATENATE("2.",Tabla1[[#This Row],[generica]])</f>
        <v>2.3.BIENES Y SERVICIOS</v>
      </c>
      <c r="CX68" s="48" t="str">
        <f t="shared" si="5"/>
        <v>0005-OPP</v>
      </c>
      <c r="CY68" s="113" t="str">
        <f t="shared" si="6"/>
        <v>0005-OPP</v>
      </c>
      <c r="CZ68" s="20" t="str">
        <f t="shared" si="7"/>
        <v>0005-OPP</v>
      </c>
      <c r="DA68" s="113" t="str">
        <f>+CONCATENATE(Tabla1[[#This Row],[CC COMPLETO]],Tabla1[[#This Row],[ESPECÍFICA]])</f>
        <v>0005-OPP2.3.2.7.11.99</v>
      </c>
      <c r="DB68" s="49">
        <f t="shared" si="8"/>
        <v>0</v>
      </c>
      <c r="DC68" s="49">
        <f t="shared" si="9"/>
        <v>0</v>
      </c>
      <c r="DD68" s="49">
        <f t="shared" si="10"/>
        <v>0</v>
      </c>
      <c r="DE68" s="49">
        <f t="shared" si="11"/>
        <v>2926</v>
      </c>
      <c r="DF68" s="49">
        <f t="shared" si="12"/>
        <v>0</v>
      </c>
      <c r="DG68" s="49">
        <f t="shared" si="13"/>
        <v>0</v>
      </c>
      <c r="DH68" s="49">
        <f t="shared" si="14"/>
        <v>2926</v>
      </c>
      <c r="DI68" s="50">
        <f t="shared" si="15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0</v>
      </c>
      <c r="DS68" s="76">
        <f>+Tabla1[[#This Row],[mto_devenga_09]]</f>
        <v>0</v>
      </c>
      <c r="DT68" s="76">
        <f>IFERROR(VLOOKUP(Tabla1[[#This Row],[COD SE]],PF_OCTUBRE,14,0),"0")</f>
        <v>0</v>
      </c>
      <c r="DU68" s="76">
        <f>IFERROR(VLOOKUP(Tabla1[[#This Row],[COD SE]],PF_OCTUBRE,15,0),"0")</f>
        <v>0</v>
      </c>
      <c r="DV68" s="76">
        <f>IFERROR(VLOOKUP(Tabla1[[#This Row],[COD SE]],PF_OCTUBRE,16,0),"0")</f>
        <v>0</v>
      </c>
      <c r="DW68" s="76">
        <f>+SUM(Tabla1[[#This Row],[EJECUTADO 01]:[PF DICIEMBRE
]])</f>
        <v>0</v>
      </c>
      <c r="DX68" s="76">
        <f>IFERROR(VLOOKUP(Tabla1[[#This Row],[COD SE]],PF_OCTUBRE,18,0),"0")</f>
        <v>0</v>
      </c>
      <c r="DY68" s="76">
        <f>IFERROR(VLOOKUP(Tabla1[[#This Row],[COD SE]],PF_OCTUBRE,19,0),"0")</f>
        <v>26965</v>
      </c>
      <c r="DZ68" s="76">
        <f>IFERROR(VLOOKUP(Tabla1[[#This Row],[COD SE]],PF_OCTUBRE,20,0),"0")</f>
        <v>26965</v>
      </c>
      <c r="EA68" s="76">
        <f>+Tabla1[[#This Row],[TOTAL EJEC REAL]]+Tabla1[[#This Row],[SALDO FINAL]]</f>
        <v>26965</v>
      </c>
      <c r="EB68" s="76">
        <f>IFERROR(VLOOKUP(Tabla1[[#This Row],[COD SE]],PF_OCTUBRE,22,0),"0")</f>
        <v>26965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2926</v>
      </c>
      <c r="EF68" s="76">
        <f>+Tabla1[[#This Row],[mto_pim]]-Tabla1[[#This Row],[TRANFS ESC 3 ]]</f>
        <v>2926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0</v>
      </c>
      <c r="ES68" s="58">
        <f>+SUM(Tabla1[[#This Row],[PF OCTUBRE]:[PF DICIEMBRE
]])</f>
        <v>0</v>
      </c>
      <c r="ET68" s="58">
        <f>+SUM(Tabla1[[#This Row],[EJECUTADO 01]:[EJECUTADO 09]])</f>
        <v>0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1668</v>
      </c>
      <c r="AE69" s="369" t="s">
        <v>1669</v>
      </c>
      <c r="AF69" s="369" t="s">
        <v>1669</v>
      </c>
      <c r="AG69" s="369" t="s">
        <v>1670</v>
      </c>
      <c r="AH69" s="369">
        <v>0</v>
      </c>
      <c r="AI69" s="369">
        <v>15023</v>
      </c>
      <c r="AJ69" s="369">
        <v>15023</v>
      </c>
      <c r="AK69" s="370">
        <v>10899</v>
      </c>
      <c r="AL69" s="370">
        <v>10899</v>
      </c>
      <c r="AM69" s="370">
        <v>0</v>
      </c>
      <c r="AN69" s="370">
        <v>0</v>
      </c>
      <c r="AO69" s="370">
        <v>0</v>
      </c>
      <c r="AP69" s="370">
        <v>414.21</v>
      </c>
      <c r="AQ69" s="370">
        <v>1242.6400000000001</v>
      </c>
      <c r="AR69" s="370">
        <v>1242.6400000000001</v>
      </c>
      <c r="AS69" s="370">
        <v>1242.6400000000001</v>
      </c>
      <c r="AT69" s="370">
        <v>1242.6400000000001</v>
      </c>
      <c r="AU69" s="370">
        <v>1767.31</v>
      </c>
      <c r="AV69" s="370">
        <v>1242.6400000000001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414.21</v>
      </c>
      <c r="BC69" s="370">
        <v>1242.6400000000001</v>
      </c>
      <c r="BD69" s="370">
        <v>1242.6400000000001</v>
      </c>
      <c r="BE69" s="370">
        <v>1242.6400000000001</v>
      </c>
      <c r="BF69" s="370">
        <v>1242.6400000000001</v>
      </c>
      <c r="BG69" s="370">
        <v>1767.31</v>
      </c>
      <c r="BH69" s="370">
        <v>1242.6400000000001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1656.85</v>
      </c>
      <c r="BP69" s="370">
        <v>1242.6400000000001</v>
      </c>
      <c r="BQ69" s="370">
        <v>1242.6400000000001</v>
      </c>
      <c r="BR69" s="370">
        <v>1242.6400000000001</v>
      </c>
      <c r="BS69" s="370">
        <v>1767.31</v>
      </c>
      <c r="BT69" s="370">
        <v>1242.6400000000001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414.21</v>
      </c>
      <c r="CA69" s="370">
        <v>1242.6400000000001</v>
      </c>
      <c r="CB69" s="370">
        <v>1242.6400000000001</v>
      </c>
      <c r="CC69" s="370">
        <v>1242.6400000000001</v>
      </c>
      <c r="CD69" s="370">
        <v>1242.6400000000001</v>
      </c>
      <c r="CE69" s="370">
        <v>1767.31</v>
      </c>
      <c r="CF69" s="370">
        <v>1242.6400000000001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1991</v>
      </c>
      <c r="CL69" s="48" t="s">
        <v>1990</v>
      </c>
      <c r="CM69" s="48" t="s">
        <v>1990</v>
      </c>
      <c r="CN69" s="48" t="s">
        <v>2010</v>
      </c>
      <c r="CO69" s="48" t="str">
        <f t="shared" si="16"/>
        <v>2.1.3.1.1.13</v>
      </c>
      <c r="CP69" s="48" t="str">
        <f>+VLOOKUP(Tabla1[[#This Row],[ESPECÍFICA]],CLASIFICADOR_,2,0)</f>
        <v>2.1.3.1.1.13 - CONTRIBUCIONES A ESSALUD DEL PERSONAL ADMINISTRATIVO</v>
      </c>
      <c r="CQ69" s="48" t="str">
        <f>+VLOOKUP(Tabla1[[#This Row],[ESPECÍFICA]],CLASIFICADOR_,3,0)</f>
        <v>02.SERVIR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5"/>
        <v>0005-OPP</v>
      </c>
      <c r="CY69" s="113" t="str">
        <f t="shared" si="6"/>
        <v>0005-OPP</v>
      </c>
      <c r="CZ69" s="20" t="str">
        <f t="shared" si="7"/>
        <v>0005-OPP</v>
      </c>
      <c r="DA69" s="113" t="str">
        <f>+CONCATENATE(Tabla1[[#This Row],[CC COMPLETO]],Tabla1[[#This Row],[ESPECÍFICA]])</f>
        <v>0005-OPP2.1.3.1.1.13</v>
      </c>
      <c r="DB69" s="49">
        <f t="shared" si="8"/>
        <v>8394.7199999999993</v>
      </c>
      <c r="DC69" s="49">
        <f t="shared" si="9"/>
        <v>8394.7199999999993</v>
      </c>
      <c r="DD69" s="49">
        <f t="shared" si="10"/>
        <v>8394.7199999999993</v>
      </c>
      <c r="DE69" s="49">
        <f t="shared" si="11"/>
        <v>4124</v>
      </c>
      <c r="DF69" s="49">
        <f t="shared" si="12"/>
        <v>0</v>
      </c>
      <c r="DG69" s="49">
        <f t="shared" si="13"/>
        <v>2504.2800000000007</v>
      </c>
      <c r="DH69" s="49">
        <f t="shared" si="14"/>
        <v>6628.2800000000007</v>
      </c>
      <c r="DI69" s="50">
        <f t="shared" si="15"/>
        <v>0</v>
      </c>
      <c r="DJ69" s="78">
        <f>+SUM(Tabla1[[#This Row],[EJECUTADO 01]:[EJECUTADO 06]])</f>
        <v>2899.4900000000002</v>
      </c>
      <c r="DK69" s="78">
        <f>+Tabla1[[#This Row],[mto_devenga_01]]</f>
        <v>0</v>
      </c>
      <c r="DL69" s="78">
        <f>+Tabla1[[#This Row],[mto_devenga_02]]</f>
        <v>0</v>
      </c>
      <c r="DM69" s="78">
        <f>+Tabla1[[#This Row],[mto_devenga_03]]</f>
        <v>0</v>
      </c>
      <c r="DN69" s="78">
        <f>+Tabla1[[#This Row],[mto_devenga_04]]</f>
        <v>414.21</v>
      </c>
      <c r="DO69" s="78">
        <f>+Tabla1[[#This Row],[mto_devenga_05]]</f>
        <v>1242.6400000000001</v>
      </c>
      <c r="DP69" s="76">
        <f>+Tabla1[[#This Row],[mto_devenga_06]]</f>
        <v>1242.6400000000001</v>
      </c>
      <c r="DQ69" s="76">
        <f>+Tabla1[[#This Row],[mto_devenga_07]]</f>
        <v>1242.6400000000001</v>
      </c>
      <c r="DR69" s="76">
        <f>+Tabla1[[#This Row],[mto_devenga_08]]</f>
        <v>1242.6400000000001</v>
      </c>
      <c r="DS69" s="76">
        <f>+Tabla1[[#This Row],[mto_devenga_09]]</f>
        <v>1767.31</v>
      </c>
      <c r="DT69" s="76">
        <f>IFERROR(VLOOKUP(Tabla1[[#This Row],[COD SE]],PF_OCTUBRE,14,0),"0")</f>
        <v>1251.8399999999999</v>
      </c>
      <c r="DU69" s="76">
        <f>IFERROR(VLOOKUP(Tabla1[[#This Row],[COD SE]],PF_OCTUBRE,15,0),"0")</f>
        <v>1251.8399999999999</v>
      </c>
      <c r="DV69" s="76">
        <f>IFERROR(VLOOKUP(Tabla1[[#This Row],[COD SE]],PF_OCTUBRE,16,0),"0")</f>
        <v>1251.8400000000001</v>
      </c>
      <c r="DW69" s="76">
        <f>+SUM(Tabla1[[#This Row],[EJECUTADO 01]:[PF DICIEMBRE
]])</f>
        <v>10907.6</v>
      </c>
      <c r="DX69" s="76">
        <f>IFERROR(VLOOKUP(Tabla1[[#This Row],[COD SE]],PF_OCTUBRE,18,0),"0")</f>
        <v>0</v>
      </c>
      <c r="DY69" s="76">
        <f>IFERROR(VLOOKUP(Tabla1[[#This Row],[COD SE]],PF_OCTUBRE,19,0),"0")</f>
        <v>4115.3999999999996</v>
      </c>
      <c r="DZ69" s="76">
        <f>IFERROR(VLOOKUP(Tabla1[[#This Row],[COD SE]],PF_OCTUBRE,20,0),"0")</f>
        <v>4115.3999999999996</v>
      </c>
      <c r="EA69" s="76">
        <f>+Tabla1[[#This Row],[TOTAL EJEC REAL]]+Tabla1[[#This Row],[SALDO FINAL]]</f>
        <v>15023</v>
      </c>
      <c r="EB69" s="76">
        <f>IFERROR(VLOOKUP(Tabla1[[#This Row],[COD SE]],PF_OCTUBRE,22,0),"0")</f>
        <v>5367.24</v>
      </c>
      <c r="EC69" s="76">
        <f>+IFERROR(VLOOKUP(Tabla1[[#This Row],[COD SE]],SALDO_ESC_2,7,0),0)</f>
        <v>0</v>
      </c>
      <c r="ED69" s="76">
        <f>+IFERROR(VLOOKUP(Tabla1[[#This Row],[COD SE]],SALDO_ESC_3,7,0),0)</f>
        <v>4115.3999999999996</v>
      </c>
      <c r="EE69" s="76">
        <f>+Tabla1[[#This Row],[mto_pim]]-Tabla1[[#This Row],[TRANSF ESC2 ]]</f>
        <v>15023</v>
      </c>
      <c r="EF69" s="76">
        <f>+Tabla1[[#This Row],[mto_pim]]-Tabla1[[#This Row],[TRANFS ESC 3 ]]</f>
        <v>10907.6</v>
      </c>
      <c r="EG69" s="76">
        <f>+IFERROR(VLOOKUP(Tabla1[[#This Row],[COD SE]],HISTORICO,4,0),0)</f>
        <v>0</v>
      </c>
      <c r="EH69" s="76">
        <f>+IFERROR(VLOOKUP(Tabla1[[#This Row],[COD SE]],HISTORICO,5,0),0)</f>
        <v>0</v>
      </c>
      <c r="EI69" s="76">
        <f>+IFERROR(VLOOKUP(Tabla1[[#This Row],[COD SE]],HISTORICO,6,0),0)</f>
        <v>0</v>
      </c>
      <c r="EJ69" s="76">
        <f>+IFERROR(VLOOKUP(Tabla1[[#This Row],[COD SE]],HISTORICO,7,0),0)</f>
        <v>0</v>
      </c>
      <c r="EK69" s="76">
        <f>+IFERROR(VLOOKUP(Tabla1[[#This Row],[COD SE]],HISTORICO,8,0),0)</f>
        <v>1251.8399999999999</v>
      </c>
      <c r="EL69" s="76">
        <f>+IFERROR(VLOOKUP(Tabla1[[#This Row],[COD SE]],HISTORICO,9,0),0)</f>
        <v>1251.8399999999999</v>
      </c>
      <c r="EM69" s="76">
        <f>+IFERROR(VLOOKUP(Tabla1[[#This Row],[COD SE]],HISTORICO,10,0),0)</f>
        <v>1251.8399999999999</v>
      </c>
      <c r="EN69" s="76">
        <f>+IFERROR(VLOOKUP(Tabla1[[#This Row],[COD SE]],HISTORICO,11,0),0)</f>
        <v>1251.8399999999999</v>
      </c>
      <c r="EO69" s="76">
        <f>+IFERROR(VLOOKUP(Tabla1[[#This Row],[COD SE]],HISTORICO,12,0),0)</f>
        <v>1251.8399999999999</v>
      </c>
      <c r="EP69" s="58">
        <f>+SUM(Tabla1[[#This Row],[EJECUTADO 01]:[EJECUTADO 03]])</f>
        <v>0</v>
      </c>
      <c r="EQ69" s="58">
        <f>+SUM(Tabla1[[#This Row],[EJECUTADO 04]:[EJECUTADO 06]])</f>
        <v>2899.4900000000002</v>
      </c>
      <c r="ER69" s="58">
        <f>+SUM(Tabla1[[#This Row],[EJECUTADO 07]:[EJECUTADO 09]])</f>
        <v>4252.59</v>
      </c>
      <c r="ES69" s="58">
        <f>+SUM(Tabla1[[#This Row],[PF OCTUBRE]:[PF DICIEMBRE
]])</f>
        <v>3755.52</v>
      </c>
      <c r="ET69" s="58">
        <f>+SUM(Tabla1[[#This Row],[EJECUTADO 01]:[EJECUTADO 09]])</f>
        <v>7152.08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1672</v>
      </c>
      <c r="AD70" s="369" t="s">
        <v>1673</v>
      </c>
      <c r="AE70" s="369" t="s">
        <v>1736</v>
      </c>
      <c r="AF70" s="369" t="s">
        <v>1780</v>
      </c>
      <c r="AG70" s="369" t="s">
        <v>1781</v>
      </c>
      <c r="AH70" s="369">
        <v>0</v>
      </c>
      <c r="AI70" s="369">
        <v>0</v>
      </c>
      <c r="AJ70" s="369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>
        <v>0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1991</v>
      </c>
      <c r="CK70" s="48" t="s">
        <v>1987</v>
      </c>
      <c r="CL70" s="48" t="s">
        <v>1993</v>
      </c>
      <c r="CM70" s="48" t="s">
        <v>1987</v>
      </c>
      <c r="CN70" s="48" t="s">
        <v>1990</v>
      </c>
      <c r="CO70" s="48" t="str">
        <f t="shared" si="16"/>
        <v>2.3.2.4.2.1</v>
      </c>
      <c r="CP70" s="48" t="str">
        <f>+VLOOKUP(Tabla1[[#This Row],[ESPECÍFICA]],CLASIFICADOR_,2,0)</f>
        <v>2.3.2.4.2.1 - DE EDIFICACIONES, OFICINAS Y ESTRUCTURAS</v>
      </c>
      <c r="CQ70" s="48" t="str">
        <f>+VLOOKUP(Tabla1[[#This Row],[ESPECÍFICA]],CLASIFICADOR_,3,0)</f>
        <v>2.3.2.4 - SERVICIO DE MANTENIMIENTO, ACONDICIONAMIENTO Y  REPARACIONES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Partidas restringidas</v>
      </c>
      <c r="CU70" s="48" t="str">
        <f>+VLOOKUP(Tabla1[[#This Row],[ESPECÍFICA]],CLASIFICADOR_,7,0)</f>
        <v>9.6 Hasta el 1er Semestre</v>
      </c>
      <c r="CV70" s="48">
        <f>+VLOOKUP(Tabla1[[#This Row],[ESPECÍFICA]],CLASIFICADOR_,8,0)</f>
        <v>3</v>
      </c>
      <c r="CW70" s="113" t="str">
        <f>+CONCATENATE("2.",Tabla1[[#This Row],[generica]])</f>
        <v>2.3.BIENES Y SERVICIOS</v>
      </c>
      <c r="CX70" s="48" t="str">
        <f t="shared" ref="CX70:CX133" si="17">+VLOOKUP(U70,CC_COMPLETO,2,0)</f>
        <v>0005-OPP</v>
      </c>
      <c r="CY70" s="113" t="str">
        <f t="shared" ref="CY70:CY133" si="18">+VLOOKUP(U70,CC_COMPLETO,3,0)</f>
        <v>0005-OPP</v>
      </c>
      <c r="CZ70" s="20" t="str">
        <f t="shared" ref="CZ70:CZ133" si="19">+VLOOKUP(U70,CC_COMPLETO,4,0)</f>
        <v>0005-OPP</v>
      </c>
      <c r="DA70" s="113" t="str">
        <f>+CONCATENATE(Tabla1[[#This Row],[CC COMPLETO]],Tabla1[[#This Row],[ESPECÍFICA]])</f>
        <v>0005-OPP2.3.2.4.2.1</v>
      </c>
      <c r="DB70" s="49">
        <f t="shared" ref="DB70:DB133" si="20">SUM(AM70:AX70)</f>
        <v>0</v>
      </c>
      <c r="DC70" s="49">
        <f t="shared" ref="DC70:DC133" si="21">+SUM(AY70:BJ70)</f>
        <v>0</v>
      </c>
      <c r="DD70" s="49">
        <f t="shared" ref="DD70:DD133" si="22">+SUM(BK70:BV70)</f>
        <v>0</v>
      </c>
      <c r="DE70" s="49">
        <f t="shared" ref="DE70:DE133" si="23">+AJ70-AK70</f>
        <v>0</v>
      </c>
      <c r="DF70" s="49">
        <f t="shared" ref="DF70:DF133" si="24">+AK70-AL70</f>
        <v>0</v>
      </c>
      <c r="DG70" s="49">
        <f t="shared" ref="DG70:DG133" si="25">+AL70-DC70</f>
        <v>0</v>
      </c>
      <c r="DH70" s="49">
        <f t="shared" ref="DH70:DH133" si="26">+AJ70-DC70</f>
        <v>0</v>
      </c>
      <c r="DI70" s="50">
        <f t="shared" ref="DI70:DI133" si="27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0</v>
      </c>
      <c r="DR70" s="76">
        <f>+Tabla1[[#This Row],[mto_devenga_08]]</f>
        <v>0</v>
      </c>
      <c r="DS70" s="76">
        <f>+Tabla1[[#This Row],[mto_devenga_09]]</f>
        <v>0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0</v>
      </c>
      <c r="DW70" s="76">
        <f>+SUM(Tabla1[[#This Row],[EJECUTADO 01]:[PF DICIEMBRE
]])</f>
        <v>0</v>
      </c>
      <c r="DX70" s="76">
        <f>IFERROR(VLOOKUP(Tabla1[[#This Row],[COD SE]],PF_OCTUBRE,18,0),"0")</f>
        <v>0</v>
      </c>
      <c r="DY70" s="76">
        <f>IFERROR(VLOOKUP(Tabla1[[#This Row],[COD SE]],PF_OCTUBRE,19,0),"0")</f>
        <v>0</v>
      </c>
      <c r="DZ70" s="76">
        <f>IFERROR(VLOOKUP(Tabla1[[#This Row],[COD SE]],PF_OCTUBRE,20,0),"0")</f>
        <v>0</v>
      </c>
      <c r="EA70" s="76">
        <f>+Tabla1[[#This Row],[TOTAL EJEC REAL]]+Tabla1[[#This Row],[SALDO FINAL]]</f>
        <v>0</v>
      </c>
      <c r="EB70" s="76">
        <f>IFERROR(VLOOKUP(Tabla1[[#This Row],[COD SE]],PF_OCTUBRE,22,0),"0")</f>
        <v>0</v>
      </c>
      <c r="EC70" s="76">
        <f>+IFERROR(VLOOKUP(Tabla1[[#This Row],[COD SE]],SALDO_ESC_2,7,0),0)</f>
        <v>0</v>
      </c>
      <c r="ED70" s="76">
        <f>+IFERROR(VLOOKUP(Tabla1[[#This Row],[COD SE]],SALDO_ESC_3,7,0),0)</f>
        <v>0</v>
      </c>
      <c r="EE70" s="76">
        <f>+Tabla1[[#This Row],[mto_pim]]-Tabla1[[#This Row],[TRANSF ESC2 ]]</f>
        <v>0</v>
      </c>
      <c r="EF70" s="76">
        <f>+Tabla1[[#This Row],[mto_pim]]-Tabla1[[#This Row],[TRANFS ESC 3 ]]</f>
        <v>0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0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0</v>
      </c>
      <c r="ES70" s="58">
        <f>+SUM(Tabla1[[#This Row],[PF OCTUBRE]:[PF DICIEMBRE
]])</f>
        <v>0</v>
      </c>
      <c r="ET70" s="58">
        <f>+SUM(Tabla1[[#This Row],[EJECUTADO 01]:[EJECUTADO 09]])</f>
        <v>0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1656</v>
      </c>
      <c r="AD71" s="369" t="s">
        <v>1657</v>
      </c>
      <c r="AE71" s="369" t="s">
        <v>1658</v>
      </c>
      <c r="AF71" s="369" t="s">
        <v>1658</v>
      </c>
      <c r="AG71" s="369" t="s">
        <v>1659</v>
      </c>
      <c r="AH71" s="369">
        <v>0</v>
      </c>
      <c r="AI71" s="369">
        <v>166913</v>
      </c>
      <c r="AJ71" s="369">
        <v>166913</v>
      </c>
      <c r="AK71" s="370">
        <v>115264</v>
      </c>
      <c r="AL71" s="370">
        <v>111582.1</v>
      </c>
      <c r="AM71" s="370">
        <v>0</v>
      </c>
      <c r="AN71" s="370">
        <v>0</v>
      </c>
      <c r="AO71" s="370">
        <v>0</v>
      </c>
      <c r="AP71" s="370">
        <v>4602.38</v>
      </c>
      <c r="AQ71" s="370">
        <v>13807.14</v>
      </c>
      <c r="AR71" s="370">
        <v>13807.14</v>
      </c>
      <c r="AS71" s="370">
        <v>13807.14</v>
      </c>
      <c r="AT71" s="370">
        <v>13807.14</v>
      </c>
      <c r="AU71" s="370">
        <v>13807.14</v>
      </c>
      <c r="AV71" s="370">
        <v>13807.14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4602.38</v>
      </c>
      <c r="BC71" s="370">
        <v>13807.14</v>
      </c>
      <c r="BD71" s="370">
        <v>13807.14</v>
      </c>
      <c r="BE71" s="370">
        <v>13807.14</v>
      </c>
      <c r="BF71" s="370">
        <v>13807.14</v>
      </c>
      <c r="BG71" s="370">
        <v>13807.14</v>
      </c>
      <c r="BH71" s="370">
        <v>13807.14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18409.52</v>
      </c>
      <c r="BP71" s="370">
        <v>13807.14</v>
      </c>
      <c r="BQ71" s="370">
        <v>13807.14</v>
      </c>
      <c r="BR71" s="370">
        <v>13807.14</v>
      </c>
      <c r="BS71" s="370">
        <v>13807.14</v>
      </c>
      <c r="BT71" s="370">
        <v>12026.24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4602.38</v>
      </c>
      <c r="CA71" s="370">
        <v>13807.14</v>
      </c>
      <c r="CB71" s="370">
        <v>13807.14</v>
      </c>
      <c r="CC71" s="370">
        <v>13807.14</v>
      </c>
      <c r="CD71" s="370">
        <v>13807.14</v>
      </c>
      <c r="CE71" s="370">
        <v>17489.04</v>
      </c>
      <c r="CF71" s="370">
        <v>12026.24</v>
      </c>
      <c r="CG71" s="370">
        <v>0</v>
      </c>
      <c r="CH71" s="370">
        <v>0</v>
      </c>
      <c r="CI71" s="48" t="s">
        <v>1987</v>
      </c>
      <c r="CJ71" s="48" t="s">
        <v>1990</v>
      </c>
      <c r="CK71" s="48" t="s">
        <v>1990</v>
      </c>
      <c r="CL71" s="48" t="s">
        <v>1990</v>
      </c>
      <c r="CM71" s="48" t="s">
        <v>1990</v>
      </c>
      <c r="CN71" s="48" t="s">
        <v>1992</v>
      </c>
      <c r="CO71" s="48" t="str">
        <f t="shared" ref="CO71:CO134" si="28">+CONCATENATE(CI71,".",CJ71,".",CK71,".",CL71,".",CM71,".",CN71)</f>
        <v>2.1.1.1.1.8</v>
      </c>
      <c r="CP71" s="48" t="str">
        <f>+VLOOKUP(Tabla1[[#This Row],[ESPECÍFICA]],CLASIFICADOR_,2,0)</f>
        <v>2.1.1.1.1.8 - PERSONAL DE LA LEY SERVIR (RÉGIMEN DEL SERVICIO CIVIL)</v>
      </c>
      <c r="CQ71" s="48" t="str">
        <f>+VLOOKUP(Tabla1[[#This Row],[ESPECÍFICA]],CLASIFICADOR_,3,0)</f>
        <v>02.SERVIR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N/R</v>
      </c>
      <c r="CU71" s="48" t="str">
        <f>+VLOOKUP(Tabla1[[#This Row],[ESPECÍFICA]],CLASIFICADOR_,7,0)</f>
        <v>N/R</v>
      </c>
      <c r="CV71" s="48">
        <f>+VLOOKUP(Tabla1[[#This Row],[ESPECÍFICA]],CLASIFICADOR_,8,0)</f>
        <v>0</v>
      </c>
      <c r="CW71" s="113" t="str">
        <f>+CONCATENATE("2.",Tabla1[[#This Row],[generica]])</f>
        <v>2.1.PERSONAL Y OBLIGACIONES SOCIALES</v>
      </c>
      <c r="CX71" s="113" t="str">
        <f t="shared" si="17"/>
        <v>0005-OPP</v>
      </c>
      <c r="CY71" s="113" t="str">
        <f t="shared" si="18"/>
        <v>0005-OPP</v>
      </c>
      <c r="CZ71" s="20" t="str">
        <f t="shared" si="19"/>
        <v>0005-OPP</v>
      </c>
      <c r="DA71" s="113" t="str">
        <f>+CONCATENATE(Tabla1[[#This Row],[CC COMPLETO]],Tabla1[[#This Row],[ESPECÍFICA]])</f>
        <v>0005-OPP2.1.1.1.1.8</v>
      </c>
      <c r="DB71" s="49">
        <f t="shared" si="20"/>
        <v>87445.22</v>
      </c>
      <c r="DC71" s="49">
        <f t="shared" si="21"/>
        <v>87445.22</v>
      </c>
      <c r="DD71" s="49">
        <f t="shared" si="22"/>
        <v>85664.320000000007</v>
      </c>
      <c r="DE71" s="49">
        <f t="shared" si="23"/>
        <v>51649</v>
      </c>
      <c r="DF71" s="49">
        <f t="shared" si="24"/>
        <v>3681.8999999999942</v>
      </c>
      <c r="DG71" s="49">
        <f t="shared" si="25"/>
        <v>24136.880000000005</v>
      </c>
      <c r="DH71" s="49">
        <f t="shared" si="26"/>
        <v>79467.78</v>
      </c>
      <c r="DI71" s="50">
        <f t="shared" si="27"/>
        <v>0</v>
      </c>
      <c r="DJ71" s="78">
        <f>+SUM(Tabla1[[#This Row],[EJECUTADO 01]:[EJECUTADO 06]])</f>
        <v>32216.66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4602.38</v>
      </c>
      <c r="DO71" s="78">
        <f>+Tabla1[[#This Row],[mto_devenga_05]]</f>
        <v>13807.14</v>
      </c>
      <c r="DP71" s="76">
        <f>+Tabla1[[#This Row],[mto_devenga_06]]</f>
        <v>13807.14</v>
      </c>
      <c r="DQ71" s="76">
        <f>+Tabla1[[#This Row],[mto_devenga_07]]</f>
        <v>13807.14</v>
      </c>
      <c r="DR71" s="76">
        <f>+Tabla1[[#This Row],[mto_devenga_08]]</f>
        <v>13807.14</v>
      </c>
      <c r="DS71" s="76">
        <f>+Tabla1[[#This Row],[mto_devenga_09]]</f>
        <v>13807.14</v>
      </c>
      <c r="DT71" s="76">
        <f>IFERROR(VLOOKUP(Tabla1[[#This Row],[COD SE]],PF_OCTUBRE,14,0),"0")</f>
        <v>13909.35</v>
      </c>
      <c r="DU71" s="76">
        <f>IFERROR(VLOOKUP(Tabla1[[#This Row],[COD SE]],PF_OCTUBRE,15,0),"0")</f>
        <v>13909.35</v>
      </c>
      <c r="DV71" s="76">
        <f>IFERROR(VLOOKUP(Tabla1[[#This Row],[COD SE]],PF_OCTUBRE,16,0),"0")</f>
        <v>13909.349999999999</v>
      </c>
      <c r="DW71" s="76">
        <f>+SUM(Tabla1[[#This Row],[EJECUTADO 01]:[PF DICIEMBRE
]])</f>
        <v>115366.13</v>
      </c>
      <c r="DX71" s="76">
        <f>IFERROR(VLOOKUP(Tabla1[[#This Row],[COD SE]],PF_OCTUBRE,18,0),"0")</f>
        <v>0</v>
      </c>
      <c r="DY71" s="76">
        <f>IFERROR(VLOOKUP(Tabla1[[#This Row],[COD SE]],PF_OCTUBRE,19,0),"0")</f>
        <v>51546.87</v>
      </c>
      <c r="DZ71" s="76">
        <f>IFERROR(VLOOKUP(Tabla1[[#This Row],[COD SE]],PF_OCTUBRE,20,0),"0")</f>
        <v>51546.87</v>
      </c>
      <c r="EA71" s="76">
        <f>+Tabla1[[#This Row],[TOTAL EJEC REAL]]+Tabla1[[#This Row],[SALDO FINAL]]</f>
        <v>166913</v>
      </c>
      <c r="EB71" s="76">
        <f>IFERROR(VLOOKUP(Tabla1[[#This Row],[COD SE]],PF_OCTUBRE,22,0),"0")</f>
        <v>65456.22</v>
      </c>
      <c r="EC71" s="76">
        <f>+IFERROR(VLOOKUP(Tabla1[[#This Row],[COD SE]],SALDO_ESC_2,7,0),0)</f>
        <v>0</v>
      </c>
      <c r="ED71" s="76">
        <f>+IFERROR(VLOOKUP(Tabla1[[#This Row],[COD SE]],SALDO_ESC_3,7,0),0)</f>
        <v>51546.87</v>
      </c>
      <c r="EE71" s="76">
        <f>+Tabla1[[#This Row],[mto_pim]]-Tabla1[[#This Row],[TRANSF ESC2 ]]</f>
        <v>166913</v>
      </c>
      <c r="EF71" s="76">
        <f>+Tabla1[[#This Row],[mto_pim]]-Tabla1[[#This Row],[TRANFS ESC 3 ]]</f>
        <v>115366.13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13909.35</v>
      </c>
      <c r="EL71" s="76">
        <f>+IFERROR(VLOOKUP(Tabla1[[#This Row],[COD SE]],HISTORICO,9,0),0)</f>
        <v>13909.35</v>
      </c>
      <c r="EM71" s="76">
        <f>+IFERROR(VLOOKUP(Tabla1[[#This Row],[COD SE]],HISTORICO,10,0),0)</f>
        <v>13909.35</v>
      </c>
      <c r="EN71" s="76">
        <f>+IFERROR(VLOOKUP(Tabla1[[#This Row],[COD SE]],HISTORICO,11,0),0)</f>
        <v>13909.35</v>
      </c>
      <c r="EO71" s="76">
        <f>+IFERROR(VLOOKUP(Tabla1[[#This Row],[COD SE]],HISTORICO,12,0),0)</f>
        <v>13909.35</v>
      </c>
      <c r="EP71" s="58">
        <f>+SUM(Tabla1[[#This Row],[EJECUTADO 01]:[EJECUTADO 03]])</f>
        <v>0</v>
      </c>
      <c r="EQ71" s="58">
        <f>+SUM(Tabla1[[#This Row],[EJECUTADO 04]:[EJECUTADO 06]])</f>
        <v>32216.66</v>
      </c>
      <c r="ER71" s="58">
        <f>+SUM(Tabla1[[#This Row],[EJECUTADO 07]:[EJECUTADO 09]])</f>
        <v>41421.42</v>
      </c>
      <c r="ES71" s="58">
        <f>+SUM(Tabla1[[#This Row],[PF OCTUBRE]:[PF DICIEMBRE
]])</f>
        <v>41728.050000000003</v>
      </c>
      <c r="ET71" s="58">
        <f>+SUM(Tabla1[[#This Row],[EJECUTADO 01]:[EJECUTADO 09]])</f>
        <v>73638.080000000002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1672</v>
      </c>
      <c r="AD72" s="369" t="s">
        <v>1673</v>
      </c>
      <c r="AE72" s="369" t="s">
        <v>1678</v>
      </c>
      <c r="AF72" s="369" t="s">
        <v>1699</v>
      </c>
      <c r="AG72" s="369" t="s">
        <v>1700</v>
      </c>
      <c r="AH72" s="369">
        <v>201000</v>
      </c>
      <c r="AI72" s="369">
        <v>-172000</v>
      </c>
      <c r="AJ72" s="369">
        <v>29000</v>
      </c>
      <c r="AK72" s="370">
        <v>29000</v>
      </c>
      <c r="AL72" s="370">
        <v>29000</v>
      </c>
      <c r="AM72" s="370">
        <v>0</v>
      </c>
      <c r="AN72" s="370">
        <v>0</v>
      </c>
      <c r="AO72" s="370">
        <v>29000</v>
      </c>
      <c r="AP72" s="370">
        <v>0</v>
      </c>
      <c r="AQ72" s="370">
        <v>0</v>
      </c>
      <c r="AR72" s="370">
        <v>0</v>
      </c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0</v>
      </c>
      <c r="AZ72" s="370">
        <v>0</v>
      </c>
      <c r="BA72" s="370">
        <v>0</v>
      </c>
      <c r="BB72" s="370">
        <v>0</v>
      </c>
      <c r="BC72" s="370">
        <v>29000</v>
      </c>
      <c r="BD72" s="370">
        <v>0</v>
      </c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29000</v>
      </c>
      <c r="BP72" s="370">
        <v>0</v>
      </c>
      <c r="BQ72" s="370">
        <v>0</v>
      </c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29000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0">
        <v>0</v>
      </c>
      <c r="CF72" s="370">
        <v>0</v>
      </c>
      <c r="CG72" s="370">
        <v>0</v>
      </c>
      <c r="CH72" s="370">
        <v>0</v>
      </c>
      <c r="CI72" s="48" t="s">
        <v>1987</v>
      </c>
      <c r="CJ72" s="48" t="s">
        <v>1991</v>
      </c>
      <c r="CK72" s="48" t="s">
        <v>1987</v>
      </c>
      <c r="CL72" s="48" t="s">
        <v>1989</v>
      </c>
      <c r="CM72" s="48" t="s">
        <v>2020</v>
      </c>
      <c r="CN72" s="48" t="s">
        <v>2012</v>
      </c>
      <c r="CO72" s="48" t="str">
        <f t="shared" si="28"/>
        <v>2.3.2.7.14.98</v>
      </c>
      <c r="CP72" s="48" t="str">
        <f>+VLOOKUP(Tabla1[[#This Row],[ESPECÍFICA]],CLASIFICADOR_,2,0)</f>
        <v>2.3.2.7.14.98 - OTROS SERVICIOS TÉCNICOS Y PROFESIONALES DESARROLLADOS POR PERSONAS NATURALES</v>
      </c>
      <c r="CQ72" s="48" t="str">
        <f>+VLOOKUP(Tabla1[[#This Row],[ESPECÍFICA]],CLASIFICADOR_,3,0)</f>
        <v>2.3.2.7 - SERVICIOS PROFESIONALES Y TECNICOS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2.3.BIENES Y SERVICIOS</v>
      </c>
      <c r="CX72" s="48" t="str">
        <f t="shared" si="17"/>
        <v>0005-OPP</v>
      </c>
      <c r="CY72" s="113" t="str">
        <f t="shared" si="18"/>
        <v>0005-OPP</v>
      </c>
      <c r="CZ72" s="20" t="str">
        <f t="shared" si="19"/>
        <v>0005-OPP</v>
      </c>
      <c r="DA72" s="113" t="str">
        <f>+CONCATENATE(Tabla1[[#This Row],[CC COMPLETO]],Tabla1[[#This Row],[ESPECÍFICA]])</f>
        <v>0005-OPP2.3.2.7.14.98</v>
      </c>
      <c r="DB72" s="49">
        <f t="shared" si="20"/>
        <v>29000</v>
      </c>
      <c r="DC72" s="49">
        <f t="shared" si="21"/>
        <v>29000</v>
      </c>
      <c r="DD72" s="49">
        <f t="shared" si="22"/>
        <v>29000</v>
      </c>
      <c r="DE72" s="49">
        <f t="shared" si="23"/>
        <v>0</v>
      </c>
      <c r="DF72" s="49">
        <f t="shared" si="24"/>
        <v>0</v>
      </c>
      <c r="DG72" s="49">
        <f t="shared" si="25"/>
        <v>0</v>
      </c>
      <c r="DH72" s="49">
        <f t="shared" si="26"/>
        <v>0</v>
      </c>
      <c r="DI72" s="50">
        <f t="shared" si="27"/>
        <v>0.14427860696517414</v>
      </c>
      <c r="DJ72" s="78">
        <f>+SUM(Tabla1[[#This Row],[EJECUTADO 01]:[EJECUTADO 06]])</f>
        <v>29000</v>
      </c>
      <c r="DK72" s="78">
        <f>+Tabla1[[#This Row],[mto_devenga_01]]</f>
        <v>0</v>
      </c>
      <c r="DL72" s="78">
        <f>+Tabla1[[#This Row],[mto_devenga_02]]</f>
        <v>0</v>
      </c>
      <c r="DM72" s="78">
        <f>+Tabla1[[#This Row],[mto_devenga_03]]</f>
        <v>0</v>
      </c>
      <c r="DN72" s="78">
        <f>+Tabla1[[#This Row],[mto_devenga_04]]</f>
        <v>0</v>
      </c>
      <c r="DO72" s="78">
        <f>+Tabla1[[#This Row],[mto_devenga_05]]</f>
        <v>29000</v>
      </c>
      <c r="DP72" s="76">
        <f>+Tabla1[[#This Row],[mto_devenga_06]]</f>
        <v>0</v>
      </c>
      <c r="DQ72" s="76">
        <f>+Tabla1[[#This Row],[mto_devenga_07]]</f>
        <v>0</v>
      </c>
      <c r="DR72" s="76">
        <f>+Tabla1[[#This Row],[mto_devenga_08]]</f>
        <v>0</v>
      </c>
      <c r="DS72" s="76">
        <f>+Tabla1[[#This Row],[mto_devenga_09]]</f>
        <v>0</v>
      </c>
      <c r="DT72" s="76">
        <f>IFERROR(VLOOKUP(Tabla1[[#This Row],[COD SE]],PF_OCTUBRE,14,0),"0")</f>
        <v>0</v>
      </c>
      <c r="DU72" s="76">
        <f>IFERROR(VLOOKUP(Tabla1[[#This Row],[COD SE]],PF_OCTUBRE,15,0),"0")</f>
        <v>0</v>
      </c>
      <c r="DV72" s="76">
        <f>IFERROR(VLOOKUP(Tabla1[[#This Row],[COD SE]],PF_OCTUBRE,16,0),"0")</f>
        <v>0</v>
      </c>
      <c r="DW72" s="76">
        <f>+SUM(Tabla1[[#This Row],[EJECUTADO 01]:[PF DICIEMBRE
]])</f>
        <v>29000</v>
      </c>
      <c r="DX72" s="76">
        <f>IFERROR(VLOOKUP(Tabla1[[#This Row],[COD SE]],PF_OCTUBRE,18,0),"0")</f>
        <v>0</v>
      </c>
      <c r="DY72" s="76">
        <f>IFERROR(VLOOKUP(Tabla1[[#This Row],[COD SE]],PF_OCTUBRE,19,0),"0")</f>
        <v>0</v>
      </c>
      <c r="DZ72" s="76">
        <f>IFERROR(VLOOKUP(Tabla1[[#This Row],[COD SE]],PF_OCTUBRE,20,0),"0")</f>
        <v>0</v>
      </c>
      <c r="EA72" s="76">
        <f>+Tabla1[[#This Row],[TOTAL EJEC REAL]]+Tabla1[[#This Row],[SALDO FINAL]]</f>
        <v>29000</v>
      </c>
      <c r="EB72" s="76">
        <f>IFERROR(VLOOKUP(Tabla1[[#This Row],[COD SE]],PF_OCTUBRE,22,0),"0")</f>
        <v>0</v>
      </c>
      <c r="EC72" s="76">
        <f>+IFERROR(VLOOKUP(Tabla1[[#This Row],[COD SE]],SALDO_ESC_2,7,0),0)</f>
        <v>0</v>
      </c>
      <c r="ED72" s="76">
        <f>+IFERROR(VLOOKUP(Tabla1[[#This Row],[COD SE]],SALDO_ESC_3,7,0),0)</f>
        <v>0</v>
      </c>
      <c r="EE72" s="76">
        <f>+Tabla1[[#This Row],[mto_pim]]-Tabla1[[#This Row],[TRANSF ESC2 ]]</f>
        <v>29000</v>
      </c>
      <c r="EF72" s="76">
        <f>+Tabla1[[#This Row],[mto_pim]]-Tabla1[[#This Row],[TRANFS ESC 3 ]]</f>
        <v>29000</v>
      </c>
      <c r="EG72" s="76">
        <f>+IFERROR(VLOOKUP(Tabla1[[#This Row],[COD SE]],HISTORICO,4,0),0)</f>
        <v>0</v>
      </c>
      <c r="EH72" s="76">
        <f>+IFERROR(VLOOKUP(Tabla1[[#This Row],[COD SE]],HISTORICO,5,0),0)</f>
        <v>0</v>
      </c>
      <c r="EI72" s="76">
        <f>+IFERROR(VLOOKUP(Tabla1[[#This Row],[COD SE]],HISTORICO,6,0),0)</f>
        <v>0</v>
      </c>
      <c r="EJ72" s="76">
        <f>+IFERROR(VLOOKUP(Tabla1[[#This Row],[COD SE]],HISTORICO,7,0),0)</f>
        <v>29000</v>
      </c>
      <c r="EK72" s="76">
        <f>+IFERROR(VLOOKUP(Tabla1[[#This Row],[COD SE]],HISTORICO,8,0),0)</f>
        <v>29000</v>
      </c>
      <c r="EL72" s="76">
        <f>+IFERROR(VLOOKUP(Tabla1[[#This Row],[COD SE]],HISTORICO,9,0),0)</f>
        <v>0</v>
      </c>
      <c r="EM72" s="76">
        <f>+IFERROR(VLOOKUP(Tabla1[[#This Row],[COD SE]],HISTORICO,10,0),0)</f>
        <v>0</v>
      </c>
      <c r="EN72" s="76">
        <f>+IFERROR(VLOOKUP(Tabla1[[#This Row],[COD SE]],HISTORICO,11,0),0)</f>
        <v>0</v>
      </c>
      <c r="EO72" s="76">
        <f>+IFERROR(VLOOKUP(Tabla1[[#This Row],[COD SE]],HISTORICO,12,0),0)</f>
        <v>0</v>
      </c>
      <c r="EP72" s="58">
        <f>+SUM(Tabla1[[#This Row],[EJECUTADO 01]:[EJECUTADO 03]])</f>
        <v>0</v>
      </c>
      <c r="EQ72" s="58">
        <f>+SUM(Tabla1[[#This Row],[EJECUTADO 04]:[EJECUTADO 06]])</f>
        <v>29000</v>
      </c>
      <c r="ER72" s="58">
        <f>+SUM(Tabla1[[#This Row],[EJECUTADO 07]:[EJECUTADO 09]])</f>
        <v>0</v>
      </c>
      <c r="ES72" s="58">
        <f>+SUM(Tabla1[[#This Row],[PF OCTUBRE]:[PF DICIEMBRE
]])</f>
        <v>0</v>
      </c>
      <c r="ET72" s="58">
        <f>+SUM(Tabla1[[#This Row],[EJECUTADO 01]:[EJECUTADO 09]])</f>
        <v>29000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1656</v>
      </c>
      <c r="AD73" s="369" t="s">
        <v>2006</v>
      </c>
      <c r="AE73" s="369" t="s">
        <v>2007</v>
      </c>
      <c r="AF73" s="369" t="s">
        <v>2007</v>
      </c>
      <c r="AG73" s="369" t="s">
        <v>2015</v>
      </c>
      <c r="AH73" s="369">
        <v>0</v>
      </c>
      <c r="AI73" s="369">
        <v>4946</v>
      </c>
      <c r="AJ73" s="369">
        <v>4946</v>
      </c>
      <c r="AK73" s="370">
        <v>4946</v>
      </c>
      <c r="AL73" s="370">
        <v>4946</v>
      </c>
      <c r="AM73" s="370">
        <v>0</v>
      </c>
      <c r="AN73" s="370">
        <v>0</v>
      </c>
      <c r="AO73" s="370">
        <v>0</v>
      </c>
      <c r="AP73" s="370">
        <v>0</v>
      </c>
      <c r="AQ73" s="370">
        <v>4945.04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4945.04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4945.04</v>
      </c>
      <c r="BP73" s="370">
        <v>0</v>
      </c>
      <c r="BQ73" s="370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4945.04</v>
      </c>
      <c r="CB73" s="370">
        <v>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1990</v>
      </c>
      <c r="CK73" s="48" t="s">
        <v>1993</v>
      </c>
      <c r="CL73" s="48" t="s">
        <v>1990</v>
      </c>
      <c r="CM73" s="48" t="s">
        <v>1990</v>
      </c>
      <c r="CN73" s="48" t="s">
        <v>1989</v>
      </c>
      <c r="CO73" s="48" t="str">
        <f t="shared" si="28"/>
        <v>2.1.4.1.1.7</v>
      </c>
      <c r="CP73" s="48" t="str">
        <f>+VLOOKUP(Tabla1[[#This Row],[ESPECÍFICA]],CLASIFICADOR_,2,0)</f>
        <v>2.1.4.1.1.7 - VACACIONES TRUNCAS PERSONAL CAS</v>
      </c>
      <c r="CQ73" s="48" t="str">
        <f>+VLOOKUP(Tabla1[[#This Row],[ESPECÍFICA]],CLASIFICADOR_,3,0)</f>
        <v>01.CAS</v>
      </c>
      <c r="CR73" s="48" t="str">
        <f>+VLOOKUP(Tabla1[[#This Row],[ESPECÍFICA]],CLASIFICADOR_,4,0)</f>
        <v xml:space="preserve"> </v>
      </c>
      <c r="CS73" s="48">
        <f>+VLOOKUP(Tabla1[[#This Row],[ESPECÍFICA]],CLASIFICADOR_,5,0)</f>
        <v>0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2.1.PERSONAL Y OBLIGACIONES SOCIALES</v>
      </c>
      <c r="CX73" s="48" t="str">
        <f t="shared" si="17"/>
        <v>0005-OPP</v>
      </c>
      <c r="CY73" s="113" t="str">
        <f t="shared" si="18"/>
        <v>0005-OPP</v>
      </c>
      <c r="CZ73" s="20" t="str">
        <f t="shared" si="19"/>
        <v>0005-OPP</v>
      </c>
      <c r="DA73" s="113" t="str">
        <f>+CONCATENATE(Tabla1[[#This Row],[CC COMPLETO]],Tabla1[[#This Row],[ESPECÍFICA]])</f>
        <v>0005-OPP2.1.4.1.1.7</v>
      </c>
      <c r="DB73" s="49">
        <f t="shared" si="20"/>
        <v>4945.04</v>
      </c>
      <c r="DC73" s="49">
        <f t="shared" si="21"/>
        <v>4945.04</v>
      </c>
      <c r="DD73" s="49">
        <f t="shared" si="22"/>
        <v>4945.04</v>
      </c>
      <c r="DE73" s="49">
        <f t="shared" si="23"/>
        <v>0</v>
      </c>
      <c r="DF73" s="49">
        <f t="shared" si="24"/>
        <v>0</v>
      </c>
      <c r="DG73" s="49">
        <f t="shared" si="25"/>
        <v>0.96000000000003638</v>
      </c>
      <c r="DH73" s="49">
        <f t="shared" si="26"/>
        <v>0.96000000000003638</v>
      </c>
      <c r="DI73" s="50">
        <f t="shared" si="27"/>
        <v>0</v>
      </c>
      <c r="DJ73" s="78">
        <f>+SUM(Tabla1[[#This Row],[EJECUTADO 01]:[EJECUTADO 06]])</f>
        <v>4945.04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4945.04</v>
      </c>
      <c r="DP73" s="76">
        <f>+Tabla1[[#This Row],[mto_devenga_06]]</f>
        <v>0</v>
      </c>
      <c r="DQ73" s="76">
        <f>+Tabla1[[#This Row],[mto_devenga_07]]</f>
        <v>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4945.04</v>
      </c>
      <c r="DX73" s="76">
        <f>IFERROR(VLOOKUP(Tabla1[[#This Row],[COD SE]],PF_OCTUBRE,18,0),"0")</f>
        <v>0</v>
      </c>
      <c r="DY73" s="76">
        <f>IFERROR(VLOOKUP(Tabla1[[#This Row],[COD SE]],PF_OCTUBRE,19,0),"0")</f>
        <v>0.96</v>
      </c>
      <c r="DZ73" s="76">
        <f>IFERROR(VLOOKUP(Tabla1[[#This Row],[COD SE]],PF_OCTUBRE,20,0),"0")</f>
        <v>0.96</v>
      </c>
      <c r="EA73" s="76">
        <f>+Tabla1[[#This Row],[TOTAL EJEC REAL]]+Tabla1[[#This Row],[SALDO FINAL]]</f>
        <v>4946</v>
      </c>
      <c r="EB73" s="76">
        <f>IFERROR(VLOOKUP(Tabla1[[#This Row],[COD SE]],PF_OCTUBRE,22,0),"0")</f>
        <v>0.96</v>
      </c>
      <c r="EC73" s="76">
        <f>+IFERROR(VLOOKUP(Tabla1[[#This Row],[COD SE]],SALDO_ESC_2,7,0),0)</f>
        <v>0</v>
      </c>
      <c r="ED73" s="76">
        <f>+IFERROR(VLOOKUP(Tabla1[[#This Row],[COD SE]],SALDO_ESC_3,7,0),0)</f>
        <v>0.96</v>
      </c>
      <c r="EE73" s="76">
        <f>+Tabla1[[#This Row],[mto_pim]]-Tabla1[[#This Row],[TRANSF ESC2 ]]</f>
        <v>4946</v>
      </c>
      <c r="EF73" s="76">
        <f>+Tabla1[[#This Row],[mto_pim]]-Tabla1[[#This Row],[TRANFS ESC 3 ]]</f>
        <v>4945.04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4946</v>
      </c>
      <c r="EL73" s="76">
        <f>+IFERROR(VLOOKUP(Tabla1[[#This Row],[COD SE]],HISTORICO,9,0),0)</f>
        <v>0</v>
      </c>
      <c r="EM73" s="76">
        <f>+IFERROR(VLOOKUP(Tabla1[[#This Row],[COD SE]],HISTORICO,10,0),0)</f>
        <v>0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4945.04</v>
      </c>
      <c r="ER73" s="58">
        <f>+SUM(Tabla1[[#This Row],[EJECUTADO 07]:[EJECUTADO 09]])</f>
        <v>0</v>
      </c>
      <c r="ES73" s="58">
        <f>+SUM(Tabla1[[#This Row],[PF OCTUBRE]:[PF DICIEMBRE
]])</f>
        <v>0</v>
      </c>
      <c r="ET73" s="58">
        <f>+SUM(Tabla1[[#This Row],[EJECUTADO 01]:[EJECUTADO 09]])</f>
        <v>4945.04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1200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8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7"/>
        <v>0006-JEFATURA</v>
      </c>
      <c r="CY74" s="113" t="str">
        <f t="shared" si="18"/>
        <v>0006-JEFATURA</v>
      </c>
      <c r="CZ74" s="20" t="str">
        <f t="shared" si="19"/>
        <v>0006-JEFATURA</v>
      </c>
      <c r="DA74" s="113" t="str">
        <f>+CONCATENATE(Tabla1[[#This Row],[CC COMPLETO]],Tabla1[[#This Row],[ESPECÍFICA]])</f>
        <v>0006-JEFATURA2.1.1.9.1.4</v>
      </c>
      <c r="DB74" s="49">
        <f t="shared" si="20"/>
        <v>600</v>
      </c>
      <c r="DC74" s="49">
        <f t="shared" si="21"/>
        <v>600</v>
      </c>
      <c r="DD74" s="49">
        <f t="shared" si="22"/>
        <v>600</v>
      </c>
      <c r="DE74" s="49">
        <f t="shared" si="23"/>
        <v>600</v>
      </c>
      <c r="DF74" s="49">
        <f t="shared" si="24"/>
        <v>600</v>
      </c>
      <c r="DG74" s="49">
        <f t="shared" si="25"/>
        <v>600</v>
      </c>
      <c r="DH74" s="49">
        <f t="shared" si="26"/>
        <v>1800</v>
      </c>
      <c r="DI74" s="50">
        <f t="shared" si="27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1668</v>
      </c>
      <c r="AE75" s="369" t="s">
        <v>1669</v>
      </c>
      <c r="AF75" s="369" t="s">
        <v>1669</v>
      </c>
      <c r="AG75" s="369" t="s">
        <v>1670</v>
      </c>
      <c r="AH75" s="369">
        <v>0</v>
      </c>
      <c r="AI75" s="369">
        <v>16848</v>
      </c>
      <c r="AJ75" s="369">
        <v>16848</v>
      </c>
      <c r="AK75" s="370">
        <v>12075</v>
      </c>
      <c r="AL75" s="370">
        <v>12075</v>
      </c>
      <c r="AM75" s="370">
        <v>0</v>
      </c>
      <c r="AN75" s="370">
        <v>0</v>
      </c>
      <c r="AO75" s="370">
        <v>0</v>
      </c>
      <c r="AP75" s="370">
        <v>468</v>
      </c>
      <c r="AQ75" s="370">
        <v>1404</v>
      </c>
      <c r="AR75" s="370">
        <v>1404</v>
      </c>
      <c r="AS75" s="370">
        <v>1404</v>
      </c>
      <c r="AT75" s="370">
        <v>1404</v>
      </c>
      <c r="AU75" s="370">
        <v>1778.4</v>
      </c>
      <c r="AV75" s="370">
        <v>1404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468</v>
      </c>
      <c r="BC75" s="370">
        <v>1404</v>
      </c>
      <c r="BD75" s="370">
        <v>1404</v>
      </c>
      <c r="BE75" s="370">
        <v>1404</v>
      </c>
      <c r="BF75" s="370">
        <v>1404</v>
      </c>
      <c r="BG75" s="370">
        <v>1778.4</v>
      </c>
      <c r="BH75" s="370">
        <v>1404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1872</v>
      </c>
      <c r="BP75" s="370">
        <v>1404</v>
      </c>
      <c r="BQ75" s="370">
        <v>1404</v>
      </c>
      <c r="BR75" s="370">
        <v>1404</v>
      </c>
      <c r="BS75" s="370">
        <v>1778.4</v>
      </c>
      <c r="BT75" s="370">
        <v>1404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468</v>
      </c>
      <c r="CA75" s="370">
        <v>1404</v>
      </c>
      <c r="CB75" s="370">
        <v>1404</v>
      </c>
      <c r="CC75" s="370">
        <v>1404</v>
      </c>
      <c r="CD75" s="370">
        <v>1404</v>
      </c>
      <c r="CE75" s="370">
        <v>1778.4</v>
      </c>
      <c r="CF75" s="370">
        <v>1404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1991</v>
      </c>
      <c r="CL75" s="48" t="s">
        <v>1990</v>
      </c>
      <c r="CM75" s="48" t="s">
        <v>1990</v>
      </c>
      <c r="CN75" s="48" t="s">
        <v>2010</v>
      </c>
      <c r="CO75" s="48" t="str">
        <f t="shared" si="28"/>
        <v>2.1.3.1.1.13</v>
      </c>
      <c r="CP75" s="48" t="str">
        <f>+VLOOKUP(Tabla1[[#This Row],[ESPECÍFICA]],CLASIFICADOR_,2,0)</f>
        <v>2.1.3.1.1.13 - CONTRIBUCIONES A ESSALUD DEL PERSONAL ADMINISTRATIVO</v>
      </c>
      <c r="CQ75" s="48" t="str">
        <f>+VLOOKUP(Tabla1[[#This Row],[ESPECÍFICA]],CLASIFICADOR_,3,0)</f>
        <v>02.SERVIR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7"/>
        <v>0006-JEFATURA</v>
      </c>
      <c r="CY75" s="113" t="str">
        <f t="shared" si="18"/>
        <v>0006-JEFATURA</v>
      </c>
      <c r="CZ75" s="20" t="str">
        <f t="shared" si="19"/>
        <v>0006-JEFATURA</v>
      </c>
      <c r="DA75" s="113" t="str">
        <f>+CONCATENATE(Tabla1[[#This Row],[CC COMPLETO]],Tabla1[[#This Row],[ESPECÍFICA]])</f>
        <v>0006-JEFATURA2.1.3.1.1.13</v>
      </c>
      <c r="DB75" s="49">
        <f t="shared" si="20"/>
        <v>9266.4</v>
      </c>
      <c r="DC75" s="49">
        <f t="shared" si="21"/>
        <v>9266.4</v>
      </c>
      <c r="DD75" s="49">
        <f t="shared" si="22"/>
        <v>9266.4</v>
      </c>
      <c r="DE75" s="49">
        <f t="shared" si="23"/>
        <v>4773</v>
      </c>
      <c r="DF75" s="49">
        <f t="shared" si="24"/>
        <v>0</v>
      </c>
      <c r="DG75" s="49">
        <f t="shared" si="25"/>
        <v>2808.6000000000004</v>
      </c>
      <c r="DH75" s="49">
        <f t="shared" si="26"/>
        <v>7581.6</v>
      </c>
      <c r="DI75" s="50">
        <f t="shared" si="27"/>
        <v>0</v>
      </c>
      <c r="DJ75" s="78">
        <f>+SUM(Tabla1[[#This Row],[EJECUTADO 01]:[EJECUTADO 06]])</f>
        <v>3276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468</v>
      </c>
      <c r="DO75" s="78">
        <f>+Tabla1[[#This Row],[mto_devenga_05]]</f>
        <v>1404</v>
      </c>
      <c r="DP75" s="76">
        <f>+Tabla1[[#This Row],[mto_devenga_06]]</f>
        <v>1404</v>
      </c>
      <c r="DQ75" s="76">
        <f>+Tabla1[[#This Row],[mto_devenga_07]]</f>
        <v>1404</v>
      </c>
      <c r="DR75" s="76">
        <f>+Tabla1[[#This Row],[mto_devenga_08]]</f>
        <v>1404</v>
      </c>
      <c r="DS75" s="76">
        <f>+Tabla1[[#This Row],[mto_devenga_09]]</f>
        <v>1778.4</v>
      </c>
      <c r="DT75" s="76">
        <f>IFERROR(VLOOKUP(Tabla1[[#This Row],[COD SE]],PF_OCTUBRE,14,0),"0")</f>
        <v>1404</v>
      </c>
      <c r="DU75" s="76">
        <f>IFERROR(VLOOKUP(Tabla1[[#This Row],[COD SE]],PF_OCTUBRE,15,0),"0")</f>
        <v>1404</v>
      </c>
      <c r="DV75" s="76">
        <f>IFERROR(VLOOKUP(Tabla1[[#This Row],[COD SE]],PF_OCTUBRE,16,0),"0")</f>
        <v>1404</v>
      </c>
      <c r="DW75" s="76">
        <f>+SUM(Tabla1[[#This Row],[EJECUTADO 01]:[PF DICIEMBRE
]])</f>
        <v>12074.4</v>
      </c>
      <c r="DX75" s="76">
        <f>IFERROR(VLOOKUP(Tabla1[[#This Row],[COD SE]],PF_OCTUBRE,18,0),"0")</f>
        <v>0</v>
      </c>
      <c r="DY75" s="76">
        <f>IFERROR(VLOOKUP(Tabla1[[#This Row],[COD SE]],PF_OCTUBRE,19,0),"0")</f>
        <v>4773.6000000000004</v>
      </c>
      <c r="DZ75" s="76">
        <f>IFERROR(VLOOKUP(Tabla1[[#This Row],[COD SE]],PF_OCTUBRE,20,0),"0")</f>
        <v>4773.6000000000004</v>
      </c>
      <c r="EA75" s="76">
        <f>+Tabla1[[#This Row],[TOTAL EJEC REAL]]+Tabla1[[#This Row],[SALDO FINAL]]</f>
        <v>16848</v>
      </c>
      <c r="EB75" s="76">
        <f>IFERROR(VLOOKUP(Tabla1[[#This Row],[COD SE]],PF_OCTUBRE,22,0),"0")</f>
        <v>6177.6</v>
      </c>
      <c r="EC75" s="76">
        <f>+IFERROR(VLOOKUP(Tabla1[[#This Row],[COD SE]],SALDO_ESC_2,7,0),0)</f>
        <v>0</v>
      </c>
      <c r="ED75" s="76">
        <f>+IFERROR(VLOOKUP(Tabla1[[#This Row],[COD SE]],SALDO_ESC_3,7,0),0)</f>
        <v>4773.6000000000004</v>
      </c>
      <c r="EE75" s="76">
        <f>+Tabla1[[#This Row],[mto_pim]]-Tabla1[[#This Row],[TRANSF ESC2 ]]</f>
        <v>16848</v>
      </c>
      <c r="EF75" s="76">
        <f>+Tabla1[[#This Row],[mto_pim]]-Tabla1[[#This Row],[TRANFS ESC 3 ]]</f>
        <v>12074.4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1404</v>
      </c>
      <c r="EL75" s="76">
        <f>+IFERROR(VLOOKUP(Tabla1[[#This Row],[COD SE]],HISTORICO,9,0),0)</f>
        <v>1404</v>
      </c>
      <c r="EM75" s="76">
        <f>+IFERROR(VLOOKUP(Tabla1[[#This Row],[COD SE]],HISTORICO,10,0),0)</f>
        <v>1404</v>
      </c>
      <c r="EN75" s="76">
        <f>+IFERROR(VLOOKUP(Tabla1[[#This Row],[COD SE]],HISTORICO,11,0),0)</f>
        <v>1404</v>
      </c>
      <c r="EO75" s="76">
        <f>+IFERROR(VLOOKUP(Tabla1[[#This Row],[COD SE]],HISTORICO,12,0),0)</f>
        <v>1404</v>
      </c>
      <c r="EP75" s="58">
        <f>+SUM(Tabla1[[#This Row],[EJECUTADO 01]:[EJECUTADO 03]])</f>
        <v>0</v>
      </c>
      <c r="EQ75" s="58">
        <f>+SUM(Tabla1[[#This Row],[EJECUTADO 04]:[EJECUTADO 06]])</f>
        <v>3276</v>
      </c>
      <c r="ER75" s="58">
        <f>+SUM(Tabla1[[#This Row],[EJECUTADO 07]:[EJECUTADO 09]])</f>
        <v>4586.3999999999996</v>
      </c>
      <c r="ES75" s="58">
        <f>+SUM(Tabla1[[#This Row],[PF OCTUBRE]:[PF DICIEMBRE
]])</f>
        <v>4212</v>
      </c>
      <c r="ET75" s="58">
        <f>+SUM(Tabla1[[#This Row],[EJECUTADO 01]:[EJECUTADO 09]])</f>
        <v>7862.4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1656</v>
      </c>
      <c r="AD76" s="369" t="s">
        <v>1657</v>
      </c>
      <c r="AE76" s="369" t="s">
        <v>1660</v>
      </c>
      <c r="AF76" s="369" t="s">
        <v>1661</v>
      </c>
      <c r="AG76" s="369" t="s">
        <v>1662</v>
      </c>
      <c r="AH76" s="369">
        <v>61971</v>
      </c>
      <c r="AI76" s="369">
        <v>1200</v>
      </c>
      <c r="AJ76" s="369">
        <v>63171</v>
      </c>
      <c r="AK76" s="370">
        <v>63170.28</v>
      </c>
      <c r="AL76" s="370">
        <v>63170.28</v>
      </c>
      <c r="AM76" s="370">
        <v>5264.19</v>
      </c>
      <c r="AN76" s="370">
        <v>5264.19</v>
      </c>
      <c r="AO76" s="370">
        <v>5264.19</v>
      </c>
      <c r="AP76" s="370">
        <v>5264.19</v>
      </c>
      <c r="AQ76" s="370">
        <v>5264.19</v>
      </c>
      <c r="AR76" s="370">
        <v>5264.19</v>
      </c>
      <c r="AS76" s="370">
        <v>5264.19</v>
      </c>
      <c r="AT76" s="370">
        <v>5264.19</v>
      </c>
      <c r="AU76" s="370">
        <v>5264.19</v>
      </c>
      <c r="AV76" s="370">
        <v>5264.19</v>
      </c>
      <c r="AW76" s="370">
        <v>0</v>
      </c>
      <c r="AX76" s="370">
        <v>0</v>
      </c>
      <c r="AY76" s="370">
        <v>5264.19</v>
      </c>
      <c r="AZ76" s="370">
        <v>5264.19</v>
      </c>
      <c r="BA76" s="370">
        <v>5264.19</v>
      </c>
      <c r="BB76" s="370">
        <v>5264.19</v>
      </c>
      <c r="BC76" s="370">
        <v>5264.19</v>
      </c>
      <c r="BD76" s="370">
        <v>5264.19</v>
      </c>
      <c r="BE76" s="370">
        <v>5264.19</v>
      </c>
      <c r="BF76" s="370">
        <v>5264.19</v>
      </c>
      <c r="BG76" s="370">
        <v>5264.19</v>
      </c>
      <c r="BH76" s="370">
        <v>5264.19</v>
      </c>
      <c r="BI76" s="370">
        <v>0</v>
      </c>
      <c r="BJ76" s="370">
        <v>0</v>
      </c>
      <c r="BK76" s="370">
        <v>5264.19</v>
      </c>
      <c r="BL76" s="370">
        <v>5264.19</v>
      </c>
      <c r="BM76" s="370">
        <v>5264.19</v>
      </c>
      <c r="BN76" s="370">
        <v>5264.19</v>
      </c>
      <c r="BO76" s="370">
        <v>5264.19</v>
      </c>
      <c r="BP76" s="370">
        <v>5264.19</v>
      </c>
      <c r="BQ76" s="370">
        <v>5264.19</v>
      </c>
      <c r="BR76" s="370">
        <v>5264.19</v>
      </c>
      <c r="BS76" s="370">
        <v>5264.19</v>
      </c>
      <c r="BT76" s="370">
        <v>5264.19</v>
      </c>
      <c r="BU76" s="370">
        <v>0</v>
      </c>
      <c r="BV76" s="370">
        <v>0</v>
      </c>
      <c r="BW76" s="370">
        <v>5264.19</v>
      </c>
      <c r="BX76" s="370">
        <v>5264.19</v>
      </c>
      <c r="BY76" s="370">
        <v>5264.19</v>
      </c>
      <c r="BZ76" s="370">
        <v>5264.19</v>
      </c>
      <c r="CA76" s="370">
        <v>5264.19</v>
      </c>
      <c r="CB76" s="370">
        <v>5264.19</v>
      </c>
      <c r="CC76" s="370">
        <v>5264.19</v>
      </c>
      <c r="CD76" s="370">
        <v>5264.19</v>
      </c>
      <c r="CE76" s="370">
        <v>5264.19</v>
      </c>
      <c r="CF76" s="370">
        <v>5264.19</v>
      </c>
      <c r="CG76" s="370">
        <v>0</v>
      </c>
      <c r="CH76" s="370">
        <v>0</v>
      </c>
      <c r="CI76" s="48" t="s">
        <v>1987</v>
      </c>
      <c r="CJ76" s="48" t="s">
        <v>1990</v>
      </c>
      <c r="CK76" s="48" t="s">
        <v>1990</v>
      </c>
      <c r="CL76" s="48" t="s">
        <v>2010</v>
      </c>
      <c r="CM76" s="48" t="s">
        <v>1990</v>
      </c>
      <c r="CN76" s="48" t="s">
        <v>1990</v>
      </c>
      <c r="CO76" s="48" t="str">
        <f t="shared" si="28"/>
        <v>2.1.1.13.1.1</v>
      </c>
      <c r="CP76" s="48" t="str">
        <f>+VLOOKUP(Tabla1[[#This Row],[ESPECÍFICA]],CLASIFICADOR_,2,0)</f>
        <v>2.1.1.13.1.1 - CONTRATO ADMINISTRATIVO DE SERVICIOS - INDETERMINADO</v>
      </c>
      <c r="CQ76" s="48" t="str">
        <f>+VLOOKUP(Tabla1[[#This Row],[ESPECÍFICA]],CLASIFICADOR_,3,0)</f>
        <v>01.CAS</v>
      </c>
      <c r="CR76" s="48" t="str">
        <f>+VLOOKUP(Tabla1[[#This Row],[ESPECÍFICA]],CLASIFICADOR_,4,0)</f>
        <v xml:space="preserve"> </v>
      </c>
      <c r="CS76" s="48">
        <f>+VLOOKUP(Tabla1[[#This Row],[ESPECÍFICA]],CLASIFICADOR_,5,0)</f>
        <v>0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2.1.PERSONAL Y OBLIGACIONES SOCIALES</v>
      </c>
      <c r="CX76" s="48" t="str">
        <f t="shared" si="17"/>
        <v>0006-JEFATURA</v>
      </c>
      <c r="CY76" s="113" t="str">
        <f t="shared" si="18"/>
        <v>0006-JEFATURA</v>
      </c>
      <c r="CZ76" s="20" t="str">
        <f t="shared" si="19"/>
        <v>0006-JEFATURA</v>
      </c>
      <c r="DA76" s="113" t="str">
        <f>+CONCATENATE(Tabla1[[#This Row],[CC COMPLETO]],Tabla1[[#This Row],[ESPECÍFICA]])</f>
        <v>0006-JEFATURA2.1.1.13.1.1</v>
      </c>
      <c r="DB76" s="49">
        <f t="shared" si="20"/>
        <v>52641.9</v>
      </c>
      <c r="DC76" s="49">
        <f t="shared" si="21"/>
        <v>52641.9</v>
      </c>
      <c r="DD76" s="49">
        <f t="shared" si="22"/>
        <v>52641.9</v>
      </c>
      <c r="DE76" s="49">
        <f t="shared" si="23"/>
        <v>0.72000000000116415</v>
      </c>
      <c r="DF76" s="49">
        <f t="shared" si="24"/>
        <v>0</v>
      </c>
      <c r="DG76" s="49">
        <f t="shared" si="25"/>
        <v>10528.379999999997</v>
      </c>
      <c r="DH76" s="49">
        <f t="shared" si="26"/>
        <v>10529.099999999999</v>
      </c>
      <c r="DI76" s="50">
        <f t="shared" si="27"/>
        <v>0.84946023139855742</v>
      </c>
      <c r="DJ76" s="78">
        <f>+SUM(Tabla1[[#This Row],[EJECUTADO 01]:[EJECUTADO 06]])</f>
        <v>31585.139999999996</v>
      </c>
      <c r="DK76" s="78">
        <f>+Tabla1[[#This Row],[mto_devenga_01]]</f>
        <v>5264.19</v>
      </c>
      <c r="DL76" s="78">
        <f>+Tabla1[[#This Row],[mto_devenga_02]]</f>
        <v>5264.19</v>
      </c>
      <c r="DM76" s="78">
        <f>+Tabla1[[#This Row],[mto_devenga_03]]</f>
        <v>5264.19</v>
      </c>
      <c r="DN76" s="78">
        <f>+Tabla1[[#This Row],[mto_devenga_04]]</f>
        <v>5264.19</v>
      </c>
      <c r="DO76" s="78">
        <f>+Tabla1[[#This Row],[mto_devenga_05]]</f>
        <v>5264.19</v>
      </c>
      <c r="DP76" s="76">
        <f>+Tabla1[[#This Row],[mto_devenga_06]]</f>
        <v>5264.19</v>
      </c>
      <c r="DQ76" s="76">
        <f>+Tabla1[[#This Row],[mto_devenga_07]]</f>
        <v>5264.19</v>
      </c>
      <c r="DR76" s="76">
        <f>+Tabla1[[#This Row],[mto_devenga_08]]</f>
        <v>5264.19</v>
      </c>
      <c r="DS76" s="76">
        <f>+Tabla1[[#This Row],[mto_devenga_09]]</f>
        <v>5264.19</v>
      </c>
      <c r="DT76" s="76">
        <f>IFERROR(VLOOKUP(Tabla1[[#This Row],[COD SE]],PF_OCTUBRE,14,0),"0")</f>
        <v>5264.19</v>
      </c>
      <c r="DU76" s="76">
        <f>IFERROR(VLOOKUP(Tabla1[[#This Row],[COD SE]],PF_OCTUBRE,15,0),"0")</f>
        <v>5264.19</v>
      </c>
      <c r="DV76" s="76">
        <f>IFERROR(VLOOKUP(Tabla1[[#This Row],[COD SE]],PF_OCTUBRE,16,0),"0")</f>
        <v>5264.19</v>
      </c>
      <c r="DW76" s="76">
        <f>+SUM(Tabla1[[#This Row],[EJECUTADO 01]:[PF DICIEMBRE
]])</f>
        <v>63170.280000000006</v>
      </c>
      <c r="DX76" s="76">
        <f>IFERROR(VLOOKUP(Tabla1[[#This Row],[COD SE]],PF_OCTUBRE,18,0),"0")</f>
        <v>0</v>
      </c>
      <c r="DY76" s="76">
        <f>IFERROR(VLOOKUP(Tabla1[[#This Row],[COD SE]],PF_OCTUBRE,19,0),"0")</f>
        <v>0.72000000000025466</v>
      </c>
      <c r="DZ76" s="76">
        <f>IFERROR(VLOOKUP(Tabla1[[#This Row],[COD SE]],PF_OCTUBRE,20,0),"0")</f>
        <v>0.72000000000025466</v>
      </c>
      <c r="EA76" s="76">
        <f>+Tabla1[[#This Row],[TOTAL EJEC REAL]]+Tabla1[[#This Row],[SALDO FINAL]]</f>
        <v>63171.000000000007</v>
      </c>
      <c r="EB76" s="76">
        <f>IFERROR(VLOOKUP(Tabla1[[#This Row],[COD SE]],PF_OCTUBRE,22,0),"0")</f>
        <v>5264.91</v>
      </c>
      <c r="EC76" s="76">
        <f>+IFERROR(VLOOKUP(Tabla1[[#This Row],[COD SE]],SALDO_ESC_2,7,0),0)</f>
        <v>0</v>
      </c>
      <c r="ED76" s="76">
        <f>+IFERROR(VLOOKUP(Tabla1[[#This Row],[COD SE]],SALDO_ESC_3,7,0),0)</f>
        <v>0.72000000000025466</v>
      </c>
      <c r="EE76" s="76">
        <f>+Tabla1[[#This Row],[mto_pim]]-Tabla1[[#This Row],[TRANSF ESC2 ]]</f>
        <v>63171</v>
      </c>
      <c r="EF76" s="76">
        <f>+Tabla1[[#This Row],[mto_pim]]-Tabla1[[#This Row],[TRANFS ESC 3 ]]</f>
        <v>63170.28</v>
      </c>
      <c r="EG76" s="76">
        <f>+IFERROR(VLOOKUP(Tabla1[[#This Row],[COD SE]],HISTORICO,4,0),0)</f>
        <v>5264.19</v>
      </c>
      <c r="EH76" s="76">
        <f>+IFERROR(VLOOKUP(Tabla1[[#This Row],[COD SE]],HISTORICO,5,0),0)</f>
        <v>5264.19</v>
      </c>
      <c r="EI76" s="76">
        <f>+IFERROR(VLOOKUP(Tabla1[[#This Row],[COD SE]],HISTORICO,6,0),0)</f>
        <v>5264.19</v>
      </c>
      <c r="EJ76" s="76">
        <f>+IFERROR(VLOOKUP(Tabla1[[#This Row],[COD SE]],HISTORICO,7,0),0)</f>
        <v>5264.19</v>
      </c>
      <c r="EK76" s="76">
        <f>+IFERROR(VLOOKUP(Tabla1[[#This Row],[COD SE]],HISTORICO,8,0),0)</f>
        <v>5264.19</v>
      </c>
      <c r="EL76" s="76">
        <f>+IFERROR(VLOOKUP(Tabla1[[#This Row],[COD SE]],HISTORICO,9,0),0)</f>
        <v>5264.19</v>
      </c>
      <c r="EM76" s="76">
        <f>+IFERROR(VLOOKUP(Tabla1[[#This Row],[COD SE]],HISTORICO,10,0),0)</f>
        <v>5264.19</v>
      </c>
      <c r="EN76" s="76">
        <f>+IFERROR(VLOOKUP(Tabla1[[#This Row],[COD SE]],HISTORICO,11,0),0)</f>
        <v>5264.19</v>
      </c>
      <c r="EO76" s="76">
        <f>+IFERROR(VLOOKUP(Tabla1[[#This Row],[COD SE]],HISTORICO,12,0),0)</f>
        <v>5264.19</v>
      </c>
      <c r="EP76" s="58">
        <f>+SUM(Tabla1[[#This Row],[EJECUTADO 01]:[EJECUTADO 03]])</f>
        <v>15792.57</v>
      </c>
      <c r="EQ76" s="58">
        <f>+SUM(Tabla1[[#This Row],[EJECUTADO 04]:[EJECUTADO 06]])</f>
        <v>15792.57</v>
      </c>
      <c r="ER76" s="58">
        <f>+SUM(Tabla1[[#This Row],[EJECUTADO 07]:[EJECUTADO 09]])</f>
        <v>15792.57</v>
      </c>
      <c r="ES76" s="58">
        <f>+SUM(Tabla1[[#This Row],[PF OCTUBRE]:[PF DICIEMBRE
]])</f>
        <v>15792.57</v>
      </c>
      <c r="ET76" s="58">
        <f>+SUM(Tabla1[[#This Row],[EJECUTADO 01]:[EJECUTADO 09]])</f>
        <v>47377.71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1672</v>
      </c>
      <c r="AD77" s="369" t="s">
        <v>1673</v>
      </c>
      <c r="AE77" s="369" t="s">
        <v>1674</v>
      </c>
      <c r="AF77" s="369" t="s">
        <v>1675</v>
      </c>
      <c r="AG77" s="369" t="s">
        <v>1677</v>
      </c>
      <c r="AH77" s="369">
        <v>8000</v>
      </c>
      <c r="AI77" s="369">
        <v>0</v>
      </c>
      <c r="AJ77" s="369">
        <v>8000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>
        <v>0</v>
      </c>
      <c r="AS77" s="370">
        <v>0</v>
      </c>
      <c r="AT77" s="370">
        <v>0</v>
      </c>
      <c r="AU77" s="370">
        <v>0</v>
      </c>
      <c r="AV77" s="370">
        <v>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0</v>
      </c>
      <c r="BG77" s="370">
        <v>0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0</v>
      </c>
      <c r="BP77" s="370">
        <v>0</v>
      </c>
      <c r="BQ77" s="370">
        <v>0</v>
      </c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0">
        <v>0</v>
      </c>
      <c r="CF77" s="370">
        <v>0</v>
      </c>
      <c r="CG77" s="370">
        <v>0</v>
      </c>
      <c r="CH77" s="370">
        <v>0</v>
      </c>
      <c r="CI77" s="48" t="s">
        <v>1987</v>
      </c>
      <c r="CJ77" s="48" t="s">
        <v>1991</v>
      </c>
      <c r="CK77" s="48" t="s">
        <v>1987</v>
      </c>
      <c r="CL77" s="48" t="s">
        <v>1990</v>
      </c>
      <c r="CM77" s="48" t="s">
        <v>1987</v>
      </c>
      <c r="CN77" s="48" t="s">
        <v>1987</v>
      </c>
      <c r="CO77" s="48" t="str">
        <f t="shared" si="28"/>
        <v>2.3.2.1.2.2</v>
      </c>
      <c r="CP77" s="48" t="str">
        <f>+VLOOKUP(Tabla1[[#This Row],[ESPECÍFICA]],CLASIFICADOR_,2,0)</f>
        <v>2.3.2.1.2.2 - VIATICOS Y ASIGNACIONES POR COMISION DE SERVICIO</v>
      </c>
      <c r="CQ77" s="48" t="str">
        <f>+VLOOKUP(Tabla1[[#This Row],[ESPECÍFICA]],CLASIFICADOR_,3,0)</f>
        <v>2.3.2.1 - VIAJES</v>
      </c>
      <c r="CR77" s="48" t="str">
        <f>+VLOOKUP(Tabla1[[#This Row],[ESPECÍFICA]],CLASIFICADOR_,4,0)</f>
        <v>Límite de Gasto</v>
      </c>
      <c r="CS77" s="48" t="str">
        <f>+VLOOKUP(Tabla1[[#This Row],[ESPECÍFICA]],CLASIFICADOR_,5,0)</f>
        <v>10.6 b)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2.3.BIENES Y SERVICIOS</v>
      </c>
      <c r="CX77" s="48" t="str">
        <f t="shared" si="17"/>
        <v>0006-JEFATURA</v>
      </c>
      <c r="CY77" s="113" t="str">
        <f t="shared" si="18"/>
        <v>0006-JEFATURA</v>
      </c>
      <c r="CZ77" s="20" t="str">
        <f t="shared" si="19"/>
        <v>0006-JEFATURA</v>
      </c>
      <c r="DA77" s="113" t="str">
        <f>+CONCATENATE(Tabla1[[#This Row],[CC COMPLETO]],Tabla1[[#This Row],[ESPECÍFICA]])</f>
        <v>0006-JEFATURA2.3.2.1.2.2</v>
      </c>
      <c r="DB77" s="49">
        <f t="shared" si="20"/>
        <v>0</v>
      </c>
      <c r="DC77" s="49">
        <f t="shared" si="21"/>
        <v>0</v>
      </c>
      <c r="DD77" s="49">
        <f t="shared" si="22"/>
        <v>0</v>
      </c>
      <c r="DE77" s="49">
        <f t="shared" si="23"/>
        <v>8000</v>
      </c>
      <c r="DF77" s="49">
        <f t="shared" si="24"/>
        <v>0</v>
      </c>
      <c r="DG77" s="49">
        <f t="shared" si="25"/>
        <v>0</v>
      </c>
      <c r="DH77" s="49">
        <f t="shared" si="26"/>
        <v>8000</v>
      </c>
      <c r="DI77" s="50">
        <f t="shared" si="27"/>
        <v>0</v>
      </c>
      <c r="DJ77" s="78">
        <f>+SUM(Tabla1[[#This Row],[EJECUTADO 01]:[EJECUTADO 06]])</f>
        <v>0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0</v>
      </c>
      <c r="DO77" s="78">
        <f>+Tabla1[[#This Row],[mto_devenga_05]]</f>
        <v>0</v>
      </c>
      <c r="DP77" s="76">
        <f>+Tabla1[[#This Row],[mto_devenga_06]]</f>
        <v>0</v>
      </c>
      <c r="DQ77" s="76">
        <f>+Tabla1[[#This Row],[mto_devenga_07]]</f>
        <v>0</v>
      </c>
      <c r="DR77" s="76">
        <f>+Tabla1[[#This Row],[mto_devenga_08]]</f>
        <v>0</v>
      </c>
      <c r="DS77" s="76">
        <f>+Tabla1[[#This Row],[mto_devenga_09]]</f>
        <v>0</v>
      </c>
      <c r="DT77" s="76">
        <f>IFERROR(VLOOKUP(Tabla1[[#This Row],[COD SE]],PF_OCTUBRE,14,0),"0")</f>
        <v>0</v>
      </c>
      <c r="DU77" s="76">
        <f>IFERROR(VLOOKUP(Tabla1[[#This Row],[COD SE]],PF_OCTUBRE,15,0),"0")</f>
        <v>0</v>
      </c>
      <c r="DV77" s="76">
        <f>IFERROR(VLOOKUP(Tabla1[[#This Row],[COD SE]],PF_OCTUBRE,16,0),"0")</f>
        <v>8000</v>
      </c>
      <c r="DW77" s="76">
        <f>+SUM(Tabla1[[#This Row],[EJECUTADO 01]:[PF DICIEMBRE
]])</f>
        <v>8000</v>
      </c>
      <c r="DX77" s="76">
        <f>IFERROR(VLOOKUP(Tabla1[[#This Row],[COD SE]],PF_OCTUBRE,18,0),"0")</f>
        <v>0</v>
      </c>
      <c r="DY77" s="76">
        <f>IFERROR(VLOOKUP(Tabla1[[#This Row],[COD SE]],PF_OCTUBRE,19,0),"0")</f>
        <v>0</v>
      </c>
      <c r="DZ77" s="76">
        <f>IFERROR(VLOOKUP(Tabla1[[#This Row],[COD SE]],PF_OCTUBRE,20,0),"0")</f>
        <v>0</v>
      </c>
      <c r="EA77" s="76">
        <f>+Tabla1[[#This Row],[TOTAL EJEC REAL]]+Tabla1[[#This Row],[SALDO FINAL]]</f>
        <v>8000</v>
      </c>
      <c r="EB77" s="76">
        <f>IFERROR(VLOOKUP(Tabla1[[#This Row],[COD SE]],PF_OCTUBRE,22,0),"0")</f>
        <v>8000</v>
      </c>
      <c r="EC77" s="76">
        <f>+IFERROR(VLOOKUP(Tabla1[[#This Row],[COD SE]],SALDO_ESC_2,7,0),0)</f>
        <v>0</v>
      </c>
      <c r="ED77" s="76">
        <f>+IFERROR(VLOOKUP(Tabla1[[#This Row],[COD SE]],SALDO_ESC_3,7,0),0)</f>
        <v>0</v>
      </c>
      <c r="EE77" s="76">
        <f>+Tabla1[[#This Row],[mto_pim]]-Tabla1[[#This Row],[TRANSF ESC2 ]]</f>
        <v>8000</v>
      </c>
      <c r="EF77" s="76">
        <f>+Tabla1[[#This Row],[mto_pim]]-Tabla1[[#This Row],[TRANFS ESC 3 ]]</f>
        <v>8000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8000</v>
      </c>
      <c r="EJ77" s="76">
        <f>+IFERROR(VLOOKUP(Tabla1[[#This Row],[COD SE]],HISTORICO,7,0),0)</f>
        <v>0</v>
      </c>
      <c r="EK77" s="76">
        <f>+IFERROR(VLOOKUP(Tabla1[[#This Row],[COD SE]],HISTORICO,8,0),0)</f>
        <v>0</v>
      </c>
      <c r="EL77" s="76">
        <f>+IFERROR(VLOOKUP(Tabla1[[#This Row],[COD SE]],HISTORICO,9,0),0)</f>
        <v>0</v>
      </c>
      <c r="EM77" s="76">
        <f>+IFERROR(VLOOKUP(Tabla1[[#This Row],[COD SE]],HISTORICO,10,0),0)</f>
        <v>0</v>
      </c>
      <c r="EN77" s="76">
        <f>+IFERROR(VLOOKUP(Tabla1[[#This Row],[COD SE]],HISTORICO,11,0),0)</f>
        <v>0</v>
      </c>
      <c r="EO77" s="76">
        <f>+IFERROR(VLOOKUP(Tabla1[[#This Row],[COD SE]],HISTORICO,12,0),0)</f>
        <v>0</v>
      </c>
      <c r="EP77" s="58">
        <f>+SUM(Tabla1[[#This Row],[EJECUTADO 01]:[EJECUTADO 03]])</f>
        <v>0</v>
      </c>
      <c r="EQ77" s="58">
        <f>+SUM(Tabla1[[#This Row],[EJECUTADO 04]:[EJECUTADO 06]])</f>
        <v>0</v>
      </c>
      <c r="ER77" s="58">
        <f>+SUM(Tabla1[[#This Row],[EJECUTADO 07]:[EJECUTADO 09]])</f>
        <v>0</v>
      </c>
      <c r="ES77" s="58">
        <f>+SUM(Tabla1[[#This Row],[PF OCTUBRE]:[PF DICIEMBRE
]])</f>
        <v>8000</v>
      </c>
      <c r="ET77" s="58">
        <f>+SUM(Tabla1[[#This Row],[EJECUTADO 01]:[EJECUTADO 09]])</f>
        <v>0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1657</v>
      </c>
      <c r="AE78" s="369" t="s">
        <v>1664</v>
      </c>
      <c r="AF78" s="369" t="s">
        <v>1665</v>
      </c>
      <c r="AG78" s="369" t="s">
        <v>1666</v>
      </c>
      <c r="AH78" s="369">
        <v>0</v>
      </c>
      <c r="AI78" s="369">
        <v>47200</v>
      </c>
      <c r="AJ78" s="369">
        <v>47200</v>
      </c>
      <c r="AK78" s="370">
        <v>26867</v>
      </c>
      <c r="AL78" s="370">
        <v>26867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6066.67</v>
      </c>
      <c r="AT78" s="370">
        <v>0</v>
      </c>
      <c r="AU78" s="370">
        <v>5200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6066.67</v>
      </c>
      <c r="BF78" s="370">
        <v>0</v>
      </c>
      <c r="BG78" s="370">
        <v>5200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70">
        <v>6066.67</v>
      </c>
      <c r="BR78" s="370">
        <v>0</v>
      </c>
      <c r="BS78" s="370">
        <v>5200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6066.67</v>
      </c>
      <c r="CD78" s="370">
        <v>0</v>
      </c>
      <c r="CE78" s="370">
        <v>4890.91</v>
      </c>
      <c r="CF78" s="370">
        <v>0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1990</v>
      </c>
      <c r="CL78" s="48" t="s">
        <v>2005</v>
      </c>
      <c r="CM78" s="48" t="s">
        <v>1990</v>
      </c>
      <c r="CN78" s="48" t="s">
        <v>1987</v>
      </c>
      <c r="CO78" s="48" t="str">
        <f t="shared" si="28"/>
        <v>2.1.1.9.1.2</v>
      </c>
      <c r="CP78" s="48" t="str">
        <f>+VLOOKUP(Tabla1[[#This Row],[ESPECÍFICA]],CLASIFICADOR_,2,0)</f>
        <v>2.1.1.9.1.2 - AGUINALDOS</v>
      </c>
      <c r="CQ78" s="48" t="str">
        <f>+VLOOKUP(Tabla1[[#This Row],[ESPECÍFICA]],CLASIFICADOR_,3,0)</f>
        <v>02.SERVIR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7"/>
        <v>0006-JEFATURA</v>
      </c>
      <c r="CY78" s="113" t="str">
        <f t="shared" si="18"/>
        <v>0006-JEFATURA</v>
      </c>
      <c r="CZ78" s="20" t="str">
        <f t="shared" si="19"/>
        <v>0006-JEFATURA</v>
      </c>
      <c r="DA78" s="113" t="str">
        <f>+CONCATENATE(Tabla1[[#This Row],[CC COMPLETO]],Tabla1[[#This Row],[ESPECÍFICA]])</f>
        <v>0006-JEFATURA2.1.1.9.1.2</v>
      </c>
      <c r="DB78" s="49">
        <f t="shared" si="20"/>
        <v>11266.67</v>
      </c>
      <c r="DC78" s="49">
        <f t="shared" si="21"/>
        <v>11266.67</v>
      </c>
      <c r="DD78" s="49">
        <f t="shared" si="22"/>
        <v>11266.67</v>
      </c>
      <c r="DE78" s="49">
        <f t="shared" si="23"/>
        <v>20333</v>
      </c>
      <c r="DF78" s="49">
        <f t="shared" si="24"/>
        <v>0</v>
      </c>
      <c r="DG78" s="49">
        <f t="shared" si="25"/>
        <v>15600.33</v>
      </c>
      <c r="DH78" s="49">
        <f t="shared" si="26"/>
        <v>35933.33</v>
      </c>
      <c r="DI78" s="50">
        <f t="shared" si="27"/>
        <v>0</v>
      </c>
      <c r="DJ78" s="78">
        <f>+SUM(Tabla1[[#This Row],[EJECUTADO 01]:[EJECUTADO 06]])</f>
        <v>0</v>
      </c>
      <c r="DK78" s="78">
        <f>+Tabla1[[#This Row],[mto_devenga_01]]</f>
        <v>0</v>
      </c>
      <c r="DL78" s="78">
        <f>+Tabla1[[#This Row],[mto_devenga_02]]</f>
        <v>0</v>
      </c>
      <c r="DM78" s="78">
        <f>+Tabla1[[#This Row],[mto_devenga_03]]</f>
        <v>0</v>
      </c>
      <c r="DN78" s="78">
        <f>+Tabla1[[#This Row],[mto_devenga_04]]</f>
        <v>0</v>
      </c>
      <c r="DO78" s="78">
        <f>+Tabla1[[#This Row],[mto_devenga_05]]</f>
        <v>0</v>
      </c>
      <c r="DP78" s="76">
        <f>+Tabla1[[#This Row],[mto_devenga_06]]</f>
        <v>0</v>
      </c>
      <c r="DQ78" s="76">
        <f>+Tabla1[[#This Row],[mto_devenga_07]]</f>
        <v>6066.67</v>
      </c>
      <c r="DR78" s="76">
        <f>+Tabla1[[#This Row],[mto_devenga_08]]</f>
        <v>0</v>
      </c>
      <c r="DS78" s="76">
        <f>+Tabla1[[#This Row],[mto_devenga_09]]</f>
        <v>5200</v>
      </c>
      <c r="DT78" s="76">
        <f>IFERROR(VLOOKUP(Tabla1[[#This Row],[COD SE]],PF_OCTUBRE,14,0),"0")</f>
        <v>0</v>
      </c>
      <c r="DU78" s="76">
        <f>IFERROR(VLOOKUP(Tabla1[[#This Row],[COD SE]],PF_OCTUBRE,15,0),"0")</f>
        <v>0</v>
      </c>
      <c r="DV78" s="76">
        <f>IFERROR(VLOOKUP(Tabla1[[#This Row],[COD SE]],PF_OCTUBRE,16,0),"0")</f>
        <v>15600</v>
      </c>
      <c r="DW78" s="76">
        <f>+SUM(Tabla1[[#This Row],[EJECUTADO 01]:[PF DICIEMBRE
]])</f>
        <v>26866.67</v>
      </c>
      <c r="DX78" s="76">
        <f>IFERROR(VLOOKUP(Tabla1[[#This Row],[COD SE]],PF_OCTUBRE,18,0),"0")</f>
        <v>0</v>
      </c>
      <c r="DY78" s="76">
        <f>IFERROR(VLOOKUP(Tabla1[[#This Row],[COD SE]],PF_OCTUBRE,19,0),"0")</f>
        <v>20333.330000000002</v>
      </c>
      <c r="DZ78" s="76">
        <f>IFERROR(VLOOKUP(Tabla1[[#This Row],[COD SE]],PF_OCTUBRE,20,0),"0")</f>
        <v>20333.330000000002</v>
      </c>
      <c r="EA78" s="76">
        <f>+Tabla1[[#This Row],[TOTAL EJEC REAL]]+Tabla1[[#This Row],[SALDO FINAL]]</f>
        <v>47200</v>
      </c>
      <c r="EB78" s="76">
        <f>IFERROR(VLOOKUP(Tabla1[[#This Row],[COD SE]],PF_OCTUBRE,22,0),"0")</f>
        <v>35933.33</v>
      </c>
      <c r="EC78" s="76">
        <f>+IFERROR(VLOOKUP(Tabla1[[#This Row],[COD SE]],SALDO_ESC_2,7,0),0)</f>
        <v>0</v>
      </c>
      <c r="ED78" s="76">
        <f>+IFERROR(VLOOKUP(Tabla1[[#This Row],[COD SE]],SALDO_ESC_3,7,0),0)</f>
        <v>20333.330000000002</v>
      </c>
      <c r="EE78" s="76">
        <f>+Tabla1[[#This Row],[mto_pim]]-Tabla1[[#This Row],[TRANSF ESC2 ]]</f>
        <v>47200</v>
      </c>
      <c r="EF78" s="76">
        <f>+Tabla1[[#This Row],[mto_pim]]-Tabla1[[#This Row],[TRANFS ESC 3 ]]</f>
        <v>26866.67</v>
      </c>
      <c r="EG78" s="76">
        <f>+IFERROR(VLOOKUP(Tabla1[[#This Row],[COD SE]],HISTORICO,4,0),0)</f>
        <v>0</v>
      </c>
      <c r="EH78" s="76">
        <f>+IFERROR(VLOOKUP(Tabla1[[#This Row],[COD SE]],HISTORICO,5,0),0)</f>
        <v>0</v>
      </c>
      <c r="EI78" s="76">
        <f>+IFERROR(VLOOKUP(Tabla1[[#This Row],[COD SE]],HISTORICO,6,0),0)</f>
        <v>0</v>
      </c>
      <c r="EJ78" s="76">
        <f>+IFERROR(VLOOKUP(Tabla1[[#This Row],[COD SE]],HISTORICO,7,0),0)</f>
        <v>0</v>
      </c>
      <c r="EK78" s="76">
        <f>+IFERROR(VLOOKUP(Tabla1[[#This Row],[COD SE]],HISTORICO,8,0),0)</f>
        <v>0</v>
      </c>
      <c r="EL78" s="76">
        <f>+IFERROR(VLOOKUP(Tabla1[[#This Row],[COD SE]],HISTORICO,9,0),0)</f>
        <v>0</v>
      </c>
      <c r="EM78" s="76">
        <f>+IFERROR(VLOOKUP(Tabla1[[#This Row],[COD SE]],HISTORICO,10,0),0)</f>
        <v>15600</v>
      </c>
      <c r="EN78" s="76">
        <f>+IFERROR(VLOOKUP(Tabla1[[#This Row],[COD SE]],HISTORICO,11,0),0)</f>
        <v>0</v>
      </c>
      <c r="EO78" s="76">
        <f>+IFERROR(VLOOKUP(Tabla1[[#This Row],[COD SE]],HISTORICO,12,0),0)</f>
        <v>0</v>
      </c>
      <c r="EP78" s="58">
        <f>+SUM(Tabla1[[#This Row],[EJECUTADO 01]:[EJECUTADO 03]])</f>
        <v>0</v>
      </c>
      <c r="EQ78" s="58">
        <f>+SUM(Tabla1[[#This Row],[EJECUTADO 04]:[EJECUTADO 06]])</f>
        <v>0</v>
      </c>
      <c r="ER78" s="58">
        <f>+SUM(Tabla1[[#This Row],[EJECUTADO 07]:[EJECUTADO 09]])</f>
        <v>11266.67</v>
      </c>
      <c r="ES78" s="58">
        <f>+SUM(Tabla1[[#This Row],[PF OCTUBRE]:[PF DICIEMBRE
]])</f>
        <v>15600</v>
      </c>
      <c r="ET78" s="58">
        <f>+SUM(Tabla1[[#This Row],[EJECUTADO 01]:[EJECUTADO 09]])</f>
        <v>11266.67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1671</v>
      </c>
      <c r="AH79" s="369">
        <v>10012</v>
      </c>
      <c r="AI79" s="369">
        <v>292</v>
      </c>
      <c r="AJ79" s="369">
        <v>10304</v>
      </c>
      <c r="AK79" s="370">
        <v>7800.48</v>
      </c>
      <c r="AL79" s="370">
        <v>5634</v>
      </c>
      <c r="AM79" s="370">
        <v>650.04</v>
      </c>
      <c r="AN79" s="370">
        <v>650.04</v>
      </c>
      <c r="AO79" s="370">
        <v>650.04</v>
      </c>
      <c r="AP79" s="370">
        <v>650.04</v>
      </c>
      <c r="AQ79" s="370">
        <v>433.36</v>
      </c>
      <c r="AR79" s="370">
        <v>433.36</v>
      </c>
      <c r="AS79" s="370">
        <v>650.04</v>
      </c>
      <c r="AT79" s="370">
        <v>433.36</v>
      </c>
      <c r="AU79" s="370">
        <v>433.36</v>
      </c>
      <c r="AV79" s="370">
        <v>216.68</v>
      </c>
      <c r="AW79" s="370">
        <v>0</v>
      </c>
      <c r="AX79" s="370">
        <v>0</v>
      </c>
      <c r="AY79" s="370">
        <v>650.04</v>
      </c>
      <c r="AZ79" s="370">
        <v>650.04</v>
      </c>
      <c r="BA79" s="370">
        <v>650.04</v>
      </c>
      <c r="BB79" s="370">
        <v>650.04</v>
      </c>
      <c r="BC79" s="370">
        <v>433.36</v>
      </c>
      <c r="BD79" s="370">
        <v>433.36</v>
      </c>
      <c r="BE79" s="370">
        <v>650.04</v>
      </c>
      <c r="BF79" s="370">
        <v>433.36</v>
      </c>
      <c r="BG79" s="370">
        <v>433.36</v>
      </c>
      <c r="BH79" s="370">
        <v>216.68</v>
      </c>
      <c r="BI79" s="370">
        <v>0</v>
      </c>
      <c r="BJ79" s="370">
        <v>0</v>
      </c>
      <c r="BK79" s="370">
        <v>650.04</v>
      </c>
      <c r="BL79" s="370">
        <v>650.04</v>
      </c>
      <c r="BM79" s="370">
        <v>650.04</v>
      </c>
      <c r="BN79" s="370">
        <v>650.04</v>
      </c>
      <c r="BO79" s="370">
        <v>433.36</v>
      </c>
      <c r="BP79" s="370">
        <v>433.36</v>
      </c>
      <c r="BQ79" s="370">
        <v>650.04</v>
      </c>
      <c r="BR79" s="370">
        <v>433.36</v>
      </c>
      <c r="BS79" s="370">
        <v>433.36</v>
      </c>
      <c r="BT79" s="370">
        <v>216.68</v>
      </c>
      <c r="BU79" s="370">
        <v>0</v>
      </c>
      <c r="BV79" s="370">
        <v>0</v>
      </c>
      <c r="BW79" s="370">
        <v>650.04</v>
      </c>
      <c r="BX79" s="370">
        <v>650.04</v>
      </c>
      <c r="BY79" s="370">
        <v>650.04</v>
      </c>
      <c r="BZ79" s="370">
        <v>650.04</v>
      </c>
      <c r="CA79" s="370">
        <v>433.36</v>
      </c>
      <c r="CB79" s="370">
        <v>433.36</v>
      </c>
      <c r="CC79" s="370">
        <v>650.04</v>
      </c>
      <c r="CD79" s="370">
        <v>433.36</v>
      </c>
      <c r="CE79" s="370">
        <v>433.36</v>
      </c>
      <c r="CF79" s="370">
        <v>216.68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2014</v>
      </c>
      <c r="CO79" s="48" t="str">
        <f t="shared" si="28"/>
        <v>2.1.3.1.1.15</v>
      </c>
      <c r="CP79" s="48" t="str">
        <f>+VLOOKUP(Tabla1[[#This Row],[ESPECÍFICA]],CLASIFICADOR_,2,0)</f>
        <v>2.1.3.1.1.15 - CONTRIBUCIONES A ESSALUD DE CONTRATO ADMINISTRATIVO DE SERVICIOS</v>
      </c>
      <c r="CQ79" s="48" t="str">
        <f>+VLOOKUP(Tabla1[[#This Row],[ESPECÍFICA]],CLASIFICADOR_,3,0)</f>
        <v>01.CAS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7"/>
        <v>0006-JEFATURA</v>
      </c>
      <c r="CY79" s="113" t="str">
        <f t="shared" si="18"/>
        <v>0006-JEFATURA</v>
      </c>
      <c r="CZ79" s="20" t="str">
        <f t="shared" si="19"/>
        <v>0006-JEFATURA</v>
      </c>
      <c r="DA79" s="113" t="str">
        <f>+CONCATENATE(Tabla1[[#This Row],[CC COMPLETO]],Tabla1[[#This Row],[ESPECÍFICA]])</f>
        <v>0006-JEFATURA2.1.3.1.1.15</v>
      </c>
      <c r="DB79" s="49">
        <f t="shared" si="20"/>
        <v>5200.32</v>
      </c>
      <c r="DC79" s="49">
        <f t="shared" si="21"/>
        <v>5200.32</v>
      </c>
      <c r="DD79" s="49">
        <f t="shared" si="22"/>
        <v>5200.32</v>
      </c>
      <c r="DE79" s="49">
        <f t="shared" si="23"/>
        <v>2503.5200000000004</v>
      </c>
      <c r="DF79" s="49">
        <f t="shared" si="24"/>
        <v>2166.4799999999996</v>
      </c>
      <c r="DG79" s="49">
        <f t="shared" si="25"/>
        <v>433.68000000000029</v>
      </c>
      <c r="DH79" s="49">
        <f t="shared" si="26"/>
        <v>5103.68</v>
      </c>
      <c r="DI79" s="50">
        <f t="shared" si="27"/>
        <v>0.51940870954854168</v>
      </c>
      <c r="DJ79" s="78">
        <f>+SUM(Tabla1[[#This Row],[EJECUTADO 01]:[EJECUTADO 06]])</f>
        <v>3466.88</v>
      </c>
      <c r="DK79" s="78">
        <f>+Tabla1[[#This Row],[mto_devenga_01]]</f>
        <v>650.04</v>
      </c>
      <c r="DL79" s="78">
        <f>+Tabla1[[#This Row],[mto_devenga_02]]</f>
        <v>650.04</v>
      </c>
      <c r="DM79" s="78">
        <f>+Tabla1[[#This Row],[mto_devenga_03]]</f>
        <v>650.04</v>
      </c>
      <c r="DN79" s="78">
        <f>+Tabla1[[#This Row],[mto_devenga_04]]</f>
        <v>650.04</v>
      </c>
      <c r="DO79" s="78">
        <f>+Tabla1[[#This Row],[mto_devenga_05]]</f>
        <v>433.36</v>
      </c>
      <c r="DP79" s="76">
        <f>+Tabla1[[#This Row],[mto_devenga_06]]</f>
        <v>433.36</v>
      </c>
      <c r="DQ79" s="76">
        <f>+Tabla1[[#This Row],[mto_devenga_07]]</f>
        <v>650.04</v>
      </c>
      <c r="DR79" s="76">
        <f>+Tabla1[[#This Row],[mto_devenga_08]]</f>
        <v>433.36</v>
      </c>
      <c r="DS79" s="76">
        <f>+Tabla1[[#This Row],[mto_devenga_09]]</f>
        <v>433.36</v>
      </c>
      <c r="DT79" s="76">
        <f>IFERROR(VLOOKUP(Tabla1[[#This Row],[COD SE]],PF_OCTUBRE,14,0),"0")</f>
        <v>433.36</v>
      </c>
      <c r="DU79" s="76">
        <f>IFERROR(VLOOKUP(Tabla1[[#This Row],[COD SE]],PF_OCTUBRE,15,0),"0")</f>
        <v>433.36</v>
      </c>
      <c r="DV79" s="76">
        <f>IFERROR(VLOOKUP(Tabla1[[#This Row],[COD SE]],PF_OCTUBRE,16,0),"0")</f>
        <v>433.36</v>
      </c>
      <c r="DW79" s="76">
        <f>+SUM(Tabla1[[#This Row],[EJECUTADO 01]:[PF DICIEMBRE
]])</f>
        <v>6283.7199999999984</v>
      </c>
      <c r="DX79" s="76">
        <f>IFERROR(VLOOKUP(Tabla1[[#This Row],[COD SE]],PF_OCTUBRE,18,0),"0")</f>
        <v>0</v>
      </c>
      <c r="DY79" s="76">
        <f>IFERROR(VLOOKUP(Tabla1[[#This Row],[COD SE]],PF_OCTUBRE,19,0),"0")</f>
        <v>4020.2799999999997</v>
      </c>
      <c r="DZ79" s="76">
        <f>IFERROR(VLOOKUP(Tabla1[[#This Row],[COD SE]],PF_OCTUBRE,20,0),"0")</f>
        <v>4020.2799999999997</v>
      </c>
      <c r="EA79" s="76">
        <f>+Tabla1[[#This Row],[TOTAL EJEC REAL]]+Tabla1[[#This Row],[SALDO FINAL]]</f>
        <v>10303.999999999998</v>
      </c>
      <c r="EB79" s="76">
        <f>IFERROR(VLOOKUP(Tabla1[[#This Row],[COD SE]],PF_OCTUBRE,22,0),"0")</f>
        <v>4453.6399999999994</v>
      </c>
      <c r="EC79" s="76">
        <f>+IFERROR(VLOOKUP(Tabla1[[#This Row],[COD SE]],SALDO_ESC_2,7,0),0)</f>
        <v>0</v>
      </c>
      <c r="ED79" s="76">
        <f>+IFERROR(VLOOKUP(Tabla1[[#This Row],[COD SE]],SALDO_ESC_3,7,0),0)</f>
        <v>4020.2799999999997</v>
      </c>
      <c r="EE79" s="76">
        <f>+Tabla1[[#This Row],[mto_pim]]-Tabla1[[#This Row],[TRANSF ESC2 ]]</f>
        <v>10304</v>
      </c>
      <c r="EF79" s="76">
        <f>+Tabla1[[#This Row],[mto_pim]]-Tabla1[[#This Row],[TRANFS ESC 3 ]]</f>
        <v>6283.72</v>
      </c>
      <c r="EG79" s="76">
        <f>+IFERROR(VLOOKUP(Tabla1[[#This Row],[COD SE]],HISTORICO,4,0),0)</f>
        <v>858.62</v>
      </c>
      <c r="EH79" s="76">
        <f>+IFERROR(VLOOKUP(Tabla1[[#This Row],[COD SE]],HISTORICO,5,0),0)</f>
        <v>650.04</v>
      </c>
      <c r="EI79" s="76">
        <f>+IFERROR(VLOOKUP(Tabla1[[#This Row],[COD SE]],HISTORICO,6,0),0)</f>
        <v>650.04</v>
      </c>
      <c r="EJ79" s="76">
        <f>+IFERROR(VLOOKUP(Tabla1[[#This Row],[COD SE]],HISTORICO,7,0),0)</f>
        <v>650.04</v>
      </c>
      <c r="EK79" s="76">
        <f>+IFERROR(VLOOKUP(Tabla1[[#This Row],[COD SE]],HISTORICO,8,0),0)</f>
        <v>433.36</v>
      </c>
      <c r="EL79" s="76">
        <f>+IFERROR(VLOOKUP(Tabla1[[#This Row],[COD SE]],HISTORICO,9,0),0)</f>
        <v>433.36</v>
      </c>
      <c r="EM79" s="76">
        <f>+IFERROR(VLOOKUP(Tabla1[[#This Row],[COD SE]],HISTORICO,10,0),0)</f>
        <v>433.36</v>
      </c>
      <c r="EN79" s="76">
        <f>+IFERROR(VLOOKUP(Tabla1[[#This Row],[COD SE]],HISTORICO,11,0),0)</f>
        <v>433.36</v>
      </c>
      <c r="EO79" s="76">
        <f>+IFERROR(VLOOKUP(Tabla1[[#This Row],[COD SE]],HISTORICO,12,0),0)</f>
        <v>433.36</v>
      </c>
      <c r="EP79" s="58">
        <f>+SUM(Tabla1[[#This Row],[EJECUTADO 01]:[EJECUTADO 03]])</f>
        <v>1950.12</v>
      </c>
      <c r="EQ79" s="58">
        <f>+SUM(Tabla1[[#This Row],[EJECUTADO 04]:[EJECUTADO 06]])</f>
        <v>1516.7600000000002</v>
      </c>
      <c r="ER79" s="58">
        <f>+SUM(Tabla1[[#This Row],[EJECUTADO 07]:[EJECUTADO 09]])</f>
        <v>1516.7600000000002</v>
      </c>
      <c r="ES79" s="58">
        <f>+SUM(Tabla1[[#This Row],[PF OCTUBRE]:[PF DICIEMBRE
]])</f>
        <v>1300.08</v>
      </c>
      <c r="ET79" s="58">
        <f>+SUM(Tabla1[[#This Row],[EJECUTADO 01]:[EJECUTADO 09]])</f>
        <v>4983.6399999999994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1656</v>
      </c>
      <c r="AD80" s="369" t="s">
        <v>1657</v>
      </c>
      <c r="AE80" s="369" t="s">
        <v>1660</v>
      </c>
      <c r="AF80" s="369" t="s">
        <v>1661</v>
      </c>
      <c r="AG80" s="369" t="s">
        <v>1663</v>
      </c>
      <c r="AH80" s="369">
        <v>395911</v>
      </c>
      <c r="AI80" s="369">
        <v>2400</v>
      </c>
      <c r="AJ80" s="369">
        <v>398311</v>
      </c>
      <c r="AK80" s="370">
        <v>216340.56</v>
      </c>
      <c r="AL80" s="370">
        <v>85548.99</v>
      </c>
      <c r="AM80" s="370">
        <v>17836.189999999999</v>
      </c>
      <c r="AN80" s="370">
        <v>17829.7</v>
      </c>
      <c r="AO80" s="370">
        <v>17850</v>
      </c>
      <c r="AP80" s="370">
        <v>13642.04</v>
      </c>
      <c r="AQ80" s="370">
        <v>3700</v>
      </c>
      <c r="AR80" s="370">
        <v>3620.09</v>
      </c>
      <c r="AS80" s="370">
        <v>3700</v>
      </c>
      <c r="AT80" s="370">
        <v>3688.18</v>
      </c>
      <c r="AU80" s="370">
        <v>3682.79</v>
      </c>
      <c r="AV80" s="370">
        <v>0</v>
      </c>
      <c r="AW80" s="370">
        <v>0</v>
      </c>
      <c r="AX80" s="370">
        <v>0</v>
      </c>
      <c r="AY80" s="370">
        <v>17836.189999999999</v>
      </c>
      <c r="AZ80" s="370">
        <v>17829.7</v>
      </c>
      <c r="BA80" s="370">
        <v>17850</v>
      </c>
      <c r="BB80" s="370">
        <v>17850</v>
      </c>
      <c r="BC80" s="370">
        <v>-130.63</v>
      </c>
      <c r="BD80" s="370">
        <v>3620.09</v>
      </c>
      <c r="BE80" s="370">
        <v>2813.96</v>
      </c>
      <c r="BF80" s="370">
        <v>3688.18</v>
      </c>
      <c r="BG80" s="370">
        <v>3682.79</v>
      </c>
      <c r="BH80" s="370">
        <v>0</v>
      </c>
      <c r="BI80" s="370">
        <v>0</v>
      </c>
      <c r="BJ80" s="370">
        <v>0</v>
      </c>
      <c r="BK80" s="370">
        <v>17836.189999999999</v>
      </c>
      <c r="BL80" s="370">
        <v>17829.7</v>
      </c>
      <c r="BM80" s="370">
        <v>17850</v>
      </c>
      <c r="BN80" s="370">
        <v>15785.5</v>
      </c>
      <c r="BO80" s="370">
        <v>1425.16</v>
      </c>
      <c r="BP80" s="370">
        <v>3620.09</v>
      </c>
      <c r="BQ80" s="370">
        <v>3322.67</v>
      </c>
      <c r="BR80" s="370">
        <v>3688.18</v>
      </c>
      <c r="BS80" s="370">
        <v>3682.79</v>
      </c>
      <c r="BT80" s="370">
        <v>0</v>
      </c>
      <c r="BU80" s="370">
        <v>0</v>
      </c>
      <c r="BV80" s="370">
        <v>0</v>
      </c>
      <c r="BW80" s="370">
        <v>17836.189999999999</v>
      </c>
      <c r="BX80" s="370">
        <v>17829.7</v>
      </c>
      <c r="BY80" s="370">
        <v>17850</v>
      </c>
      <c r="BZ80" s="370">
        <v>17341.29</v>
      </c>
      <c r="CA80" s="370">
        <v>3700</v>
      </c>
      <c r="CB80" s="370">
        <v>3620.09</v>
      </c>
      <c r="CC80" s="370">
        <v>3700</v>
      </c>
      <c r="CD80" s="370">
        <v>3688.18</v>
      </c>
      <c r="CE80" s="370">
        <v>3682.79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1990</v>
      </c>
      <c r="CK80" s="48" t="s">
        <v>1990</v>
      </c>
      <c r="CL80" s="48" t="s">
        <v>2010</v>
      </c>
      <c r="CM80" s="48" t="s">
        <v>1990</v>
      </c>
      <c r="CN80" s="48" t="s">
        <v>1987</v>
      </c>
      <c r="CO80" s="48" t="str">
        <f t="shared" si="28"/>
        <v>2.1.1.13.1.2</v>
      </c>
      <c r="CP80" s="48" t="str">
        <f>+VLOOKUP(Tabla1[[#This Row],[ESPECÍFICA]],CLASIFICADOR_,2,0)</f>
        <v>2.1.1.13.1.2 - CONTRATO ADMINISTRATIVO DE SERVICIOS - TRANSITORIO</v>
      </c>
      <c r="CQ80" s="48" t="str">
        <f>+VLOOKUP(Tabla1[[#This Row],[ESPECÍFICA]],CLASIFICADOR_,3,0)</f>
        <v>01.CAS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2.1.PERSONAL Y OBLIGACIONES SOCIALES</v>
      </c>
      <c r="CX80" s="48" t="str">
        <f t="shared" si="17"/>
        <v>0006-JEFATURA</v>
      </c>
      <c r="CY80" s="113" t="str">
        <f t="shared" si="18"/>
        <v>0006-JEFATURA</v>
      </c>
      <c r="CZ80" s="20" t="str">
        <f t="shared" si="19"/>
        <v>0006-JEFATURA</v>
      </c>
      <c r="DA80" s="113" t="str">
        <f>+CONCATENATE(Tabla1[[#This Row],[CC COMPLETO]],Tabla1[[#This Row],[ESPECÍFICA]])</f>
        <v>0006-JEFATURA2.1.1.13.1.2</v>
      </c>
      <c r="DB80" s="49">
        <f t="shared" si="20"/>
        <v>85548.989999999976</v>
      </c>
      <c r="DC80" s="49">
        <f t="shared" si="21"/>
        <v>85040.279999999984</v>
      </c>
      <c r="DD80" s="49">
        <f t="shared" si="22"/>
        <v>85040.279999999984</v>
      </c>
      <c r="DE80" s="49">
        <f t="shared" si="23"/>
        <v>181970.44</v>
      </c>
      <c r="DF80" s="49">
        <f t="shared" si="24"/>
        <v>130791.56999999999</v>
      </c>
      <c r="DG80" s="49">
        <f t="shared" si="25"/>
        <v>508.71000000002095</v>
      </c>
      <c r="DH80" s="49">
        <f t="shared" si="26"/>
        <v>313270.72000000003</v>
      </c>
      <c r="DI80" s="50">
        <f t="shared" si="27"/>
        <v>0.21479645677942766</v>
      </c>
      <c r="DJ80" s="78">
        <f>+SUM(Tabla1[[#This Row],[EJECUTADO 01]:[EJECUTADO 06]])</f>
        <v>74855.349999999991</v>
      </c>
      <c r="DK80" s="78">
        <f>+Tabla1[[#This Row],[mto_devenga_01]]</f>
        <v>17836.189999999999</v>
      </c>
      <c r="DL80" s="78">
        <f>+Tabla1[[#This Row],[mto_devenga_02]]</f>
        <v>17829.7</v>
      </c>
      <c r="DM80" s="78">
        <f>+Tabla1[[#This Row],[mto_devenga_03]]</f>
        <v>17850</v>
      </c>
      <c r="DN80" s="78">
        <f>+Tabla1[[#This Row],[mto_devenga_04]]</f>
        <v>17850</v>
      </c>
      <c r="DO80" s="78">
        <f>+Tabla1[[#This Row],[mto_devenga_05]]</f>
        <v>-130.63</v>
      </c>
      <c r="DP80" s="76">
        <f>+Tabla1[[#This Row],[mto_devenga_06]]</f>
        <v>3620.09</v>
      </c>
      <c r="DQ80" s="76">
        <f>+Tabla1[[#This Row],[mto_devenga_07]]</f>
        <v>2813.96</v>
      </c>
      <c r="DR80" s="76">
        <f>+Tabla1[[#This Row],[mto_devenga_08]]</f>
        <v>3688.18</v>
      </c>
      <c r="DS80" s="76">
        <f>+Tabla1[[#This Row],[mto_devenga_09]]</f>
        <v>3682.79</v>
      </c>
      <c r="DT80" s="76">
        <f>IFERROR(VLOOKUP(Tabla1[[#This Row],[COD SE]],PF_OCTUBRE,14,0),"0")</f>
        <v>3764.19</v>
      </c>
      <c r="DU80" s="76">
        <f>IFERROR(VLOOKUP(Tabla1[[#This Row],[COD SE]],PF_OCTUBRE,15,0),"0")</f>
        <v>3764.19</v>
      </c>
      <c r="DV80" s="76">
        <f>IFERROR(VLOOKUP(Tabla1[[#This Row],[COD SE]],PF_OCTUBRE,16,0),"0")</f>
        <v>3764.19</v>
      </c>
      <c r="DW80" s="76">
        <f>+SUM(Tabla1[[#This Row],[EJECUTADO 01]:[PF DICIEMBRE
]])</f>
        <v>96332.849999999991</v>
      </c>
      <c r="DX80" s="76">
        <f>IFERROR(VLOOKUP(Tabla1[[#This Row],[COD SE]],PF_OCTUBRE,18,0),"0")</f>
        <v>0</v>
      </c>
      <c r="DY80" s="76">
        <f>IFERROR(VLOOKUP(Tabla1[[#This Row],[COD SE]],PF_OCTUBRE,19,0),"0")</f>
        <v>301978.15000000002</v>
      </c>
      <c r="DZ80" s="76">
        <f>IFERROR(VLOOKUP(Tabla1[[#This Row],[COD SE]],PF_OCTUBRE,20,0),"0")</f>
        <v>301978.15000000002</v>
      </c>
      <c r="EA80" s="76">
        <f>+Tabla1[[#This Row],[TOTAL EJEC REAL]]+Tabla1[[#This Row],[SALDO FINAL]]</f>
        <v>398311</v>
      </c>
      <c r="EB80" s="76">
        <f>IFERROR(VLOOKUP(Tabla1[[#This Row],[COD SE]],PF_OCTUBRE,22,0),"0")</f>
        <v>305742.33999999997</v>
      </c>
      <c r="EC80" s="76">
        <f>+IFERROR(VLOOKUP(Tabla1[[#This Row],[COD SE]],SALDO_ESC_2,7,0),0)</f>
        <v>0</v>
      </c>
      <c r="ED80" s="76">
        <f>+IFERROR(VLOOKUP(Tabla1[[#This Row],[COD SE]],SALDO_ESC_3,7,0),0)</f>
        <v>301978.15000000002</v>
      </c>
      <c r="EE80" s="76">
        <f>+Tabla1[[#This Row],[mto_pim]]-Tabla1[[#This Row],[TRANSF ESC2 ]]</f>
        <v>398311</v>
      </c>
      <c r="EF80" s="76">
        <f>+Tabla1[[#This Row],[mto_pim]]-Tabla1[[#This Row],[TRANFS ESC 3 ]]</f>
        <v>96332.849999999977</v>
      </c>
      <c r="EG80" s="76">
        <f>+IFERROR(VLOOKUP(Tabla1[[#This Row],[COD SE]],HISTORICO,4,0),0)</f>
        <v>33192.57</v>
      </c>
      <c r="EH80" s="76">
        <f>+IFERROR(VLOOKUP(Tabla1[[#This Row],[COD SE]],HISTORICO,5,0),0)</f>
        <v>17914.189999999999</v>
      </c>
      <c r="EI80" s="76">
        <f>+IFERROR(VLOOKUP(Tabla1[[#This Row],[COD SE]],HISTORICO,6,0),0)</f>
        <v>17914.189999999999</v>
      </c>
      <c r="EJ80" s="76">
        <f>+IFERROR(VLOOKUP(Tabla1[[#This Row],[COD SE]],HISTORICO,7,0),0)</f>
        <v>17914.189999999999</v>
      </c>
      <c r="EK80" s="76">
        <f>+IFERROR(VLOOKUP(Tabla1[[#This Row],[COD SE]],HISTORICO,8,0),0)</f>
        <v>3764.19</v>
      </c>
      <c r="EL80" s="76">
        <f>+IFERROR(VLOOKUP(Tabla1[[#This Row],[COD SE]],HISTORICO,9,0),0)</f>
        <v>3764.19</v>
      </c>
      <c r="EM80" s="76">
        <f>+IFERROR(VLOOKUP(Tabla1[[#This Row],[COD SE]],HISTORICO,10,0),0)</f>
        <v>3764.19</v>
      </c>
      <c r="EN80" s="76">
        <f>+IFERROR(VLOOKUP(Tabla1[[#This Row],[COD SE]],HISTORICO,11,0),0)</f>
        <v>3764.19</v>
      </c>
      <c r="EO80" s="76">
        <f>+IFERROR(VLOOKUP(Tabla1[[#This Row],[COD SE]],HISTORICO,12,0),0)</f>
        <v>3764.19</v>
      </c>
      <c r="EP80" s="58">
        <f>+SUM(Tabla1[[#This Row],[EJECUTADO 01]:[EJECUTADO 03]])</f>
        <v>53515.89</v>
      </c>
      <c r="EQ80" s="58">
        <f>+SUM(Tabla1[[#This Row],[EJECUTADO 04]:[EJECUTADO 06]])</f>
        <v>21339.46</v>
      </c>
      <c r="ER80" s="58">
        <f>+SUM(Tabla1[[#This Row],[EJECUTADO 07]:[EJECUTADO 09]])</f>
        <v>10184.93</v>
      </c>
      <c r="ES80" s="58">
        <f>+SUM(Tabla1[[#This Row],[PF OCTUBRE]:[PF DICIEMBRE
]])</f>
        <v>11292.57</v>
      </c>
      <c r="ET80" s="58">
        <f>+SUM(Tabla1[[#This Row],[EJECUTADO 01]:[EJECUTADO 09]])</f>
        <v>85040.279999999984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1672</v>
      </c>
      <c r="AD81" s="369" t="s">
        <v>1673</v>
      </c>
      <c r="AE81" s="369" t="s">
        <v>1681</v>
      </c>
      <c r="AF81" s="369" t="s">
        <v>1682</v>
      </c>
      <c r="AG81" s="369" t="s">
        <v>1682</v>
      </c>
      <c r="AH81" s="369">
        <v>100000</v>
      </c>
      <c r="AI81" s="369">
        <v>0</v>
      </c>
      <c r="AJ81" s="369">
        <v>100000</v>
      </c>
      <c r="AK81" s="370">
        <v>100000</v>
      </c>
      <c r="AL81" s="370">
        <v>100000</v>
      </c>
      <c r="AM81" s="370">
        <v>15000</v>
      </c>
      <c r="AN81" s="370">
        <v>0</v>
      </c>
      <c r="AO81" s="370">
        <v>25000</v>
      </c>
      <c r="AP81" s="370">
        <v>0</v>
      </c>
      <c r="AQ81" s="370">
        <v>0</v>
      </c>
      <c r="AR81" s="370">
        <v>0</v>
      </c>
      <c r="AS81" s="370">
        <v>0</v>
      </c>
      <c r="AT81" s="370">
        <v>0</v>
      </c>
      <c r="AU81" s="370">
        <v>24000</v>
      </c>
      <c r="AV81" s="370">
        <v>36000</v>
      </c>
      <c r="AW81" s="370">
        <v>0</v>
      </c>
      <c r="AX81" s="370">
        <v>0</v>
      </c>
      <c r="AY81" s="370">
        <v>5000</v>
      </c>
      <c r="AZ81" s="370">
        <v>5000</v>
      </c>
      <c r="BA81" s="370">
        <v>5000</v>
      </c>
      <c r="BB81" s="370">
        <v>0</v>
      </c>
      <c r="BC81" s="370">
        <v>10000</v>
      </c>
      <c r="BD81" s="370">
        <v>5000</v>
      </c>
      <c r="BE81" s="370">
        <v>0</v>
      </c>
      <c r="BF81" s="370">
        <v>5000</v>
      </c>
      <c r="BG81" s="370">
        <v>11000</v>
      </c>
      <c r="BH81" s="370">
        <v>0</v>
      </c>
      <c r="BI81" s="370">
        <v>0</v>
      </c>
      <c r="BJ81" s="370">
        <v>0</v>
      </c>
      <c r="BK81" s="370">
        <v>0</v>
      </c>
      <c r="BL81" s="370">
        <v>10000</v>
      </c>
      <c r="BM81" s="370">
        <v>5000</v>
      </c>
      <c r="BN81" s="370">
        <v>0</v>
      </c>
      <c r="BO81" s="370">
        <v>10000</v>
      </c>
      <c r="BP81" s="370">
        <v>0</v>
      </c>
      <c r="BQ81" s="370">
        <v>5000</v>
      </c>
      <c r="BR81" s="370">
        <v>5000</v>
      </c>
      <c r="BS81" s="370">
        <v>5000</v>
      </c>
      <c r="BT81" s="370">
        <v>6000</v>
      </c>
      <c r="BU81" s="370">
        <v>0</v>
      </c>
      <c r="BV81" s="370">
        <v>0</v>
      </c>
      <c r="BW81" s="370">
        <v>15000</v>
      </c>
      <c r="BX81" s="370">
        <v>0</v>
      </c>
      <c r="BY81" s="370">
        <v>25000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0">
        <v>6000</v>
      </c>
      <c r="CF81" s="370">
        <v>0</v>
      </c>
      <c r="CG81" s="370">
        <v>0</v>
      </c>
      <c r="CH81" s="370">
        <v>0</v>
      </c>
      <c r="CI81" s="48" t="s">
        <v>1987</v>
      </c>
      <c r="CJ81" s="48" t="s">
        <v>1991</v>
      </c>
      <c r="CK81" s="48" t="s">
        <v>1987</v>
      </c>
      <c r="CL81" s="48" t="s">
        <v>2005</v>
      </c>
      <c r="CM81" s="48" t="s">
        <v>1990</v>
      </c>
      <c r="CN81" s="48" t="s">
        <v>1990</v>
      </c>
      <c r="CO81" s="48" t="str">
        <f t="shared" si="28"/>
        <v>2.3.2.9.1.1</v>
      </c>
      <c r="CP81" s="48" t="str">
        <f>+VLOOKUP(Tabla1[[#This Row],[ESPECÍFICA]],CLASIFICADOR_,2,0)</f>
        <v>2.3.2.9.1.1 - LOCACIÓN DE SERVICIOS REALIZADOS POR PERSONA NATURAL</v>
      </c>
      <c r="CQ81" s="48" t="str">
        <f>+VLOOKUP(Tabla1[[#This Row],[ESPECÍFICA]],CLASIFICADOR_,3,0)</f>
        <v>2.3.2.9 - LOCACIÓN DE SERVICIOS REALIZADOS POR PERSONA NATURAL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2.3.BIENES Y SERVICIOS</v>
      </c>
      <c r="CX81" s="48" t="str">
        <f t="shared" si="17"/>
        <v>0006-JEFATURA</v>
      </c>
      <c r="CY81" s="113" t="str">
        <f t="shared" si="18"/>
        <v>0006-JEFATURA</v>
      </c>
      <c r="CZ81" s="20" t="str">
        <f t="shared" si="19"/>
        <v>0006-JEFATURA</v>
      </c>
      <c r="DA81" s="113" t="str">
        <f>+CONCATENATE(Tabla1[[#This Row],[CC COMPLETO]],Tabla1[[#This Row],[ESPECÍFICA]])</f>
        <v>0006-JEFATURA2.3.2.9.1.1</v>
      </c>
      <c r="DB81" s="49">
        <f t="shared" si="20"/>
        <v>100000</v>
      </c>
      <c r="DC81" s="49">
        <f t="shared" si="21"/>
        <v>46000</v>
      </c>
      <c r="DD81" s="49">
        <f t="shared" si="22"/>
        <v>46000</v>
      </c>
      <c r="DE81" s="49">
        <f t="shared" si="23"/>
        <v>0</v>
      </c>
      <c r="DF81" s="49">
        <f t="shared" si="24"/>
        <v>0</v>
      </c>
      <c r="DG81" s="49">
        <f t="shared" si="25"/>
        <v>54000</v>
      </c>
      <c r="DH81" s="49">
        <f t="shared" si="26"/>
        <v>54000</v>
      </c>
      <c r="DI81" s="50">
        <f t="shared" si="27"/>
        <v>0.46</v>
      </c>
      <c r="DJ81" s="78">
        <f>+SUM(Tabla1[[#This Row],[EJECUTADO 01]:[EJECUTADO 06]])</f>
        <v>30000</v>
      </c>
      <c r="DK81" s="78">
        <f>+Tabla1[[#This Row],[mto_devenga_01]]</f>
        <v>5000</v>
      </c>
      <c r="DL81" s="78">
        <f>+Tabla1[[#This Row],[mto_devenga_02]]</f>
        <v>5000</v>
      </c>
      <c r="DM81" s="78">
        <f>+Tabla1[[#This Row],[mto_devenga_03]]</f>
        <v>5000</v>
      </c>
      <c r="DN81" s="78">
        <f>+Tabla1[[#This Row],[mto_devenga_04]]</f>
        <v>0</v>
      </c>
      <c r="DO81" s="78">
        <f>+Tabla1[[#This Row],[mto_devenga_05]]</f>
        <v>10000</v>
      </c>
      <c r="DP81" s="76">
        <f>+Tabla1[[#This Row],[mto_devenga_06]]</f>
        <v>5000</v>
      </c>
      <c r="DQ81" s="76">
        <f>+Tabla1[[#This Row],[mto_devenga_07]]</f>
        <v>0</v>
      </c>
      <c r="DR81" s="76">
        <f>+Tabla1[[#This Row],[mto_devenga_08]]</f>
        <v>5000</v>
      </c>
      <c r="DS81" s="76">
        <f>+Tabla1[[#This Row],[mto_devenga_09]]</f>
        <v>11000</v>
      </c>
      <c r="DT81" s="76">
        <f>IFERROR(VLOOKUP(Tabla1[[#This Row],[COD SE]],PF_OCTUBRE,14,0),"0")</f>
        <v>18000</v>
      </c>
      <c r="DU81" s="76">
        <f>IFERROR(VLOOKUP(Tabla1[[#This Row],[COD SE]],PF_OCTUBRE,15,0),"0")</f>
        <v>18000</v>
      </c>
      <c r="DV81" s="76">
        <f>IFERROR(VLOOKUP(Tabla1[[#This Row],[COD SE]],PF_OCTUBRE,16,0),"0")</f>
        <v>18000</v>
      </c>
      <c r="DW81" s="76">
        <f>+SUM(Tabla1[[#This Row],[EJECUTADO 01]:[PF DICIEMBRE
]])</f>
        <v>100000</v>
      </c>
      <c r="DX81" s="76">
        <f>IFERROR(VLOOKUP(Tabla1[[#This Row],[COD SE]],PF_OCTUBRE,18,0),"0")</f>
        <v>0</v>
      </c>
      <c r="DY81" s="76">
        <f>IFERROR(VLOOKUP(Tabla1[[#This Row],[COD SE]],PF_OCTUBRE,19,0),"0")</f>
        <v>0</v>
      </c>
      <c r="DZ81" s="76">
        <f>IFERROR(VLOOKUP(Tabla1[[#This Row],[COD SE]],PF_OCTUBRE,20,0),"0")</f>
        <v>0</v>
      </c>
      <c r="EA81" s="76">
        <f>+Tabla1[[#This Row],[TOTAL EJEC REAL]]+Tabla1[[#This Row],[SALDO FINAL]]</f>
        <v>100000</v>
      </c>
      <c r="EB81" s="76">
        <f>IFERROR(VLOOKUP(Tabla1[[#This Row],[COD SE]],PF_OCTUBRE,22,0),"0")</f>
        <v>18000</v>
      </c>
      <c r="EC81" s="76">
        <f>+IFERROR(VLOOKUP(Tabla1[[#This Row],[COD SE]],SALDO_ESC_2,7,0),0)</f>
        <v>0</v>
      </c>
      <c r="ED81" s="76">
        <f>+IFERROR(VLOOKUP(Tabla1[[#This Row],[COD SE]],SALDO_ESC_3,7,0),0)</f>
        <v>0</v>
      </c>
      <c r="EE81" s="76">
        <f>+Tabla1[[#This Row],[mto_pim]]-Tabla1[[#This Row],[TRANSF ESC2 ]]</f>
        <v>100000</v>
      </c>
      <c r="EF81" s="76">
        <f>+Tabla1[[#This Row],[mto_pim]]-Tabla1[[#This Row],[TRANFS ESC 3 ]]</f>
        <v>100000</v>
      </c>
      <c r="EG81" s="76">
        <f>+IFERROR(VLOOKUP(Tabla1[[#This Row],[COD SE]],HISTORICO,4,0),0)</f>
        <v>5000</v>
      </c>
      <c r="EH81" s="76">
        <f>+IFERROR(VLOOKUP(Tabla1[[#This Row],[COD SE]],HISTORICO,5,0),0)</f>
        <v>5000</v>
      </c>
      <c r="EI81" s="76">
        <f>+IFERROR(VLOOKUP(Tabla1[[#This Row],[COD SE]],HISTORICO,6,0),0)</f>
        <v>19000</v>
      </c>
      <c r="EJ81" s="76">
        <f>+IFERROR(VLOOKUP(Tabla1[[#This Row],[COD SE]],HISTORICO,7,0),0)</f>
        <v>5000</v>
      </c>
      <c r="EK81" s="76">
        <f>+IFERROR(VLOOKUP(Tabla1[[#This Row],[COD SE]],HISTORICO,8,0),0)</f>
        <v>10000</v>
      </c>
      <c r="EL81" s="76">
        <f>+IFERROR(VLOOKUP(Tabla1[[#This Row],[COD SE]],HISTORICO,9,0),0)</f>
        <v>5000</v>
      </c>
      <c r="EM81" s="76">
        <f>+IFERROR(VLOOKUP(Tabla1[[#This Row],[COD SE]],HISTORICO,10,0),0)</f>
        <v>5000</v>
      </c>
      <c r="EN81" s="76">
        <f>+IFERROR(VLOOKUP(Tabla1[[#This Row],[COD SE]],HISTORICO,11,0),0)</f>
        <v>0</v>
      </c>
      <c r="EO81" s="76">
        <f>+IFERROR(VLOOKUP(Tabla1[[#This Row],[COD SE]],HISTORICO,12,0),0)</f>
        <v>6000</v>
      </c>
      <c r="EP81" s="58">
        <f>+SUM(Tabla1[[#This Row],[EJECUTADO 01]:[EJECUTADO 03]])</f>
        <v>15000</v>
      </c>
      <c r="EQ81" s="58">
        <f>+SUM(Tabla1[[#This Row],[EJECUTADO 04]:[EJECUTADO 06]])</f>
        <v>15000</v>
      </c>
      <c r="ER81" s="58">
        <f>+SUM(Tabla1[[#This Row],[EJECUTADO 07]:[EJECUTADO 09]])</f>
        <v>16000</v>
      </c>
      <c r="ES81" s="58">
        <f>+SUM(Tabla1[[#This Row],[PF OCTUBRE]:[PF DICIEMBRE
]])</f>
        <v>54000</v>
      </c>
      <c r="ET81" s="58">
        <f>+SUM(Tabla1[[#This Row],[EJECUTADO 01]:[EJECUTADO 09]])</f>
        <v>46000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2006</v>
      </c>
      <c r="AE82" s="369" t="s">
        <v>2007</v>
      </c>
      <c r="AF82" s="369" t="s">
        <v>2007</v>
      </c>
      <c r="AG82" s="369" t="s">
        <v>2015</v>
      </c>
      <c r="AH82" s="369">
        <v>0</v>
      </c>
      <c r="AI82" s="369">
        <v>12055</v>
      </c>
      <c r="AJ82" s="369">
        <v>12055</v>
      </c>
      <c r="AK82" s="370">
        <v>12055</v>
      </c>
      <c r="AL82" s="370">
        <v>8098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8097.08</v>
      </c>
      <c r="AT82" s="370">
        <v>0</v>
      </c>
      <c r="AU82" s="370">
        <v>0</v>
      </c>
      <c r="AV82" s="370">
        <v>0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8097.08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8097.08</v>
      </c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8097.08</v>
      </c>
      <c r="CD82" s="370">
        <v>0</v>
      </c>
      <c r="CE82" s="370">
        <v>0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1993</v>
      </c>
      <c r="CL82" s="48" t="s">
        <v>1990</v>
      </c>
      <c r="CM82" s="48" t="s">
        <v>1990</v>
      </c>
      <c r="CN82" s="48" t="s">
        <v>1989</v>
      </c>
      <c r="CO82" s="48" t="str">
        <f t="shared" si="28"/>
        <v>2.1.4.1.1.7</v>
      </c>
      <c r="CP82" s="48" t="str">
        <f>+VLOOKUP(Tabla1[[#This Row],[ESPECÍFICA]],CLASIFICADOR_,2,0)</f>
        <v>2.1.4.1.1.7 - VACACIONES TRUNCAS PERSONAL CAS</v>
      </c>
      <c r="CQ82" s="48" t="str">
        <f>+VLOOKUP(Tabla1[[#This Row],[ESPECÍFICA]],CLASIFICADOR_,3,0)</f>
        <v>01.CAS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7"/>
        <v>0006-JEFATURA</v>
      </c>
      <c r="CY82" s="113" t="str">
        <f t="shared" si="18"/>
        <v>0006-JEFATURA</v>
      </c>
      <c r="CZ82" s="20" t="str">
        <f t="shared" si="19"/>
        <v>0006-JEFATURA</v>
      </c>
      <c r="DA82" s="113" t="str">
        <f>+CONCATENATE(Tabla1[[#This Row],[CC COMPLETO]],Tabla1[[#This Row],[ESPECÍFICA]])</f>
        <v>0006-JEFATURA2.1.4.1.1.7</v>
      </c>
      <c r="DB82" s="49">
        <f t="shared" si="20"/>
        <v>8097.08</v>
      </c>
      <c r="DC82" s="49">
        <f t="shared" si="21"/>
        <v>8097.08</v>
      </c>
      <c r="DD82" s="49">
        <f t="shared" si="22"/>
        <v>8097.08</v>
      </c>
      <c r="DE82" s="49">
        <f t="shared" si="23"/>
        <v>0</v>
      </c>
      <c r="DF82" s="49">
        <f t="shared" si="24"/>
        <v>3957</v>
      </c>
      <c r="DG82" s="49">
        <f t="shared" si="25"/>
        <v>0.92000000000007276</v>
      </c>
      <c r="DH82" s="49">
        <f t="shared" si="26"/>
        <v>3957.92</v>
      </c>
      <c r="DI82" s="50">
        <f t="shared" si="27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8097.08</v>
      </c>
      <c r="DR82" s="76">
        <f>+Tabla1[[#This Row],[mto_devenga_08]]</f>
        <v>0</v>
      </c>
      <c r="DS82" s="76">
        <f>+Tabla1[[#This Row],[mto_devenga_09]]</f>
        <v>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0</v>
      </c>
      <c r="DW82" s="76">
        <f>+SUM(Tabla1[[#This Row],[EJECUTADO 01]:[PF DICIEMBRE
]])</f>
        <v>8097.08</v>
      </c>
      <c r="DX82" s="76">
        <f>IFERROR(VLOOKUP(Tabla1[[#This Row],[COD SE]],PF_OCTUBRE,18,0),"0")</f>
        <v>0</v>
      </c>
      <c r="DY82" s="76">
        <f>IFERROR(VLOOKUP(Tabla1[[#This Row],[COD SE]],PF_OCTUBRE,19,0),"0")</f>
        <v>0.92</v>
      </c>
      <c r="DZ82" s="76">
        <f>IFERROR(VLOOKUP(Tabla1[[#This Row],[COD SE]],PF_OCTUBRE,20,0),"0")</f>
        <v>0.92</v>
      </c>
      <c r="EA82" s="76">
        <f>+Tabla1[[#This Row],[TOTAL EJEC REAL]]+Tabla1[[#This Row],[SALDO FINAL]]</f>
        <v>8098</v>
      </c>
      <c r="EB82" s="76">
        <f>IFERROR(VLOOKUP(Tabla1[[#This Row],[COD SE]],PF_OCTUBRE,22,0),"0")</f>
        <v>0.92</v>
      </c>
      <c r="EC82" s="76">
        <f>+IFERROR(VLOOKUP(Tabla1[[#This Row],[COD SE]],SALDO_ESC_2,7,0),0)</f>
        <v>0</v>
      </c>
      <c r="ED82" s="76">
        <f>+IFERROR(VLOOKUP(Tabla1[[#This Row],[COD SE]],SALDO_ESC_3,7,0),0)</f>
        <v>0.92</v>
      </c>
      <c r="EE82" s="76">
        <f>+Tabla1[[#This Row],[mto_pim]]-Tabla1[[#This Row],[TRANSF ESC2 ]]</f>
        <v>12055</v>
      </c>
      <c r="EF82" s="76">
        <f>+Tabla1[[#This Row],[mto_pim]]-Tabla1[[#This Row],[TRANFS ESC 3 ]]</f>
        <v>12054.08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8097.08</v>
      </c>
      <c r="ES82" s="58">
        <f>+SUM(Tabla1[[#This Row],[PF OCTUBRE]:[PF DICIEMBRE
]])</f>
        <v>0</v>
      </c>
      <c r="ET82" s="58">
        <f>+SUM(Tabla1[[#This Row],[EJECUTADO 01]:[EJECUTADO 09]])</f>
        <v>8097.08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1656</v>
      </c>
      <c r="AD83" s="369" t="s">
        <v>1657</v>
      </c>
      <c r="AE83" s="369" t="s">
        <v>1658</v>
      </c>
      <c r="AF83" s="369" t="s">
        <v>1658</v>
      </c>
      <c r="AG83" s="369" t="s">
        <v>1659</v>
      </c>
      <c r="AH83" s="369">
        <v>0</v>
      </c>
      <c r="AI83" s="369">
        <v>187200</v>
      </c>
      <c r="AJ83" s="369">
        <v>187200</v>
      </c>
      <c r="AK83" s="370">
        <v>123241</v>
      </c>
      <c r="AL83" s="370">
        <v>112321</v>
      </c>
      <c r="AM83" s="370">
        <v>0</v>
      </c>
      <c r="AN83" s="370">
        <v>0</v>
      </c>
      <c r="AO83" s="370">
        <v>0</v>
      </c>
      <c r="AP83" s="370">
        <v>5200.01</v>
      </c>
      <c r="AQ83" s="370">
        <v>15600</v>
      </c>
      <c r="AR83" s="370">
        <v>15600</v>
      </c>
      <c r="AS83" s="370">
        <v>15600</v>
      </c>
      <c r="AT83" s="370">
        <v>15600</v>
      </c>
      <c r="AU83" s="370">
        <v>8840</v>
      </c>
      <c r="AV83" s="370">
        <v>15600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5200.01</v>
      </c>
      <c r="BC83" s="370">
        <v>15600</v>
      </c>
      <c r="BD83" s="370">
        <v>15600</v>
      </c>
      <c r="BE83" s="370">
        <v>15600</v>
      </c>
      <c r="BF83" s="370">
        <v>15600</v>
      </c>
      <c r="BG83" s="370">
        <v>8840</v>
      </c>
      <c r="BH83" s="370">
        <v>15600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20800.009999999998</v>
      </c>
      <c r="BP83" s="370">
        <v>15600</v>
      </c>
      <c r="BQ83" s="370">
        <v>15600</v>
      </c>
      <c r="BR83" s="370">
        <v>15600</v>
      </c>
      <c r="BS83" s="370">
        <v>8840</v>
      </c>
      <c r="BT83" s="370">
        <v>13873.15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5200.01</v>
      </c>
      <c r="CA83" s="370">
        <v>15600</v>
      </c>
      <c r="CB83" s="370">
        <v>15600</v>
      </c>
      <c r="CC83" s="370">
        <v>15600</v>
      </c>
      <c r="CD83" s="370">
        <v>15600</v>
      </c>
      <c r="CE83" s="370">
        <v>19760</v>
      </c>
      <c r="CF83" s="370">
        <v>13873.15</v>
      </c>
      <c r="CG83" s="370">
        <v>0</v>
      </c>
      <c r="CH83" s="370">
        <v>0</v>
      </c>
      <c r="CI83" s="48" t="s">
        <v>1987</v>
      </c>
      <c r="CJ83" s="48" t="s">
        <v>1990</v>
      </c>
      <c r="CK83" s="48" t="s">
        <v>1990</v>
      </c>
      <c r="CL83" s="48" t="s">
        <v>1990</v>
      </c>
      <c r="CM83" s="48" t="s">
        <v>1990</v>
      </c>
      <c r="CN83" s="48" t="s">
        <v>1992</v>
      </c>
      <c r="CO83" s="48" t="str">
        <f t="shared" si="28"/>
        <v>2.1.1.1.1.8</v>
      </c>
      <c r="CP83" s="48" t="str">
        <f>+VLOOKUP(Tabla1[[#This Row],[ESPECÍFICA]],CLASIFICADOR_,2,0)</f>
        <v>2.1.1.1.1.8 - PERSONAL DE LA LEY SERVIR (RÉGIMEN DEL SERVICIO CIVIL)</v>
      </c>
      <c r="CQ83" s="48" t="str">
        <f>+VLOOKUP(Tabla1[[#This Row],[ESPECÍFICA]],CLASIFICADOR_,3,0)</f>
        <v>02.SERVIR</v>
      </c>
      <c r="CR83" s="48" t="str">
        <f>+VLOOKUP(Tabla1[[#This Row],[ESPECÍFICA]],CLASIFICADOR_,4,0)</f>
        <v xml:space="preserve"> </v>
      </c>
      <c r="CS83" s="48">
        <f>+VLOOKUP(Tabla1[[#This Row],[ESPECÍFICA]],CLASIFICADOR_,5,0)</f>
        <v>0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2.1.PERSONAL Y OBLIGACIONES SOCIALES</v>
      </c>
      <c r="CX83" s="48" t="str">
        <f t="shared" si="17"/>
        <v>0006-JEFATURA</v>
      </c>
      <c r="CY83" s="113" t="str">
        <f t="shared" si="18"/>
        <v>0006-JEFATURA</v>
      </c>
      <c r="CZ83" s="20" t="str">
        <f t="shared" si="19"/>
        <v>0006-JEFATURA</v>
      </c>
      <c r="DA83" s="113" t="str">
        <f>+CONCATENATE(Tabla1[[#This Row],[CC COMPLETO]],Tabla1[[#This Row],[ESPECÍFICA]])</f>
        <v>0006-JEFATURA2.1.1.1.1.8</v>
      </c>
      <c r="DB83" s="49">
        <f t="shared" si="20"/>
        <v>92040.010000000009</v>
      </c>
      <c r="DC83" s="49">
        <f t="shared" si="21"/>
        <v>92040.010000000009</v>
      </c>
      <c r="DD83" s="49">
        <f t="shared" si="22"/>
        <v>90313.159999999989</v>
      </c>
      <c r="DE83" s="49">
        <f t="shared" si="23"/>
        <v>63959</v>
      </c>
      <c r="DF83" s="49">
        <f t="shared" si="24"/>
        <v>10920</v>
      </c>
      <c r="DG83" s="49">
        <f t="shared" si="25"/>
        <v>20280.989999999991</v>
      </c>
      <c r="DH83" s="49">
        <f t="shared" si="26"/>
        <v>95159.989999999991</v>
      </c>
      <c r="DI83" s="50">
        <f t="shared" si="27"/>
        <v>0</v>
      </c>
      <c r="DJ83" s="78">
        <f>+SUM(Tabla1[[#This Row],[EJECUTADO 01]:[EJECUTADO 06]])</f>
        <v>36400.01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5200.01</v>
      </c>
      <c r="DO83" s="78">
        <f>+Tabla1[[#This Row],[mto_devenga_05]]</f>
        <v>15600</v>
      </c>
      <c r="DP83" s="76">
        <f>+Tabla1[[#This Row],[mto_devenga_06]]</f>
        <v>15600</v>
      </c>
      <c r="DQ83" s="76">
        <f>+Tabla1[[#This Row],[mto_devenga_07]]</f>
        <v>15600</v>
      </c>
      <c r="DR83" s="76">
        <f>+Tabla1[[#This Row],[mto_devenga_08]]</f>
        <v>15600</v>
      </c>
      <c r="DS83" s="76">
        <f>+Tabla1[[#This Row],[mto_devenga_09]]</f>
        <v>8840</v>
      </c>
      <c r="DT83" s="76">
        <f>IFERROR(VLOOKUP(Tabla1[[#This Row],[COD SE]],PF_OCTUBRE,14,0),"0")</f>
        <v>15600</v>
      </c>
      <c r="DU83" s="76">
        <f>IFERROR(VLOOKUP(Tabla1[[#This Row],[COD SE]],PF_OCTUBRE,15,0),"0")</f>
        <v>15600</v>
      </c>
      <c r="DV83" s="76">
        <f>IFERROR(VLOOKUP(Tabla1[[#This Row],[COD SE]],PF_OCTUBRE,16,0),"0")</f>
        <v>15600</v>
      </c>
      <c r="DW83" s="76">
        <f>+SUM(Tabla1[[#This Row],[EJECUTADO 01]:[PF DICIEMBRE
]])</f>
        <v>123240.01000000001</v>
      </c>
      <c r="DX83" s="76">
        <f>IFERROR(VLOOKUP(Tabla1[[#This Row],[COD SE]],PF_OCTUBRE,18,0),"0")</f>
        <v>0</v>
      </c>
      <c r="DY83" s="76">
        <f>IFERROR(VLOOKUP(Tabla1[[#This Row],[COD SE]],PF_OCTUBRE,19,0),"0")</f>
        <v>63959.990000000005</v>
      </c>
      <c r="DZ83" s="76">
        <f>IFERROR(VLOOKUP(Tabla1[[#This Row],[COD SE]],PF_OCTUBRE,20,0),"0")</f>
        <v>63959.990000000005</v>
      </c>
      <c r="EA83" s="76">
        <f>+Tabla1[[#This Row],[TOTAL EJEC REAL]]+Tabla1[[#This Row],[SALDO FINAL]]</f>
        <v>187200</v>
      </c>
      <c r="EB83" s="76">
        <f>IFERROR(VLOOKUP(Tabla1[[#This Row],[COD SE]],PF_OCTUBRE,22,0),"0")</f>
        <v>79559.990000000005</v>
      </c>
      <c r="EC83" s="76">
        <f>+IFERROR(VLOOKUP(Tabla1[[#This Row],[COD SE]],SALDO_ESC_2,7,0),0)</f>
        <v>0</v>
      </c>
      <c r="ED83" s="76">
        <f>+IFERROR(VLOOKUP(Tabla1[[#This Row],[COD SE]],SALDO_ESC_3,7,0),0)</f>
        <v>63959.990000000005</v>
      </c>
      <c r="EE83" s="76">
        <f>+Tabla1[[#This Row],[mto_pim]]-Tabla1[[#This Row],[TRANSF ESC2 ]]</f>
        <v>187200</v>
      </c>
      <c r="EF83" s="76">
        <f>+Tabla1[[#This Row],[mto_pim]]-Tabla1[[#This Row],[TRANFS ESC 3 ]]</f>
        <v>123240.01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0</v>
      </c>
      <c r="EJ83" s="76">
        <f>+IFERROR(VLOOKUP(Tabla1[[#This Row],[COD SE]],HISTORICO,7,0),0)</f>
        <v>0</v>
      </c>
      <c r="EK83" s="76">
        <f>+IFERROR(VLOOKUP(Tabla1[[#This Row],[COD SE]],HISTORICO,8,0),0)</f>
        <v>15600</v>
      </c>
      <c r="EL83" s="76">
        <f>+IFERROR(VLOOKUP(Tabla1[[#This Row],[COD SE]],HISTORICO,9,0),0)</f>
        <v>15600</v>
      </c>
      <c r="EM83" s="76">
        <f>+IFERROR(VLOOKUP(Tabla1[[#This Row],[COD SE]],HISTORICO,10,0),0)</f>
        <v>15600</v>
      </c>
      <c r="EN83" s="76">
        <f>+IFERROR(VLOOKUP(Tabla1[[#This Row],[COD SE]],HISTORICO,11,0),0)</f>
        <v>15600</v>
      </c>
      <c r="EO83" s="76">
        <f>+IFERROR(VLOOKUP(Tabla1[[#This Row],[COD SE]],HISTORICO,12,0),0)</f>
        <v>15600</v>
      </c>
      <c r="EP83" s="58">
        <f>+SUM(Tabla1[[#This Row],[EJECUTADO 01]:[EJECUTADO 03]])</f>
        <v>0</v>
      </c>
      <c r="EQ83" s="58">
        <f>+SUM(Tabla1[[#This Row],[EJECUTADO 04]:[EJECUTADO 06]])</f>
        <v>36400.01</v>
      </c>
      <c r="ER83" s="58">
        <f>+SUM(Tabla1[[#This Row],[EJECUTADO 07]:[EJECUTADO 09]])</f>
        <v>40040</v>
      </c>
      <c r="ES83" s="58">
        <f>+SUM(Tabla1[[#This Row],[PF OCTUBRE]:[PF DICIEMBRE
]])</f>
        <v>46800</v>
      </c>
      <c r="ET83" s="58">
        <f>+SUM(Tabla1[[#This Row],[EJECUTADO 01]:[EJECUTADO 09]])</f>
        <v>76440.010000000009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8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7"/>
        <v>0006-JEFATURA</v>
      </c>
      <c r="CY84" s="113" t="str">
        <f t="shared" si="18"/>
        <v>0006-JEFATURA</v>
      </c>
      <c r="CZ84" s="20" t="str">
        <f t="shared" si="19"/>
        <v>0006-JEFATURA</v>
      </c>
      <c r="DA84" s="113" t="str">
        <f>+CONCATENATE(Tabla1[[#This Row],[CC COMPLETO]],Tabla1[[#This Row],[ESPECÍFICA]])</f>
        <v>0006-JEFATURA2.1.4.1.1.6</v>
      </c>
      <c r="DB84" s="49">
        <f t="shared" si="20"/>
        <v>6023.27</v>
      </c>
      <c r="DC84" s="49">
        <f t="shared" si="21"/>
        <v>6023.27</v>
      </c>
      <c r="DD84" s="49">
        <f t="shared" si="22"/>
        <v>6023.27</v>
      </c>
      <c r="DE84" s="49">
        <f t="shared" si="23"/>
        <v>0</v>
      </c>
      <c r="DF84" s="49">
        <f t="shared" si="24"/>
        <v>0</v>
      </c>
      <c r="DG84" s="49">
        <f t="shared" si="25"/>
        <v>0.72999999999956344</v>
      </c>
      <c r="DH84" s="49">
        <f t="shared" si="26"/>
        <v>0.72999999999956344</v>
      </c>
      <c r="DI84" s="50">
        <f t="shared" si="27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8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7"/>
        <v>0006-JEFATURA</v>
      </c>
      <c r="CY85" s="113" t="str">
        <f t="shared" si="18"/>
        <v>0006-JEFATURA</v>
      </c>
      <c r="CZ85" s="20" t="str">
        <f t="shared" si="19"/>
        <v>0006-JEFATURA</v>
      </c>
      <c r="DA85" s="113" t="str">
        <f>+CONCATENATE(Tabla1[[#This Row],[CC COMPLETO]],Tabla1[[#This Row],[ESPECÍFICA]])</f>
        <v>0006-JEFATURA2.1.4.1.1.1</v>
      </c>
      <c r="DB85" s="49">
        <f t="shared" si="20"/>
        <v>4587.6400000000003</v>
      </c>
      <c r="DC85" s="49">
        <f t="shared" si="21"/>
        <v>4587.6400000000003</v>
      </c>
      <c r="DD85" s="49">
        <f t="shared" si="22"/>
        <v>4587.6400000000003</v>
      </c>
      <c r="DE85" s="49">
        <f t="shared" si="23"/>
        <v>0</v>
      </c>
      <c r="DF85" s="49">
        <f t="shared" si="24"/>
        <v>0</v>
      </c>
      <c r="DG85" s="49">
        <f t="shared" si="25"/>
        <v>3212.3599999999997</v>
      </c>
      <c r="DH85" s="49">
        <f t="shared" si="26"/>
        <v>3212.3599999999997</v>
      </c>
      <c r="DI85" s="50">
        <f t="shared" si="27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1672</v>
      </c>
      <c r="AD86" s="369" t="s">
        <v>1673</v>
      </c>
      <c r="AE86" s="369" t="s">
        <v>1674</v>
      </c>
      <c r="AF86" s="369" t="s">
        <v>1675</v>
      </c>
      <c r="AG86" s="369" t="s">
        <v>1676</v>
      </c>
      <c r="AH86" s="369">
        <v>12000</v>
      </c>
      <c r="AI86" s="369">
        <v>0</v>
      </c>
      <c r="AJ86" s="369">
        <v>12000</v>
      </c>
      <c r="AK86" s="370">
        <v>0</v>
      </c>
      <c r="AL86" s="370">
        <v>0</v>
      </c>
      <c r="AM86" s="370">
        <v>0</v>
      </c>
      <c r="AN86" s="370">
        <v>0</v>
      </c>
      <c r="AO86" s="370">
        <v>0</v>
      </c>
      <c r="AP86" s="370">
        <v>0</v>
      </c>
      <c r="AQ86" s="370">
        <v>0</v>
      </c>
      <c r="AR86" s="370">
        <v>0</v>
      </c>
      <c r="AS86" s="370">
        <v>0</v>
      </c>
      <c r="AT86" s="370">
        <v>0</v>
      </c>
      <c r="AU86" s="370">
        <v>0</v>
      </c>
      <c r="AV86" s="370">
        <v>0</v>
      </c>
      <c r="AW86" s="370">
        <v>0</v>
      </c>
      <c r="AX86" s="370">
        <v>0</v>
      </c>
      <c r="AY86" s="370">
        <v>0</v>
      </c>
      <c r="AZ86" s="370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0">
        <v>0</v>
      </c>
      <c r="BG86" s="370">
        <v>0</v>
      </c>
      <c r="BH86" s="370">
        <v>0</v>
      </c>
      <c r="BI86" s="370">
        <v>0</v>
      </c>
      <c r="BJ86" s="370">
        <v>0</v>
      </c>
      <c r="BK86" s="370">
        <v>0</v>
      </c>
      <c r="BL86" s="370">
        <v>0</v>
      </c>
      <c r="BM86" s="370">
        <v>0</v>
      </c>
      <c r="BN86" s="370">
        <v>0</v>
      </c>
      <c r="BO86" s="370">
        <v>0</v>
      </c>
      <c r="BP86" s="370">
        <v>0</v>
      </c>
      <c r="BQ86" s="370">
        <v>0</v>
      </c>
      <c r="BR86" s="370">
        <v>0</v>
      </c>
      <c r="BS86" s="370">
        <v>0</v>
      </c>
      <c r="BT86" s="370">
        <v>0</v>
      </c>
      <c r="BU86" s="370">
        <v>0</v>
      </c>
      <c r="BV86" s="370">
        <v>0</v>
      </c>
      <c r="BW86" s="370">
        <v>0</v>
      </c>
      <c r="BX86" s="370">
        <v>0</v>
      </c>
      <c r="BY86" s="370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0">
        <v>0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1991</v>
      </c>
      <c r="CK86" s="48" t="s">
        <v>1987</v>
      </c>
      <c r="CL86" s="48" t="s">
        <v>1990</v>
      </c>
      <c r="CM86" s="48" t="s">
        <v>1987</v>
      </c>
      <c r="CN86" s="48" t="s">
        <v>1990</v>
      </c>
      <c r="CO86" s="48" t="str">
        <f t="shared" si="28"/>
        <v>2.3.2.1.2.1</v>
      </c>
      <c r="CP86" s="48" t="str">
        <f>+VLOOKUP(Tabla1[[#This Row],[ESPECÍFICA]],CLASIFICADOR_,2,0)</f>
        <v>2.3.2.1.2.1 - PASAJES Y GASTOS DE TRANSPORTE</v>
      </c>
      <c r="CQ86" s="48" t="str">
        <f>+VLOOKUP(Tabla1[[#This Row],[ESPECÍFICA]],CLASIFICADOR_,3,0)</f>
        <v>2.3.2.1 - VIAJES</v>
      </c>
      <c r="CR86" s="48" t="str">
        <f>+VLOOKUP(Tabla1[[#This Row],[ESPECÍFICA]],CLASIFICADOR_,4,0)</f>
        <v>Límite de Gasto</v>
      </c>
      <c r="CS86" s="48" t="str">
        <f>+VLOOKUP(Tabla1[[#This Row],[ESPECÍFICA]],CLASIFICADOR_,5,0)</f>
        <v>10.6 b)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2.3.BIENES Y SERVICIOS</v>
      </c>
      <c r="CX86" s="48" t="str">
        <f t="shared" si="17"/>
        <v>0006-JEFATURA</v>
      </c>
      <c r="CY86" s="113" t="str">
        <f t="shared" si="18"/>
        <v>0006-JEFATURA</v>
      </c>
      <c r="CZ86" s="20" t="str">
        <f t="shared" si="19"/>
        <v>0006-JEFATURA</v>
      </c>
      <c r="DA86" s="113" t="str">
        <f>+CONCATENATE(Tabla1[[#This Row],[CC COMPLETO]],Tabla1[[#This Row],[ESPECÍFICA]])</f>
        <v>0006-JEFATURA2.3.2.1.2.1</v>
      </c>
      <c r="DB86" s="49">
        <f t="shared" si="20"/>
        <v>0</v>
      </c>
      <c r="DC86" s="49">
        <f t="shared" si="21"/>
        <v>0</v>
      </c>
      <c r="DD86" s="49">
        <f t="shared" si="22"/>
        <v>0</v>
      </c>
      <c r="DE86" s="49">
        <f t="shared" si="23"/>
        <v>12000</v>
      </c>
      <c r="DF86" s="49">
        <f t="shared" si="24"/>
        <v>0</v>
      </c>
      <c r="DG86" s="49">
        <f t="shared" si="25"/>
        <v>0</v>
      </c>
      <c r="DH86" s="49">
        <f t="shared" si="26"/>
        <v>12000</v>
      </c>
      <c r="DI86" s="50">
        <f t="shared" si="27"/>
        <v>0</v>
      </c>
      <c r="DJ86" s="78">
        <f>+SUM(Tabla1[[#This Row],[EJECUTADO 01]:[EJECUTADO 06]])</f>
        <v>0</v>
      </c>
      <c r="DK86" s="78">
        <f>+Tabla1[[#This Row],[mto_devenga_01]]</f>
        <v>0</v>
      </c>
      <c r="DL86" s="78">
        <f>+Tabla1[[#This Row],[mto_devenga_02]]</f>
        <v>0</v>
      </c>
      <c r="DM86" s="78">
        <f>+Tabla1[[#This Row],[mto_devenga_03]]</f>
        <v>0</v>
      </c>
      <c r="DN86" s="78">
        <f>+Tabla1[[#This Row],[mto_devenga_04]]</f>
        <v>0</v>
      </c>
      <c r="DO86" s="78">
        <f>+Tabla1[[#This Row],[mto_devenga_05]]</f>
        <v>0</v>
      </c>
      <c r="DP86" s="76">
        <f>+Tabla1[[#This Row],[mto_devenga_06]]</f>
        <v>0</v>
      </c>
      <c r="DQ86" s="76">
        <f>+Tabla1[[#This Row],[mto_devenga_07]]</f>
        <v>0</v>
      </c>
      <c r="DR86" s="76">
        <f>+Tabla1[[#This Row],[mto_devenga_08]]</f>
        <v>0</v>
      </c>
      <c r="DS86" s="76">
        <f>+Tabla1[[#This Row],[mto_devenga_09]]</f>
        <v>0</v>
      </c>
      <c r="DT86" s="76">
        <f>IFERROR(VLOOKUP(Tabla1[[#This Row],[COD SE]],PF_OCTUBRE,14,0),"0")</f>
        <v>0</v>
      </c>
      <c r="DU86" s="76">
        <f>IFERROR(VLOOKUP(Tabla1[[#This Row],[COD SE]],PF_OCTUBRE,15,0),"0")</f>
        <v>0</v>
      </c>
      <c r="DV86" s="76">
        <f>IFERROR(VLOOKUP(Tabla1[[#This Row],[COD SE]],PF_OCTUBRE,16,0),"0")</f>
        <v>12000</v>
      </c>
      <c r="DW86" s="76">
        <f>+SUM(Tabla1[[#This Row],[EJECUTADO 01]:[PF DICIEMBRE
]])</f>
        <v>12000</v>
      </c>
      <c r="DX86" s="76">
        <f>IFERROR(VLOOKUP(Tabla1[[#This Row],[COD SE]],PF_OCTUBRE,18,0),"0")</f>
        <v>0</v>
      </c>
      <c r="DY86" s="76">
        <f>IFERROR(VLOOKUP(Tabla1[[#This Row],[COD SE]],PF_OCTUBRE,19,0),"0")</f>
        <v>0</v>
      </c>
      <c r="DZ86" s="76">
        <f>IFERROR(VLOOKUP(Tabla1[[#This Row],[COD SE]],PF_OCTUBRE,20,0),"0")</f>
        <v>0</v>
      </c>
      <c r="EA86" s="76">
        <f>+Tabla1[[#This Row],[TOTAL EJEC REAL]]+Tabla1[[#This Row],[SALDO FINAL]]</f>
        <v>12000</v>
      </c>
      <c r="EB86" s="76">
        <f>IFERROR(VLOOKUP(Tabla1[[#This Row],[COD SE]],PF_OCTUBRE,22,0),"0")</f>
        <v>12000</v>
      </c>
      <c r="EC86" s="76">
        <f>+IFERROR(VLOOKUP(Tabla1[[#This Row],[COD SE]],SALDO_ESC_2,7,0),0)</f>
        <v>0</v>
      </c>
      <c r="ED86" s="76">
        <f>+IFERROR(VLOOKUP(Tabla1[[#This Row],[COD SE]],SALDO_ESC_3,7,0),0)</f>
        <v>0</v>
      </c>
      <c r="EE86" s="76">
        <f>+Tabla1[[#This Row],[mto_pim]]-Tabla1[[#This Row],[TRANSF ESC2 ]]</f>
        <v>12000</v>
      </c>
      <c r="EF86" s="76">
        <f>+Tabla1[[#This Row],[mto_pim]]-Tabla1[[#This Row],[TRANFS ESC 3 ]]</f>
        <v>12000</v>
      </c>
      <c r="EG86" s="76">
        <f>+IFERROR(VLOOKUP(Tabla1[[#This Row],[COD SE]],HISTORICO,4,0),0)</f>
        <v>0</v>
      </c>
      <c r="EH86" s="76">
        <f>+IFERROR(VLOOKUP(Tabla1[[#This Row],[COD SE]],HISTORICO,5,0),0)</f>
        <v>0</v>
      </c>
      <c r="EI86" s="76">
        <f>+IFERROR(VLOOKUP(Tabla1[[#This Row],[COD SE]],HISTORICO,6,0),0)</f>
        <v>12000</v>
      </c>
      <c r="EJ86" s="76">
        <f>+IFERROR(VLOOKUP(Tabla1[[#This Row],[COD SE]],HISTORICO,7,0),0)</f>
        <v>0</v>
      </c>
      <c r="EK86" s="76">
        <f>+IFERROR(VLOOKUP(Tabla1[[#This Row],[COD SE]],HISTORICO,8,0),0)</f>
        <v>0</v>
      </c>
      <c r="EL86" s="76">
        <f>+IFERROR(VLOOKUP(Tabla1[[#This Row],[COD SE]],HISTORICO,9,0),0)</f>
        <v>0</v>
      </c>
      <c r="EM86" s="76">
        <f>+IFERROR(VLOOKUP(Tabla1[[#This Row],[COD SE]],HISTORICO,10,0),0)</f>
        <v>0</v>
      </c>
      <c r="EN86" s="76">
        <f>+IFERROR(VLOOKUP(Tabla1[[#This Row],[COD SE]],HISTORICO,11,0),0)</f>
        <v>0</v>
      </c>
      <c r="EO86" s="76">
        <f>+IFERROR(VLOOKUP(Tabla1[[#This Row],[COD SE]],HISTORICO,12,0),0)</f>
        <v>0</v>
      </c>
      <c r="EP86" s="58">
        <f>+SUM(Tabla1[[#This Row],[EJECUTADO 01]:[EJECUTADO 03]])</f>
        <v>0</v>
      </c>
      <c r="EQ86" s="58">
        <f>+SUM(Tabla1[[#This Row],[EJECUTADO 04]:[EJECUTADO 06]])</f>
        <v>0</v>
      </c>
      <c r="ER86" s="58">
        <f>+SUM(Tabla1[[#This Row],[EJECUTADO 07]:[EJECUTADO 09]])</f>
        <v>0</v>
      </c>
      <c r="ES86" s="58">
        <f>+SUM(Tabla1[[#This Row],[PF OCTUBRE]:[PF DICIEMBRE
]])</f>
        <v>12000</v>
      </c>
      <c r="ET86" s="58">
        <f>+SUM(Tabla1[[#This Row],[EJECUTADO 01]:[EJECUTADO 09]])</f>
        <v>0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8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7"/>
        <v>0007-GG</v>
      </c>
      <c r="CY87" s="113" t="str">
        <f t="shared" si="18"/>
        <v>0007-GG</v>
      </c>
      <c r="CZ87" s="20" t="str">
        <f t="shared" si="19"/>
        <v>0007-GG</v>
      </c>
      <c r="DA87" s="113" t="str">
        <f>+CONCATENATE(Tabla1[[#This Row],[CC COMPLETO]],Tabla1[[#This Row],[ESPECÍFICA]])</f>
        <v>0007-GG2.3.2.7.5.2</v>
      </c>
      <c r="DB87" s="49">
        <f t="shared" si="20"/>
        <v>4520</v>
      </c>
      <c r="DC87" s="49">
        <f t="shared" si="21"/>
        <v>4520</v>
      </c>
      <c r="DD87" s="49">
        <f t="shared" si="22"/>
        <v>4520</v>
      </c>
      <c r="DE87" s="49">
        <f t="shared" si="23"/>
        <v>7345</v>
      </c>
      <c r="DF87" s="49">
        <f t="shared" si="24"/>
        <v>0</v>
      </c>
      <c r="DG87" s="49">
        <f t="shared" si="25"/>
        <v>2825</v>
      </c>
      <c r="DH87" s="49">
        <f t="shared" si="26"/>
        <v>10170</v>
      </c>
      <c r="DI87" s="50">
        <f t="shared" si="27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1657</v>
      </c>
      <c r="AE88" s="369" t="s">
        <v>1664</v>
      </c>
      <c r="AF88" s="369" t="s">
        <v>1665</v>
      </c>
      <c r="AG88" s="369" t="s">
        <v>1666</v>
      </c>
      <c r="AH88" s="369">
        <v>0</v>
      </c>
      <c r="AI88" s="369">
        <v>41572</v>
      </c>
      <c r="AJ88" s="369">
        <v>41572</v>
      </c>
      <c r="AK88" s="370">
        <v>31179</v>
      </c>
      <c r="AL88" s="370">
        <v>31179</v>
      </c>
      <c r="AM88" s="370">
        <v>0</v>
      </c>
      <c r="AN88" s="370">
        <v>0</v>
      </c>
      <c r="AO88" s="370">
        <v>0</v>
      </c>
      <c r="AP88" s="370">
        <v>10392.86</v>
      </c>
      <c r="AQ88" s="370">
        <v>0</v>
      </c>
      <c r="AR88" s="370">
        <v>0</v>
      </c>
      <c r="AS88" s="370">
        <v>0</v>
      </c>
      <c r="AT88" s="370">
        <v>0</v>
      </c>
      <c r="AU88" s="370">
        <v>0</v>
      </c>
      <c r="AV88" s="370">
        <v>0</v>
      </c>
      <c r="AW88" s="370">
        <v>0</v>
      </c>
      <c r="AX88" s="370">
        <v>0</v>
      </c>
      <c r="AY88" s="370">
        <v>0</v>
      </c>
      <c r="AZ88" s="370">
        <v>0</v>
      </c>
      <c r="BA88" s="370">
        <v>0</v>
      </c>
      <c r="BB88" s="370">
        <v>10392.86</v>
      </c>
      <c r="BC88" s="370">
        <v>0</v>
      </c>
      <c r="BD88" s="370">
        <v>0</v>
      </c>
      <c r="BE88" s="370">
        <v>0</v>
      </c>
      <c r="BF88" s="370">
        <v>0</v>
      </c>
      <c r="BG88" s="370">
        <v>0</v>
      </c>
      <c r="BH88" s="370">
        <v>0</v>
      </c>
      <c r="BI88" s="370">
        <v>0</v>
      </c>
      <c r="BJ88" s="370">
        <v>0</v>
      </c>
      <c r="BK88" s="370">
        <v>0</v>
      </c>
      <c r="BL88" s="370">
        <v>0</v>
      </c>
      <c r="BM88" s="370">
        <v>0</v>
      </c>
      <c r="BN88" s="370">
        <v>10392.86</v>
      </c>
      <c r="BO88" s="370">
        <v>0</v>
      </c>
      <c r="BP88" s="370">
        <v>0</v>
      </c>
      <c r="BQ88" s="370">
        <v>0</v>
      </c>
      <c r="BR88" s="370">
        <v>0</v>
      </c>
      <c r="BS88" s="370">
        <v>0</v>
      </c>
      <c r="BT88" s="370">
        <v>0</v>
      </c>
      <c r="BU88" s="370">
        <v>0</v>
      </c>
      <c r="BV88" s="370">
        <v>0</v>
      </c>
      <c r="BW88" s="370">
        <v>0</v>
      </c>
      <c r="BX88" s="370">
        <v>0</v>
      </c>
      <c r="BY88" s="370">
        <v>0</v>
      </c>
      <c r="BZ88" s="370">
        <v>10392.86</v>
      </c>
      <c r="CA88" s="370">
        <v>0</v>
      </c>
      <c r="CB88" s="370">
        <v>0</v>
      </c>
      <c r="CC88" s="370">
        <v>0</v>
      </c>
      <c r="CD88" s="370">
        <v>0</v>
      </c>
      <c r="CE88" s="370">
        <v>0</v>
      </c>
      <c r="CF88" s="370">
        <v>0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1990</v>
      </c>
      <c r="CL88" s="48" t="s">
        <v>2005</v>
      </c>
      <c r="CM88" s="48" t="s">
        <v>1990</v>
      </c>
      <c r="CN88" s="48" t="s">
        <v>1987</v>
      </c>
      <c r="CO88" s="48" t="str">
        <f t="shared" si="28"/>
        <v>2.1.1.9.1.2</v>
      </c>
      <c r="CP88" s="48" t="str">
        <f>+VLOOKUP(Tabla1[[#This Row],[ESPECÍFICA]],CLASIFICADOR_,2,0)</f>
        <v>2.1.1.9.1.2 - AGUINALDOS</v>
      </c>
      <c r="CQ88" s="48" t="str">
        <f>+VLOOKUP(Tabla1[[#This Row],[ESPECÍFICA]],CLASIFICADOR_,3,0)</f>
        <v>02.SERVIR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7"/>
        <v>0007-GG</v>
      </c>
      <c r="CY88" s="113" t="str">
        <f t="shared" si="18"/>
        <v>0007-GG</v>
      </c>
      <c r="CZ88" s="20" t="str">
        <f t="shared" si="19"/>
        <v>0007-GG</v>
      </c>
      <c r="DA88" s="113" t="str">
        <f>+CONCATENATE(Tabla1[[#This Row],[CC COMPLETO]],Tabla1[[#This Row],[ESPECÍFICA]])</f>
        <v>0007-GG2.1.1.9.1.2</v>
      </c>
      <c r="DB88" s="49">
        <f t="shared" si="20"/>
        <v>10392.86</v>
      </c>
      <c r="DC88" s="49">
        <f t="shared" si="21"/>
        <v>10392.86</v>
      </c>
      <c r="DD88" s="49">
        <f t="shared" si="22"/>
        <v>10392.86</v>
      </c>
      <c r="DE88" s="49">
        <f t="shared" si="23"/>
        <v>10393</v>
      </c>
      <c r="DF88" s="49">
        <f t="shared" si="24"/>
        <v>0</v>
      </c>
      <c r="DG88" s="49">
        <f t="shared" si="25"/>
        <v>20786.14</v>
      </c>
      <c r="DH88" s="49">
        <f t="shared" si="26"/>
        <v>31179.14</v>
      </c>
      <c r="DI88" s="50">
        <f t="shared" si="27"/>
        <v>0</v>
      </c>
      <c r="DJ88" s="78">
        <f>+SUM(Tabla1[[#This Row],[EJECUTADO 01]:[EJECUTADO 06]])</f>
        <v>10392.86</v>
      </c>
      <c r="DK88" s="78">
        <f>+Tabla1[[#This Row],[mto_devenga_01]]</f>
        <v>0</v>
      </c>
      <c r="DL88" s="78">
        <f>+Tabla1[[#This Row],[mto_devenga_02]]</f>
        <v>0</v>
      </c>
      <c r="DM88" s="78">
        <f>+Tabla1[[#This Row],[mto_devenga_03]]</f>
        <v>0</v>
      </c>
      <c r="DN88" s="78">
        <f>+Tabla1[[#This Row],[mto_devenga_04]]</f>
        <v>10392.86</v>
      </c>
      <c r="DO88" s="78">
        <f>+Tabla1[[#This Row],[mto_devenga_05]]</f>
        <v>0</v>
      </c>
      <c r="DP88" s="76">
        <f>+Tabla1[[#This Row],[mto_devenga_06]]</f>
        <v>0</v>
      </c>
      <c r="DQ88" s="76">
        <f>+Tabla1[[#This Row],[mto_devenga_07]]</f>
        <v>0</v>
      </c>
      <c r="DR88" s="76">
        <f>+Tabla1[[#This Row],[mto_devenga_08]]</f>
        <v>0</v>
      </c>
      <c r="DS88" s="76">
        <f>+Tabla1[[#This Row],[mto_devenga_09]]</f>
        <v>0</v>
      </c>
      <c r="DT88" s="76">
        <f>IFERROR(VLOOKUP(Tabla1[[#This Row],[COD SE]],PF_OCTUBRE,14,0),"0")</f>
        <v>0</v>
      </c>
      <c r="DU88" s="76">
        <f>IFERROR(VLOOKUP(Tabla1[[#This Row],[COD SE]],PF_OCTUBRE,15,0),"0")</f>
        <v>0</v>
      </c>
      <c r="DV88" s="76">
        <f>IFERROR(VLOOKUP(Tabla1[[#This Row],[COD SE]],PF_OCTUBRE,16,0),"0")</f>
        <v>20785.71</v>
      </c>
      <c r="DW88" s="76">
        <f>+SUM(Tabla1[[#This Row],[EJECUTADO 01]:[PF DICIEMBRE
]])</f>
        <v>31178.57</v>
      </c>
      <c r="DX88" s="76">
        <f>IFERROR(VLOOKUP(Tabla1[[#This Row],[COD SE]],PF_OCTUBRE,18,0),"0")</f>
        <v>0</v>
      </c>
      <c r="DY88" s="76">
        <f>IFERROR(VLOOKUP(Tabla1[[#This Row],[COD SE]],PF_OCTUBRE,19,0),"0")</f>
        <v>10393.43</v>
      </c>
      <c r="DZ88" s="76">
        <f>IFERROR(VLOOKUP(Tabla1[[#This Row],[COD SE]],PF_OCTUBRE,20,0),"0")</f>
        <v>10393.43</v>
      </c>
      <c r="EA88" s="76">
        <f>+Tabla1[[#This Row],[TOTAL EJEC REAL]]+Tabla1[[#This Row],[SALDO FINAL]]</f>
        <v>41572</v>
      </c>
      <c r="EB88" s="76">
        <f>IFERROR(VLOOKUP(Tabla1[[#This Row],[COD SE]],PF_OCTUBRE,22,0),"0")</f>
        <v>31179.14</v>
      </c>
      <c r="EC88" s="76">
        <f>+IFERROR(VLOOKUP(Tabla1[[#This Row],[COD SE]],SALDO_ESC_2,7,0),0)</f>
        <v>0</v>
      </c>
      <c r="ED88" s="76">
        <f>+IFERROR(VLOOKUP(Tabla1[[#This Row],[COD SE]],SALDO_ESC_3,7,0),0)</f>
        <v>10393.43</v>
      </c>
      <c r="EE88" s="76">
        <f>+Tabla1[[#This Row],[mto_pim]]-Tabla1[[#This Row],[TRANSF ESC2 ]]</f>
        <v>41572</v>
      </c>
      <c r="EF88" s="76">
        <f>+Tabla1[[#This Row],[mto_pim]]-Tabla1[[#This Row],[TRANFS ESC 3 ]]</f>
        <v>31178.57</v>
      </c>
      <c r="EG88" s="76">
        <f>+IFERROR(VLOOKUP(Tabla1[[#This Row],[COD SE]],HISTORICO,4,0),0)</f>
        <v>0</v>
      </c>
      <c r="EH88" s="76">
        <f>+IFERROR(VLOOKUP(Tabla1[[#This Row],[COD SE]],HISTORICO,5,0),0)</f>
        <v>0</v>
      </c>
      <c r="EI88" s="76">
        <f>+IFERROR(VLOOKUP(Tabla1[[#This Row],[COD SE]],HISTORICO,6,0),0)</f>
        <v>0</v>
      </c>
      <c r="EJ88" s="76">
        <f>+IFERROR(VLOOKUP(Tabla1[[#This Row],[COD SE]],HISTORICO,7,0),0)</f>
        <v>0</v>
      </c>
      <c r="EK88" s="76">
        <f>+IFERROR(VLOOKUP(Tabla1[[#This Row],[COD SE]],HISTORICO,8,0),0)</f>
        <v>0</v>
      </c>
      <c r="EL88" s="76">
        <f>+IFERROR(VLOOKUP(Tabla1[[#This Row],[COD SE]],HISTORICO,9,0),0)</f>
        <v>0</v>
      </c>
      <c r="EM88" s="76">
        <f>+IFERROR(VLOOKUP(Tabla1[[#This Row],[COD SE]],HISTORICO,10,0),0)</f>
        <v>0</v>
      </c>
      <c r="EN88" s="76">
        <f>+IFERROR(VLOOKUP(Tabla1[[#This Row],[COD SE]],HISTORICO,11,0),0)</f>
        <v>0</v>
      </c>
      <c r="EO88" s="76">
        <f>+IFERROR(VLOOKUP(Tabla1[[#This Row],[COD SE]],HISTORICO,12,0),0)</f>
        <v>0</v>
      </c>
      <c r="EP88" s="58">
        <f>+SUM(Tabla1[[#This Row],[EJECUTADO 01]:[EJECUTADO 03]])</f>
        <v>0</v>
      </c>
      <c r="EQ88" s="58">
        <f>+SUM(Tabla1[[#This Row],[EJECUTADO 04]:[EJECUTADO 06]])</f>
        <v>10392.86</v>
      </c>
      <c r="ER88" s="58">
        <f>+SUM(Tabla1[[#This Row],[EJECUTADO 07]:[EJECUTADO 09]])</f>
        <v>0</v>
      </c>
      <c r="ES88" s="58">
        <f>+SUM(Tabla1[[#This Row],[PF OCTUBRE]:[PF DICIEMBRE
]])</f>
        <v>20785.71</v>
      </c>
      <c r="ET88" s="58">
        <f>+SUM(Tabla1[[#This Row],[EJECUTADO 01]:[EJECUTADO 09]])</f>
        <v>10392.86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1672</v>
      </c>
      <c r="AD89" s="369" t="s">
        <v>1673</v>
      </c>
      <c r="AE89" s="369" t="s">
        <v>1678</v>
      </c>
      <c r="AF89" s="369" t="s">
        <v>1810</v>
      </c>
      <c r="AG89" s="369" t="s">
        <v>1812</v>
      </c>
      <c r="AH89" s="369">
        <v>0</v>
      </c>
      <c r="AI89" s="369">
        <v>0</v>
      </c>
      <c r="AJ89" s="369">
        <v>0</v>
      </c>
      <c r="AK89" s="370">
        <v>0</v>
      </c>
      <c r="AL89" s="370">
        <v>0</v>
      </c>
      <c r="AM89" s="370">
        <v>0</v>
      </c>
      <c r="AN89" s="370">
        <v>0</v>
      </c>
      <c r="AO89" s="370">
        <v>0</v>
      </c>
      <c r="AP89" s="370">
        <v>0</v>
      </c>
      <c r="AQ89" s="370">
        <v>0</v>
      </c>
      <c r="AR89" s="370">
        <v>0</v>
      </c>
      <c r="AS89" s="370">
        <v>0</v>
      </c>
      <c r="AT89" s="370">
        <v>0</v>
      </c>
      <c r="AU89" s="370">
        <v>0</v>
      </c>
      <c r="AV89" s="370">
        <v>0</v>
      </c>
      <c r="AW89" s="370">
        <v>0</v>
      </c>
      <c r="AX89" s="370">
        <v>0</v>
      </c>
      <c r="AY89" s="370">
        <v>0</v>
      </c>
      <c r="AZ89" s="370">
        <v>0</v>
      </c>
      <c r="BA89" s="370">
        <v>0</v>
      </c>
      <c r="BB89" s="370">
        <v>0</v>
      </c>
      <c r="BC89" s="370">
        <v>0</v>
      </c>
      <c r="BD89" s="370">
        <v>0</v>
      </c>
      <c r="BE89" s="370">
        <v>0</v>
      </c>
      <c r="BF89" s="370">
        <v>0</v>
      </c>
      <c r="BG89" s="370">
        <v>0</v>
      </c>
      <c r="BH89" s="370">
        <v>0</v>
      </c>
      <c r="BI89" s="370">
        <v>0</v>
      </c>
      <c r="BJ89" s="370">
        <v>0</v>
      </c>
      <c r="BK89" s="370">
        <v>0</v>
      </c>
      <c r="BL89" s="370">
        <v>0</v>
      </c>
      <c r="BM89" s="370">
        <v>0</v>
      </c>
      <c r="BN89" s="370">
        <v>0</v>
      </c>
      <c r="BO89" s="370">
        <v>0</v>
      </c>
      <c r="BP89" s="370">
        <v>0</v>
      </c>
      <c r="BQ89" s="370">
        <v>0</v>
      </c>
      <c r="BR89" s="370">
        <v>0</v>
      </c>
      <c r="BS89" s="370">
        <v>0</v>
      </c>
      <c r="BT89" s="370">
        <v>0</v>
      </c>
      <c r="BU89" s="370">
        <v>0</v>
      </c>
      <c r="BV89" s="370">
        <v>0</v>
      </c>
      <c r="BW89" s="370">
        <v>0</v>
      </c>
      <c r="BX89" s="370">
        <v>0</v>
      </c>
      <c r="BY89" s="370">
        <v>0</v>
      </c>
      <c r="BZ89" s="370">
        <v>0</v>
      </c>
      <c r="CA89" s="370">
        <v>0</v>
      </c>
      <c r="CB89" s="370">
        <v>0</v>
      </c>
      <c r="CC89" s="370">
        <v>0</v>
      </c>
      <c r="CD89" s="370">
        <v>0</v>
      </c>
      <c r="CE89" s="370">
        <v>0</v>
      </c>
      <c r="CF89" s="370">
        <v>0</v>
      </c>
      <c r="CG89" s="370">
        <v>0</v>
      </c>
      <c r="CH89" s="370">
        <v>0</v>
      </c>
      <c r="CI89" s="48" t="s">
        <v>1987</v>
      </c>
      <c r="CJ89" s="48" t="s">
        <v>1991</v>
      </c>
      <c r="CK89" s="48" t="s">
        <v>1987</v>
      </c>
      <c r="CL89" s="48" t="s">
        <v>1989</v>
      </c>
      <c r="CM89" s="48" t="s">
        <v>2011</v>
      </c>
      <c r="CN89" s="48" t="s">
        <v>1992</v>
      </c>
      <c r="CO89" s="48" t="str">
        <f t="shared" si="28"/>
        <v>2.3.2.7.5.8</v>
      </c>
      <c r="CP89" s="48" t="str">
        <f>+VLOOKUP(Tabla1[[#This Row],[ESPECÍFICA]],CLASIFICADOR_,2,0)</f>
        <v>2.3.2.7.5.8 - CONTRIBUCIONES A LOS SEGUROS DE SALUD</v>
      </c>
      <c r="CQ89" s="48" t="str">
        <f>+VLOOKUP(Tabla1[[#This Row],[ESPECÍFICA]],CLASIFICADOR_,3,0)</f>
        <v>2.3.2.7 - SERVICIOS PROFESIONALES Y TECNICOS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2.3.BIENES Y SERVICIOS</v>
      </c>
      <c r="CX89" s="48" t="str">
        <f t="shared" si="17"/>
        <v>0007-GG</v>
      </c>
      <c r="CY89" s="113" t="str">
        <f t="shared" si="18"/>
        <v>0007-GG</v>
      </c>
      <c r="CZ89" s="20" t="str">
        <f t="shared" si="19"/>
        <v>0007-GG</v>
      </c>
      <c r="DA89" s="113" t="str">
        <f>+CONCATENATE(Tabla1[[#This Row],[CC COMPLETO]],Tabla1[[#This Row],[ESPECÍFICA]])</f>
        <v>0007-GG2.3.2.7.5.8</v>
      </c>
      <c r="DB89" s="49">
        <f t="shared" si="20"/>
        <v>0</v>
      </c>
      <c r="DC89" s="49">
        <f t="shared" si="21"/>
        <v>0</v>
      </c>
      <c r="DD89" s="49">
        <f t="shared" si="22"/>
        <v>0</v>
      </c>
      <c r="DE89" s="49">
        <f t="shared" si="23"/>
        <v>0</v>
      </c>
      <c r="DF89" s="49">
        <f t="shared" si="24"/>
        <v>0</v>
      </c>
      <c r="DG89" s="49">
        <f t="shared" si="25"/>
        <v>0</v>
      </c>
      <c r="DH89" s="49">
        <f t="shared" si="26"/>
        <v>0</v>
      </c>
      <c r="DI89" s="50">
        <f t="shared" si="27"/>
        <v>0</v>
      </c>
      <c r="DJ89" s="78">
        <f>+SUM(Tabla1[[#This Row],[EJECUTADO 01]:[EJECUTADO 06]])</f>
        <v>0</v>
      </c>
      <c r="DK89" s="78">
        <f>+Tabla1[[#This Row],[mto_devenga_01]]</f>
        <v>0</v>
      </c>
      <c r="DL89" s="78">
        <f>+Tabla1[[#This Row],[mto_devenga_02]]</f>
        <v>0</v>
      </c>
      <c r="DM89" s="78">
        <f>+Tabla1[[#This Row],[mto_devenga_03]]</f>
        <v>0</v>
      </c>
      <c r="DN89" s="78">
        <f>+Tabla1[[#This Row],[mto_devenga_04]]</f>
        <v>0</v>
      </c>
      <c r="DO89" s="78">
        <f>+Tabla1[[#This Row],[mto_devenga_05]]</f>
        <v>0</v>
      </c>
      <c r="DP89" s="76">
        <f>+Tabla1[[#This Row],[mto_devenga_06]]</f>
        <v>0</v>
      </c>
      <c r="DQ89" s="76">
        <f>+Tabla1[[#This Row],[mto_devenga_07]]</f>
        <v>0</v>
      </c>
      <c r="DR89" s="76">
        <f>+Tabla1[[#This Row],[mto_devenga_08]]</f>
        <v>0</v>
      </c>
      <c r="DS89" s="76">
        <f>+Tabla1[[#This Row],[mto_devenga_09]]</f>
        <v>0</v>
      </c>
      <c r="DT89" s="76">
        <f>IFERROR(VLOOKUP(Tabla1[[#This Row],[COD SE]],PF_OCTUBRE,14,0),"0")</f>
        <v>0</v>
      </c>
      <c r="DU89" s="76">
        <f>IFERROR(VLOOKUP(Tabla1[[#This Row],[COD SE]],PF_OCTUBRE,15,0),"0")</f>
        <v>0</v>
      </c>
      <c r="DV89" s="76">
        <f>IFERROR(VLOOKUP(Tabla1[[#This Row],[COD SE]],PF_OCTUBRE,16,0),"0")</f>
        <v>0</v>
      </c>
      <c r="DW89" s="76">
        <f>+SUM(Tabla1[[#This Row],[EJECUTADO 01]:[PF DICIEMBRE
]])</f>
        <v>0</v>
      </c>
      <c r="DX89" s="76">
        <f>IFERROR(VLOOKUP(Tabla1[[#This Row],[COD SE]],PF_OCTUBRE,18,0),"0")</f>
        <v>0</v>
      </c>
      <c r="DY89" s="76">
        <f>IFERROR(VLOOKUP(Tabla1[[#This Row],[COD SE]],PF_OCTUBRE,19,0),"0")</f>
        <v>0</v>
      </c>
      <c r="DZ89" s="76">
        <f>IFERROR(VLOOKUP(Tabla1[[#This Row],[COD SE]],PF_OCTUBRE,20,0),"0")</f>
        <v>0</v>
      </c>
      <c r="EA89" s="76">
        <f>+Tabla1[[#This Row],[TOTAL EJEC REAL]]+Tabla1[[#This Row],[SALDO FINAL]]</f>
        <v>0</v>
      </c>
      <c r="EB89" s="76">
        <f>IFERROR(VLOOKUP(Tabla1[[#This Row],[COD SE]],PF_OCTUBRE,22,0),"0")</f>
        <v>0</v>
      </c>
      <c r="EC89" s="76">
        <f>+IFERROR(VLOOKUP(Tabla1[[#This Row],[COD SE]],SALDO_ESC_2,7,0),0)</f>
        <v>0</v>
      </c>
      <c r="ED89" s="76">
        <f>+IFERROR(VLOOKUP(Tabla1[[#This Row],[COD SE]],SALDO_ESC_3,7,0),0)</f>
        <v>0</v>
      </c>
      <c r="EE89" s="76">
        <f>+Tabla1[[#This Row],[mto_pim]]-Tabla1[[#This Row],[TRANSF ESC2 ]]</f>
        <v>0</v>
      </c>
      <c r="EF89" s="76">
        <f>+Tabla1[[#This Row],[mto_pim]]-Tabla1[[#This Row],[TRANFS ESC 3 ]]</f>
        <v>0</v>
      </c>
      <c r="EG89" s="76">
        <f>+IFERROR(VLOOKUP(Tabla1[[#This Row],[COD SE]],HISTORICO,4,0),0)</f>
        <v>0</v>
      </c>
      <c r="EH89" s="76">
        <f>+IFERROR(VLOOKUP(Tabla1[[#This Row],[COD SE]],HISTORICO,5,0),0)</f>
        <v>0</v>
      </c>
      <c r="EI89" s="76">
        <f>+IFERROR(VLOOKUP(Tabla1[[#This Row],[COD SE]],HISTORICO,6,0),0)</f>
        <v>0</v>
      </c>
      <c r="EJ89" s="76">
        <f>+IFERROR(VLOOKUP(Tabla1[[#This Row],[COD SE]],HISTORICO,7,0),0)</f>
        <v>0</v>
      </c>
      <c r="EK89" s="76">
        <f>+IFERROR(VLOOKUP(Tabla1[[#This Row],[COD SE]],HISTORICO,8,0),0)</f>
        <v>0</v>
      </c>
      <c r="EL89" s="76">
        <f>+IFERROR(VLOOKUP(Tabla1[[#This Row],[COD SE]],HISTORICO,9,0),0)</f>
        <v>0</v>
      </c>
      <c r="EM89" s="76">
        <f>+IFERROR(VLOOKUP(Tabla1[[#This Row],[COD SE]],HISTORICO,10,0),0)</f>
        <v>0</v>
      </c>
      <c r="EN89" s="76">
        <f>+IFERROR(VLOOKUP(Tabla1[[#This Row],[COD SE]],HISTORICO,11,0),0)</f>
        <v>0</v>
      </c>
      <c r="EO89" s="76">
        <f>+IFERROR(VLOOKUP(Tabla1[[#This Row],[COD SE]],HISTORICO,12,0),0)</f>
        <v>0</v>
      </c>
      <c r="EP89" s="58">
        <f>+SUM(Tabla1[[#This Row],[EJECUTADO 01]:[EJECUTADO 03]])</f>
        <v>0</v>
      </c>
      <c r="EQ89" s="58">
        <f>+SUM(Tabla1[[#This Row],[EJECUTADO 04]:[EJECUTADO 06]])</f>
        <v>0</v>
      </c>
      <c r="ER89" s="58">
        <f>+SUM(Tabla1[[#This Row],[EJECUTADO 07]:[EJECUTADO 09]])</f>
        <v>0</v>
      </c>
      <c r="ES89" s="58">
        <f>+SUM(Tabla1[[#This Row],[PF OCTUBRE]:[PF DICIEMBRE
]])</f>
        <v>0</v>
      </c>
      <c r="ET89" s="58">
        <f>+SUM(Tabla1[[#This Row],[EJECUTADO 01]:[EJECUTADO 09]])</f>
        <v>0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1656</v>
      </c>
      <c r="AD90" s="369" t="s">
        <v>1657</v>
      </c>
      <c r="AE90" s="369" t="s">
        <v>1658</v>
      </c>
      <c r="AF90" s="369" t="s">
        <v>1658</v>
      </c>
      <c r="AG90" s="369" t="s">
        <v>1659</v>
      </c>
      <c r="AH90" s="369">
        <v>0</v>
      </c>
      <c r="AI90" s="369">
        <v>249429</v>
      </c>
      <c r="AJ90" s="369">
        <v>249429</v>
      </c>
      <c r="AK90" s="370">
        <v>128179</v>
      </c>
      <c r="AL90" s="370">
        <v>128179</v>
      </c>
      <c r="AM90" s="370">
        <v>20785.71</v>
      </c>
      <c r="AN90" s="370">
        <v>20785.71</v>
      </c>
      <c r="AO90" s="370">
        <v>20785.71</v>
      </c>
      <c r="AP90" s="370">
        <v>6928.57</v>
      </c>
      <c r="AQ90" s="370">
        <v>0</v>
      </c>
      <c r="AR90" s="370">
        <v>0</v>
      </c>
      <c r="AS90" s="370">
        <v>0</v>
      </c>
      <c r="AT90" s="370">
        <v>0</v>
      </c>
      <c r="AU90" s="370">
        <v>0</v>
      </c>
      <c r="AV90" s="370">
        <v>17321.43</v>
      </c>
      <c r="AW90" s="370">
        <v>0</v>
      </c>
      <c r="AX90" s="370">
        <v>0</v>
      </c>
      <c r="AY90" s="370">
        <v>20785.71</v>
      </c>
      <c r="AZ90" s="370">
        <v>20785.71</v>
      </c>
      <c r="BA90" s="370">
        <v>20785.71</v>
      </c>
      <c r="BB90" s="370">
        <v>6928.57</v>
      </c>
      <c r="BC90" s="370">
        <v>0</v>
      </c>
      <c r="BD90" s="370">
        <v>0</v>
      </c>
      <c r="BE90" s="370">
        <v>0</v>
      </c>
      <c r="BF90" s="370">
        <v>0</v>
      </c>
      <c r="BG90" s="370">
        <v>0</v>
      </c>
      <c r="BH90" s="370">
        <v>17321.43</v>
      </c>
      <c r="BI90" s="370">
        <v>0</v>
      </c>
      <c r="BJ90" s="370">
        <v>0</v>
      </c>
      <c r="BK90" s="370">
        <v>20785.71</v>
      </c>
      <c r="BL90" s="370">
        <v>20785.71</v>
      </c>
      <c r="BM90" s="370">
        <v>20785.71</v>
      </c>
      <c r="BN90" s="370">
        <v>6033.4</v>
      </c>
      <c r="BO90" s="370">
        <v>895.17</v>
      </c>
      <c r="BP90" s="370">
        <v>0</v>
      </c>
      <c r="BQ90" s="370">
        <v>0</v>
      </c>
      <c r="BR90" s="370">
        <v>0</v>
      </c>
      <c r="BS90" s="370">
        <v>0</v>
      </c>
      <c r="BT90" s="370">
        <v>17321.43</v>
      </c>
      <c r="BU90" s="370">
        <v>0</v>
      </c>
      <c r="BV90" s="370">
        <v>0</v>
      </c>
      <c r="BW90" s="370">
        <v>20785.71</v>
      </c>
      <c r="BX90" s="370">
        <v>20785.71</v>
      </c>
      <c r="BY90" s="370">
        <v>20785.71</v>
      </c>
      <c r="BZ90" s="370">
        <v>6928.57</v>
      </c>
      <c r="CA90" s="370">
        <v>0</v>
      </c>
      <c r="CB90" s="370">
        <v>0</v>
      </c>
      <c r="CC90" s="370">
        <v>0</v>
      </c>
      <c r="CD90" s="370">
        <v>0</v>
      </c>
      <c r="CE90" s="370">
        <v>0</v>
      </c>
      <c r="CF90" s="370">
        <v>17321.43</v>
      </c>
      <c r="CG90" s="370">
        <v>0</v>
      </c>
      <c r="CH90" s="370">
        <v>0</v>
      </c>
      <c r="CI90" s="48" t="s">
        <v>1987</v>
      </c>
      <c r="CJ90" s="48" t="s">
        <v>1990</v>
      </c>
      <c r="CK90" s="48" t="s">
        <v>1990</v>
      </c>
      <c r="CL90" s="48" t="s">
        <v>1990</v>
      </c>
      <c r="CM90" s="48" t="s">
        <v>1990</v>
      </c>
      <c r="CN90" s="48" t="s">
        <v>1992</v>
      </c>
      <c r="CO90" s="48" t="str">
        <f t="shared" si="28"/>
        <v>2.1.1.1.1.8</v>
      </c>
      <c r="CP90" s="48" t="str">
        <f>+VLOOKUP(Tabla1[[#This Row],[ESPECÍFICA]],CLASIFICADOR_,2,0)</f>
        <v>2.1.1.1.1.8 - PERSONAL DE LA LEY SERVIR (RÉGIMEN DEL SERVICIO CIVIL)</v>
      </c>
      <c r="CQ90" s="48" t="str">
        <f>+VLOOKUP(Tabla1[[#This Row],[ESPECÍFICA]],CLASIFICADOR_,3,0)</f>
        <v>02.SERVIR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2.1.PERSONAL Y OBLIGACIONES SOCIALES</v>
      </c>
      <c r="CX90" s="48" t="str">
        <f t="shared" si="17"/>
        <v>0007-GG</v>
      </c>
      <c r="CY90" s="113" t="str">
        <f t="shared" si="18"/>
        <v>0007-GG</v>
      </c>
      <c r="CZ90" s="20" t="str">
        <f t="shared" si="19"/>
        <v>0007-GG</v>
      </c>
      <c r="DA90" s="113" t="str">
        <f>+CONCATENATE(Tabla1[[#This Row],[CC COMPLETO]],Tabla1[[#This Row],[ESPECÍFICA]])</f>
        <v>0007-GG2.1.1.1.1.8</v>
      </c>
      <c r="DB90" s="49">
        <f t="shared" si="20"/>
        <v>86607.13</v>
      </c>
      <c r="DC90" s="49">
        <f t="shared" si="21"/>
        <v>86607.13</v>
      </c>
      <c r="DD90" s="49">
        <f t="shared" si="22"/>
        <v>86607.13</v>
      </c>
      <c r="DE90" s="49">
        <f t="shared" si="23"/>
        <v>121250</v>
      </c>
      <c r="DF90" s="49">
        <f t="shared" si="24"/>
        <v>0</v>
      </c>
      <c r="DG90" s="49">
        <f t="shared" si="25"/>
        <v>41571.869999999995</v>
      </c>
      <c r="DH90" s="49">
        <f t="shared" si="26"/>
        <v>162821.87</v>
      </c>
      <c r="DI90" s="50">
        <f t="shared" si="27"/>
        <v>0</v>
      </c>
      <c r="DJ90" s="78">
        <f>+SUM(Tabla1[[#This Row],[EJECUTADO 01]:[EJECUTADO 06]])</f>
        <v>69285.7</v>
      </c>
      <c r="DK90" s="78">
        <f>+Tabla1[[#This Row],[mto_devenga_01]]</f>
        <v>20785.71</v>
      </c>
      <c r="DL90" s="78">
        <f>+Tabla1[[#This Row],[mto_devenga_02]]</f>
        <v>20785.71</v>
      </c>
      <c r="DM90" s="78">
        <f>+Tabla1[[#This Row],[mto_devenga_03]]</f>
        <v>20785.71</v>
      </c>
      <c r="DN90" s="78">
        <f>+Tabla1[[#This Row],[mto_devenga_04]]</f>
        <v>6928.57</v>
      </c>
      <c r="DO90" s="78">
        <f>+Tabla1[[#This Row],[mto_devenga_05]]</f>
        <v>0</v>
      </c>
      <c r="DP90" s="76">
        <f>+Tabla1[[#This Row],[mto_devenga_06]]</f>
        <v>0</v>
      </c>
      <c r="DQ90" s="76">
        <f>+Tabla1[[#This Row],[mto_devenga_07]]</f>
        <v>0</v>
      </c>
      <c r="DR90" s="76">
        <f>+Tabla1[[#This Row],[mto_devenga_08]]</f>
        <v>0</v>
      </c>
      <c r="DS90" s="76">
        <f>+Tabla1[[#This Row],[mto_devenga_09]]</f>
        <v>0</v>
      </c>
      <c r="DT90" s="76">
        <f>IFERROR(VLOOKUP(Tabla1[[#This Row],[COD SE]],PF_OCTUBRE,14,0),"0")</f>
        <v>20785.71</v>
      </c>
      <c r="DU90" s="76">
        <f>IFERROR(VLOOKUP(Tabla1[[#This Row],[COD SE]],PF_OCTUBRE,15,0),"0")</f>
        <v>20785.71</v>
      </c>
      <c r="DV90" s="76">
        <f>IFERROR(VLOOKUP(Tabla1[[#This Row],[COD SE]],PF_OCTUBRE,16,0),"0")</f>
        <v>20785.709999999992</v>
      </c>
      <c r="DW90" s="76">
        <f>+SUM(Tabla1[[#This Row],[EJECUTADO 01]:[PF DICIEMBRE
]])</f>
        <v>131642.82999999999</v>
      </c>
      <c r="DX90" s="76">
        <f>IFERROR(VLOOKUP(Tabla1[[#This Row],[COD SE]],PF_OCTUBRE,18,0),"0")</f>
        <v>0</v>
      </c>
      <c r="DY90" s="76">
        <f>IFERROR(VLOOKUP(Tabla1[[#This Row],[COD SE]],PF_OCTUBRE,19,0),"0")</f>
        <v>117786.17000000001</v>
      </c>
      <c r="DZ90" s="76">
        <f>IFERROR(VLOOKUP(Tabla1[[#This Row],[COD SE]],PF_OCTUBRE,20,0),"0")</f>
        <v>117786.17000000001</v>
      </c>
      <c r="EA90" s="76">
        <f>+Tabla1[[#This Row],[TOTAL EJEC REAL]]+Tabla1[[#This Row],[SALDO FINAL]]</f>
        <v>249429</v>
      </c>
      <c r="EB90" s="76">
        <f>IFERROR(VLOOKUP(Tabla1[[#This Row],[COD SE]],PF_OCTUBRE,22,0),"0")</f>
        <v>138571.88</v>
      </c>
      <c r="EC90" s="76">
        <f>+IFERROR(VLOOKUP(Tabla1[[#This Row],[COD SE]],SALDO_ESC_2,7,0),0)</f>
        <v>0</v>
      </c>
      <c r="ED90" s="76">
        <f>+IFERROR(VLOOKUP(Tabla1[[#This Row],[COD SE]],SALDO_ESC_3,7,0),0)</f>
        <v>117786.17000000001</v>
      </c>
      <c r="EE90" s="76">
        <f>+Tabla1[[#This Row],[mto_pim]]-Tabla1[[#This Row],[TRANSF ESC2 ]]</f>
        <v>249429</v>
      </c>
      <c r="EF90" s="76">
        <f>+Tabla1[[#This Row],[mto_pim]]-Tabla1[[#This Row],[TRANFS ESC 3 ]]</f>
        <v>131642.82999999999</v>
      </c>
      <c r="EG90" s="76">
        <f>+IFERROR(VLOOKUP(Tabla1[[#This Row],[COD SE]],HISTORICO,4,0),0)</f>
        <v>20785.709999999995</v>
      </c>
      <c r="EH90" s="76">
        <f>+IFERROR(VLOOKUP(Tabla1[[#This Row],[COD SE]],HISTORICO,5,0),0)</f>
        <v>20785.709999999995</v>
      </c>
      <c r="EI90" s="76">
        <f>+IFERROR(VLOOKUP(Tabla1[[#This Row],[COD SE]],HISTORICO,6,0),0)</f>
        <v>20785.709999999995</v>
      </c>
      <c r="EJ90" s="76">
        <f>+IFERROR(VLOOKUP(Tabla1[[#This Row],[COD SE]],HISTORICO,7,0),0)</f>
        <v>20785.71</v>
      </c>
      <c r="EK90" s="76">
        <f>+IFERROR(VLOOKUP(Tabla1[[#This Row],[COD SE]],HISTORICO,8,0),0)</f>
        <v>0</v>
      </c>
      <c r="EL90" s="76">
        <f>+IFERROR(VLOOKUP(Tabla1[[#This Row],[COD SE]],HISTORICO,9,0),0)</f>
        <v>0</v>
      </c>
      <c r="EM90" s="76">
        <f>+IFERROR(VLOOKUP(Tabla1[[#This Row],[COD SE]],HISTORICO,10,0),0)</f>
        <v>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62357.13</v>
      </c>
      <c r="EQ90" s="58">
        <f>+SUM(Tabla1[[#This Row],[EJECUTADO 04]:[EJECUTADO 06]])</f>
        <v>6928.57</v>
      </c>
      <c r="ER90" s="58">
        <f>+SUM(Tabla1[[#This Row],[EJECUTADO 07]:[EJECUTADO 09]])</f>
        <v>0</v>
      </c>
      <c r="ES90" s="58">
        <f>+SUM(Tabla1[[#This Row],[PF OCTUBRE]:[PF DICIEMBRE
]])</f>
        <v>62357.12999999999</v>
      </c>
      <c r="ET90" s="58">
        <f>+SUM(Tabla1[[#This Row],[EJECUTADO 01]:[EJECUTADO 09]])</f>
        <v>69285.7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1657</v>
      </c>
      <c r="AE91" s="369" t="s">
        <v>1660</v>
      </c>
      <c r="AF91" s="369" t="s">
        <v>1661</v>
      </c>
      <c r="AG91" s="369" t="s">
        <v>1663</v>
      </c>
      <c r="AH91" s="369">
        <v>345171</v>
      </c>
      <c r="AI91" s="369">
        <v>-153213</v>
      </c>
      <c r="AJ91" s="369">
        <v>191958</v>
      </c>
      <c r="AK91" s="370">
        <v>112000</v>
      </c>
      <c r="AL91" s="370">
        <v>43134</v>
      </c>
      <c r="AM91" s="370">
        <v>0</v>
      </c>
      <c r="AN91" s="370">
        <v>0</v>
      </c>
      <c r="AO91" s="370">
        <v>0</v>
      </c>
      <c r="AP91" s="370">
        <v>0</v>
      </c>
      <c r="AQ91" s="370">
        <v>5133.33</v>
      </c>
      <c r="AR91" s="370">
        <v>0</v>
      </c>
      <c r="AS91" s="370">
        <v>0</v>
      </c>
      <c r="AT91" s="370">
        <v>0</v>
      </c>
      <c r="AU91" s="370">
        <v>0</v>
      </c>
      <c r="AV91" s="370">
        <v>0</v>
      </c>
      <c r="AW91" s="370">
        <v>0</v>
      </c>
      <c r="AX91" s="370">
        <v>0</v>
      </c>
      <c r="AY91" s="370">
        <v>0</v>
      </c>
      <c r="AZ91" s="370">
        <v>0</v>
      </c>
      <c r="BA91" s="370">
        <v>0</v>
      </c>
      <c r="BB91" s="370">
        <v>0</v>
      </c>
      <c r="BC91" s="370">
        <v>5133.33</v>
      </c>
      <c r="BD91" s="370">
        <v>0</v>
      </c>
      <c r="BE91" s="370">
        <v>0</v>
      </c>
      <c r="BF91" s="370">
        <v>0</v>
      </c>
      <c r="BG91" s="370">
        <v>0</v>
      </c>
      <c r="BH91" s="370">
        <v>0</v>
      </c>
      <c r="BI91" s="370">
        <v>0</v>
      </c>
      <c r="BJ91" s="370">
        <v>0</v>
      </c>
      <c r="BK91" s="370">
        <v>0</v>
      </c>
      <c r="BL91" s="370">
        <v>0</v>
      </c>
      <c r="BM91" s="370">
        <v>0</v>
      </c>
      <c r="BN91" s="370">
        <v>0</v>
      </c>
      <c r="BO91" s="370">
        <v>5133.33</v>
      </c>
      <c r="BP91" s="370">
        <v>0</v>
      </c>
      <c r="BQ91" s="370">
        <v>0</v>
      </c>
      <c r="BR91" s="370">
        <v>0</v>
      </c>
      <c r="BS91" s="370">
        <v>0</v>
      </c>
      <c r="BT91" s="370">
        <v>0</v>
      </c>
      <c r="BU91" s="370">
        <v>0</v>
      </c>
      <c r="BV91" s="370">
        <v>0</v>
      </c>
      <c r="BW91" s="370">
        <v>0</v>
      </c>
      <c r="BX91" s="370">
        <v>0</v>
      </c>
      <c r="BY91" s="370">
        <v>0</v>
      </c>
      <c r="BZ91" s="370">
        <v>0</v>
      </c>
      <c r="CA91" s="370">
        <v>5133.33</v>
      </c>
      <c r="CB91" s="370">
        <v>0</v>
      </c>
      <c r="CC91" s="370">
        <v>0</v>
      </c>
      <c r="CD91" s="370">
        <v>0</v>
      </c>
      <c r="CE91" s="370">
        <v>0</v>
      </c>
      <c r="CF91" s="370">
        <v>0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1990</v>
      </c>
      <c r="CL91" s="48" t="s">
        <v>2010</v>
      </c>
      <c r="CM91" s="48" t="s">
        <v>1990</v>
      </c>
      <c r="CN91" s="48" t="s">
        <v>1987</v>
      </c>
      <c r="CO91" s="48" t="str">
        <f t="shared" si="28"/>
        <v>2.1.1.13.1.2</v>
      </c>
      <c r="CP91" s="48" t="str">
        <f>+VLOOKUP(Tabla1[[#This Row],[ESPECÍFICA]],CLASIFICADOR_,2,0)</f>
        <v>2.1.1.13.1.2 - CONTRATO ADMINISTRATIVO DE SERVICIOS - TRANSITORIO</v>
      </c>
      <c r="CQ91" s="48" t="str">
        <f>+VLOOKUP(Tabla1[[#This Row],[ESPECÍFICA]],CLASIFICADOR_,3,0)</f>
        <v>01.CAS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7"/>
        <v>0007-GG</v>
      </c>
      <c r="CY91" s="113" t="str">
        <f t="shared" si="18"/>
        <v>0007-GG</v>
      </c>
      <c r="CZ91" s="20" t="str">
        <f t="shared" si="19"/>
        <v>0007-GG</v>
      </c>
      <c r="DA91" s="113" t="str">
        <f>+CONCATENATE(Tabla1[[#This Row],[CC COMPLETO]],Tabla1[[#This Row],[ESPECÍFICA]])</f>
        <v>0007-GG2.1.1.13.1.2</v>
      </c>
      <c r="DB91" s="49">
        <f t="shared" si="20"/>
        <v>5133.33</v>
      </c>
      <c r="DC91" s="49">
        <f t="shared" si="21"/>
        <v>5133.33</v>
      </c>
      <c r="DD91" s="49">
        <f t="shared" si="22"/>
        <v>5133.33</v>
      </c>
      <c r="DE91" s="49">
        <f t="shared" si="23"/>
        <v>79958</v>
      </c>
      <c r="DF91" s="49">
        <f t="shared" si="24"/>
        <v>68866</v>
      </c>
      <c r="DG91" s="49">
        <f t="shared" si="25"/>
        <v>38000.67</v>
      </c>
      <c r="DH91" s="49">
        <f t="shared" si="26"/>
        <v>186824.67</v>
      </c>
      <c r="DI91" s="50">
        <f t="shared" si="27"/>
        <v>1.4871846128440686E-2</v>
      </c>
      <c r="DJ91" s="78">
        <f>+SUM(Tabla1[[#This Row],[EJECUTADO 01]:[EJECUTADO 06]])</f>
        <v>5133.33</v>
      </c>
      <c r="DK91" s="78">
        <f>+Tabla1[[#This Row],[mto_devenga_01]]</f>
        <v>0</v>
      </c>
      <c r="DL91" s="78">
        <f>+Tabla1[[#This Row],[mto_devenga_02]]</f>
        <v>0</v>
      </c>
      <c r="DM91" s="78">
        <f>+Tabla1[[#This Row],[mto_devenga_03]]</f>
        <v>0</v>
      </c>
      <c r="DN91" s="78">
        <f>+Tabla1[[#This Row],[mto_devenga_04]]</f>
        <v>0</v>
      </c>
      <c r="DO91" s="78">
        <f>+Tabla1[[#This Row],[mto_devenga_05]]</f>
        <v>5133.33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0</v>
      </c>
      <c r="DU91" s="76">
        <f>IFERROR(VLOOKUP(Tabla1[[#This Row],[COD SE]],PF_OCTUBRE,15,0),"0")</f>
        <v>0</v>
      </c>
      <c r="DV91" s="76">
        <f>IFERROR(VLOOKUP(Tabla1[[#This Row],[COD SE]],PF_OCTUBRE,16,0),"0")</f>
        <v>0</v>
      </c>
      <c r="DW91" s="76">
        <f>+SUM(Tabla1[[#This Row],[EJECUTADO 01]:[PF DICIEMBRE
]])</f>
        <v>5133.33</v>
      </c>
      <c r="DX91" s="76">
        <f>IFERROR(VLOOKUP(Tabla1[[#This Row],[COD SE]],PF_OCTUBRE,18,0),"0")</f>
        <v>0</v>
      </c>
      <c r="DY91" s="76">
        <f>IFERROR(VLOOKUP(Tabla1[[#This Row],[COD SE]],PF_OCTUBRE,19,0),"0")</f>
        <v>186824.67</v>
      </c>
      <c r="DZ91" s="76">
        <f>IFERROR(VLOOKUP(Tabla1[[#This Row],[COD SE]],PF_OCTUBRE,20,0),"0")</f>
        <v>186824.67</v>
      </c>
      <c r="EA91" s="76">
        <f>+Tabla1[[#This Row],[TOTAL EJEC REAL]]+Tabla1[[#This Row],[SALDO FINAL]]</f>
        <v>191958</v>
      </c>
      <c r="EB91" s="76">
        <f>IFERROR(VLOOKUP(Tabla1[[#This Row],[COD SE]],PF_OCTUBRE,22,0),"0")</f>
        <v>186824.67</v>
      </c>
      <c r="EC91" s="76">
        <f>+IFERROR(VLOOKUP(Tabla1[[#This Row],[COD SE]],SALDO_ESC_2,7,0),0)</f>
        <v>0</v>
      </c>
      <c r="ED91" s="76">
        <f>+IFERROR(VLOOKUP(Tabla1[[#This Row],[COD SE]],SALDO_ESC_3,7,0),0)</f>
        <v>186824.67</v>
      </c>
      <c r="EE91" s="76">
        <f>+Tabla1[[#This Row],[mto_pim]]-Tabla1[[#This Row],[TRANSF ESC2 ]]</f>
        <v>191958</v>
      </c>
      <c r="EF91" s="76">
        <f>+Tabla1[[#This Row],[mto_pim]]-Tabla1[[#This Row],[TRANFS ESC 3 ]]</f>
        <v>5133.3299999999872</v>
      </c>
      <c r="EG91" s="76">
        <f>+IFERROR(VLOOKUP(Tabla1[[#This Row],[COD SE]],HISTORICO,4,0),0)</f>
        <v>13164.19</v>
      </c>
      <c r="EH91" s="76">
        <f>+IFERROR(VLOOKUP(Tabla1[[#This Row],[COD SE]],HISTORICO,5,0),0)</f>
        <v>0</v>
      </c>
      <c r="EI91" s="76">
        <f>+IFERROR(VLOOKUP(Tabla1[[#This Row],[COD SE]],HISTORICO,6,0),0)</f>
        <v>0</v>
      </c>
      <c r="EJ91" s="76">
        <f>+IFERROR(VLOOKUP(Tabla1[[#This Row],[COD SE]],HISTORICO,7,0),0)</f>
        <v>14264.19</v>
      </c>
      <c r="EK91" s="76">
        <f>+IFERROR(VLOOKUP(Tabla1[[#This Row],[COD SE]],HISTORICO,8,0),0)</f>
        <v>7000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0</v>
      </c>
      <c r="EQ91" s="58">
        <f>+SUM(Tabla1[[#This Row],[EJECUTADO 04]:[EJECUTADO 06]])</f>
        <v>5133.33</v>
      </c>
      <c r="ER91" s="58">
        <f>+SUM(Tabla1[[#This Row],[EJECUTADO 07]:[EJECUTADO 09]])</f>
        <v>0</v>
      </c>
      <c r="ES91" s="58">
        <f>+SUM(Tabla1[[#This Row],[PF OCTUBRE]:[PF DICIEMBRE
]])</f>
        <v>0</v>
      </c>
      <c r="ET91" s="58">
        <f>+SUM(Tabla1[[#This Row],[EJECUTADO 01]:[EJECUTADO 09]])</f>
        <v>5133.33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1672</v>
      </c>
      <c r="AD92" s="369" t="s">
        <v>1673</v>
      </c>
      <c r="AE92" s="369" t="s">
        <v>1681</v>
      </c>
      <c r="AF92" s="369" t="s">
        <v>1682</v>
      </c>
      <c r="AG92" s="369" t="s">
        <v>1682</v>
      </c>
      <c r="AH92" s="369">
        <v>120000</v>
      </c>
      <c r="AI92" s="369">
        <v>71420</v>
      </c>
      <c r="AJ92" s="369">
        <v>191420</v>
      </c>
      <c r="AK92" s="370">
        <v>184500</v>
      </c>
      <c r="AL92" s="370">
        <v>184500</v>
      </c>
      <c r="AM92" s="370">
        <v>72500</v>
      </c>
      <c r="AN92" s="370">
        <v>15000</v>
      </c>
      <c r="AO92" s="370">
        <v>18000</v>
      </c>
      <c r="AP92" s="370">
        <v>13500</v>
      </c>
      <c r="AQ92" s="370">
        <v>33000</v>
      </c>
      <c r="AR92" s="370">
        <v>0</v>
      </c>
      <c r="AS92" s="370">
        <v>0</v>
      </c>
      <c r="AT92" s="370">
        <v>0</v>
      </c>
      <c r="AU92" s="370">
        <v>0</v>
      </c>
      <c r="AV92" s="370">
        <v>32500</v>
      </c>
      <c r="AW92" s="370">
        <v>0</v>
      </c>
      <c r="AX92" s="370">
        <v>0</v>
      </c>
      <c r="AY92" s="370">
        <v>14000</v>
      </c>
      <c r="AZ92" s="370">
        <v>9000</v>
      </c>
      <c r="BA92" s="370">
        <v>41000</v>
      </c>
      <c r="BB92" s="370">
        <v>27500</v>
      </c>
      <c r="BC92" s="370">
        <v>27500</v>
      </c>
      <c r="BD92" s="370">
        <v>14000</v>
      </c>
      <c r="BE92" s="370">
        <v>14000</v>
      </c>
      <c r="BF92" s="370">
        <v>5000</v>
      </c>
      <c r="BG92" s="370">
        <v>0</v>
      </c>
      <c r="BH92" s="370">
        <v>0</v>
      </c>
      <c r="BI92" s="370">
        <v>0</v>
      </c>
      <c r="BJ92" s="370">
        <v>0</v>
      </c>
      <c r="BK92" s="370">
        <v>5000</v>
      </c>
      <c r="BL92" s="370">
        <v>18000</v>
      </c>
      <c r="BM92" s="370">
        <v>41000</v>
      </c>
      <c r="BN92" s="370">
        <v>18500</v>
      </c>
      <c r="BO92" s="370">
        <v>36500</v>
      </c>
      <c r="BP92" s="370">
        <v>14000</v>
      </c>
      <c r="BQ92" s="370">
        <v>14000</v>
      </c>
      <c r="BR92" s="370">
        <v>5000</v>
      </c>
      <c r="BS92" s="370">
        <v>0</v>
      </c>
      <c r="BT92" s="370">
        <v>0</v>
      </c>
      <c r="BU92" s="370">
        <v>0</v>
      </c>
      <c r="BV92" s="370">
        <v>0</v>
      </c>
      <c r="BW92" s="370">
        <v>72500</v>
      </c>
      <c r="BX92" s="370">
        <v>15000</v>
      </c>
      <c r="BY92" s="370">
        <v>18000</v>
      </c>
      <c r="BZ92" s="370">
        <v>13500</v>
      </c>
      <c r="CA92" s="370">
        <v>33000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1991</v>
      </c>
      <c r="CK92" s="48" t="s">
        <v>1987</v>
      </c>
      <c r="CL92" s="48" t="s">
        <v>2005</v>
      </c>
      <c r="CM92" s="48" t="s">
        <v>1990</v>
      </c>
      <c r="CN92" s="48" t="s">
        <v>1990</v>
      </c>
      <c r="CO92" s="48" t="str">
        <f t="shared" si="28"/>
        <v>2.3.2.9.1.1</v>
      </c>
      <c r="CP92" s="48" t="str">
        <f>+VLOOKUP(Tabla1[[#This Row],[ESPECÍFICA]],CLASIFICADOR_,2,0)</f>
        <v>2.3.2.9.1.1 - LOCACIÓN DE SERVICIOS REALIZADOS POR PERSONA NATURAL</v>
      </c>
      <c r="CQ92" s="48" t="str">
        <f>+VLOOKUP(Tabla1[[#This Row],[ESPECÍFICA]],CLASIFICADOR_,3,0)</f>
        <v>2.3.2.9 - LOCACIÓN DE SERVICIOS REALIZADOS POR PERSONA NATURAL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2.3.BIENES Y SERVICIOS</v>
      </c>
      <c r="CX92" s="48" t="str">
        <f t="shared" si="17"/>
        <v>0007-GG</v>
      </c>
      <c r="CY92" s="113" t="str">
        <f t="shared" si="18"/>
        <v>0007-GG</v>
      </c>
      <c r="CZ92" s="20" t="str">
        <f t="shared" si="19"/>
        <v>0007-GG</v>
      </c>
      <c r="DA92" s="113" t="str">
        <f>+CONCATENATE(Tabla1[[#This Row],[CC COMPLETO]],Tabla1[[#This Row],[ESPECÍFICA]])</f>
        <v>0007-GG2.3.2.9.1.1</v>
      </c>
      <c r="DB92" s="49">
        <f t="shared" si="20"/>
        <v>184500</v>
      </c>
      <c r="DC92" s="49">
        <f t="shared" si="21"/>
        <v>152000</v>
      </c>
      <c r="DD92" s="49">
        <f t="shared" si="22"/>
        <v>152000</v>
      </c>
      <c r="DE92" s="49">
        <f t="shared" si="23"/>
        <v>6920</v>
      </c>
      <c r="DF92" s="49">
        <f t="shared" si="24"/>
        <v>0</v>
      </c>
      <c r="DG92" s="49">
        <f t="shared" si="25"/>
        <v>32500</v>
      </c>
      <c r="DH92" s="49">
        <f t="shared" si="26"/>
        <v>39420</v>
      </c>
      <c r="DI92" s="50">
        <f t="shared" si="27"/>
        <v>1.2666666666666666</v>
      </c>
      <c r="DJ92" s="78">
        <f>+SUM(Tabla1[[#This Row],[EJECUTADO 01]:[EJECUTADO 06]])</f>
        <v>133000</v>
      </c>
      <c r="DK92" s="78">
        <f>+Tabla1[[#This Row],[mto_devenga_01]]</f>
        <v>14000</v>
      </c>
      <c r="DL92" s="78">
        <f>+Tabla1[[#This Row],[mto_devenga_02]]</f>
        <v>9000</v>
      </c>
      <c r="DM92" s="78">
        <f>+Tabla1[[#This Row],[mto_devenga_03]]</f>
        <v>41000</v>
      </c>
      <c r="DN92" s="78">
        <f>+Tabla1[[#This Row],[mto_devenga_04]]</f>
        <v>27500</v>
      </c>
      <c r="DO92" s="78">
        <f>+Tabla1[[#This Row],[mto_devenga_05]]</f>
        <v>27500</v>
      </c>
      <c r="DP92" s="76">
        <f>+Tabla1[[#This Row],[mto_devenga_06]]</f>
        <v>14000</v>
      </c>
      <c r="DQ92" s="76">
        <f>+Tabla1[[#This Row],[mto_devenga_07]]</f>
        <v>14000</v>
      </c>
      <c r="DR92" s="76">
        <f>+Tabla1[[#This Row],[mto_devenga_08]]</f>
        <v>5000</v>
      </c>
      <c r="DS92" s="76">
        <f>+Tabla1[[#This Row],[mto_devenga_09]]</f>
        <v>0</v>
      </c>
      <c r="DT92" s="76">
        <f>IFERROR(VLOOKUP(Tabla1[[#This Row],[COD SE]],PF_OCTUBRE,14,0),"0")</f>
        <v>13000</v>
      </c>
      <c r="DU92" s="76">
        <f>IFERROR(VLOOKUP(Tabla1[[#This Row],[COD SE]],PF_OCTUBRE,15,0),"0")</f>
        <v>13000</v>
      </c>
      <c r="DV92" s="76">
        <f>IFERROR(VLOOKUP(Tabla1[[#This Row],[COD SE]],PF_OCTUBRE,16,0),"0")</f>
        <v>13420</v>
      </c>
      <c r="DW92" s="76">
        <f>+SUM(Tabla1[[#This Row],[EJECUTADO 01]:[PF DICIEMBRE
]])</f>
        <v>191420</v>
      </c>
      <c r="DX92" s="76">
        <f>IFERROR(VLOOKUP(Tabla1[[#This Row],[COD SE]],PF_OCTUBRE,18,0),"0")</f>
        <v>0</v>
      </c>
      <c r="DY92" s="76">
        <f>IFERROR(VLOOKUP(Tabla1[[#This Row],[COD SE]],PF_OCTUBRE,19,0),"0")</f>
        <v>0</v>
      </c>
      <c r="DZ92" s="76">
        <f>IFERROR(VLOOKUP(Tabla1[[#This Row],[COD SE]],PF_OCTUBRE,20,0),"0")</f>
        <v>0</v>
      </c>
      <c r="EA92" s="76">
        <f>+Tabla1[[#This Row],[TOTAL EJEC REAL]]+Tabla1[[#This Row],[SALDO FINAL]]</f>
        <v>191420</v>
      </c>
      <c r="EB92" s="76">
        <f>IFERROR(VLOOKUP(Tabla1[[#This Row],[COD SE]],PF_OCTUBRE,22,0),"0")</f>
        <v>13420</v>
      </c>
      <c r="EC92" s="76">
        <f>+IFERROR(VLOOKUP(Tabla1[[#This Row],[COD SE]],SALDO_ESC_2,7,0),0)</f>
        <v>0</v>
      </c>
      <c r="ED92" s="76">
        <f>+IFERROR(VLOOKUP(Tabla1[[#This Row],[COD SE]],SALDO_ESC_3,7,0),0)</f>
        <v>0</v>
      </c>
      <c r="EE92" s="76">
        <f>+Tabla1[[#This Row],[mto_pim]]-Tabla1[[#This Row],[TRANSF ESC2 ]]</f>
        <v>191420</v>
      </c>
      <c r="EF92" s="76">
        <f>+Tabla1[[#This Row],[mto_pim]]-Tabla1[[#This Row],[TRANFS ESC 3 ]]</f>
        <v>191420</v>
      </c>
      <c r="EG92" s="76">
        <f>+IFERROR(VLOOKUP(Tabla1[[#This Row],[COD SE]],HISTORICO,4,0),0)</f>
        <v>24000</v>
      </c>
      <c r="EH92" s="76">
        <f>+IFERROR(VLOOKUP(Tabla1[[#This Row],[COD SE]],HISTORICO,5,0),0)</f>
        <v>22500</v>
      </c>
      <c r="EI92" s="76">
        <f>+IFERROR(VLOOKUP(Tabla1[[#This Row],[COD SE]],HISTORICO,6,0),0)</f>
        <v>41000</v>
      </c>
      <c r="EJ92" s="76">
        <f>+IFERROR(VLOOKUP(Tabla1[[#This Row],[COD SE]],HISTORICO,7,0),0)</f>
        <v>27500</v>
      </c>
      <c r="EK92" s="76">
        <f>+IFERROR(VLOOKUP(Tabla1[[#This Row],[COD SE]],HISTORICO,8,0),0)</f>
        <v>27500</v>
      </c>
      <c r="EL92" s="76">
        <f>+IFERROR(VLOOKUP(Tabla1[[#This Row],[COD SE]],HISTORICO,9,0),0)</f>
        <v>14000</v>
      </c>
      <c r="EM92" s="76">
        <f>+IFERROR(VLOOKUP(Tabla1[[#This Row],[COD SE]],HISTORICO,10,0),0)</f>
        <v>14000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64000</v>
      </c>
      <c r="EQ92" s="58">
        <f>+SUM(Tabla1[[#This Row],[EJECUTADO 04]:[EJECUTADO 06]])</f>
        <v>69000</v>
      </c>
      <c r="ER92" s="58">
        <f>+SUM(Tabla1[[#This Row],[EJECUTADO 07]:[EJECUTADO 09]])</f>
        <v>19000</v>
      </c>
      <c r="ES92" s="58">
        <f>+SUM(Tabla1[[#This Row],[PF OCTUBRE]:[PF DICIEMBRE
]])</f>
        <v>39420</v>
      </c>
      <c r="ET92" s="58">
        <f>+SUM(Tabla1[[#This Row],[EJECUTADO 01]:[EJECUTADO 09]])</f>
        <v>152000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2006</v>
      </c>
      <c r="AE93" s="369" t="s">
        <v>2007</v>
      </c>
      <c r="AF93" s="369" t="s">
        <v>2007</v>
      </c>
      <c r="AG93" s="369" t="s">
        <v>2008</v>
      </c>
      <c r="AH93" s="369">
        <v>0</v>
      </c>
      <c r="AI93" s="369">
        <v>10220</v>
      </c>
      <c r="AJ93" s="369">
        <v>10220</v>
      </c>
      <c r="AK93" s="370">
        <v>10220</v>
      </c>
      <c r="AL93" s="370">
        <v>10220</v>
      </c>
      <c r="AM93" s="370">
        <v>0</v>
      </c>
      <c r="AN93" s="370">
        <v>0</v>
      </c>
      <c r="AO93" s="370">
        <v>0</v>
      </c>
      <c r="AP93" s="370">
        <v>10161.94</v>
      </c>
      <c r="AQ93" s="370">
        <v>0</v>
      </c>
      <c r="AR93" s="370">
        <v>0</v>
      </c>
      <c r="AS93" s="370">
        <v>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10161.94</v>
      </c>
      <c r="BC93" s="370">
        <v>0</v>
      </c>
      <c r="BD93" s="370">
        <v>0</v>
      </c>
      <c r="BE93" s="370">
        <v>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10161.94</v>
      </c>
      <c r="BO93" s="370">
        <v>0</v>
      </c>
      <c r="BP93" s="370">
        <v>0</v>
      </c>
      <c r="BQ93" s="370">
        <v>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10161.94</v>
      </c>
      <c r="CA93" s="370">
        <v>0</v>
      </c>
      <c r="CB93" s="370">
        <v>0</v>
      </c>
      <c r="CC93" s="370">
        <v>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1993</v>
      </c>
      <c r="CL93" s="48" t="s">
        <v>1990</v>
      </c>
      <c r="CM93" s="48" t="s">
        <v>1990</v>
      </c>
      <c r="CN93" s="48" t="s">
        <v>1988</v>
      </c>
      <c r="CO93" s="48" t="str">
        <f t="shared" si="28"/>
        <v>2.1.4.1.1.6</v>
      </c>
      <c r="CP93" s="48" t="str">
        <f>+VLOOKUP(Tabla1[[#This Row],[ESPECÍFICA]],CLASIFICADOR_,2,0)</f>
        <v>2.1.4.1.1.6 - COMPENSACION VACACIONAL (VACACIONES TRUNCAS) AL PERSONAL ACTIVO</v>
      </c>
      <c r="CQ93" s="48" t="str">
        <f>+VLOOKUP(Tabla1[[#This Row],[ESPECÍFICA]],CLASIFICADOR_,3,0)</f>
        <v>02.SERVIR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7"/>
        <v>0007-GG</v>
      </c>
      <c r="CY93" s="113" t="str">
        <f t="shared" si="18"/>
        <v>0007-GG</v>
      </c>
      <c r="CZ93" s="20" t="str">
        <f t="shared" si="19"/>
        <v>0007-GG</v>
      </c>
      <c r="DA93" s="113" t="str">
        <f>+CONCATENATE(Tabla1[[#This Row],[CC COMPLETO]],Tabla1[[#This Row],[ESPECÍFICA]])</f>
        <v>0007-GG2.1.4.1.1.6</v>
      </c>
      <c r="DB93" s="49">
        <f t="shared" si="20"/>
        <v>10161.94</v>
      </c>
      <c r="DC93" s="49">
        <f t="shared" si="21"/>
        <v>10161.94</v>
      </c>
      <c r="DD93" s="49">
        <f t="shared" si="22"/>
        <v>10161.94</v>
      </c>
      <c r="DE93" s="49">
        <f t="shared" si="23"/>
        <v>0</v>
      </c>
      <c r="DF93" s="49">
        <f t="shared" si="24"/>
        <v>0</v>
      </c>
      <c r="DG93" s="49">
        <f t="shared" si="25"/>
        <v>58.059999999999491</v>
      </c>
      <c r="DH93" s="49">
        <f t="shared" si="26"/>
        <v>58.059999999999491</v>
      </c>
      <c r="DI93" s="50">
        <f t="shared" si="27"/>
        <v>0</v>
      </c>
      <c r="DJ93" s="78">
        <f>+SUM(Tabla1[[#This Row],[EJECUTADO 01]:[EJECUTADO 06]])</f>
        <v>10161.94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10161.94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0</v>
      </c>
      <c r="DW93" s="76">
        <f>+SUM(Tabla1[[#This Row],[EJECUTADO 01]:[PF DICIEMBRE
]])</f>
        <v>10161.94</v>
      </c>
      <c r="DX93" s="76">
        <f>IFERROR(VLOOKUP(Tabla1[[#This Row],[COD SE]],PF_OCTUBRE,18,0),"0")</f>
        <v>0</v>
      </c>
      <c r="DY93" s="76">
        <f>IFERROR(VLOOKUP(Tabla1[[#This Row],[COD SE]],PF_OCTUBRE,19,0),"0")</f>
        <v>58.06</v>
      </c>
      <c r="DZ93" s="76">
        <f>IFERROR(VLOOKUP(Tabla1[[#This Row],[COD SE]],PF_OCTUBRE,20,0),"0")</f>
        <v>58.06</v>
      </c>
      <c r="EA93" s="76">
        <f>+Tabla1[[#This Row],[TOTAL EJEC REAL]]+Tabla1[[#This Row],[SALDO FINAL]]</f>
        <v>10220</v>
      </c>
      <c r="EB93" s="76">
        <f>IFERROR(VLOOKUP(Tabla1[[#This Row],[COD SE]],PF_OCTUBRE,22,0),"0")</f>
        <v>58.06</v>
      </c>
      <c r="EC93" s="76">
        <f>+IFERROR(VLOOKUP(Tabla1[[#This Row],[COD SE]],SALDO_ESC_2,7,0),0)</f>
        <v>0</v>
      </c>
      <c r="ED93" s="76">
        <f>+IFERROR(VLOOKUP(Tabla1[[#This Row],[COD SE]],SALDO_ESC_3,7,0),0)</f>
        <v>58.06</v>
      </c>
      <c r="EE93" s="76">
        <f>+Tabla1[[#This Row],[mto_pim]]-Tabla1[[#This Row],[TRANSF ESC2 ]]</f>
        <v>10220</v>
      </c>
      <c r="EF93" s="76">
        <f>+Tabla1[[#This Row],[mto_pim]]-Tabla1[[#This Row],[TRANFS ESC 3 ]]</f>
        <v>10161.94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10161.94</v>
      </c>
      <c r="ER93" s="58">
        <f>+SUM(Tabla1[[#This Row],[EJECUTADO 07]:[EJECUTADO 09]])</f>
        <v>0</v>
      </c>
      <c r="ES93" s="58">
        <f>+SUM(Tabla1[[#This Row],[PF OCTUBRE]:[PF DICIEMBRE
]])</f>
        <v>0</v>
      </c>
      <c r="ET93" s="58">
        <f>+SUM(Tabla1[[#This Row],[EJECUTADO 01]:[EJECUTADO 09]])</f>
        <v>10161.94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1668</v>
      </c>
      <c r="AE94" s="369" t="s">
        <v>1669</v>
      </c>
      <c r="AF94" s="369" t="s">
        <v>1669</v>
      </c>
      <c r="AG94" s="369" t="s">
        <v>1670</v>
      </c>
      <c r="AH94" s="369">
        <v>0</v>
      </c>
      <c r="AI94" s="369">
        <v>22449</v>
      </c>
      <c r="AJ94" s="369">
        <v>22449</v>
      </c>
      <c r="AK94" s="370">
        <v>12451</v>
      </c>
      <c r="AL94" s="370">
        <v>12451</v>
      </c>
      <c r="AM94" s="370">
        <v>1870.71</v>
      </c>
      <c r="AN94" s="370">
        <v>1870.71</v>
      </c>
      <c r="AO94" s="370">
        <v>1870.71</v>
      </c>
      <c r="AP94" s="370">
        <v>1538.14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1558.93</v>
      </c>
      <c r="AW94" s="370">
        <v>0</v>
      </c>
      <c r="AX94" s="370">
        <v>0</v>
      </c>
      <c r="AY94" s="370">
        <v>1870.71</v>
      </c>
      <c r="AZ94" s="370">
        <v>1870.71</v>
      </c>
      <c r="BA94" s="370">
        <v>1870.71</v>
      </c>
      <c r="BB94" s="370">
        <v>1538.14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1558.93</v>
      </c>
      <c r="BI94" s="370">
        <v>0</v>
      </c>
      <c r="BJ94" s="370">
        <v>0</v>
      </c>
      <c r="BK94" s="370">
        <v>1870.71</v>
      </c>
      <c r="BL94" s="370">
        <v>1870.71</v>
      </c>
      <c r="BM94" s="370">
        <v>1870.71</v>
      </c>
      <c r="BN94" s="370">
        <v>1538.14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1558.93</v>
      </c>
      <c r="BU94" s="370">
        <v>0</v>
      </c>
      <c r="BV94" s="370">
        <v>0</v>
      </c>
      <c r="BW94" s="370">
        <v>1870.71</v>
      </c>
      <c r="BX94" s="370">
        <v>1870.71</v>
      </c>
      <c r="BY94" s="370">
        <v>1870.71</v>
      </c>
      <c r="BZ94" s="370">
        <v>1538.14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1558.93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1991</v>
      </c>
      <c r="CL94" s="48" t="s">
        <v>1990</v>
      </c>
      <c r="CM94" s="48" t="s">
        <v>1990</v>
      </c>
      <c r="CN94" s="48" t="s">
        <v>2010</v>
      </c>
      <c r="CO94" s="48" t="str">
        <f t="shared" si="28"/>
        <v>2.1.3.1.1.13</v>
      </c>
      <c r="CP94" s="48" t="str">
        <f>+VLOOKUP(Tabla1[[#This Row],[ESPECÍFICA]],CLASIFICADOR_,2,0)</f>
        <v>2.1.3.1.1.13 - CONTRIBUCIONES A ESSALUD DEL PERSONAL ADMINISTRATIVO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7"/>
        <v>0007-GG</v>
      </c>
      <c r="CY94" s="113" t="str">
        <f t="shared" si="18"/>
        <v>0007-GG</v>
      </c>
      <c r="CZ94" s="20" t="str">
        <f t="shared" si="19"/>
        <v>0007-GG</v>
      </c>
      <c r="DA94" s="113" t="str">
        <f>+CONCATENATE(Tabla1[[#This Row],[CC COMPLETO]],Tabla1[[#This Row],[ESPECÍFICA]])</f>
        <v>0007-GG2.1.3.1.1.13</v>
      </c>
      <c r="DB94" s="49">
        <f t="shared" si="20"/>
        <v>8709.2000000000007</v>
      </c>
      <c r="DC94" s="49">
        <f t="shared" si="21"/>
        <v>8709.2000000000007</v>
      </c>
      <c r="DD94" s="49">
        <f t="shared" si="22"/>
        <v>8709.2000000000007</v>
      </c>
      <c r="DE94" s="49">
        <f t="shared" si="23"/>
        <v>9998</v>
      </c>
      <c r="DF94" s="49">
        <f t="shared" si="24"/>
        <v>0</v>
      </c>
      <c r="DG94" s="49">
        <f t="shared" si="25"/>
        <v>3741.7999999999993</v>
      </c>
      <c r="DH94" s="49">
        <f t="shared" si="26"/>
        <v>13739.8</v>
      </c>
      <c r="DI94" s="50">
        <f t="shared" si="27"/>
        <v>0</v>
      </c>
      <c r="DJ94" s="78">
        <f>+SUM(Tabla1[[#This Row],[EJECUTADO 01]:[EJECUTADO 06]])</f>
        <v>7150.27</v>
      </c>
      <c r="DK94" s="78">
        <f>+Tabla1[[#This Row],[mto_devenga_01]]</f>
        <v>1870.71</v>
      </c>
      <c r="DL94" s="78">
        <f>+Tabla1[[#This Row],[mto_devenga_02]]</f>
        <v>1870.71</v>
      </c>
      <c r="DM94" s="78">
        <f>+Tabla1[[#This Row],[mto_devenga_03]]</f>
        <v>1870.71</v>
      </c>
      <c r="DN94" s="78">
        <f>+Tabla1[[#This Row],[mto_devenga_04]]</f>
        <v>1538.14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1870.71</v>
      </c>
      <c r="DU94" s="76">
        <f>IFERROR(VLOOKUP(Tabla1[[#This Row],[COD SE]],PF_OCTUBRE,15,0),"0")</f>
        <v>1870.71</v>
      </c>
      <c r="DV94" s="76">
        <f>IFERROR(VLOOKUP(Tabla1[[#This Row],[COD SE]],PF_OCTUBRE,16,0),"0")</f>
        <v>1870.7100000000009</v>
      </c>
      <c r="DW94" s="76">
        <f>+SUM(Tabla1[[#This Row],[EJECUTADO 01]:[PF DICIEMBRE
]])</f>
        <v>12762.4</v>
      </c>
      <c r="DX94" s="76">
        <f>IFERROR(VLOOKUP(Tabla1[[#This Row],[COD SE]],PF_OCTUBRE,18,0),"0")</f>
        <v>0</v>
      </c>
      <c r="DY94" s="76">
        <f>IFERROR(VLOOKUP(Tabla1[[#This Row],[COD SE]],PF_OCTUBRE,19,0),"0")</f>
        <v>9686.5999999999985</v>
      </c>
      <c r="DZ94" s="76">
        <f>IFERROR(VLOOKUP(Tabla1[[#This Row],[COD SE]],PF_OCTUBRE,20,0),"0")</f>
        <v>9686.5999999999985</v>
      </c>
      <c r="EA94" s="76">
        <f>+Tabla1[[#This Row],[TOTAL EJEC REAL]]+Tabla1[[#This Row],[SALDO FINAL]]</f>
        <v>22449</v>
      </c>
      <c r="EB94" s="76">
        <f>IFERROR(VLOOKUP(Tabla1[[#This Row],[COD SE]],PF_OCTUBRE,22,0),"0")</f>
        <v>11557.31</v>
      </c>
      <c r="EC94" s="76">
        <f>+IFERROR(VLOOKUP(Tabla1[[#This Row],[COD SE]],SALDO_ESC_2,7,0),0)</f>
        <v>0</v>
      </c>
      <c r="ED94" s="76">
        <f>+IFERROR(VLOOKUP(Tabla1[[#This Row],[COD SE]],SALDO_ESC_3,7,0),0)</f>
        <v>9686.5999999999985</v>
      </c>
      <c r="EE94" s="76">
        <f>+Tabla1[[#This Row],[mto_pim]]-Tabla1[[#This Row],[TRANSF ESC2 ]]</f>
        <v>22449</v>
      </c>
      <c r="EF94" s="76">
        <f>+Tabla1[[#This Row],[mto_pim]]-Tabla1[[#This Row],[TRANFS ESC 3 ]]</f>
        <v>12762.400000000001</v>
      </c>
      <c r="EG94" s="76">
        <f>+IFERROR(VLOOKUP(Tabla1[[#This Row],[COD SE]],HISTORICO,4,0),0)</f>
        <v>1870.71</v>
      </c>
      <c r="EH94" s="76">
        <f>+IFERROR(VLOOKUP(Tabla1[[#This Row],[COD SE]],HISTORICO,5,0),0)</f>
        <v>1870.71</v>
      </c>
      <c r="EI94" s="76">
        <f>+IFERROR(VLOOKUP(Tabla1[[#This Row],[COD SE]],HISTORICO,6,0),0)</f>
        <v>1870.71</v>
      </c>
      <c r="EJ94" s="76">
        <f>+IFERROR(VLOOKUP(Tabla1[[#This Row],[COD SE]],HISTORICO,7,0),0)</f>
        <v>1870.71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5612.13</v>
      </c>
      <c r="EQ94" s="58">
        <f>+SUM(Tabla1[[#This Row],[EJECUTADO 04]:[EJECUTADO 06]])</f>
        <v>1538.14</v>
      </c>
      <c r="ER94" s="58">
        <f>+SUM(Tabla1[[#This Row],[EJECUTADO 07]:[EJECUTADO 09]])</f>
        <v>0</v>
      </c>
      <c r="ES94" s="58">
        <f>+SUM(Tabla1[[#This Row],[PF OCTUBRE]:[PF DICIEMBRE
]])</f>
        <v>5612.130000000001</v>
      </c>
      <c r="ET94" s="58">
        <f>+SUM(Tabla1[[#This Row],[EJECUTADO 01]:[EJECUTADO 09]])</f>
        <v>7150.27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1668</v>
      </c>
      <c r="AE95" s="369" t="s">
        <v>1669</v>
      </c>
      <c r="AF95" s="369" t="s">
        <v>1669</v>
      </c>
      <c r="AG95" s="369" t="s">
        <v>1671</v>
      </c>
      <c r="AH95" s="369">
        <v>15018</v>
      </c>
      <c r="AI95" s="369">
        <v>-2016</v>
      </c>
      <c r="AJ95" s="369">
        <v>13002</v>
      </c>
      <c r="AK95" s="370">
        <v>12134.08</v>
      </c>
      <c r="AL95" s="370">
        <v>10401</v>
      </c>
      <c r="AM95" s="370">
        <v>866.72</v>
      </c>
      <c r="AN95" s="370">
        <v>866.72</v>
      </c>
      <c r="AO95" s="370">
        <v>866.72</v>
      </c>
      <c r="AP95" s="370">
        <v>866.72</v>
      </c>
      <c r="AQ95" s="370">
        <v>1083.4000000000001</v>
      </c>
      <c r="AR95" s="370">
        <v>866.72</v>
      </c>
      <c r="AS95" s="370">
        <v>650.04</v>
      </c>
      <c r="AT95" s="370">
        <v>650.04</v>
      </c>
      <c r="AU95" s="370">
        <v>650.04</v>
      </c>
      <c r="AV95" s="370">
        <v>650.04</v>
      </c>
      <c r="AW95" s="370">
        <v>0</v>
      </c>
      <c r="AX95" s="370">
        <v>0</v>
      </c>
      <c r="AY95" s="370">
        <v>866.72</v>
      </c>
      <c r="AZ95" s="370">
        <v>866.72</v>
      </c>
      <c r="BA95" s="370">
        <v>866.72</v>
      </c>
      <c r="BB95" s="370">
        <v>866.72</v>
      </c>
      <c r="BC95" s="370">
        <v>1083.4000000000001</v>
      </c>
      <c r="BD95" s="370">
        <v>866.72</v>
      </c>
      <c r="BE95" s="370">
        <v>650.04</v>
      </c>
      <c r="BF95" s="370">
        <v>650.04</v>
      </c>
      <c r="BG95" s="370">
        <v>650.04</v>
      </c>
      <c r="BH95" s="370">
        <v>650.04</v>
      </c>
      <c r="BI95" s="370">
        <v>0</v>
      </c>
      <c r="BJ95" s="370">
        <v>0</v>
      </c>
      <c r="BK95" s="370">
        <v>866.72</v>
      </c>
      <c r="BL95" s="370">
        <v>866.72</v>
      </c>
      <c r="BM95" s="370">
        <v>866.72</v>
      </c>
      <c r="BN95" s="370">
        <v>866.72</v>
      </c>
      <c r="BO95" s="370">
        <v>1083.4000000000001</v>
      </c>
      <c r="BP95" s="370">
        <v>866.72</v>
      </c>
      <c r="BQ95" s="370">
        <v>650.04</v>
      </c>
      <c r="BR95" s="370">
        <v>650.04</v>
      </c>
      <c r="BS95" s="370">
        <v>650.04</v>
      </c>
      <c r="BT95" s="370">
        <v>650.04</v>
      </c>
      <c r="BU95" s="370">
        <v>0</v>
      </c>
      <c r="BV95" s="370">
        <v>0</v>
      </c>
      <c r="BW95" s="370">
        <v>866.72</v>
      </c>
      <c r="BX95" s="370">
        <v>866.72</v>
      </c>
      <c r="BY95" s="370">
        <v>866.72</v>
      </c>
      <c r="BZ95" s="370">
        <v>866.72</v>
      </c>
      <c r="CA95" s="370">
        <v>1083.4000000000001</v>
      </c>
      <c r="CB95" s="370">
        <v>866.72</v>
      </c>
      <c r="CC95" s="370">
        <v>650.04</v>
      </c>
      <c r="CD95" s="370">
        <v>650.04</v>
      </c>
      <c r="CE95" s="370">
        <v>650.04</v>
      </c>
      <c r="CF95" s="370">
        <v>650.04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1991</v>
      </c>
      <c r="CL95" s="48" t="s">
        <v>1990</v>
      </c>
      <c r="CM95" s="48" t="s">
        <v>1990</v>
      </c>
      <c r="CN95" s="48" t="s">
        <v>2014</v>
      </c>
      <c r="CO95" s="48" t="str">
        <f t="shared" si="28"/>
        <v>2.1.3.1.1.15</v>
      </c>
      <c r="CP95" s="48" t="str">
        <f>+VLOOKUP(Tabla1[[#This Row],[ESPECÍFICA]],CLASIFICADOR_,2,0)</f>
        <v>2.1.3.1.1.15 - CONTRIBUCIONES A ESSALUD DE CONTRATO ADMINISTRATIVO DE SERVICIOS</v>
      </c>
      <c r="CQ95" s="48" t="str">
        <f>+VLOOKUP(Tabla1[[#This Row],[ESPECÍFICA]],CLASIFICADOR_,3,0)</f>
        <v>01.CAS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7"/>
        <v>0007-GG</v>
      </c>
      <c r="CY95" s="113" t="str">
        <f t="shared" si="18"/>
        <v>0007-GG</v>
      </c>
      <c r="CZ95" s="20" t="str">
        <f t="shared" si="19"/>
        <v>0007-GG</v>
      </c>
      <c r="DA95" s="113" t="str">
        <f>+CONCATENATE(Tabla1[[#This Row],[CC COMPLETO]],Tabla1[[#This Row],[ESPECÍFICA]])</f>
        <v>0007-GG2.1.3.1.1.15</v>
      </c>
      <c r="DB95" s="49">
        <f t="shared" si="20"/>
        <v>8017.1600000000008</v>
      </c>
      <c r="DC95" s="49">
        <f t="shared" si="21"/>
        <v>8017.1600000000008</v>
      </c>
      <c r="DD95" s="49">
        <f t="shared" si="22"/>
        <v>8017.1600000000008</v>
      </c>
      <c r="DE95" s="49">
        <f t="shared" si="23"/>
        <v>867.92000000000007</v>
      </c>
      <c r="DF95" s="49">
        <f t="shared" si="24"/>
        <v>1733.08</v>
      </c>
      <c r="DG95" s="49">
        <f t="shared" si="25"/>
        <v>2383.8399999999992</v>
      </c>
      <c r="DH95" s="49">
        <f t="shared" si="26"/>
        <v>4984.8399999999992</v>
      </c>
      <c r="DI95" s="50">
        <f t="shared" si="27"/>
        <v>0.53383672925822356</v>
      </c>
      <c r="DJ95" s="78">
        <f>+SUM(Tabla1[[#This Row],[EJECUTADO 01]:[EJECUTADO 06]])</f>
        <v>5417.0000000000009</v>
      </c>
      <c r="DK95" s="78">
        <f>+Tabla1[[#This Row],[mto_devenga_01]]</f>
        <v>866.72</v>
      </c>
      <c r="DL95" s="78">
        <f>+Tabla1[[#This Row],[mto_devenga_02]]</f>
        <v>866.72</v>
      </c>
      <c r="DM95" s="78">
        <f>+Tabla1[[#This Row],[mto_devenga_03]]</f>
        <v>866.72</v>
      </c>
      <c r="DN95" s="78">
        <f>+Tabla1[[#This Row],[mto_devenga_04]]</f>
        <v>866.72</v>
      </c>
      <c r="DO95" s="78">
        <f>+Tabla1[[#This Row],[mto_devenga_05]]</f>
        <v>1083.4000000000001</v>
      </c>
      <c r="DP95" s="76">
        <f>+Tabla1[[#This Row],[mto_devenga_06]]</f>
        <v>866.72</v>
      </c>
      <c r="DQ95" s="76">
        <f>+Tabla1[[#This Row],[mto_devenga_07]]</f>
        <v>650.04</v>
      </c>
      <c r="DR95" s="76">
        <f>+Tabla1[[#This Row],[mto_devenga_08]]</f>
        <v>650.04</v>
      </c>
      <c r="DS95" s="76">
        <f>+Tabla1[[#This Row],[mto_devenga_09]]</f>
        <v>650.04</v>
      </c>
      <c r="DT95" s="76">
        <f>IFERROR(VLOOKUP(Tabla1[[#This Row],[COD SE]],PF_OCTUBRE,14,0),"0")</f>
        <v>650.04</v>
      </c>
      <c r="DU95" s="76">
        <f>IFERROR(VLOOKUP(Tabla1[[#This Row],[COD SE]],PF_OCTUBRE,15,0),"0")</f>
        <v>650.04</v>
      </c>
      <c r="DV95" s="76">
        <f>IFERROR(VLOOKUP(Tabla1[[#This Row],[COD SE]],PF_OCTUBRE,16,0),"0")</f>
        <v>650.04</v>
      </c>
      <c r="DW95" s="76">
        <f>+SUM(Tabla1[[#This Row],[EJECUTADO 01]:[PF DICIEMBRE
]])</f>
        <v>9317.2400000000016</v>
      </c>
      <c r="DX95" s="76">
        <f>IFERROR(VLOOKUP(Tabla1[[#This Row],[COD SE]],PF_OCTUBRE,18,0),"0")</f>
        <v>0</v>
      </c>
      <c r="DY95" s="76">
        <f>IFERROR(VLOOKUP(Tabla1[[#This Row],[COD SE]],PF_OCTUBRE,19,0),"0")</f>
        <v>3684.76</v>
      </c>
      <c r="DZ95" s="76">
        <f>IFERROR(VLOOKUP(Tabla1[[#This Row],[COD SE]],PF_OCTUBRE,20,0),"0")</f>
        <v>3684.76</v>
      </c>
      <c r="EA95" s="76">
        <f>+Tabla1[[#This Row],[TOTAL EJEC REAL]]+Tabla1[[#This Row],[SALDO FINAL]]</f>
        <v>13002.000000000002</v>
      </c>
      <c r="EB95" s="76">
        <f>IFERROR(VLOOKUP(Tabla1[[#This Row],[COD SE]],PF_OCTUBRE,22,0),"0")</f>
        <v>4334.8</v>
      </c>
      <c r="EC95" s="76">
        <f>+IFERROR(VLOOKUP(Tabla1[[#This Row],[COD SE]],SALDO_ESC_2,7,0),0)</f>
        <v>0</v>
      </c>
      <c r="ED95" s="76">
        <f>+IFERROR(VLOOKUP(Tabla1[[#This Row],[COD SE]],SALDO_ESC_3,7,0),0)</f>
        <v>3684.76</v>
      </c>
      <c r="EE95" s="76">
        <f>+Tabla1[[#This Row],[mto_pim]]-Tabla1[[#This Row],[TRANSF ESC2 ]]</f>
        <v>13002</v>
      </c>
      <c r="EF95" s="76">
        <f>+Tabla1[[#This Row],[mto_pim]]-Tabla1[[#This Row],[TRANFS ESC 3 ]]</f>
        <v>9317.24</v>
      </c>
      <c r="EG95" s="76">
        <f>+IFERROR(VLOOKUP(Tabla1[[#This Row],[COD SE]],HISTORICO,4,0),0)</f>
        <v>867.68000000000006</v>
      </c>
      <c r="EH95" s="76">
        <f>+IFERROR(VLOOKUP(Tabla1[[#This Row],[COD SE]],HISTORICO,5,0),0)</f>
        <v>866.72</v>
      </c>
      <c r="EI95" s="76">
        <f>+IFERROR(VLOOKUP(Tabla1[[#This Row],[COD SE]],HISTORICO,6,0),0)</f>
        <v>866.72</v>
      </c>
      <c r="EJ95" s="76">
        <f>+IFERROR(VLOOKUP(Tabla1[[#This Row],[COD SE]],HISTORICO,7,0),0)</f>
        <v>1083.4000000000001</v>
      </c>
      <c r="EK95" s="76">
        <f>+IFERROR(VLOOKUP(Tabla1[[#This Row],[COD SE]],HISTORICO,8,0),0)</f>
        <v>1083.4000000000001</v>
      </c>
      <c r="EL95" s="76">
        <f>+IFERROR(VLOOKUP(Tabla1[[#This Row],[COD SE]],HISTORICO,9,0),0)</f>
        <v>866.72</v>
      </c>
      <c r="EM95" s="76">
        <f>+IFERROR(VLOOKUP(Tabla1[[#This Row],[COD SE]],HISTORICO,10,0),0)</f>
        <v>650.04</v>
      </c>
      <c r="EN95" s="76">
        <f>+IFERROR(VLOOKUP(Tabla1[[#This Row],[COD SE]],HISTORICO,11,0),0)</f>
        <v>650.04</v>
      </c>
      <c r="EO95" s="76">
        <f>+IFERROR(VLOOKUP(Tabla1[[#This Row],[COD SE]],HISTORICO,12,0),0)</f>
        <v>650.04</v>
      </c>
      <c r="EP95" s="58">
        <f>+SUM(Tabla1[[#This Row],[EJECUTADO 01]:[EJECUTADO 03]])</f>
        <v>2600.16</v>
      </c>
      <c r="EQ95" s="58">
        <f>+SUM(Tabla1[[#This Row],[EJECUTADO 04]:[EJECUTADO 06]])</f>
        <v>2816.84</v>
      </c>
      <c r="ER95" s="58">
        <f>+SUM(Tabla1[[#This Row],[EJECUTADO 07]:[EJECUTADO 09]])</f>
        <v>1950.12</v>
      </c>
      <c r="ES95" s="58">
        <f>+SUM(Tabla1[[#This Row],[PF OCTUBRE]:[PF DICIEMBRE
]])</f>
        <v>1950.12</v>
      </c>
      <c r="ET95" s="58">
        <f>+SUM(Tabla1[[#This Row],[EJECUTADO 01]:[EJECUTADO 09]])</f>
        <v>7367.1200000000008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2006</v>
      </c>
      <c r="AE96" s="369" t="s">
        <v>2007</v>
      </c>
      <c r="AF96" s="369" t="s">
        <v>2007</v>
      </c>
      <c r="AG96" s="369" t="s">
        <v>2009</v>
      </c>
      <c r="AH96" s="369">
        <v>0</v>
      </c>
      <c r="AI96" s="369">
        <v>20786</v>
      </c>
      <c r="AJ96" s="369">
        <v>20786</v>
      </c>
      <c r="AK96" s="370">
        <v>10194</v>
      </c>
      <c r="AL96" s="370">
        <v>10194</v>
      </c>
      <c r="AM96" s="370">
        <v>0</v>
      </c>
      <c r="AN96" s="370">
        <v>0</v>
      </c>
      <c r="AO96" s="370">
        <v>0</v>
      </c>
      <c r="AP96" s="370">
        <v>8399.9699999999993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0</v>
      </c>
      <c r="AW96" s="370">
        <v>0</v>
      </c>
      <c r="AX96" s="370">
        <v>0</v>
      </c>
      <c r="AY96" s="370">
        <v>0</v>
      </c>
      <c r="AZ96" s="370">
        <v>0</v>
      </c>
      <c r="BA96" s="370">
        <v>0</v>
      </c>
      <c r="BB96" s="370">
        <v>8399.9699999999993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0</v>
      </c>
      <c r="BI96" s="370">
        <v>0</v>
      </c>
      <c r="BJ96" s="370">
        <v>0</v>
      </c>
      <c r="BK96" s="370">
        <v>0</v>
      </c>
      <c r="BL96" s="370">
        <v>0</v>
      </c>
      <c r="BM96" s="370">
        <v>0</v>
      </c>
      <c r="BN96" s="370">
        <v>8399.9699999999993</v>
      </c>
      <c r="BO96" s="370">
        <v>0</v>
      </c>
      <c r="BP96" s="370">
        <v>0</v>
      </c>
      <c r="BQ96" s="370">
        <v>0</v>
      </c>
      <c r="BR96" s="370">
        <v>0</v>
      </c>
      <c r="BS96" s="370">
        <v>0</v>
      </c>
      <c r="BT96" s="370">
        <v>0</v>
      </c>
      <c r="BU96" s="370">
        <v>0</v>
      </c>
      <c r="BV96" s="370">
        <v>0</v>
      </c>
      <c r="BW96" s="370">
        <v>0</v>
      </c>
      <c r="BX96" s="370">
        <v>0</v>
      </c>
      <c r="BY96" s="370">
        <v>0</v>
      </c>
      <c r="BZ96" s="370">
        <v>8399.9699999999993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0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1993</v>
      </c>
      <c r="CL96" s="48" t="s">
        <v>1990</v>
      </c>
      <c r="CM96" s="48" t="s">
        <v>1990</v>
      </c>
      <c r="CN96" s="48" t="s">
        <v>1990</v>
      </c>
      <c r="CO96" s="48" t="str">
        <f t="shared" si="28"/>
        <v>2.1.4.1.1.1</v>
      </c>
      <c r="CP96" s="48" t="str">
        <f>+VLOOKUP(Tabla1[[#This Row],[ESPECÍFICA]],CLASIFICADOR_,2,0)</f>
        <v>2.1.4.1.1.1 - COMPENSACION POR TIEMPO DE SERVICIOS DEL REGIMEN LABORAL PRIVADO Y REGIMEN DEL SERVICIO CIVIL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7"/>
        <v>0007-GG</v>
      </c>
      <c r="CY96" s="113" t="str">
        <f t="shared" si="18"/>
        <v>0007-GG</v>
      </c>
      <c r="CZ96" s="20" t="str">
        <f t="shared" si="19"/>
        <v>0007-GG</v>
      </c>
      <c r="DA96" s="113" t="str">
        <f>+CONCATENATE(Tabla1[[#This Row],[CC COMPLETO]],Tabla1[[#This Row],[ESPECÍFICA]])</f>
        <v>0007-GG2.1.4.1.1.1</v>
      </c>
      <c r="DB96" s="49">
        <f t="shared" si="20"/>
        <v>8399.9699999999993</v>
      </c>
      <c r="DC96" s="49">
        <f t="shared" si="21"/>
        <v>8399.9699999999993</v>
      </c>
      <c r="DD96" s="49">
        <f t="shared" si="22"/>
        <v>8399.9699999999993</v>
      </c>
      <c r="DE96" s="49">
        <f t="shared" si="23"/>
        <v>10592</v>
      </c>
      <c r="DF96" s="49">
        <f t="shared" si="24"/>
        <v>0</v>
      </c>
      <c r="DG96" s="49">
        <f t="shared" si="25"/>
        <v>1794.0300000000007</v>
      </c>
      <c r="DH96" s="49">
        <f t="shared" si="26"/>
        <v>12386.03</v>
      </c>
      <c r="DI96" s="50">
        <f t="shared" si="27"/>
        <v>0</v>
      </c>
      <c r="DJ96" s="78">
        <f>+SUM(Tabla1[[#This Row],[EJECUTADO 01]:[EJECUTADO 06]])</f>
        <v>8399.9699999999993</v>
      </c>
      <c r="DK96" s="78">
        <f>+Tabla1[[#This Row],[mto_devenga_01]]</f>
        <v>0</v>
      </c>
      <c r="DL96" s="78">
        <f>+Tabla1[[#This Row],[mto_devenga_02]]</f>
        <v>0</v>
      </c>
      <c r="DM96" s="78">
        <f>+Tabla1[[#This Row],[mto_devenga_03]]</f>
        <v>0</v>
      </c>
      <c r="DN96" s="78">
        <f>+Tabla1[[#This Row],[mto_devenga_04]]</f>
        <v>8399.9699999999993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0</v>
      </c>
      <c r="DU96" s="76">
        <f>IFERROR(VLOOKUP(Tabla1[[#This Row],[COD SE]],PF_OCTUBRE,15,0),"0")</f>
        <v>10393</v>
      </c>
      <c r="DV96" s="76">
        <f>IFERROR(VLOOKUP(Tabla1[[#This Row],[COD SE]],PF_OCTUBRE,16,0),"0")</f>
        <v>0</v>
      </c>
      <c r="DW96" s="76">
        <f>+SUM(Tabla1[[#This Row],[EJECUTADO 01]:[PF DICIEMBRE
]])</f>
        <v>18792.97</v>
      </c>
      <c r="DX96" s="76">
        <f>IFERROR(VLOOKUP(Tabla1[[#This Row],[COD SE]],PF_OCTUBRE,18,0),"0")</f>
        <v>0</v>
      </c>
      <c r="DY96" s="76">
        <f>IFERROR(VLOOKUP(Tabla1[[#This Row],[COD SE]],PF_OCTUBRE,19,0),"0")</f>
        <v>1993.03</v>
      </c>
      <c r="DZ96" s="76">
        <f>IFERROR(VLOOKUP(Tabla1[[#This Row],[COD SE]],PF_OCTUBRE,20,0),"0")</f>
        <v>1993.03</v>
      </c>
      <c r="EA96" s="76">
        <f>+Tabla1[[#This Row],[TOTAL EJEC REAL]]+Tabla1[[#This Row],[SALDO FINAL]]</f>
        <v>20786</v>
      </c>
      <c r="EB96" s="76">
        <f>IFERROR(VLOOKUP(Tabla1[[#This Row],[COD SE]],PF_OCTUBRE,22,0),"0")</f>
        <v>1993.03</v>
      </c>
      <c r="EC96" s="76">
        <f>+IFERROR(VLOOKUP(Tabla1[[#This Row],[COD SE]],SALDO_ESC_2,7,0),0)</f>
        <v>0</v>
      </c>
      <c r="ED96" s="76">
        <f>+IFERROR(VLOOKUP(Tabla1[[#This Row],[COD SE]],SALDO_ESC_3,7,0),0)</f>
        <v>1993.03</v>
      </c>
      <c r="EE96" s="76">
        <f>+Tabla1[[#This Row],[mto_pim]]-Tabla1[[#This Row],[TRANSF ESC2 ]]</f>
        <v>20786</v>
      </c>
      <c r="EF96" s="76">
        <f>+Tabla1[[#This Row],[mto_pim]]-Tabla1[[#This Row],[TRANFS ESC 3 ]]</f>
        <v>18792.97</v>
      </c>
      <c r="EG96" s="76">
        <f>+IFERROR(VLOOKUP(Tabla1[[#This Row],[COD SE]],HISTORICO,4,0),0)</f>
        <v>0</v>
      </c>
      <c r="EH96" s="76">
        <f>+IFERROR(VLOOKUP(Tabla1[[#This Row],[COD SE]],HISTORICO,5,0),0)</f>
        <v>0</v>
      </c>
      <c r="EI96" s="76">
        <f>+IFERROR(VLOOKUP(Tabla1[[#This Row],[COD SE]],HISTORICO,6,0),0)</f>
        <v>0</v>
      </c>
      <c r="EJ96" s="76">
        <f>+IFERROR(VLOOKUP(Tabla1[[#This Row],[COD SE]],HISTORICO,7,0),0)</f>
        <v>0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0</v>
      </c>
      <c r="EQ96" s="58">
        <f>+SUM(Tabla1[[#This Row],[EJECUTADO 04]:[EJECUTADO 06]])</f>
        <v>8399.9699999999993</v>
      </c>
      <c r="ER96" s="58">
        <f>+SUM(Tabla1[[#This Row],[EJECUTADO 07]:[EJECUTADO 09]])</f>
        <v>0</v>
      </c>
      <c r="ES96" s="58">
        <f>+SUM(Tabla1[[#This Row],[PF OCTUBRE]:[PF DICIEMBRE
]])</f>
        <v>10393</v>
      </c>
      <c r="ET96" s="58">
        <f>+SUM(Tabla1[[#This Row],[EJECUTADO 01]:[EJECUTADO 09]])</f>
        <v>8399.9699999999993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1664</v>
      </c>
      <c r="AF97" s="369" t="s">
        <v>1665</v>
      </c>
      <c r="AG97" s="369" t="s">
        <v>1667</v>
      </c>
      <c r="AH97" s="369">
        <v>3600</v>
      </c>
      <c r="AI97" s="369">
        <v>-600</v>
      </c>
      <c r="AJ97" s="369">
        <v>3000</v>
      </c>
      <c r="AK97" s="370">
        <v>3000</v>
      </c>
      <c r="AL97" s="370">
        <v>2400</v>
      </c>
      <c r="AM97" s="370">
        <v>0</v>
      </c>
      <c r="AN97" s="370">
        <v>0</v>
      </c>
      <c r="AO97" s="370">
        <v>0</v>
      </c>
      <c r="AP97" s="370">
        <v>0</v>
      </c>
      <c r="AQ97" s="370">
        <v>0</v>
      </c>
      <c r="AR97" s="370">
        <v>0</v>
      </c>
      <c r="AS97" s="370">
        <v>900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900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0</v>
      </c>
      <c r="BP97" s="370">
        <v>0</v>
      </c>
      <c r="BQ97" s="370">
        <v>900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0</v>
      </c>
      <c r="CB97" s="370">
        <v>0</v>
      </c>
      <c r="CC97" s="370">
        <v>900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2005</v>
      </c>
      <c r="CM97" s="48" t="s">
        <v>1990</v>
      </c>
      <c r="CN97" s="48" t="s">
        <v>1993</v>
      </c>
      <c r="CO97" s="48" t="str">
        <f t="shared" si="28"/>
        <v>2.1.1.9.1.4</v>
      </c>
      <c r="CP97" s="48" t="str">
        <f>+VLOOKUP(Tabla1[[#This Row],[ESPECÍFICA]],CLASIFICADOR_,2,0)</f>
        <v>2.1.1.9.1.4 - AGUINALDOS DE CONTRATO ADMINISTRATIVO DE SERVICIOS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7"/>
        <v>0007-GG</v>
      </c>
      <c r="CY97" s="113" t="str">
        <f t="shared" si="18"/>
        <v>0007-GG</v>
      </c>
      <c r="CZ97" s="20" t="str">
        <f t="shared" si="19"/>
        <v>0007-GG</v>
      </c>
      <c r="DA97" s="113" t="str">
        <f>+CONCATENATE(Tabla1[[#This Row],[CC COMPLETO]],Tabla1[[#This Row],[ESPECÍFICA]])</f>
        <v>0007-GG2.1.1.9.1.4</v>
      </c>
      <c r="DB97" s="49">
        <f t="shared" si="20"/>
        <v>900</v>
      </c>
      <c r="DC97" s="49">
        <f t="shared" si="21"/>
        <v>900</v>
      </c>
      <c r="DD97" s="49">
        <f t="shared" si="22"/>
        <v>900</v>
      </c>
      <c r="DE97" s="49">
        <f t="shared" si="23"/>
        <v>0</v>
      </c>
      <c r="DF97" s="49">
        <f t="shared" si="24"/>
        <v>600</v>
      </c>
      <c r="DG97" s="49">
        <f t="shared" si="25"/>
        <v>1500</v>
      </c>
      <c r="DH97" s="49">
        <f t="shared" si="26"/>
        <v>2100</v>
      </c>
      <c r="DI97" s="50">
        <f t="shared" si="27"/>
        <v>0.25</v>
      </c>
      <c r="DJ97" s="78">
        <f>+SUM(Tabla1[[#This Row],[EJECUTADO 01]:[EJECUTADO 06]])</f>
        <v>0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0</v>
      </c>
      <c r="DP97" s="76">
        <f>+Tabla1[[#This Row],[mto_devenga_06]]</f>
        <v>0</v>
      </c>
      <c r="DQ97" s="76">
        <f>+Tabla1[[#This Row],[mto_devenga_07]]</f>
        <v>900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900</v>
      </c>
      <c r="DW97" s="76">
        <f>+SUM(Tabla1[[#This Row],[EJECUTADO 01]:[PF DICIEMBRE
]])</f>
        <v>1800</v>
      </c>
      <c r="DX97" s="76">
        <f>IFERROR(VLOOKUP(Tabla1[[#This Row],[COD SE]],PF_OCTUBRE,18,0),"0")</f>
        <v>0</v>
      </c>
      <c r="DY97" s="76">
        <f>IFERROR(VLOOKUP(Tabla1[[#This Row],[COD SE]],PF_OCTUBRE,19,0),"0")</f>
        <v>1200</v>
      </c>
      <c r="DZ97" s="76">
        <f>IFERROR(VLOOKUP(Tabla1[[#This Row],[COD SE]],PF_OCTUBRE,20,0),"0")</f>
        <v>1200</v>
      </c>
      <c r="EA97" s="76">
        <f>+Tabla1[[#This Row],[TOTAL EJEC REAL]]+Tabla1[[#This Row],[SALDO FINAL]]</f>
        <v>3000</v>
      </c>
      <c r="EB97" s="76">
        <f>IFERROR(VLOOKUP(Tabla1[[#This Row],[COD SE]],PF_OCTUBRE,22,0),"0")</f>
        <v>2100</v>
      </c>
      <c r="EC97" s="76">
        <f>+IFERROR(VLOOKUP(Tabla1[[#This Row],[COD SE]],SALDO_ESC_2,7,0),0)</f>
        <v>0</v>
      </c>
      <c r="ED97" s="76">
        <f>+IFERROR(VLOOKUP(Tabla1[[#This Row],[COD SE]],SALDO_ESC_3,7,0),0)</f>
        <v>1200</v>
      </c>
      <c r="EE97" s="76">
        <f>+Tabla1[[#This Row],[mto_pim]]-Tabla1[[#This Row],[TRANSF ESC2 ]]</f>
        <v>3000</v>
      </c>
      <c r="EF97" s="76">
        <f>+Tabla1[[#This Row],[mto_pim]]-Tabla1[[#This Row],[TRANFS ESC 3 ]]</f>
        <v>1800</v>
      </c>
      <c r="EG97" s="76">
        <f>+IFERROR(VLOOKUP(Tabla1[[#This Row],[COD SE]],HISTORICO,4,0),0)</f>
        <v>0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0</v>
      </c>
      <c r="EK97" s="76">
        <f>+IFERROR(VLOOKUP(Tabla1[[#This Row],[COD SE]],HISTORICO,8,0),0)</f>
        <v>0</v>
      </c>
      <c r="EL97" s="76">
        <f>+IFERROR(VLOOKUP(Tabla1[[#This Row],[COD SE]],HISTORICO,9,0),0)</f>
        <v>0</v>
      </c>
      <c r="EM97" s="76">
        <f>+IFERROR(VLOOKUP(Tabla1[[#This Row],[COD SE]],HISTORICO,10,0),0)</f>
        <v>900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0</v>
      </c>
      <c r="ER97" s="58">
        <f>+SUM(Tabla1[[#This Row],[EJECUTADO 07]:[EJECUTADO 09]])</f>
        <v>900</v>
      </c>
      <c r="ES97" s="58">
        <f>+SUM(Tabla1[[#This Row],[PF OCTUBRE]:[PF DICIEMBRE
]])</f>
        <v>900</v>
      </c>
      <c r="ET97" s="58">
        <f>+SUM(Tabla1[[#This Row],[EJECUTADO 01]:[EJECUTADO 09]])</f>
        <v>900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1656</v>
      </c>
      <c r="AD98" s="369" t="s">
        <v>1657</v>
      </c>
      <c r="AE98" s="369" t="s">
        <v>1660</v>
      </c>
      <c r="AF98" s="369" t="s">
        <v>1661</v>
      </c>
      <c r="AG98" s="369" t="s">
        <v>1662</v>
      </c>
      <c r="AH98" s="369">
        <v>535882</v>
      </c>
      <c r="AI98" s="369">
        <v>4800</v>
      </c>
      <c r="AJ98" s="369">
        <v>540682</v>
      </c>
      <c r="AK98" s="370">
        <v>476503</v>
      </c>
      <c r="AL98" s="370">
        <v>412324.88</v>
      </c>
      <c r="AM98" s="370">
        <v>45027.33</v>
      </c>
      <c r="AN98" s="370">
        <v>45002.57</v>
      </c>
      <c r="AO98" s="370">
        <v>45017.38</v>
      </c>
      <c r="AP98" s="370">
        <v>45056.76</v>
      </c>
      <c r="AQ98" s="370">
        <v>45056.76</v>
      </c>
      <c r="AR98" s="370">
        <v>35287.050000000003</v>
      </c>
      <c r="AS98" s="370">
        <v>31558.93</v>
      </c>
      <c r="AT98" s="370">
        <v>31333.279999999999</v>
      </c>
      <c r="AU98" s="370">
        <v>31505.040000000001</v>
      </c>
      <c r="AV98" s="370">
        <v>31543.53</v>
      </c>
      <c r="AW98" s="370">
        <v>0</v>
      </c>
      <c r="AX98" s="370">
        <v>0</v>
      </c>
      <c r="AY98" s="370">
        <v>45027.33</v>
      </c>
      <c r="AZ98" s="370">
        <v>45002.57</v>
      </c>
      <c r="BA98" s="370">
        <v>45017.38</v>
      </c>
      <c r="BB98" s="370">
        <v>45056.76</v>
      </c>
      <c r="BC98" s="370">
        <v>45056.76</v>
      </c>
      <c r="BD98" s="370">
        <v>35287.050000000003</v>
      </c>
      <c r="BE98" s="370">
        <v>31558.93</v>
      </c>
      <c r="BF98" s="370">
        <v>31333.279999999999</v>
      </c>
      <c r="BG98" s="370">
        <v>31505.040000000001</v>
      </c>
      <c r="BH98" s="370">
        <v>31543.53</v>
      </c>
      <c r="BI98" s="370">
        <v>0</v>
      </c>
      <c r="BJ98" s="370">
        <v>0</v>
      </c>
      <c r="BK98" s="370">
        <v>45027.33</v>
      </c>
      <c r="BL98" s="370">
        <v>45002.57</v>
      </c>
      <c r="BM98" s="370">
        <v>45017.38</v>
      </c>
      <c r="BN98" s="370">
        <v>40038.199999999997</v>
      </c>
      <c r="BO98" s="370">
        <v>50075.32</v>
      </c>
      <c r="BP98" s="370">
        <v>35287.050000000003</v>
      </c>
      <c r="BQ98" s="370">
        <v>31558.93</v>
      </c>
      <c r="BR98" s="370">
        <v>31333.279999999999</v>
      </c>
      <c r="BS98" s="370">
        <v>31505.040000000001</v>
      </c>
      <c r="BT98" s="370">
        <v>28228.76</v>
      </c>
      <c r="BU98" s="370">
        <v>0</v>
      </c>
      <c r="BV98" s="370">
        <v>0</v>
      </c>
      <c r="BW98" s="370">
        <v>45027.33</v>
      </c>
      <c r="BX98" s="370">
        <v>45002.57</v>
      </c>
      <c r="BY98" s="370">
        <v>45017.38</v>
      </c>
      <c r="BZ98" s="370">
        <v>45056.76</v>
      </c>
      <c r="CA98" s="370">
        <v>45056.76</v>
      </c>
      <c r="CB98" s="370">
        <v>35287.050000000003</v>
      </c>
      <c r="CC98" s="370">
        <v>31558.93</v>
      </c>
      <c r="CD98" s="370">
        <v>31333.279999999999</v>
      </c>
      <c r="CE98" s="370">
        <v>31505.040000000001</v>
      </c>
      <c r="CF98" s="370">
        <v>28228.76</v>
      </c>
      <c r="CG98" s="370">
        <v>0</v>
      </c>
      <c r="CH98" s="370">
        <v>0</v>
      </c>
      <c r="CI98" s="48" t="s">
        <v>1987</v>
      </c>
      <c r="CJ98" s="48" t="s">
        <v>1990</v>
      </c>
      <c r="CK98" s="48" t="s">
        <v>1990</v>
      </c>
      <c r="CL98" s="48" t="s">
        <v>2010</v>
      </c>
      <c r="CM98" s="48" t="s">
        <v>1990</v>
      </c>
      <c r="CN98" s="48" t="s">
        <v>1990</v>
      </c>
      <c r="CO98" s="48" t="str">
        <f t="shared" si="28"/>
        <v>2.1.1.13.1.1</v>
      </c>
      <c r="CP98" s="48" t="str">
        <f>+VLOOKUP(Tabla1[[#This Row],[ESPECÍFICA]],CLASIFICADOR_,2,0)</f>
        <v>2.1.1.13.1.1 - CONTRATO ADMINISTRATIVO DE SERVICIOS - INDETERMINADO</v>
      </c>
      <c r="CQ98" s="48" t="str">
        <f>+VLOOKUP(Tabla1[[#This Row],[ESPECÍFICA]],CLASIFICADOR_,3,0)</f>
        <v>01.CAS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2.1.PERSONAL Y OBLIGACIONES SOCIALES</v>
      </c>
      <c r="CX98" s="48" t="str">
        <f t="shared" si="17"/>
        <v>0007-GG</v>
      </c>
      <c r="CY98" s="113" t="str">
        <f t="shared" si="18"/>
        <v>0007-GG</v>
      </c>
      <c r="CZ98" s="20" t="str">
        <f t="shared" si="19"/>
        <v>0007-GG</v>
      </c>
      <c r="DA98" s="113" t="str">
        <f>+CONCATENATE(Tabla1[[#This Row],[CC COMPLETO]],Tabla1[[#This Row],[ESPECÍFICA]])</f>
        <v>0007-GG2.1.1.13.1.1</v>
      </c>
      <c r="DB98" s="49">
        <f t="shared" si="20"/>
        <v>386388.63</v>
      </c>
      <c r="DC98" s="49">
        <f t="shared" si="21"/>
        <v>386388.63</v>
      </c>
      <c r="DD98" s="49">
        <f t="shared" si="22"/>
        <v>383073.85999999993</v>
      </c>
      <c r="DE98" s="49">
        <f t="shared" si="23"/>
        <v>64179</v>
      </c>
      <c r="DF98" s="49">
        <f t="shared" si="24"/>
        <v>64178.119999999995</v>
      </c>
      <c r="DG98" s="49">
        <f t="shared" si="25"/>
        <v>25936.25</v>
      </c>
      <c r="DH98" s="49">
        <f t="shared" si="26"/>
        <v>154293.37</v>
      </c>
      <c r="DI98" s="50">
        <f t="shared" si="27"/>
        <v>0.7210330445881743</v>
      </c>
      <c r="DJ98" s="78">
        <f>+SUM(Tabla1[[#This Row],[EJECUTADO 01]:[EJECUTADO 06]])</f>
        <v>260447.85000000003</v>
      </c>
      <c r="DK98" s="78">
        <f>+Tabla1[[#This Row],[mto_devenga_01]]</f>
        <v>45027.33</v>
      </c>
      <c r="DL98" s="78">
        <f>+Tabla1[[#This Row],[mto_devenga_02]]</f>
        <v>45002.57</v>
      </c>
      <c r="DM98" s="78">
        <f>+Tabla1[[#This Row],[mto_devenga_03]]</f>
        <v>45017.38</v>
      </c>
      <c r="DN98" s="78">
        <f>+Tabla1[[#This Row],[mto_devenga_04]]</f>
        <v>45056.76</v>
      </c>
      <c r="DO98" s="78">
        <f>+Tabla1[[#This Row],[mto_devenga_05]]</f>
        <v>45056.76</v>
      </c>
      <c r="DP98" s="76">
        <f>+Tabla1[[#This Row],[mto_devenga_06]]</f>
        <v>35287.050000000003</v>
      </c>
      <c r="DQ98" s="76">
        <f>+Tabla1[[#This Row],[mto_devenga_07]]</f>
        <v>31558.93</v>
      </c>
      <c r="DR98" s="76">
        <f>+Tabla1[[#This Row],[mto_devenga_08]]</f>
        <v>31333.279999999999</v>
      </c>
      <c r="DS98" s="76">
        <f>+Tabla1[[#This Row],[mto_devenga_09]]</f>
        <v>31505.040000000001</v>
      </c>
      <c r="DT98" s="76">
        <f>IFERROR(VLOOKUP(Tabla1[[#This Row],[COD SE]],PF_OCTUBRE,14,0),"0")</f>
        <v>31792.57</v>
      </c>
      <c r="DU98" s="76">
        <f>IFERROR(VLOOKUP(Tabla1[[#This Row],[COD SE]],PF_OCTUBRE,15,0),"0")</f>
        <v>31792.57</v>
      </c>
      <c r="DV98" s="76">
        <f>IFERROR(VLOOKUP(Tabla1[[#This Row],[COD SE]],PF_OCTUBRE,16,0),"0")</f>
        <v>31792.57</v>
      </c>
      <c r="DW98" s="76">
        <f>+SUM(Tabla1[[#This Row],[EJECUTADO 01]:[PF DICIEMBRE
]])</f>
        <v>450222.81000000006</v>
      </c>
      <c r="DX98" s="76">
        <f>IFERROR(VLOOKUP(Tabla1[[#This Row],[COD SE]],PF_OCTUBRE,18,0),"0")</f>
        <v>0</v>
      </c>
      <c r="DY98" s="76">
        <f>IFERROR(VLOOKUP(Tabla1[[#This Row],[COD SE]],PF_OCTUBRE,19,0),"0")</f>
        <v>90459.19</v>
      </c>
      <c r="DZ98" s="76">
        <f>IFERROR(VLOOKUP(Tabla1[[#This Row],[COD SE]],PF_OCTUBRE,20,0),"0")</f>
        <v>90459.19</v>
      </c>
      <c r="EA98" s="76">
        <f>+Tabla1[[#This Row],[TOTAL EJEC REAL]]+Tabla1[[#This Row],[SALDO FINAL]]</f>
        <v>540682</v>
      </c>
      <c r="EB98" s="76">
        <f>IFERROR(VLOOKUP(Tabla1[[#This Row],[COD SE]],PF_OCTUBRE,22,0),"0")</f>
        <v>122251.76000000001</v>
      </c>
      <c r="EC98" s="76">
        <f>+IFERROR(VLOOKUP(Tabla1[[#This Row],[COD SE]],SALDO_ESC_2,7,0),0)</f>
        <v>0</v>
      </c>
      <c r="ED98" s="76">
        <f>+IFERROR(VLOOKUP(Tabla1[[#This Row],[COD SE]],SALDO_ESC_3,7,0),0)</f>
        <v>90459.19</v>
      </c>
      <c r="EE98" s="76">
        <f>+Tabla1[[#This Row],[mto_pim]]-Tabla1[[#This Row],[TRANSF ESC2 ]]</f>
        <v>540682</v>
      </c>
      <c r="EF98" s="76">
        <f>+Tabla1[[#This Row],[mto_pim]]-Tabla1[[#This Row],[TRANFS ESC 3 ]]</f>
        <v>450222.81</v>
      </c>
      <c r="EG98" s="76">
        <f>+IFERROR(VLOOKUP(Tabla1[[#This Row],[COD SE]],HISTORICO,4,0),0)</f>
        <v>45056.76</v>
      </c>
      <c r="EH98" s="76">
        <f>+IFERROR(VLOOKUP(Tabla1[[#This Row],[COD SE]],HISTORICO,5,0),0)</f>
        <v>45056.76</v>
      </c>
      <c r="EI98" s="76">
        <f>+IFERROR(VLOOKUP(Tabla1[[#This Row],[COD SE]],HISTORICO,6,0),0)</f>
        <v>45056.76</v>
      </c>
      <c r="EJ98" s="76">
        <f>+IFERROR(VLOOKUP(Tabla1[[#This Row],[COD SE]],HISTORICO,7,0),0)</f>
        <v>45056.76</v>
      </c>
      <c r="EK98" s="76">
        <f>+IFERROR(VLOOKUP(Tabla1[[#This Row],[COD SE]],HISTORICO,8,0),0)</f>
        <v>45179.76</v>
      </c>
      <c r="EL98" s="76">
        <f>+IFERROR(VLOOKUP(Tabla1[[#This Row],[COD SE]],HISTORICO,9,0),0)</f>
        <v>45056.76</v>
      </c>
      <c r="EM98" s="76">
        <f>+IFERROR(VLOOKUP(Tabla1[[#This Row],[COD SE]],HISTORICO,10,0),0)</f>
        <v>31792.57</v>
      </c>
      <c r="EN98" s="76">
        <f>+IFERROR(VLOOKUP(Tabla1[[#This Row],[COD SE]],HISTORICO,11,0),0)</f>
        <v>31792.57</v>
      </c>
      <c r="EO98" s="76">
        <f>+IFERROR(VLOOKUP(Tabla1[[#This Row],[COD SE]],HISTORICO,12,0),0)</f>
        <v>31792.57</v>
      </c>
      <c r="EP98" s="58">
        <f>+SUM(Tabla1[[#This Row],[EJECUTADO 01]:[EJECUTADO 03]])</f>
        <v>135047.28</v>
      </c>
      <c r="EQ98" s="58">
        <f>+SUM(Tabla1[[#This Row],[EJECUTADO 04]:[EJECUTADO 06]])</f>
        <v>125400.57</v>
      </c>
      <c r="ER98" s="58">
        <f>+SUM(Tabla1[[#This Row],[EJECUTADO 07]:[EJECUTADO 09]])</f>
        <v>94397.25</v>
      </c>
      <c r="ES98" s="58">
        <f>+SUM(Tabla1[[#This Row],[PF OCTUBRE]:[PF DICIEMBRE
]])</f>
        <v>95377.709999999992</v>
      </c>
      <c r="ET98" s="58">
        <f>+SUM(Tabla1[[#This Row],[EJECUTADO 01]:[EJECUTADO 09]])</f>
        <v>354845.10000000003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1656</v>
      </c>
      <c r="AD99" s="369" t="s">
        <v>1657</v>
      </c>
      <c r="AE99" s="369" t="s">
        <v>1664</v>
      </c>
      <c r="AF99" s="369" t="s">
        <v>1665</v>
      </c>
      <c r="AG99" s="369" t="s">
        <v>1667</v>
      </c>
      <c r="AH99" s="369">
        <v>13200</v>
      </c>
      <c r="AI99" s="369">
        <v>-1200</v>
      </c>
      <c r="AJ99" s="369">
        <v>12000</v>
      </c>
      <c r="AK99" s="370">
        <v>11400</v>
      </c>
      <c r="AL99" s="370">
        <v>10334</v>
      </c>
      <c r="AM99" s="370">
        <v>0</v>
      </c>
      <c r="AN99" s="370">
        <v>0</v>
      </c>
      <c r="AO99" s="370">
        <v>0</v>
      </c>
      <c r="AP99" s="370">
        <v>0</v>
      </c>
      <c r="AQ99" s="370">
        <v>0</v>
      </c>
      <c r="AR99" s="370">
        <v>0</v>
      </c>
      <c r="AS99" s="370">
        <v>5233.33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5233.33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0</v>
      </c>
      <c r="BP99" s="370">
        <v>0</v>
      </c>
      <c r="BQ99" s="370">
        <v>5233.33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0</v>
      </c>
      <c r="CA99" s="370">
        <v>0</v>
      </c>
      <c r="CB99" s="370">
        <v>0</v>
      </c>
      <c r="CC99" s="370">
        <v>5233.33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1990</v>
      </c>
      <c r="CK99" s="48" t="s">
        <v>1990</v>
      </c>
      <c r="CL99" s="48" t="s">
        <v>2005</v>
      </c>
      <c r="CM99" s="48" t="s">
        <v>1990</v>
      </c>
      <c r="CN99" s="48" t="s">
        <v>1993</v>
      </c>
      <c r="CO99" s="48" t="str">
        <f t="shared" si="28"/>
        <v>2.1.1.9.1.4</v>
      </c>
      <c r="CP99" s="48" t="str">
        <f>+VLOOKUP(Tabla1[[#This Row],[ESPECÍFICA]],CLASIFICADOR_,2,0)</f>
        <v>2.1.1.9.1.4 - AGUINALDOS DE CONTRATO ADMINISTRATIVO DE SERVICIOS</v>
      </c>
      <c r="CQ99" s="48" t="str">
        <f>+VLOOKUP(Tabla1[[#This Row],[ESPECÍFICA]],CLASIFICADOR_,3,0)</f>
        <v>01.CAS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N/R</v>
      </c>
      <c r="CU99" s="48" t="str">
        <f>+VLOOKUP(Tabla1[[#This Row],[ESPECÍFICA]],CLASIFICADOR_,7,0)</f>
        <v>N/R</v>
      </c>
      <c r="CV99" s="48">
        <f>+VLOOKUP(Tabla1[[#This Row],[ESPECÍFICA]],CLASIFICADOR_,8,0)</f>
        <v>0</v>
      </c>
      <c r="CW99" s="113" t="str">
        <f>+CONCATENATE("2.",Tabla1[[#This Row],[generica]])</f>
        <v>2.1.PERSONAL Y OBLIGACIONES SOCIALES</v>
      </c>
      <c r="CX99" s="48" t="str">
        <f t="shared" si="17"/>
        <v>0008-OAUGD</v>
      </c>
      <c r="CY99" s="113" t="str">
        <f t="shared" si="18"/>
        <v>0008-OAUGD</v>
      </c>
      <c r="CZ99" s="20" t="str">
        <f t="shared" si="19"/>
        <v>0008-OAUGD</v>
      </c>
      <c r="DA99" s="113" t="str">
        <f>+CONCATENATE(Tabla1[[#This Row],[CC COMPLETO]],Tabla1[[#This Row],[ESPECÍFICA]])</f>
        <v>0008-OAUGD2.1.1.9.1.4</v>
      </c>
      <c r="DB99" s="49">
        <f t="shared" si="20"/>
        <v>5233.33</v>
      </c>
      <c r="DC99" s="49">
        <f t="shared" si="21"/>
        <v>5233.33</v>
      </c>
      <c r="DD99" s="49">
        <f t="shared" si="22"/>
        <v>5233.33</v>
      </c>
      <c r="DE99" s="49">
        <f t="shared" si="23"/>
        <v>600</v>
      </c>
      <c r="DF99" s="49">
        <f t="shared" si="24"/>
        <v>1066</v>
      </c>
      <c r="DG99" s="49">
        <f t="shared" si="25"/>
        <v>5100.67</v>
      </c>
      <c r="DH99" s="49">
        <f t="shared" si="26"/>
        <v>6766.67</v>
      </c>
      <c r="DI99" s="50">
        <f t="shared" si="27"/>
        <v>0.39646439393939392</v>
      </c>
      <c r="DJ99" s="78">
        <f>+SUM(Tabla1[[#This Row],[EJECUTADO 01]:[EJECUTADO 06]])</f>
        <v>0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0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5233.33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5700</v>
      </c>
      <c r="DW99" s="76">
        <f>+SUM(Tabla1[[#This Row],[EJECUTADO 01]:[PF DICIEMBRE
]])</f>
        <v>10933.33</v>
      </c>
      <c r="DX99" s="76">
        <f>IFERROR(VLOOKUP(Tabla1[[#This Row],[COD SE]],PF_OCTUBRE,18,0),"0")</f>
        <v>0</v>
      </c>
      <c r="DY99" s="76">
        <f>IFERROR(VLOOKUP(Tabla1[[#This Row],[COD SE]],PF_OCTUBRE,19,0),"0")</f>
        <v>1066.67</v>
      </c>
      <c r="DZ99" s="76">
        <f>IFERROR(VLOOKUP(Tabla1[[#This Row],[COD SE]],PF_OCTUBRE,20,0),"0")</f>
        <v>1066.67</v>
      </c>
      <c r="EA99" s="76">
        <f>+Tabla1[[#This Row],[TOTAL EJEC REAL]]+Tabla1[[#This Row],[SALDO FINAL]]</f>
        <v>12000</v>
      </c>
      <c r="EB99" s="76">
        <f>IFERROR(VLOOKUP(Tabla1[[#This Row],[COD SE]],PF_OCTUBRE,22,0),"0")</f>
        <v>6766.67</v>
      </c>
      <c r="EC99" s="76">
        <f>+IFERROR(VLOOKUP(Tabla1[[#This Row],[COD SE]],SALDO_ESC_2,7,0),0)</f>
        <v>0</v>
      </c>
      <c r="ED99" s="76">
        <f>+IFERROR(VLOOKUP(Tabla1[[#This Row],[COD SE]],SALDO_ESC_3,7,0),0)</f>
        <v>1066.67</v>
      </c>
      <c r="EE99" s="76">
        <f>+Tabla1[[#This Row],[mto_pim]]-Tabla1[[#This Row],[TRANSF ESC2 ]]</f>
        <v>12000</v>
      </c>
      <c r="EF99" s="76">
        <f>+Tabla1[[#This Row],[mto_pim]]-Tabla1[[#This Row],[TRANFS ESC 3 ]]</f>
        <v>10933.33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6000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0</v>
      </c>
      <c r="ER99" s="58">
        <f>+SUM(Tabla1[[#This Row],[EJECUTADO 07]:[EJECUTADO 09]])</f>
        <v>5233.33</v>
      </c>
      <c r="ES99" s="58">
        <f>+SUM(Tabla1[[#This Row],[PF OCTUBRE]:[PF DICIEMBRE
]])</f>
        <v>5700</v>
      </c>
      <c r="ET99" s="58">
        <f>+SUM(Tabla1[[#This Row],[EJECUTADO 01]:[EJECUTADO 09]])</f>
        <v>5233.33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1985</v>
      </c>
      <c r="AB100" s="369" t="s">
        <v>1986</v>
      </c>
      <c r="AC100" s="369" t="s">
        <v>1643</v>
      </c>
      <c r="AD100" s="369" t="s">
        <v>1702</v>
      </c>
      <c r="AE100" s="369" t="s">
        <v>1703</v>
      </c>
      <c r="AF100" s="369" t="s">
        <v>2026</v>
      </c>
      <c r="AG100" s="369" t="s">
        <v>2027</v>
      </c>
      <c r="AH100" s="369">
        <v>0</v>
      </c>
      <c r="AI100" s="369">
        <v>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1988</v>
      </c>
      <c r="CK100" s="48" t="s">
        <v>1991</v>
      </c>
      <c r="CL100" s="48" t="s">
        <v>1987</v>
      </c>
      <c r="CM100" s="48" t="s">
        <v>1990</v>
      </c>
      <c r="CN100" s="48" t="s">
        <v>1987</v>
      </c>
      <c r="CO100" s="48" t="str">
        <f t="shared" si="28"/>
        <v>2.6.3.2.1.2</v>
      </c>
      <c r="CP100" s="48" t="str">
        <f>+VLOOKUP(Tabla1[[#This Row],[ESPECÍFICA]],CLASIFICADOR_,2,0)</f>
        <v>2.6.3.2.1.2 - MOBILIARIO</v>
      </c>
      <c r="CQ100" s="48" t="str">
        <f>+VLOOKUP(Tabla1[[#This Row],[ESPECÍFICA]],CLASIFICADOR_,3,0)</f>
        <v>2.6.3.2 - ADQUISICION DE MAQUINARIAS, EQUIPO Y MOBILIARIO</v>
      </c>
      <c r="CR100" s="48" t="str">
        <f>+VLOOKUP(Tabla1[[#This Row],[ESPECÍFICA]],CLASIFICADOR_,4,0)</f>
        <v xml:space="preserve"> </v>
      </c>
      <c r="CS100" s="48">
        <f>+VLOOKUP(Tabla1[[#This Row],[ESPECÍFICA]],CLASIFICADOR_,5,0)</f>
        <v>0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2.6.ADQUISICION DE ACTIVOS NO FINANCIEROS</v>
      </c>
      <c r="CX100" s="48" t="str">
        <f t="shared" si="17"/>
        <v>0008-OAUGD</v>
      </c>
      <c r="CY100" s="113" t="str">
        <f t="shared" si="18"/>
        <v>0008-OAUGD</v>
      </c>
      <c r="CZ100" s="20" t="str">
        <f t="shared" si="19"/>
        <v>0008-OAUGD</v>
      </c>
      <c r="DA100" s="113" t="str">
        <f>+CONCATENATE(Tabla1[[#This Row],[CC COMPLETO]],Tabla1[[#This Row],[ESPECÍFICA]])</f>
        <v>0008-OAUGD2.6.3.2.1.2</v>
      </c>
      <c r="DB100" s="49">
        <f t="shared" si="20"/>
        <v>0</v>
      </c>
      <c r="DC100" s="49">
        <f t="shared" si="21"/>
        <v>0</v>
      </c>
      <c r="DD100" s="49">
        <f t="shared" si="22"/>
        <v>0</v>
      </c>
      <c r="DE100" s="49">
        <f t="shared" si="23"/>
        <v>0</v>
      </c>
      <c r="DF100" s="49">
        <f t="shared" si="24"/>
        <v>0</v>
      </c>
      <c r="DG100" s="49">
        <f t="shared" si="25"/>
        <v>0</v>
      </c>
      <c r="DH100" s="49">
        <f t="shared" si="26"/>
        <v>0</v>
      </c>
      <c r="DI100" s="50">
        <f t="shared" si="27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 t="str">
        <f>IFERROR(VLOOKUP(Tabla1[[#This Row],[COD SE]],PF_OCTUBRE,14,0),"0")</f>
        <v>0</v>
      </c>
      <c r="DU100" s="76" t="str">
        <f>IFERROR(VLOOKUP(Tabla1[[#This Row],[COD SE]],PF_OCTUBRE,15,0),"0")</f>
        <v>0</v>
      </c>
      <c r="DV100" s="76" t="str">
        <f>IFERROR(VLOOKUP(Tabla1[[#This Row],[COD SE]],PF_OCTUBRE,16,0),"0")</f>
        <v>0</v>
      </c>
      <c r="DW100" s="76">
        <f>+SUM(Tabla1[[#This Row],[EJECUTADO 01]:[PF DICIEMBRE
]])</f>
        <v>0</v>
      </c>
      <c r="DX100" s="76" t="str">
        <f>IFERROR(VLOOKUP(Tabla1[[#This Row],[COD SE]],PF_OCTUBRE,18,0),"0")</f>
        <v>0</v>
      </c>
      <c r="DY100" s="76" t="str">
        <f>IFERROR(VLOOKUP(Tabla1[[#This Row],[COD SE]],PF_OCTUBRE,19,0),"0")</f>
        <v>0</v>
      </c>
      <c r="DZ100" s="76" t="str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 t="str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1684</v>
      </c>
      <c r="AE101" s="369" t="s">
        <v>1716</v>
      </c>
      <c r="AF101" s="369" t="s">
        <v>1717</v>
      </c>
      <c r="AG101" s="369" t="s">
        <v>1718</v>
      </c>
      <c r="AH101" s="369">
        <v>4500</v>
      </c>
      <c r="AI101" s="369">
        <v>-260</v>
      </c>
      <c r="AJ101" s="369">
        <v>4240</v>
      </c>
      <c r="AK101" s="370">
        <v>3440</v>
      </c>
      <c r="AL101" s="370">
        <v>3440</v>
      </c>
      <c r="AM101" s="370">
        <v>0</v>
      </c>
      <c r="AN101" s="370">
        <v>3440</v>
      </c>
      <c r="AO101" s="370">
        <v>0</v>
      </c>
      <c r="AP101" s="370">
        <v>0</v>
      </c>
      <c r="AQ101" s="370">
        <v>0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0</v>
      </c>
      <c r="BA101" s="370">
        <v>3440</v>
      </c>
      <c r="BB101" s="370">
        <v>0</v>
      </c>
      <c r="BC101" s="370">
        <v>0</v>
      </c>
      <c r="BD101" s="370">
        <v>0</v>
      </c>
      <c r="BE101" s="370">
        <v>0</v>
      </c>
      <c r="BF101" s="370">
        <v>0</v>
      </c>
      <c r="BG101" s="370">
        <v>0</v>
      </c>
      <c r="BH101" s="370">
        <v>0</v>
      </c>
      <c r="BI101" s="370">
        <v>0</v>
      </c>
      <c r="BJ101" s="370">
        <v>0</v>
      </c>
      <c r="BK101" s="370">
        <v>0</v>
      </c>
      <c r="BL101" s="370">
        <v>0</v>
      </c>
      <c r="BM101" s="370">
        <v>3440</v>
      </c>
      <c r="BN101" s="370">
        <v>0</v>
      </c>
      <c r="BO101" s="370">
        <v>0</v>
      </c>
      <c r="BP101" s="370">
        <v>0</v>
      </c>
      <c r="BQ101" s="370">
        <v>0</v>
      </c>
      <c r="BR101" s="370">
        <v>0</v>
      </c>
      <c r="BS101" s="370">
        <v>0</v>
      </c>
      <c r="BT101" s="370">
        <v>0</v>
      </c>
      <c r="BU101" s="370">
        <v>0</v>
      </c>
      <c r="BV101" s="370">
        <v>0</v>
      </c>
      <c r="BW101" s="370">
        <v>0</v>
      </c>
      <c r="BX101" s="370">
        <v>3440</v>
      </c>
      <c r="BY101" s="370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1990</v>
      </c>
      <c r="CL101" s="48" t="s">
        <v>2011</v>
      </c>
      <c r="CM101" s="48" t="s">
        <v>1990</v>
      </c>
      <c r="CN101" s="48" t="s">
        <v>1987</v>
      </c>
      <c r="CO101" s="48" t="str">
        <f t="shared" si="28"/>
        <v>2.3.1.5.1.2</v>
      </c>
      <c r="CP101" s="48" t="str">
        <f>+VLOOKUP(Tabla1[[#This Row],[ESPECÍFICA]],CLASIFICADOR_,2,0)</f>
        <v>2.3.1.5.1.2 - PAPELERIA EN GENERAL, UTILES Y MATERIALES DE OFICINA</v>
      </c>
      <c r="CQ101" s="48" t="str">
        <f>+VLOOKUP(Tabla1[[#This Row],[ESPECÍFICA]],CLASIFICADOR_,3,0)</f>
        <v>2.3.1.5 - MATERIALES Y  UTILES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7"/>
        <v>0008-OAUGD</v>
      </c>
      <c r="CY101" s="113" t="str">
        <f t="shared" si="18"/>
        <v>0008-OAUGD</v>
      </c>
      <c r="CZ101" s="20" t="str">
        <f t="shared" si="19"/>
        <v>0008-OAUGD</v>
      </c>
      <c r="DA101" s="113" t="str">
        <f>+CONCATENATE(Tabla1[[#This Row],[CC COMPLETO]],Tabla1[[#This Row],[ESPECÍFICA]])</f>
        <v>0008-OAUGD2.3.1.5.1.2</v>
      </c>
      <c r="DB101" s="49">
        <f t="shared" si="20"/>
        <v>3440</v>
      </c>
      <c r="DC101" s="49">
        <f t="shared" si="21"/>
        <v>3440</v>
      </c>
      <c r="DD101" s="49">
        <f t="shared" si="22"/>
        <v>3440</v>
      </c>
      <c r="DE101" s="49">
        <f t="shared" si="23"/>
        <v>800</v>
      </c>
      <c r="DF101" s="49">
        <f t="shared" si="24"/>
        <v>0</v>
      </c>
      <c r="DG101" s="49">
        <f t="shared" si="25"/>
        <v>0</v>
      </c>
      <c r="DH101" s="49">
        <f t="shared" si="26"/>
        <v>800</v>
      </c>
      <c r="DI101" s="50">
        <f t="shared" si="27"/>
        <v>0.76444444444444448</v>
      </c>
      <c r="DJ101" s="78">
        <f>+SUM(Tabla1[[#This Row],[EJECUTADO 01]:[EJECUTADO 06]])</f>
        <v>3440</v>
      </c>
      <c r="DK101" s="78">
        <f>+Tabla1[[#This Row],[mto_devenga_01]]</f>
        <v>0</v>
      </c>
      <c r="DL101" s="78">
        <f>+Tabla1[[#This Row],[mto_devenga_02]]</f>
        <v>0</v>
      </c>
      <c r="DM101" s="78">
        <f>+Tabla1[[#This Row],[mto_devenga_03]]</f>
        <v>3440</v>
      </c>
      <c r="DN101" s="78">
        <f>+Tabla1[[#This Row],[mto_devenga_04]]</f>
        <v>0</v>
      </c>
      <c r="DO101" s="78">
        <f>+Tabla1[[#This Row],[mto_devenga_05]]</f>
        <v>0</v>
      </c>
      <c r="DP101" s="76">
        <f>+Tabla1[[#This Row],[mto_devenga_06]]</f>
        <v>0</v>
      </c>
      <c r="DQ101" s="76">
        <f>+Tabla1[[#This Row],[mto_devenga_07]]</f>
        <v>0</v>
      </c>
      <c r="DR101" s="76">
        <f>+Tabla1[[#This Row],[mto_devenga_08]]</f>
        <v>0</v>
      </c>
      <c r="DS101" s="76">
        <f>+Tabla1[[#This Row],[mto_devenga_09]]</f>
        <v>0</v>
      </c>
      <c r="DT101" s="76">
        <f>IFERROR(VLOOKUP(Tabla1[[#This Row],[COD SE]],PF_OCTUBRE,14,0),"0")</f>
        <v>0</v>
      </c>
      <c r="DU101" s="76">
        <f>IFERROR(VLOOKUP(Tabla1[[#This Row],[COD SE]],PF_OCTUBRE,15,0),"0")</f>
        <v>800</v>
      </c>
      <c r="DV101" s="76">
        <f>IFERROR(VLOOKUP(Tabla1[[#This Row],[COD SE]],PF_OCTUBRE,16,0),"0")</f>
        <v>0</v>
      </c>
      <c r="DW101" s="76">
        <f>+SUM(Tabla1[[#This Row],[EJECUTADO 01]:[PF DICIEMBRE
]])</f>
        <v>4240</v>
      </c>
      <c r="DX101" s="76">
        <f>IFERROR(VLOOKUP(Tabla1[[#This Row],[COD SE]],PF_OCTUBRE,18,0),"0")</f>
        <v>0</v>
      </c>
      <c r="DY101" s="76">
        <f>IFERROR(VLOOKUP(Tabla1[[#This Row],[COD SE]],PF_OCTUBRE,19,0),"0")</f>
        <v>0</v>
      </c>
      <c r="DZ101" s="76">
        <f>IFERROR(VLOOKUP(Tabla1[[#This Row],[COD SE]],PF_OCTUBRE,20,0),"0")</f>
        <v>0</v>
      </c>
      <c r="EA101" s="76">
        <f>+Tabla1[[#This Row],[TOTAL EJEC REAL]]+Tabla1[[#This Row],[SALDO FINAL]]</f>
        <v>4240</v>
      </c>
      <c r="EB101" s="76">
        <f>IFERROR(VLOOKUP(Tabla1[[#This Row],[COD SE]],PF_OCTUBRE,22,0),"0")</f>
        <v>0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4240</v>
      </c>
      <c r="EF101" s="76">
        <f>+Tabla1[[#This Row],[mto_pim]]-Tabla1[[#This Row],[TRANFS ESC 3 ]]</f>
        <v>4240</v>
      </c>
      <c r="EG101" s="76">
        <f>+IFERROR(VLOOKUP(Tabla1[[#This Row],[COD SE]],HISTORICO,4,0),0)</f>
        <v>0</v>
      </c>
      <c r="EH101" s="76">
        <f>+IFERROR(VLOOKUP(Tabla1[[#This Row],[COD SE]],HISTORICO,5,0),0)</f>
        <v>0</v>
      </c>
      <c r="EI101" s="76">
        <f>+IFERROR(VLOOKUP(Tabla1[[#This Row],[COD SE]],HISTORICO,6,0),0)</f>
        <v>3500</v>
      </c>
      <c r="EJ101" s="76">
        <f>+IFERROR(VLOOKUP(Tabla1[[#This Row],[COD SE]],HISTORICO,7,0),0)</f>
        <v>0</v>
      </c>
      <c r="EK101" s="76">
        <f>+IFERROR(VLOOKUP(Tabla1[[#This Row],[COD SE]],HISTORICO,8,0),0)</f>
        <v>0</v>
      </c>
      <c r="EL101" s="76">
        <f>+IFERROR(VLOOKUP(Tabla1[[#This Row],[COD SE]],HISTORICO,9,0),0)</f>
        <v>0</v>
      </c>
      <c r="EM101" s="76">
        <f>+IFERROR(VLOOKUP(Tabla1[[#This Row],[COD SE]],HISTORICO,10,0),0)</f>
        <v>0</v>
      </c>
      <c r="EN101" s="76">
        <f>+IFERROR(VLOOKUP(Tabla1[[#This Row],[COD SE]],HISTORICO,11,0),0)</f>
        <v>0</v>
      </c>
      <c r="EO101" s="76">
        <f>+IFERROR(VLOOKUP(Tabla1[[#This Row],[COD SE]],HISTORICO,12,0),0)</f>
        <v>0</v>
      </c>
      <c r="EP101" s="58">
        <f>+SUM(Tabla1[[#This Row],[EJECUTADO 01]:[EJECUTADO 03]])</f>
        <v>3440</v>
      </c>
      <c r="EQ101" s="58">
        <f>+SUM(Tabla1[[#This Row],[EJECUTADO 04]:[EJECUTADO 06]])</f>
        <v>0</v>
      </c>
      <c r="ER101" s="58">
        <f>+SUM(Tabla1[[#This Row],[EJECUTADO 07]:[EJECUTADO 09]])</f>
        <v>0</v>
      </c>
      <c r="ES101" s="58">
        <f>+SUM(Tabla1[[#This Row],[PF OCTUBRE]:[PF DICIEMBRE
]])</f>
        <v>800</v>
      </c>
      <c r="ET101" s="58">
        <f>+SUM(Tabla1[[#This Row],[EJECUTADO 01]:[EJECUTADO 09]])</f>
        <v>3440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1673</v>
      </c>
      <c r="AE102" s="369" t="s">
        <v>1688</v>
      </c>
      <c r="AF102" s="369" t="s">
        <v>1725</v>
      </c>
      <c r="AG102" s="369" t="s">
        <v>1726</v>
      </c>
      <c r="AH102" s="369">
        <v>169000</v>
      </c>
      <c r="AI102" s="369">
        <v>-161166</v>
      </c>
      <c r="AJ102" s="369">
        <v>7834</v>
      </c>
      <c r="AK102" s="370">
        <v>7833.5</v>
      </c>
      <c r="AL102" s="370">
        <v>7833.5</v>
      </c>
      <c r="AM102" s="370">
        <v>5057.5</v>
      </c>
      <c r="AN102" s="370">
        <v>0</v>
      </c>
      <c r="AO102" s="370">
        <v>0</v>
      </c>
      <c r="AP102" s="370">
        <v>0</v>
      </c>
      <c r="AQ102" s="370">
        <v>2776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2310.5</v>
      </c>
      <c r="BB102" s="370">
        <v>1185</v>
      </c>
      <c r="BC102" s="370">
        <v>0</v>
      </c>
      <c r="BD102" s="370">
        <v>1562</v>
      </c>
      <c r="BE102" s="370">
        <v>407</v>
      </c>
      <c r="BF102" s="370">
        <v>580</v>
      </c>
      <c r="BG102" s="370">
        <v>374</v>
      </c>
      <c r="BH102" s="370">
        <v>139</v>
      </c>
      <c r="BI102" s="370">
        <v>0</v>
      </c>
      <c r="BJ102" s="370">
        <v>0</v>
      </c>
      <c r="BK102" s="370">
        <v>0</v>
      </c>
      <c r="BL102" s="370">
        <v>0</v>
      </c>
      <c r="BM102" s="370">
        <v>2310.5</v>
      </c>
      <c r="BN102" s="370">
        <v>1185</v>
      </c>
      <c r="BO102" s="370">
        <v>0</v>
      </c>
      <c r="BP102" s="370">
        <v>1562</v>
      </c>
      <c r="BQ102" s="370">
        <v>407</v>
      </c>
      <c r="BR102" s="370">
        <v>580</v>
      </c>
      <c r="BS102" s="370">
        <v>374</v>
      </c>
      <c r="BT102" s="370">
        <v>139</v>
      </c>
      <c r="BU102" s="370">
        <v>0</v>
      </c>
      <c r="BV102" s="370">
        <v>0</v>
      </c>
      <c r="BW102" s="370">
        <v>5057.5</v>
      </c>
      <c r="BX102" s="370">
        <v>0</v>
      </c>
      <c r="BY102" s="370">
        <v>0</v>
      </c>
      <c r="BZ102" s="370">
        <v>0</v>
      </c>
      <c r="CA102" s="370">
        <v>1500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1987</v>
      </c>
      <c r="CL102" s="48" t="s">
        <v>1987</v>
      </c>
      <c r="CM102" s="48" t="s">
        <v>1991</v>
      </c>
      <c r="CN102" s="48" t="s">
        <v>1990</v>
      </c>
      <c r="CO102" s="48" t="str">
        <f t="shared" si="28"/>
        <v>2.3.2.2.3.1</v>
      </c>
      <c r="CP102" s="48" t="str">
        <f>+VLOOKUP(Tabla1[[#This Row],[ESPECÍFICA]],CLASIFICADOR_,2,0)</f>
        <v>2.3.2.2.3.1 - CORREOS Y SERVICIOS DE MENSAJERIA</v>
      </c>
      <c r="CQ102" s="48" t="str">
        <f>+VLOOKUP(Tabla1[[#This Row],[ESPECÍFICA]],CLASIFICADOR_,3,0)</f>
        <v>2.3.2.2 - SERVICIOS BASICOS, COMUNICACIONES, PUBLICIDAD Y DIFUSION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7"/>
        <v>0008-OAUGD</v>
      </c>
      <c r="CY102" s="113" t="str">
        <f t="shared" si="18"/>
        <v>0008-OAUGD</v>
      </c>
      <c r="CZ102" s="20" t="str">
        <f t="shared" si="19"/>
        <v>0008-OAUGD</v>
      </c>
      <c r="DA102" s="113" t="str">
        <f>+CONCATENATE(Tabla1[[#This Row],[CC COMPLETO]],Tabla1[[#This Row],[ESPECÍFICA]])</f>
        <v>0008-OAUGD2.3.2.2.3.1</v>
      </c>
      <c r="DB102" s="49">
        <f t="shared" si="20"/>
        <v>7833.5</v>
      </c>
      <c r="DC102" s="49">
        <f t="shared" si="21"/>
        <v>6557.5</v>
      </c>
      <c r="DD102" s="49">
        <f t="shared" si="22"/>
        <v>6557.5</v>
      </c>
      <c r="DE102" s="49">
        <f t="shared" si="23"/>
        <v>0.5</v>
      </c>
      <c r="DF102" s="49">
        <f t="shared" si="24"/>
        <v>0</v>
      </c>
      <c r="DG102" s="49">
        <f t="shared" si="25"/>
        <v>1276</v>
      </c>
      <c r="DH102" s="49">
        <f t="shared" si="26"/>
        <v>1276.5</v>
      </c>
      <c r="DI102" s="50">
        <f t="shared" si="27"/>
        <v>3.8801775147928992E-2</v>
      </c>
      <c r="DJ102" s="78">
        <f>+SUM(Tabla1[[#This Row],[EJECUTADO 01]:[EJECUTADO 06]])</f>
        <v>5057.5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2310.5</v>
      </c>
      <c r="DN102" s="78">
        <f>+Tabla1[[#This Row],[mto_devenga_04]]</f>
        <v>1185</v>
      </c>
      <c r="DO102" s="78">
        <f>+Tabla1[[#This Row],[mto_devenga_05]]</f>
        <v>0</v>
      </c>
      <c r="DP102" s="76">
        <f>+Tabla1[[#This Row],[mto_devenga_06]]</f>
        <v>1562</v>
      </c>
      <c r="DQ102" s="76">
        <f>+Tabla1[[#This Row],[mto_devenga_07]]</f>
        <v>407</v>
      </c>
      <c r="DR102" s="76">
        <f>+Tabla1[[#This Row],[mto_devenga_08]]</f>
        <v>580</v>
      </c>
      <c r="DS102" s="76">
        <f>+Tabla1[[#This Row],[mto_devenga_09]]</f>
        <v>374</v>
      </c>
      <c r="DT102" s="76">
        <f>IFERROR(VLOOKUP(Tabla1[[#This Row],[COD SE]],PF_OCTUBRE,14,0),"0")</f>
        <v>139</v>
      </c>
      <c r="DU102" s="76">
        <f>IFERROR(VLOOKUP(Tabla1[[#This Row],[COD SE]],PF_OCTUBRE,15,0),"0")</f>
        <v>426</v>
      </c>
      <c r="DV102" s="76">
        <f>IFERROR(VLOOKUP(Tabla1[[#This Row],[COD SE]],PF_OCTUBRE,16,0),"0")</f>
        <v>850.5</v>
      </c>
      <c r="DW102" s="76">
        <f>+SUM(Tabla1[[#This Row],[EJECUTADO 01]:[PF DICIEMBRE
]])</f>
        <v>7834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7834</v>
      </c>
      <c r="EB102" s="76">
        <f>IFERROR(VLOOKUP(Tabla1[[#This Row],[COD SE]],PF_OCTUBRE,22,0),"0")</f>
        <v>850.5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7834</v>
      </c>
      <c r="EF102" s="76">
        <f>+Tabla1[[#This Row],[mto_pim]]-Tabla1[[#This Row],[TRANFS ESC 3 ]]</f>
        <v>7834</v>
      </c>
      <c r="EG102" s="76">
        <f>+IFERROR(VLOOKUP(Tabla1[[#This Row],[COD SE]],HISTORICO,4,0),0)</f>
        <v>23825</v>
      </c>
      <c r="EH102" s="76">
        <f>+IFERROR(VLOOKUP(Tabla1[[#This Row],[COD SE]],HISTORICO,5,0),0)</f>
        <v>1250</v>
      </c>
      <c r="EI102" s="76">
        <f>+IFERROR(VLOOKUP(Tabla1[[#This Row],[COD SE]],HISTORICO,6,0),0)</f>
        <v>2311</v>
      </c>
      <c r="EJ102" s="76">
        <f>+IFERROR(VLOOKUP(Tabla1[[#This Row],[COD SE]],HISTORICO,7,0),0)</f>
        <v>4000</v>
      </c>
      <c r="EK102" s="76">
        <f>+IFERROR(VLOOKUP(Tabla1[[#This Row],[COD SE]],HISTORICO,8,0),0)</f>
        <v>1600</v>
      </c>
      <c r="EL102" s="76">
        <f>+IFERROR(VLOOKUP(Tabla1[[#This Row],[COD SE]],HISTORICO,9,0),0)</f>
        <v>1659</v>
      </c>
      <c r="EM102" s="76">
        <f>+IFERROR(VLOOKUP(Tabla1[[#This Row],[COD SE]],HISTORICO,10,0),0)</f>
        <v>407</v>
      </c>
      <c r="EN102" s="76">
        <f>+IFERROR(VLOOKUP(Tabla1[[#This Row],[COD SE]],HISTORICO,11,0),0)</f>
        <v>580</v>
      </c>
      <c r="EO102" s="76">
        <f>+IFERROR(VLOOKUP(Tabla1[[#This Row],[COD SE]],HISTORICO,12,0),0)</f>
        <v>374</v>
      </c>
      <c r="EP102" s="58">
        <f>+SUM(Tabla1[[#This Row],[EJECUTADO 01]:[EJECUTADO 03]])</f>
        <v>2310.5</v>
      </c>
      <c r="EQ102" s="58">
        <f>+SUM(Tabla1[[#This Row],[EJECUTADO 04]:[EJECUTADO 06]])</f>
        <v>2747</v>
      </c>
      <c r="ER102" s="58">
        <f>+SUM(Tabla1[[#This Row],[EJECUTADO 07]:[EJECUTADO 09]])</f>
        <v>1361</v>
      </c>
      <c r="ES102" s="58">
        <f>+SUM(Tabla1[[#This Row],[PF OCTUBRE]:[PF DICIEMBRE
]])</f>
        <v>1415.5</v>
      </c>
      <c r="ET102" s="58">
        <f>+SUM(Tabla1[[#This Row],[EJECUTADO 01]:[EJECUTADO 09]])</f>
        <v>6418.5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1672</v>
      </c>
      <c r="AD103" s="369" t="s">
        <v>1684</v>
      </c>
      <c r="AE103" s="369" t="s">
        <v>1713</v>
      </c>
      <c r="AF103" s="369" t="s">
        <v>1714</v>
      </c>
      <c r="AG103" s="369" t="s">
        <v>1715</v>
      </c>
      <c r="AH103" s="369">
        <v>800</v>
      </c>
      <c r="AI103" s="369">
        <v>4529</v>
      </c>
      <c r="AJ103" s="369">
        <v>5329</v>
      </c>
      <c r="AK103" s="370">
        <v>2329</v>
      </c>
      <c r="AL103" s="370">
        <v>2329</v>
      </c>
      <c r="AM103" s="370">
        <v>0</v>
      </c>
      <c r="AN103" s="370">
        <v>0</v>
      </c>
      <c r="AO103" s="370">
        <v>316</v>
      </c>
      <c r="AP103" s="370">
        <v>0</v>
      </c>
      <c r="AQ103" s="370">
        <v>0</v>
      </c>
      <c r="AR103" s="370">
        <v>2013</v>
      </c>
      <c r="AS103" s="370">
        <v>0</v>
      </c>
      <c r="AT103" s="370">
        <v>0</v>
      </c>
      <c r="AU103" s="370">
        <v>0</v>
      </c>
      <c r="AV103" s="370">
        <v>0</v>
      </c>
      <c r="AW103" s="370">
        <v>0</v>
      </c>
      <c r="AX103" s="370">
        <v>0</v>
      </c>
      <c r="AY103" s="370">
        <v>0</v>
      </c>
      <c r="AZ103" s="370">
        <v>0</v>
      </c>
      <c r="BA103" s="370">
        <v>316</v>
      </c>
      <c r="BB103" s="370">
        <v>0</v>
      </c>
      <c r="BC103" s="370">
        <v>0</v>
      </c>
      <c r="BD103" s="370">
        <v>0</v>
      </c>
      <c r="BE103" s="370">
        <v>2013</v>
      </c>
      <c r="BF103" s="370">
        <v>0</v>
      </c>
      <c r="BG103" s="370">
        <v>0</v>
      </c>
      <c r="BH103" s="370">
        <v>0</v>
      </c>
      <c r="BI103" s="370">
        <v>0</v>
      </c>
      <c r="BJ103" s="370">
        <v>0</v>
      </c>
      <c r="BK103" s="370">
        <v>0</v>
      </c>
      <c r="BL103" s="370">
        <v>0</v>
      </c>
      <c r="BM103" s="370">
        <v>316</v>
      </c>
      <c r="BN103" s="370">
        <v>0</v>
      </c>
      <c r="BO103" s="370">
        <v>0</v>
      </c>
      <c r="BP103" s="370">
        <v>0</v>
      </c>
      <c r="BQ103" s="370">
        <v>2013</v>
      </c>
      <c r="BR103" s="370">
        <v>0</v>
      </c>
      <c r="BS103" s="370">
        <v>0</v>
      </c>
      <c r="BT103" s="370">
        <v>0</v>
      </c>
      <c r="BU103" s="370">
        <v>0</v>
      </c>
      <c r="BV103" s="370">
        <v>0</v>
      </c>
      <c r="BW103" s="370">
        <v>0</v>
      </c>
      <c r="BX103" s="370">
        <v>0</v>
      </c>
      <c r="BY103" s="370">
        <v>316</v>
      </c>
      <c r="BZ103" s="370">
        <v>0</v>
      </c>
      <c r="CA103" s="370">
        <v>0</v>
      </c>
      <c r="CB103" s="370">
        <v>2013</v>
      </c>
      <c r="CC103" s="370">
        <v>0</v>
      </c>
      <c r="CD103" s="370">
        <v>0</v>
      </c>
      <c r="CE103" s="370">
        <v>0</v>
      </c>
      <c r="CF103" s="370">
        <v>0</v>
      </c>
      <c r="CG103" s="370">
        <v>0</v>
      </c>
      <c r="CH103" s="370">
        <v>0</v>
      </c>
      <c r="CI103" s="48" t="s">
        <v>1987</v>
      </c>
      <c r="CJ103" s="48" t="s">
        <v>1991</v>
      </c>
      <c r="CK103" s="48" t="s">
        <v>1990</v>
      </c>
      <c r="CL103" s="48" t="s">
        <v>1987</v>
      </c>
      <c r="CM103" s="48" t="s">
        <v>1990</v>
      </c>
      <c r="CN103" s="48" t="s">
        <v>1990</v>
      </c>
      <c r="CO103" s="48" t="str">
        <f t="shared" si="28"/>
        <v>2.3.1.2.1.1</v>
      </c>
      <c r="CP103" s="48" t="str">
        <f>+VLOOKUP(Tabla1[[#This Row],[ESPECÍFICA]],CLASIFICADOR_,2,0)</f>
        <v>2.3.1.2.1.1 - VESTUARIO, ACCESORIOS Y PRENDAS DIVERSAS</v>
      </c>
      <c r="CQ103" s="48" t="str">
        <f>+VLOOKUP(Tabla1[[#This Row],[ESPECÍFICA]],CLASIFICADOR_,3,0)</f>
        <v>2.3.1.2 - VESTUARIOS Y TEXTILES</v>
      </c>
      <c r="CR103" s="48" t="str">
        <f>+VLOOKUP(Tabla1[[#This Row],[ESPECÍFICA]],CLASIFICADOR_,4,0)</f>
        <v>Límite de Gasto</v>
      </c>
      <c r="CS103" s="48" t="str">
        <f>+VLOOKUP(Tabla1[[#This Row],[ESPECÍFICA]],CLASIFICADOR_,5,0)</f>
        <v>10.6 c)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2.3.BIENES Y SERVICIOS</v>
      </c>
      <c r="CX103" s="48" t="str">
        <f t="shared" si="17"/>
        <v>0008-OAUGD</v>
      </c>
      <c r="CY103" s="113" t="str">
        <f t="shared" si="18"/>
        <v>0008-OAUGD</v>
      </c>
      <c r="CZ103" s="20" t="str">
        <f t="shared" si="19"/>
        <v>0008-OAUGD</v>
      </c>
      <c r="DA103" s="113" t="str">
        <f>+CONCATENATE(Tabla1[[#This Row],[CC COMPLETO]],Tabla1[[#This Row],[ESPECÍFICA]])</f>
        <v>0008-OAUGD2.3.1.2.1.1</v>
      </c>
      <c r="DB103" s="49">
        <f t="shared" si="20"/>
        <v>2329</v>
      </c>
      <c r="DC103" s="49">
        <f t="shared" si="21"/>
        <v>2329</v>
      </c>
      <c r="DD103" s="49">
        <f t="shared" si="22"/>
        <v>2329</v>
      </c>
      <c r="DE103" s="49">
        <f t="shared" si="23"/>
        <v>3000</v>
      </c>
      <c r="DF103" s="49">
        <f t="shared" si="24"/>
        <v>0</v>
      </c>
      <c r="DG103" s="49">
        <f t="shared" si="25"/>
        <v>0</v>
      </c>
      <c r="DH103" s="49">
        <f t="shared" si="26"/>
        <v>3000</v>
      </c>
      <c r="DI103" s="50">
        <f t="shared" si="27"/>
        <v>2.9112499999999999</v>
      </c>
      <c r="DJ103" s="78">
        <f>+SUM(Tabla1[[#This Row],[EJECUTADO 01]:[EJECUTADO 06]])</f>
        <v>316</v>
      </c>
      <c r="DK103" s="78">
        <f>+Tabla1[[#This Row],[mto_devenga_01]]</f>
        <v>0</v>
      </c>
      <c r="DL103" s="78">
        <f>+Tabla1[[#This Row],[mto_devenga_02]]</f>
        <v>0</v>
      </c>
      <c r="DM103" s="78">
        <f>+Tabla1[[#This Row],[mto_devenga_03]]</f>
        <v>316</v>
      </c>
      <c r="DN103" s="78">
        <f>+Tabla1[[#This Row],[mto_devenga_04]]</f>
        <v>0</v>
      </c>
      <c r="DO103" s="78">
        <f>+Tabla1[[#This Row],[mto_devenga_05]]</f>
        <v>0</v>
      </c>
      <c r="DP103" s="76">
        <f>+Tabla1[[#This Row],[mto_devenga_06]]</f>
        <v>0</v>
      </c>
      <c r="DQ103" s="76">
        <f>+Tabla1[[#This Row],[mto_devenga_07]]</f>
        <v>2013</v>
      </c>
      <c r="DR103" s="76">
        <f>+Tabla1[[#This Row],[mto_devenga_08]]</f>
        <v>0</v>
      </c>
      <c r="DS103" s="76">
        <f>+Tabla1[[#This Row],[mto_devenga_09]]</f>
        <v>0</v>
      </c>
      <c r="DT103" s="76">
        <f>IFERROR(VLOOKUP(Tabla1[[#This Row],[COD SE]],PF_OCTUBRE,14,0),"0")</f>
        <v>0</v>
      </c>
      <c r="DU103" s="76">
        <f>IFERROR(VLOOKUP(Tabla1[[#This Row],[COD SE]],PF_OCTUBRE,15,0),"0")</f>
        <v>0</v>
      </c>
      <c r="DV103" s="76">
        <f>IFERROR(VLOOKUP(Tabla1[[#This Row],[COD SE]],PF_OCTUBRE,16,0),"0")</f>
        <v>0</v>
      </c>
      <c r="DW103" s="76">
        <f>+SUM(Tabla1[[#This Row],[EJECUTADO 01]:[PF DICIEMBRE
]])</f>
        <v>2329</v>
      </c>
      <c r="DX103" s="76">
        <f>IFERROR(VLOOKUP(Tabla1[[#This Row],[COD SE]],PF_OCTUBRE,18,0),"0")</f>
        <v>0</v>
      </c>
      <c r="DY103" s="76">
        <f>IFERROR(VLOOKUP(Tabla1[[#This Row],[COD SE]],PF_OCTUBRE,19,0),"0")</f>
        <v>0</v>
      </c>
      <c r="DZ103" s="76">
        <f>IFERROR(VLOOKUP(Tabla1[[#This Row],[COD SE]],PF_OCTUBRE,20,0),"0")</f>
        <v>0</v>
      </c>
      <c r="EA103" s="76">
        <f>+Tabla1[[#This Row],[TOTAL EJEC REAL]]+Tabla1[[#This Row],[SALDO FINAL]]</f>
        <v>2329</v>
      </c>
      <c r="EB103" s="76">
        <f>IFERROR(VLOOKUP(Tabla1[[#This Row],[COD SE]],PF_OCTUBRE,22,0),"0")</f>
        <v>0</v>
      </c>
      <c r="EC103" s="76">
        <f>+IFERROR(VLOOKUP(Tabla1[[#This Row],[COD SE]],SALDO_ESC_2,7,0),0)</f>
        <v>0</v>
      </c>
      <c r="ED103" s="76">
        <f>+IFERROR(VLOOKUP(Tabla1[[#This Row],[COD SE]],SALDO_ESC_3,7,0),0)</f>
        <v>0</v>
      </c>
      <c r="EE103" s="76">
        <f>+Tabla1[[#This Row],[mto_pim]]-Tabla1[[#This Row],[TRANSF ESC2 ]]</f>
        <v>5329</v>
      </c>
      <c r="EF103" s="76">
        <f>+Tabla1[[#This Row],[mto_pim]]-Tabla1[[#This Row],[TRANFS ESC 3 ]]</f>
        <v>5329</v>
      </c>
      <c r="EG103" s="76">
        <f>+IFERROR(VLOOKUP(Tabla1[[#This Row],[COD SE]],HISTORICO,4,0),0)</f>
        <v>0</v>
      </c>
      <c r="EH103" s="76">
        <f>+IFERROR(VLOOKUP(Tabla1[[#This Row],[COD SE]],HISTORICO,5,0),0)</f>
        <v>0</v>
      </c>
      <c r="EI103" s="76">
        <f>+IFERROR(VLOOKUP(Tabla1[[#This Row],[COD SE]],HISTORICO,6,0),0)</f>
        <v>840</v>
      </c>
      <c r="EJ103" s="76">
        <f>+IFERROR(VLOOKUP(Tabla1[[#This Row],[COD SE]],HISTORICO,7,0),0)</f>
        <v>0</v>
      </c>
      <c r="EK103" s="76">
        <f>+IFERROR(VLOOKUP(Tabla1[[#This Row],[COD SE]],HISTORICO,8,0),0)</f>
        <v>0</v>
      </c>
      <c r="EL103" s="76">
        <f>+IFERROR(VLOOKUP(Tabla1[[#This Row],[COD SE]],HISTORICO,9,0),0)</f>
        <v>0</v>
      </c>
      <c r="EM103" s="76">
        <f>+IFERROR(VLOOKUP(Tabla1[[#This Row],[COD SE]],HISTORICO,10,0),0)</f>
        <v>2013</v>
      </c>
      <c r="EN103" s="76">
        <f>+IFERROR(VLOOKUP(Tabla1[[#This Row],[COD SE]],HISTORICO,11,0),0)</f>
        <v>0</v>
      </c>
      <c r="EO103" s="76">
        <f>+IFERROR(VLOOKUP(Tabla1[[#This Row],[COD SE]],HISTORICO,12,0),0)</f>
        <v>0</v>
      </c>
      <c r="EP103" s="58">
        <f>+SUM(Tabla1[[#This Row],[EJECUTADO 01]:[EJECUTADO 03]])</f>
        <v>316</v>
      </c>
      <c r="EQ103" s="58">
        <f>+SUM(Tabla1[[#This Row],[EJECUTADO 04]:[EJECUTADO 06]])</f>
        <v>0</v>
      </c>
      <c r="ER103" s="58">
        <f>+SUM(Tabla1[[#This Row],[EJECUTADO 07]:[EJECUTADO 09]])</f>
        <v>2013</v>
      </c>
      <c r="ES103" s="58">
        <f>+SUM(Tabla1[[#This Row],[PF OCTUBRE]:[PF DICIEMBRE
]])</f>
        <v>0</v>
      </c>
      <c r="ET103" s="58">
        <f>+SUM(Tabla1[[#This Row],[EJECUTADO 01]:[EJECUTADO 09]])</f>
        <v>2329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1681</v>
      </c>
      <c r="AF104" s="369" t="s">
        <v>1682</v>
      </c>
      <c r="AG104" s="369" t="s">
        <v>1682</v>
      </c>
      <c r="AH104" s="369">
        <v>59000</v>
      </c>
      <c r="AI104" s="369">
        <v>28500</v>
      </c>
      <c r="AJ104" s="369">
        <v>87500</v>
      </c>
      <c r="AK104" s="370">
        <v>87500</v>
      </c>
      <c r="AL104" s="370">
        <v>87500</v>
      </c>
      <c r="AM104" s="370">
        <v>33000</v>
      </c>
      <c r="AN104" s="370">
        <v>24500</v>
      </c>
      <c r="AO104" s="370">
        <v>30000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0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6000</v>
      </c>
      <c r="BB104" s="370">
        <v>9500</v>
      </c>
      <c r="BC104" s="370">
        <v>13000</v>
      </c>
      <c r="BD104" s="370">
        <v>6000</v>
      </c>
      <c r="BE104" s="370">
        <v>9500</v>
      </c>
      <c r="BF104" s="370">
        <v>9500</v>
      </c>
      <c r="BG104" s="370">
        <v>9500</v>
      </c>
      <c r="BH104" s="370">
        <v>9500</v>
      </c>
      <c r="BI104" s="370">
        <v>0</v>
      </c>
      <c r="BJ104" s="370">
        <v>0</v>
      </c>
      <c r="BK104" s="370">
        <v>0</v>
      </c>
      <c r="BL104" s="370">
        <v>0</v>
      </c>
      <c r="BM104" s="370">
        <v>3000</v>
      </c>
      <c r="BN104" s="370">
        <v>9500</v>
      </c>
      <c r="BO104" s="370">
        <v>12500</v>
      </c>
      <c r="BP104" s="370">
        <v>6500</v>
      </c>
      <c r="BQ104" s="370">
        <v>12500</v>
      </c>
      <c r="BR104" s="370">
        <v>9500</v>
      </c>
      <c r="BS104" s="370">
        <v>6500</v>
      </c>
      <c r="BT104" s="370">
        <v>12500</v>
      </c>
      <c r="BU104" s="370">
        <v>0</v>
      </c>
      <c r="BV104" s="370">
        <v>0</v>
      </c>
      <c r="BW104" s="370">
        <v>27000</v>
      </c>
      <c r="BX104" s="370">
        <v>24500</v>
      </c>
      <c r="BY104" s="370">
        <v>21000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0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2005</v>
      </c>
      <c r="CM104" s="48" t="s">
        <v>1990</v>
      </c>
      <c r="CN104" s="48" t="s">
        <v>1990</v>
      </c>
      <c r="CO104" s="48" t="str">
        <f t="shared" si="28"/>
        <v>2.3.2.9.1.1</v>
      </c>
      <c r="CP104" s="48" t="str">
        <f>+VLOOKUP(Tabla1[[#This Row],[ESPECÍFICA]],CLASIFICADOR_,2,0)</f>
        <v>2.3.2.9.1.1 - LOCACIÓN DE SERVICIOS REALIZADOS POR PERSONA NATURAL</v>
      </c>
      <c r="CQ104" s="48" t="str">
        <f>+VLOOKUP(Tabla1[[#This Row],[ESPECÍFICA]],CLASIFICADOR_,3,0)</f>
        <v>2.3.2.9 - LOCACIÓN DE SERVICIOS REALIZADOS POR PERSONA NATURAL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7"/>
        <v>0008-OAUGD</v>
      </c>
      <c r="CY104" s="113" t="str">
        <f t="shared" si="18"/>
        <v>0008-OAUGD</v>
      </c>
      <c r="CZ104" s="20" t="str">
        <f t="shared" si="19"/>
        <v>0008-OAUGD</v>
      </c>
      <c r="DA104" s="113" t="str">
        <f>+CONCATENATE(Tabla1[[#This Row],[CC COMPLETO]],Tabla1[[#This Row],[ESPECÍFICA]])</f>
        <v>0008-OAUGD2.3.2.9.1.1</v>
      </c>
      <c r="DB104" s="49">
        <f t="shared" si="20"/>
        <v>87500</v>
      </c>
      <c r="DC104" s="49">
        <f t="shared" si="21"/>
        <v>72500</v>
      </c>
      <c r="DD104" s="49">
        <f t="shared" si="22"/>
        <v>72500</v>
      </c>
      <c r="DE104" s="49">
        <f t="shared" si="23"/>
        <v>0</v>
      </c>
      <c r="DF104" s="49">
        <f t="shared" si="24"/>
        <v>0</v>
      </c>
      <c r="DG104" s="49">
        <f t="shared" si="25"/>
        <v>15000</v>
      </c>
      <c r="DH104" s="49">
        <f t="shared" si="26"/>
        <v>15000</v>
      </c>
      <c r="DI104" s="50">
        <f t="shared" si="27"/>
        <v>1.228813559322034</v>
      </c>
      <c r="DJ104" s="78">
        <f>+SUM(Tabla1[[#This Row],[EJECUTADO 01]:[EJECUTADO 06]])</f>
        <v>34500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6000</v>
      </c>
      <c r="DN104" s="78">
        <f>+Tabla1[[#This Row],[mto_devenga_04]]</f>
        <v>9500</v>
      </c>
      <c r="DO104" s="78">
        <f>+Tabla1[[#This Row],[mto_devenga_05]]</f>
        <v>13000</v>
      </c>
      <c r="DP104" s="76">
        <f>+Tabla1[[#This Row],[mto_devenga_06]]</f>
        <v>6000</v>
      </c>
      <c r="DQ104" s="76">
        <f>+Tabla1[[#This Row],[mto_devenga_07]]</f>
        <v>9500</v>
      </c>
      <c r="DR104" s="76">
        <f>+Tabla1[[#This Row],[mto_devenga_08]]</f>
        <v>9500</v>
      </c>
      <c r="DS104" s="76">
        <f>+Tabla1[[#This Row],[mto_devenga_09]]</f>
        <v>9500</v>
      </c>
      <c r="DT104" s="76">
        <f>IFERROR(VLOOKUP(Tabla1[[#This Row],[COD SE]],PF_OCTUBRE,14,0),"0")</f>
        <v>9500</v>
      </c>
      <c r="DU104" s="76">
        <f>IFERROR(VLOOKUP(Tabla1[[#This Row],[COD SE]],PF_OCTUBRE,15,0),"0")</f>
        <v>6000</v>
      </c>
      <c r="DV104" s="76">
        <f>IFERROR(VLOOKUP(Tabla1[[#This Row],[COD SE]],PF_OCTUBRE,16,0),"0")</f>
        <v>9000</v>
      </c>
      <c r="DW104" s="76">
        <f>+SUM(Tabla1[[#This Row],[EJECUTADO 01]:[PF DICIEMBRE
]])</f>
        <v>87500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87500</v>
      </c>
      <c r="EB104" s="76">
        <f>IFERROR(VLOOKUP(Tabla1[[#This Row],[COD SE]],PF_OCTUBRE,22,0),"0")</f>
        <v>9000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87500</v>
      </c>
      <c r="EF104" s="76">
        <f>+Tabla1[[#This Row],[mto_pim]]-Tabla1[[#This Row],[TRANFS ESC 3 ]]</f>
        <v>87500</v>
      </c>
      <c r="EG104" s="76">
        <f>+IFERROR(VLOOKUP(Tabla1[[#This Row],[COD SE]],HISTORICO,4,0),0)</f>
        <v>3000</v>
      </c>
      <c r="EH104" s="76">
        <f>+IFERROR(VLOOKUP(Tabla1[[#This Row],[COD SE]],HISTORICO,5,0),0)</f>
        <v>0</v>
      </c>
      <c r="EI104" s="76">
        <f>+IFERROR(VLOOKUP(Tabla1[[#This Row],[COD SE]],HISTORICO,6,0),0)</f>
        <v>6000</v>
      </c>
      <c r="EJ104" s="76">
        <f>+IFERROR(VLOOKUP(Tabla1[[#This Row],[COD SE]],HISTORICO,7,0),0)</f>
        <v>9500</v>
      </c>
      <c r="EK104" s="76">
        <f>+IFERROR(VLOOKUP(Tabla1[[#This Row],[COD SE]],HISTORICO,8,0),0)</f>
        <v>9500</v>
      </c>
      <c r="EL104" s="76">
        <f>+IFERROR(VLOOKUP(Tabla1[[#This Row],[COD SE]],HISTORICO,9,0),0)</f>
        <v>6000</v>
      </c>
      <c r="EM104" s="76">
        <f>+IFERROR(VLOOKUP(Tabla1[[#This Row],[COD SE]],HISTORICO,10,0),0)</f>
        <v>9500</v>
      </c>
      <c r="EN104" s="76">
        <f>+IFERROR(VLOOKUP(Tabla1[[#This Row],[COD SE]],HISTORICO,11,0),0)</f>
        <v>9500</v>
      </c>
      <c r="EO104" s="76">
        <f>+IFERROR(VLOOKUP(Tabla1[[#This Row],[COD SE]],HISTORICO,12,0),0)</f>
        <v>9500</v>
      </c>
      <c r="EP104" s="58">
        <f>+SUM(Tabla1[[#This Row],[EJECUTADO 01]:[EJECUTADO 03]])</f>
        <v>6000</v>
      </c>
      <c r="EQ104" s="58">
        <f>+SUM(Tabla1[[#This Row],[EJECUTADO 04]:[EJECUTADO 06]])</f>
        <v>28500</v>
      </c>
      <c r="ER104" s="58">
        <f>+SUM(Tabla1[[#This Row],[EJECUTADO 07]:[EJECUTADO 09]])</f>
        <v>28500</v>
      </c>
      <c r="ES104" s="58">
        <f>+SUM(Tabla1[[#This Row],[PF OCTUBRE]:[PF DICIEMBRE
]])</f>
        <v>24500</v>
      </c>
      <c r="ET104" s="58">
        <f>+SUM(Tabla1[[#This Row],[EJECUTADO 01]:[EJECUTADO 09]])</f>
        <v>63000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1656</v>
      </c>
      <c r="AD105" s="369" t="s">
        <v>1657</v>
      </c>
      <c r="AE105" s="369" t="s">
        <v>1660</v>
      </c>
      <c r="AF105" s="369" t="s">
        <v>1661</v>
      </c>
      <c r="AG105" s="369" t="s">
        <v>1662</v>
      </c>
      <c r="AH105" s="369">
        <v>823614</v>
      </c>
      <c r="AI105" s="369">
        <v>-183080</v>
      </c>
      <c r="AJ105" s="369">
        <v>640534</v>
      </c>
      <c r="AK105" s="370">
        <v>631721</v>
      </c>
      <c r="AL105" s="370">
        <v>622909.48</v>
      </c>
      <c r="AM105" s="370">
        <v>53186.96</v>
      </c>
      <c r="AN105" s="370">
        <v>53349.46</v>
      </c>
      <c r="AO105" s="370">
        <v>53341.37</v>
      </c>
      <c r="AP105" s="370">
        <v>53377.71</v>
      </c>
      <c r="AQ105" s="370">
        <v>53377.71</v>
      </c>
      <c r="AR105" s="370">
        <v>53306.99</v>
      </c>
      <c r="AS105" s="370">
        <v>53064.27</v>
      </c>
      <c r="AT105" s="370">
        <v>52984.17</v>
      </c>
      <c r="AU105" s="370">
        <v>49494.96</v>
      </c>
      <c r="AV105" s="370">
        <v>49481.08</v>
      </c>
      <c r="AW105" s="370">
        <v>0</v>
      </c>
      <c r="AX105" s="370">
        <v>0</v>
      </c>
      <c r="AY105" s="370">
        <v>53186.96</v>
      </c>
      <c r="AZ105" s="370">
        <v>53349.46</v>
      </c>
      <c r="BA105" s="370">
        <v>53341.37</v>
      </c>
      <c r="BB105" s="370">
        <v>53377.71</v>
      </c>
      <c r="BC105" s="370">
        <v>53377.71</v>
      </c>
      <c r="BD105" s="370">
        <v>53306.99</v>
      </c>
      <c r="BE105" s="370">
        <v>53064.27</v>
      </c>
      <c r="BF105" s="370">
        <v>52984.17</v>
      </c>
      <c r="BG105" s="370">
        <v>49494.96</v>
      </c>
      <c r="BH105" s="370">
        <v>49481.08</v>
      </c>
      <c r="BI105" s="370">
        <v>0</v>
      </c>
      <c r="BJ105" s="370">
        <v>0</v>
      </c>
      <c r="BK105" s="370">
        <v>53186.96</v>
      </c>
      <c r="BL105" s="370">
        <v>53349.46</v>
      </c>
      <c r="BM105" s="370">
        <v>53341.37</v>
      </c>
      <c r="BN105" s="370">
        <v>46823.11</v>
      </c>
      <c r="BO105" s="370">
        <v>59932.31</v>
      </c>
      <c r="BP105" s="370">
        <v>53306.99</v>
      </c>
      <c r="BQ105" s="370">
        <v>53064.27</v>
      </c>
      <c r="BR105" s="370">
        <v>52984.17</v>
      </c>
      <c r="BS105" s="370">
        <v>49494.96</v>
      </c>
      <c r="BT105" s="370">
        <v>43377.75</v>
      </c>
      <c r="BU105" s="370">
        <v>0</v>
      </c>
      <c r="BV105" s="370">
        <v>0</v>
      </c>
      <c r="BW105" s="370">
        <v>53186.96</v>
      </c>
      <c r="BX105" s="370">
        <v>53349.46</v>
      </c>
      <c r="BY105" s="370">
        <v>53341.37</v>
      </c>
      <c r="BZ105" s="370">
        <v>53377.71</v>
      </c>
      <c r="CA105" s="370">
        <v>53377.71</v>
      </c>
      <c r="CB105" s="370">
        <v>53306.99</v>
      </c>
      <c r="CC105" s="370">
        <v>53064.27</v>
      </c>
      <c r="CD105" s="370">
        <v>52984.17</v>
      </c>
      <c r="CE105" s="370">
        <v>49494.96</v>
      </c>
      <c r="CF105" s="370">
        <v>43377.75</v>
      </c>
      <c r="CG105" s="370">
        <v>0</v>
      </c>
      <c r="CH105" s="370">
        <v>0</v>
      </c>
      <c r="CI105" s="48" t="s">
        <v>1987</v>
      </c>
      <c r="CJ105" s="48" t="s">
        <v>1990</v>
      </c>
      <c r="CK105" s="48" t="s">
        <v>1990</v>
      </c>
      <c r="CL105" s="48" t="s">
        <v>2010</v>
      </c>
      <c r="CM105" s="48" t="s">
        <v>1990</v>
      </c>
      <c r="CN105" s="48" t="s">
        <v>1990</v>
      </c>
      <c r="CO105" s="48" t="str">
        <f t="shared" si="28"/>
        <v>2.1.1.13.1.1</v>
      </c>
      <c r="CP105" s="48" t="str">
        <f>+VLOOKUP(Tabla1[[#This Row],[ESPECÍFICA]],CLASIFICADOR_,2,0)</f>
        <v>2.1.1.13.1.1 - CONTRATO ADMINISTRATIVO DE SERVICIOS - INDETERMINADO</v>
      </c>
      <c r="CQ105" s="48" t="str">
        <f>+VLOOKUP(Tabla1[[#This Row],[ESPECÍFICA]],CLASIFICADOR_,3,0)</f>
        <v>01.CAS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2.1.PERSONAL Y OBLIGACIONES SOCIALES</v>
      </c>
      <c r="CX105" s="48" t="str">
        <f t="shared" si="17"/>
        <v>0008-OAUGD</v>
      </c>
      <c r="CY105" s="113" t="str">
        <f t="shared" si="18"/>
        <v>0008-OAUGD</v>
      </c>
      <c r="CZ105" s="20" t="str">
        <f t="shared" si="19"/>
        <v>0008-OAUGD</v>
      </c>
      <c r="DA105" s="113" t="str">
        <f>+CONCATENATE(Tabla1[[#This Row],[CC COMPLETO]],Tabla1[[#This Row],[ESPECÍFICA]])</f>
        <v>0008-OAUGD2.1.1.13.1.1</v>
      </c>
      <c r="DB105" s="49">
        <f t="shared" si="20"/>
        <v>524964.68000000005</v>
      </c>
      <c r="DC105" s="49">
        <f t="shared" si="21"/>
        <v>524964.68000000005</v>
      </c>
      <c r="DD105" s="49">
        <f t="shared" si="22"/>
        <v>518861.35000000003</v>
      </c>
      <c r="DE105" s="49">
        <f t="shared" si="23"/>
        <v>8813</v>
      </c>
      <c r="DF105" s="49">
        <f t="shared" si="24"/>
        <v>8811.5200000000186</v>
      </c>
      <c r="DG105" s="49">
        <f t="shared" si="25"/>
        <v>97944.79999999993</v>
      </c>
      <c r="DH105" s="49">
        <f t="shared" si="26"/>
        <v>115569.31999999995</v>
      </c>
      <c r="DI105" s="50">
        <f t="shared" si="27"/>
        <v>0.63739164220132249</v>
      </c>
      <c r="DJ105" s="78">
        <f>+SUM(Tabla1[[#This Row],[EJECUTADO 01]:[EJECUTADO 06]])</f>
        <v>319940.2</v>
      </c>
      <c r="DK105" s="78">
        <f>+Tabla1[[#This Row],[mto_devenga_01]]</f>
        <v>53186.96</v>
      </c>
      <c r="DL105" s="78">
        <f>+Tabla1[[#This Row],[mto_devenga_02]]</f>
        <v>53349.46</v>
      </c>
      <c r="DM105" s="78">
        <f>+Tabla1[[#This Row],[mto_devenga_03]]</f>
        <v>53341.37</v>
      </c>
      <c r="DN105" s="78">
        <f>+Tabla1[[#This Row],[mto_devenga_04]]</f>
        <v>53377.71</v>
      </c>
      <c r="DO105" s="78">
        <f>+Tabla1[[#This Row],[mto_devenga_05]]</f>
        <v>53377.71</v>
      </c>
      <c r="DP105" s="76">
        <f>+Tabla1[[#This Row],[mto_devenga_06]]</f>
        <v>53306.99</v>
      </c>
      <c r="DQ105" s="76">
        <f>+Tabla1[[#This Row],[mto_devenga_07]]</f>
        <v>53064.27</v>
      </c>
      <c r="DR105" s="76">
        <f>+Tabla1[[#This Row],[mto_devenga_08]]</f>
        <v>52984.17</v>
      </c>
      <c r="DS105" s="76">
        <f>+Tabla1[[#This Row],[mto_devenga_09]]</f>
        <v>49494.96</v>
      </c>
      <c r="DT105" s="76">
        <f>IFERROR(VLOOKUP(Tabla1[[#This Row],[COD SE]],PF_OCTUBRE,14,0),"0")</f>
        <v>53377.71</v>
      </c>
      <c r="DU105" s="76">
        <f>IFERROR(VLOOKUP(Tabla1[[#This Row],[COD SE]],PF_OCTUBRE,15,0),"0")</f>
        <v>53377.71</v>
      </c>
      <c r="DV105" s="76">
        <f>IFERROR(VLOOKUP(Tabla1[[#This Row],[COD SE]],PF_OCTUBRE,16,0),"0")</f>
        <v>53377.71</v>
      </c>
      <c r="DW105" s="76">
        <f>+SUM(Tabla1[[#This Row],[EJECUTADO 01]:[PF DICIEMBRE
]])</f>
        <v>635616.73</v>
      </c>
      <c r="DX105" s="76">
        <f>IFERROR(VLOOKUP(Tabla1[[#This Row],[COD SE]],PF_OCTUBRE,18,0),"0")</f>
        <v>0</v>
      </c>
      <c r="DY105" s="76">
        <f>IFERROR(VLOOKUP(Tabla1[[#This Row],[COD SE]],PF_OCTUBRE,19,0),"0")</f>
        <v>4917.2700000000004</v>
      </c>
      <c r="DZ105" s="76">
        <f>IFERROR(VLOOKUP(Tabla1[[#This Row],[COD SE]],PF_OCTUBRE,20,0),"0")</f>
        <v>4917.2700000000004</v>
      </c>
      <c r="EA105" s="76">
        <f>+Tabla1[[#This Row],[TOTAL EJEC REAL]]+Tabla1[[#This Row],[SALDO FINAL]]</f>
        <v>640534</v>
      </c>
      <c r="EB105" s="76">
        <f>IFERROR(VLOOKUP(Tabla1[[#This Row],[COD SE]],PF_OCTUBRE,22,0),"0")</f>
        <v>58294.98</v>
      </c>
      <c r="EC105" s="76">
        <f>+IFERROR(VLOOKUP(Tabla1[[#This Row],[COD SE]],SALDO_ESC_2,7,0),0)</f>
        <v>0</v>
      </c>
      <c r="ED105" s="76">
        <f>+IFERROR(VLOOKUP(Tabla1[[#This Row],[COD SE]],SALDO_ESC_3,7,0),0)</f>
        <v>4917.2700000000004</v>
      </c>
      <c r="EE105" s="76">
        <f>+Tabla1[[#This Row],[mto_pim]]-Tabla1[[#This Row],[TRANSF ESC2 ]]</f>
        <v>640534</v>
      </c>
      <c r="EF105" s="76">
        <f>+Tabla1[[#This Row],[mto_pim]]-Tabla1[[#This Row],[TRANFS ESC 3 ]]</f>
        <v>635616.73</v>
      </c>
      <c r="EG105" s="76">
        <f>+IFERROR(VLOOKUP(Tabla1[[#This Row],[COD SE]],HISTORICO,4,0),0)</f>
        <v>65870.28</v>
      </c>
      <c r="EH105" s="76">
        <f>+IFERROR(VLOOKUP(Tabla1[[#This Row],[COD SE]],HISTORICO,5,0),0)</f>
        <v>53377.71</v>
      </c>
      <c r="EI105" s="76">
        <f>+IFERROR(VLOOKUP(Tabla1[[#This Row],[COD SE]],HISTORICO,6,0),0)</f>
        <v>53377.71</v>
      </c>
      <c r="EJ105" s="76">
        <f>+IFERROR(VLOOKUP(Tabla1[[#This Row],[COD SE]],HISTORICO,7,0),0)</f>
        <v>53377.71</v>
      </c>
      <c r="EK105" s="76">
        <f>+IFERROR(VLOOKUP(Tabla1[[#This Row],[COD SE]],HISTORICO,8,0),0)</f>
        <v>61877.71</v>
      </c>
      <c r="EL105" s="76">
        <f>+IFERROR(VLOOKUP(Tabla1[[#This Row],[COD SE]],HISTORICO,9,0),0)</f>
        <v>53377.71</v>
      </c>
      <c r="EM105" s="76">
        <f>+IFERROR(VLOOKUP(Tabla1[[#This Row],[COD SE]],HISTORICO,10,0),0)</f>
        <v>53377.71</v>
      </c>
      <c r="EN105" s="76">
        <f>+IFERROR(VLOOKUP(Tabla1[[#This Row],[COD SE]],HISTORICO,11,0),0)</f>
        <v>53377.71</v>
      </c>
      <c r="EO105" s="76">
        <f>+IFERROR(VLOOKUP(Tabla1[[#This Row],[COD SE]],HISTORICO,12,0),0)</f>
        <v>53377.71</v>
      </c>
      <c r="EP105" s="58">
        <f>+SUM(Tabla1[[#This Row],[EJECUTADO 01]:[EJECUTADO 03]])</f>
        <v>159877.79</v>
      </c>
      <c r="EQ105" s="58">
        <f>+SUM(Tabla1[[#This Row],[EJECUTADO 04]:[EJECUTADO 06]])</f>
        <v>160062.41</v>
      </c>
      <c r="ER105" s="58">
        <f>+SUM(Tabla1[[#This Row],[EJECUTADO 07]:[EJECUTADO 09]])</f>
        <v>155543.4</v>
      </c>
      <c r="ES105" s="58">
        <f>+SUM(Tabla1[[#This Row],[PF OCTUBRE]:[PF DICIEMBRE
]])</f>
        <v>160133.13</v>
      </c>
      <c r="ET105" s="58">
        <f>+SUM(Tabla1[[#This Row],[EJECUTADO 01]:[EJECUTADO 09]])</f>
        <v>475483.60000000003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1707</v>
      </c>
      <c r="AG106" s="369" t="s">
        <v>1708</v>
      </c>
      <c r="AH106" s="369">
        <v>109000</v>
      </c>
      <c r="AI106" s="369">
        <v>-76976</v>
      </c>
      <c r="AJ106" s="369">
        <v>32024</v>
      </c>
      <c r="AK106" s="370">
        <v>31783.24</v>
      </c>
      <c r="AL106" s="370">
        <v>31783.24</v>
      </c>
      <c r="AM106" s="370">
        <v>7454.61</v>
      </c>
      <c r="AN106" s="370">
        <v>0</v>
      </c>
      <c r="AO106" s="370">
        <v>0</v>
      </c>
      <c r="AP106" s="370">
        <v>0</v>
      </c>
      <c r="AQ106" s="370">
        <v>24328.63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828.29</v>
      </c>
      <c r="BA106" s="370">
        <v>828.29</v>
      </c>
      <c r="BB106" s="370">
        <v>828.29</v>
      </c>
      <c r="BC106" s="370">
        <v>828.29</v>
      </c>
      <c r="BD106" s="370">
        <v>1538.82</v>
      </c>
      <c r="BE106" s="370">
        <v>8347.84</v>
      </c>
      <c r="BF106" s="370">
        <v>5131.84</v>
      </c>
      <c r="BG106" s="370">
        <v>10686.79</v>
      </c>
      <c r="BH106" s="370">
        <v>828.29</v>
      </c>
      <c r="BI106" s="370">
        <v>0</v>
      </c>
      <c r="BJ106" s="370">
        <v>0</v>
      </c>
      <c r="BK106" s="370">
        <v>0</v>
      </c>
      <c r="BL106" s="370">
        <v>828.29</v>
      </c>
      <c r="BM106" s="370">
        <v>828.29</v>
      </c>
      <c r="BN106" s="370">
        <v>828.29</v>
      </c>
      <c r="BO106" s="370">
        <v>828.29</v>
      </c>
      <c r="BP106" s="370">
        <v>1538.82</v>
      </c>
      <c r="BQ106" s="370">
        <v>8347.84</v>
      </c>
      <c r="BR106" s="370">
        <v>5131.84</v>
      </c>
      <c r="BS106" s="370">
        <v>10686.79</v>
      </c>
      <c r="BT106" s="370">
        <v>828.29</v>
      </c>
      <c r="BU106" s="370">
        <v>0</v>
      </c>
      <c r="BV106" s="370">
        <v>0</v>
      </c>
      <c r="BW106" s="370">
        <v>7454.61</v>
      </c>
      <c r="BX106" s="370">
        <v>0</v>
      </c>
      <c r="BY106" s="370">
        <v>0</v>
      </c>
      <c r="BZ106" s="370">
        <v>0</v>
      </c>
      <c r="CA106" s="370">
        <v>22392.13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2010</v>
      </c>
      <c r="CN106" s="48" t="s">
        <v>2012</v>
      </c>
      <c r="CO106" s="48" t="str">
        <f t="shared" si="28"/>
        <v>2.3.2.7.13.98</v>
      </c>
      <c r="CP106" s="48" t="str">
        <f>+VLOOKUP(Tabla1[[#This Row],[ESPECÍFICA]],CLASIFICADOR_,2,0)</f>
        <v>2.3.2.7.13.98 - OTROS SERVICIOS TÉCNICOS Y PROFESIONALES DESARROLLADOS POR PERSONAS JURÍDICAS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7"/>
        <v>0008-OAUGD</v>
      </c>
      <c r="CY106" s="113" t="str">
        <f t="shared" si="18"/>
        <v>0008-OAUGD</v>
      </c>
      <c r="CZ106" s="20" t="str">
        <f t="shared" si="19"/>
        <v>0008-OAUGD</v>
      </c>
      <c r="DA106" s="113" t="str">
        <f>+CONCATENATE(Tabla1[[#This Row],[CC COMPLETO]],Tabla1[[#This Row],[ESPECÍFICA]])</f>
        <v>0008-OAUGD2.3.2.7.13.98</v>
      </c>
      <c r="DB106" s="49">
        <f t="shared" si="20"/>
        <v>31783.24</v>
      </c>
      <c r="DC106" s="49">
        <f t="shared" si="21"/>
        <v>29846.74</v>
      </c>
      <c r="DD106" s="49">
        <f t="shared" si="22"/>
        <v>29846.74</v>
      </c>
      <c r="DE106" s="49">
        <f t="shared" si="23"/>
        <v>240.7599999999984</v>
      </c>
      <c r="DF106" s="49">
        <f t="shared" si="24"/>
        <v>0</v>
      </c>
      <c r="DG106" s="49">
        <f t="shared" si="25"/>
        <v>1936.5</v>
      </c>
      <c r="DH106" s="49">
        <f t="shared" si="26"/>
        <v>2177.2599999999984</v>
      </c>
      <c r="DI106" s="50">
        <f t="shared" si="27"/>
        <v>0.27382330275229361</v>
      </c>
      <c r="DJ106" s="78">
        <f>+SUM(Tabla1[[#This Row],[EJECUTADO 01]:[EJECUTADO 06]])</f>
        <v>4851.9799999999996</v>
      </c>
      <c r="DK106" s="78">
        <f>+Tabla1[[#This Row],[mto_devenga_01]]</f>
        <v>0</v>
      </c>
      <c r="DL106" s="78">
        <f>+Tabla1[[#This Row],[mto_devenga_02]]</f>
        <v>828.29</v>
      </c>
      <c r="DM106" s="78">
        <f>+Tabla1[[#This Row],[mto_devenga_03]]</f>
        <v>828.29</v>
      </c>
      <c r="DN106" s="78">
        <f>+Tabla1[[#This Row],[mto_devenga_04]]</f>
        <v>828.29</v>
      </c>
      <c r="DO106" s="78">
        <f>+Tabla1[[#This Row],[mto_devenga_05]]</f>
        <v>828.29</v>
      </c>
      <c r="DP106" s="76">
        <f>+Tabla1[[#This Row],[mto_devenga_06]]</f>
        <v>1538.82</v>
      </c>
      <c r="DQ106" s="76">
        <f>+Tabla1[[#This Row],[mto_devenga_07]]</f>
        <v>8347.84</v>
      </c>
      <c r="DR106" s="76">
        <f>+Tabla1[[#This Row],[mto_devenga_08]]</f>
        <v>5131.84</v>
      </c>
      <c r="DS106" s="76">
        <f>+Tabla1[[#This Row],[mto_devenga_09]]</f>
        <v>10686.79</v>
      </c>
      <c r="DT106" s="76">
        <f>IFERROR(VLOOKUP(Tabla1[[#This Row],[COD SE]],PF_OCTUBRE,14,0),"0")</f>
        <v>1104.77</v>
      </c>
      <c r="DU106" s="76">
        <f>IFERROR(VLOOKUP(Tabla1[[#This Row],[COD SE]],PF_OCTUBRE,15,0),"0")</f>
        <v>484.13</v>
      </c>
      <c r="DV106" s="76">
        <f>IFERROR(VLOOKUP(Tabla1[[#This Row],[COD SE]],PF_OCTUBRE,16,0),"0")</f>
        <v>555.29</v>
      </c>
      <c r="DW106" s="76">
        <f>+SUM(Tabla1[[#This Row],[EJECUTADO 01]:[PF DICIEMBRE
]])</f>
        <v>31162.640000000003</v>
      </c>
      <c r="DX106" s="76">
        <f>IFERROR(VLOOKUP(Tabla1[[#This Row],[COD SE]],PF_OCTUBRE,18,0),"0")</f>
        <v>0</v>
      </c>
      <c r="DY106" s="76">
        <f>IFERROR(VLOOKUP(Tabla1[[#This Row],[COD SE]],PF_OCTUBRE,19,0),"0")</f>
        <v>861.3599999999999</v>
      </c>
      <c r="DZ106" s="76">
        <f>IFERROR(VLOOKUP(Tabla1[[#This Row],[COD SE]],PF_OCTUBRE,20,0),"0")</f>
        <v>861.3599999999999</v>
      </c>
      <c r="EA106" s="76">
        <f>+Tabla1[[#This Row],[TOTAL EJEC REAL]]+Tabla1[[#This Row],[SALDO FINAL]]</f>
        <v>32024.000000000004</v>
      </c>
      <c r="EB106" s="76">
        <f>IFERROR(VLOOKUP(Tabla1[[#This Row],[COD SE]],PF_OCTUBRE,22,0),"0")</f>
        <v>1416.6499999999999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32024</v>
      </c>
      <c r="EF106" s="76">
        <f>+Tabla1[[#This Row],[mto_pim]]-Tabla1[[#This Row],[TRANFS ESC 3 ]]</f>
        <v>32024</v>
      </c>
      <c r="EG106" s="76">
        <f>+IFERROR(VLOOKUP(Tabla1[[#This Row],[COD SE]],HISTORICO,4,0),0)</f>
        <v>3829</v>
      </c>
      <c r="EH106" s="76">
        <f>+IFERROR(VLOOKUP(Tabla1[[#This Row],[COD SE]],HISTORICO,5,0),0)</f>
        <v>829</v>
      </c>
      <c r="EI106" s="76">
        <f>+IFERROR(VLOOKUP(Tabla1[[#This Row],[COD SE]],HISTORICO,6,0),0)</f>
        <v>829</v>
      </c>
      <c r="EJ106" s="76">
        <f>+IFERROR(VLOOKUP(Tabla1[[#This Row],[COD SE]],HISTORICO,7,0),0)</f>
        <v>829</v>
      </c>
      <c r="EK106" s="76">
        <f>+IFERROR(VLOOKUP(Tabla1[[#This Row],[COD SE]],HISTORICO,8,0),0)</f>
        <v>828.29</v>
      </c>
      <c r="EL106" s="76">
        <f>+IFERROR(VLOOKUP(Tabla1[[#This Row],[COD SE]],HISTORICO,9,0),0)</f>
        <v>828.29</v>
      </c>
      <c r="EM106" s="76">
        <f>+IFERROR(VLOOKUP(Tabla1[[#This Row],[COD SE]],HISTORICO,10,0),0)</f>
        <v>8828.2900000000009</v>
      </c>
      <c r="EN106" s="76">
        <f>+IFERROR(VLOOKUP(Tabla1[[#This Row],[COD SE]],HISTORICO,11,0),0)</f>
        <v>5128.29</v>
      </c>
      <c r="EO106" s="76">
        <f>+IFERROR(VLOOKUP(Tabla1[[#This Row],[COD SE]],HISTORICO,12,0),0)</f>
        <v>21400</v>
      </c>
      <c r="EP106" s="58">
        <f>+SUM(Tabla1[[#This Row],[EJECUTADO 01]:[EJECUTADO 03]])</f>
        <v>1656.58</v>
      </c>
      <c r="EQ106" s="58">
        <f>+SUM(Tabla1[[#This Row],[EJECUTADO 04]:[EJECUTADO 06]])</f>
        <v>3195.3999999999996</v>
      </c>
      <c r="ER106" s="58">
        <f>+SUM(Tabla1[[#This Row],[EJECUTADO 07]:[EJECUTADO 09]])</f>
        <v>24166.47</v>
      </c>
      <c r="ES106" s="58">
        <f>+SUM(Tabla1[[#This Row],[PF OCTUBRE]:[PF DICIEMBRE
]])</f>
        <v>2144.19</v>
      </c>
      <c r="ET106" s="58">
        <f>+SUM(Tabla1[[#This Row],[EJECUTADO 01]:[EJECUTADO 09]])</f>
        <v>29018.45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1672</v>
      </c>
      <c r="AD107" s="369" t="s">
        <v>1673</v>
      </c>
      <c r="AE107" s="369" t="s">
        <v>1674</v>
      </c>
      <c r="AF107" s="369" t="s">
        <v>1675</v>
      </c>
      <c r="AG107" s="369" t="s">
        <v>1676</v>
      </c>
      <c r="AH107" s="369">
        <v>700</v>
      </c>
      <c r="AI107" s="369">
        <v>-700</v>
      </c>
      <c r="AJ107" s="369">
        <v>0</v>
      </c>
      <c r="AK107" s="370">
        <v>0</v>
      </c>
      <c r="AL107" s="370">
        <v>0</v>
      </c>
      <c r="AM107" s="370">
        <v>0</v>
      </c>
      <c r="AN107" s="370">
        <v>0</v>
      </c>
      <c r="AO107" s="370">
        <v>0</v>
      </c>
      <c r="AP107" s="370">
        <v>0</v>
      </c>
      <c r="AQ107" s="370">
        <v>0</v>
      </c>
      <c r="AR107" s="370">
        <v>0</v>
      </c>
      <c r="AS107" s="370">
        <v>0</v>
      </c>
      <c r="AT107" s="370">
        <v>0</v>
      </c>
      <c r="AU107" s="370">
        <v>0</v>
      </c>
      <c r="AV107" s="370">
        <v>0</v>
      </c>
      <c r="AW107" s="370">
        <v>0</v>
      </c>
      <c r="AX107" s="370">
        <v>0</v>
      </c>
      <c r="AY107" s="370">
        <v>0</v>
      </c>
      <c r="AZ107" s="370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0">
        <v>0</v>
      </c>
      <c r="BG107" s="370">
        <v>0</v>
      </c>
      <c r="BH107" s="370">
        <v>0</v>
      </c>
      <c r="BI107" s="370">
        <v>0</v>
      </c>
      <c r="BJ107" s="370">
        <v>0</v>
      </c>
      <c r="BK107" s="370">
        <v>0</v>
      </c>
      <c r="BL107" s="370">
        <v>0</v>
      </c>
      <c r="BM107" s="370">
        <v>0</v>
      </c>
      <c r="BN107" s="370">
        <v>0</v>
      </c>
      <c r="BO107" s="370">
        <v>0</v>
      </c>
      <c r="BP107" s="370">
        <v>0</v>
      </c>
      <c r="BQ107" s="370">
        <v>0</v>
      </c>
      <c r="BR107" s="370">
        <v>0</v>
      </c>
      <c r="BS107" s="370">
        <v>0</v>
      </c>
      <c r="BT107" s="370">
        <v>0</v>
      </c>
      <c r="BU107" s="370">
        <v>0</v>
      </c>
      <c r="BV107" s="370">
        <v>0</v>
      </c>
      <c r="BW107" s="370">
        <v>0</v>
      </c>
      <c r="BX107" s="370">
        <v>0</v>
      </c>
      <c r="BY107" s="370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0">
        <v>0</v>
      </c>
      <c r="CF107" s="370">
        <v>0</v>
      </c>
      <c r="CG107" s="370">
        <v>0</v>
      </c>
      <c r="CH107" s="370">
        <v>0</v>
      </c>
      <c r="CI107" s="48" t="s">
        <v>1987</v>
      </c>
      <c r="CJ107" s="48" t="s">
        <v>1991</v>
      </c>
      <c r="CK107" s="48" t="s">
        <v>1987</v>
      </c>
      <c r="CL107" s="48" t="s">
        <v>1990</v>
      </c>
      <c r="CM107" s="48" t="s">
        <v>1987</v>
      </c>
      <c r="CN107" s="48" t="s">
        <v>1990</v>
      </c>
      <c r="CO107" s="48" t="str">
        <f t="shared" si="28"/>
        <v>2.3.2.1.2.1</v>
      </c>
      <c r="CP107" s="48" t="str">
        <f>+VLOOKUP(Tabla1[[#This Row],[ESPECÍFICA]],CLASIFICADOR_,2,0)</f>
        <v>2.3.2.1.2.1 - PASAJES Y GASTOS DE TRANSPORTE</v>
      </c>
      <c r="CQ107" s="48" t="str">
        <f>+VLOOKUP(Tabla1[[#This Row],[ESPECÍFICA]],CLASIFICADOR_,3,0)</f>
        <v>2.3.2.1 - VIAJES</v>
      </c>
      <c r="CR107" s="48" t="str">
        <f>+VLOOKUP(Tabla1[[#This Row],[ESPECÍFICA]],CLASIFICADOR_,4,0)</f>
        <v>Límite de Gasto</v>
      </c>
      <c r="CS107" s="48" t="str">
        <f>+VLOOKUP(Tabla1[[#This Row],[ESPECÍFICA]],CLASIFICADOR_,5,0)</f>
        <v>10.6 b)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2.3.BIENES Y SERVICIOS</v>
      </c>
      <c r="CX107" s="48" t="str">
        <f t="shared" si="17"/>
        <v>0008-OAUGD</v>
      </c>
      <c r="CY107" s="113" t="str">
        <f t="shared" si="18"/>
        <v>0008-OAUGD</v>
      </c>
      <c r="CZ107" s="20" t="str">
        <f t="shared" si="19"/>
        <v>0008-OAUGD</v>
      </c>
      <c r="DA107" s="113" t="str">
        <f>+CONCATENATE(Tabla1[[#This Row],[CC COMPLETO]],Tabla1[[#This Row],[ESPECÍFICA]])</f>
        <v>0008-OAUGD2.3.2.1.2.1</v>
      </c>
      <c r="DB107" s="49">
        <f t="shared" si="20"/>
        <v>0</v>
      </c>
      <c r="DC107" s="49">
        <f t="shared" si="21"/>
        <v>0</v>
      </c>
      <c r="DD107" s="49">
        <f t="shared" si="22"/>
        <v>0</v>
      </c>
      <c r="DE107" s="49">
        <f t="shared" si="23"/>
        <v>0</v>
      </c>
      <c r="DF107" s="49">
        <f t="shared" si="24"/>
        <v>0</v>
      </c>
      <c r="DG107" s="49">
        <f t="shared" si="25"/>
        <v>0</v>
      </c>
      <c r="DH107" s="49">
        <f t="shared" si="26"/>
        <v>0</v>
      </c>
      <c r="DI107" s="50">
        <f t="shared" si="27"/>
        <v>0</v>
      </c>
      <c r="DJ107" s="78">
        <f>+SUM(Tabla1[[#This Row],[EJECUTADO 01]:[EJECUTADO 06]])</f>
        <v>0</v>
      </c>
      <c r="DK107" s="78">
        <f>+Tabla1[[#This Row],[mto_devenga_01]]</f>
        <v>0</v>
      </c>
      <c r="DL107" s="78">
        <f>+Tabla1[[#This Row],[mto_devenga_02]]</f>
        <v>0</v>
      </c>
      <c r="DM107" s="78">
        <f>+Tabla1[[#This Row],[mto_devenga_03]]</f>
        <v>0</v>
      </c>
      <c r="DN107" s="78">
        <f>+Tabla1[[#This Row],[mto_devenga_04]]</f>
        <v>0</v>
      </c>
      <c r="DO107" s="78">
        <f>+Tabla1[[#This Row],[mto_devenga_05]]</f>
        <v>0</v>
      </c>
      <c r="DP107" s="76">
        <f>+Tabla1[[#This Row],[mto_devenga_06]]</f>
        <v>0</v>
      </c>
      <c r="DQ107" s="76">
        <f>+Tabla1[[#This Row],[mto_devenga_07]]</f>
        <v>0</v>
      </c>
      <c r="DR107" s="76">
        <f>+Tabla1[[#This Row],[mto_devenga_08]]</f>
        <v>0</v>
      </c>
      <c r="DS107" s="76">
        <f>+Tabla1[[#This Row],[mto_devenga_09]]</f>
        <v>0</v>
      </c>
      <c r="DT107" s="76">
        <f>IFERROR(VLOOKUP(Tabla1[[#This Row],[COD SE]],PF_OCTUBRE,14,0),"0")</f>
        <v>0</v>
      </c>
      <c r="DU107" s="76">
        <f>IFERROR(VLOOKUP(Tabla1[[#This Row],[COD SE]],PF_OCTUBRE,15,0),"0")</f>
        <v>0</v>
      </c>
      <c r="DV107" s="76">
        <f>IFERROR(VLOOKUP(Tabla1[[#This Row],[COD SE]],PF_OCTUBRE,16,0),"0")</f>
        <v>0</v>
      </c>
      <c r="DW107" s="76">
        <f>+SUM(Tabla1[[#This Row],[EJECUTADO 01]:[PF DICIEMBRE
]])</f>
        <v>0</v>
      </c>
      <c r="DX107" s="76">
        <f>IFERROR(VLOOKUP(Tabla1[[#This Row],[COD SE]],PF_OCTUBRE,18,0),"0")</f>
        <v>0</v>
      </c>
      <c r="DY107" s="76">
        <f>IFERROR(VLOOKUP(Tabla1[[#This Row],[COD SE]],PF_OCTUBRE,19,0),"0")</f>
        <v>0</v>
      </c>
      <c r="DZ107" s="76">
        <f>IFERROR(VLOOKUP(Tabla1[[#This Row],[COD SE]],PF_OCTUBRE,20,0),"0")</f>
        <v>0</v>
      </c>
      <c r="EA107" s="76">
        <f>+Tabla1[[#This Row],[TOTAL EJEC REAL]]+Tabla1[[#This Row],[SALDO FINAL]]</f>
        <v>0</v>
      </c>
      <c r="EB107" s="76">
        <f>IFERROR(VLOOKUP(Tabla1[[#This Row],[COD SE]],PF_OCTUBRE,22,0),"0")</f>
        <v>0</v>
      </c>
      <c r="EC107" s="76">
        <f>+IFERROR(VLOOKUP(Tabla1[[#This Row],[COD SE]],SALDO_ESC_2,7,0),0)</f>
        <v>0</v>
      </c>
      <c r="ED107" s="76">
        <f>+IFERROR(VLOOKUP(Tabla1[[#This Row],[COD SE]],SALDO_ESC_3,7,0),0)</f>
        <v>0</v>
      </c>
      <c r="EE107" s="76">
        <f>+Tabla1[[#This Row],[mto_pim]]-Tabla1[[#This Row],[TRANSF ESC2 ]]</f>
        <v>0</v>
      </c>
      <c r="EF107" s="76">
        <f>+Tabla1[[#This Row],[mto_pim]]-Tabla1[[#This Row],[TRANFS ESC 3 ]]</f>
        <v>0</v>
      </c>
      <c r="EG107" s="76">
        <f>+IFERROR(VLOOKUP(Tabla1[[#This Row],[COD SE]],HISTORICO,4,0),0)</f>
        <v>0</v>
      </c>
      <c r="EH107" s="76">
        <f>+IFERROR(VLOOKUP(Tabla1[[#This Row],[COD SE]],HISTORICO,5,0),0)</f>
        <v>0</v>
      </c>
      <c r="EI107" s="76">
        <f>+IFERROR(VLOOKUP(Tabla1[[#This Row],[COD SE]],HISTORICO,6,0),0)</f>
        <v>0</v>
      </c>
      <c r="EJ107" s="76">
        <f>+IFERROR(VLOOKUP(Tabla1[[#This Row],[COD SE]],HISTORICO,7,0),0)</f>
        <v>0</v>
      </c>
      <c r="EK107" s="76">
        <f>+IFERROR(VLOOKUP(Tabla1[[#This Row],[COD SE]],HISTORICO,8,0),0)</f>
        <v>0</v>
      </c>
      <c r="EL107" s="76">
        <f>+IFERROR(VLOOKUP(Tabla1[[#This Row],[COD SE]],HISTORICO,9,0),0)</f>
        <v>0</v>
      </c>
      <c r="EM107" s="76">
        <f>+IFERROR(VLOOKUP(Tabla1[[#This Row],[COD SE]],HISTORICO,10,0),0)</f>
        <v>0</v>
      </c>
      <c r="EN107" s="76">
        <f>+IFERROR(VLOOKUP(Tabla1[[#This Row],[COD SE]],HISTORICO,11,0),0)</f>
        <v>0</v>
      </c>
      <c r="EO107" s="76">
        <f>+IFERROR(VLOOKUP(Tabla1[[#This Row],[COD SE]],HISTORICO,12,0),0)</f>
        <v>0</v>
      </c>
      <c r="EP107" s="58">
        <f>+SUM(Tabla1[[#This Row],[EJECUTADO 01]:[EJECUTADO 03]])</f>
        <v>0</v>
      </c>
      <c r="EQ107" s="58">
        <f>+SUM(Tabla1[[#This Row],[EJECUTADO 04]:[EJECUTADO 06]])</f>
        <v>0</v>
      </c>
      <c r="ER107" s="58">
        <f>+SUM(Tabla1[[#This Row],[EJECUTADO 07]:[EJECUTADO 09]])</f>
        <v>0</v>
      </c>
      <c r="ES107" s="58">
        <f>+SUM(Tabla1[[#This Row],[PF OCTUBRE]:[PF DICIEMBRE
]])</f>
        <v>0</v>
      </c>
      <c r="ET107" s="58">
        <f>+SUM(Tabla1[[#This Row],[EJECUTADO 01]:[EJECUTADO 09]])</f>
        <v>0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1672</v>
      </c>
      <c r="AD108" s="369" t="s">
        <v>1684</v>
      </c>
      <c r="AE108" s="369" t="s">
        <v>1719</v>
      </c>
      <c r="AF108" s="369" t="s">
        <v>1720</v>
      </c>
      <c r="AG108" s="369" t="s">
        <v>1721</v>
      </c>
      <c r="AH108" s="369">
        <v>600</v>
      </c>
      <c r="AI108" s="369">
        <v>-600</v>
      </c>
      <c r="AJ108" s="369">
        <v>0</v>
      </c>
      <c r="AK108" s="370">
        <v>0</v>
      </c>
      <c r="AL108" s="370">
        <v>0</v>
      </c>
      <c r="AM108" s="370">
        <v>0</v>
      </c>
      <c r="AN108" s="370">
        <v>0</v>
      </c>
      <c r="AO108" s="370">
        <v>0</v>
      </c>
      <c r="AP108" s="370">
        <v>0</v>
      </c>
      <c r="AQ108" s="370">
        <v>0</v>
      </c>
      <c r="AR108" s="370">
        <v>0</v>
      </c>
      <c r="AS108" s="370">
        <v>0</v>
      </c>
      <c r="AT108" s="370">
        <v>0</v>
      </c>
      <c r="AU108" s="370">
        <v>0</v>
      </c>
      <c r="AV108" s="370">
        <v>0</v>
      </c>
      <c r="AW108" s="370">
        <v>0</v>
      </c>
      <c r="AX108" s="370">
        <v>0</v>
      </c>
      <c r="AY108" s="370">
        <v>0</v>
      </c>
      <c r="AZ108" s="370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0">
        <v>0</v>
      </c>
      <c r="BG108" s="370">
        <v>0</v>
      </c>
      <c r="BH108" s="370">
        <v>0</v>
      </c>
      <c r="BI108" s="370">
        <v>0</v>
      </c>
      <c r="BJ108" s="370">
        <v>0</v>
      </c>
      <c r="BK108" s="370">
        <v>0</v>
      </c>
      <c r="BL108" s="370">
        <v>0</v>
      </c>
      <c r="BM108" s="370">
        <v>0</v>
      </c>
      <c r="BN108" s="370">
        <v>0</v>
      </c>
      <c r="BO108" s="370">
        <v>0</v>
      </c>
      <c r="BP108" s="370">
        <v>0</v>
      </c>
      <c r="BQ108" s="370">
        <v>0</v>
      </c>
      <c r="BR108" s="370">
        <v>0</v>
      </c>
      <c r="BS108" s="370">
        <v>0</v>
      </c>
      <c r="BT108" s="370">
        <v>0</v>
      </c>
      <c r="BU108" s="370">
        <v>0</v>
      </c>
      <c r="BV108" s="370">
        <v>0</v>
      </c>
      <c r="BW108" s="370">
        <v>0</v>
      </c>
      <c r="BX108" s="370">
        <v>0</v>
      </c>
      <c r="BY108" s="370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0">
        <v>0</v>
      </c>
      <c r="CF108" s="370">
        <v>0</v>
      </c>
      <c r="CG108" s="370">
        <v>0</v>
      </c>
      <c r="CH108" s="370">
        <v>0</v>
      </c>
      <c r="CI108" s="48" t="s">
        <v>1987</v>
      </c>
      <c r="CJ108" s="48" t="s">
        <v>1991</v>
      </c>
      <c r="CK108" s="48" t="s">
        <v>1990</v>
      </c>
      <c r="CL108" s="48" t="s">
        <v>1988</v>
      </c>
      <c r="CM108" s="48" t="s">
        <v>1990</v>
      </c>
      <c r="CN108" s="48" t="s">
        <v>1987</v>
      </c>
      <c r="CO108" s="48" t="str">
        <f t="shared" si="28"/>
        <v>2.3.1.6.1.2</v>
      </c>
      <c r="CP108" s="48" t="str">
        <f>+VLOOKUP(Tabla1[[#This Row],[ESPECÍFICA]],CLASIFICADOR_,2,0)</f>
        <v>2.3.1.6.1.2 - DE COMUNICACIONES Y TELECOMUNICACIONES</v>
      </c>
      <c r="CQ108" s="48" t="str">
        <f>+VLOOKUP(Tabla1[[#This Row],[ESPECÍFICA]],CLASIFICADOR_,3,0)</f>
        <v>2.3.1.6 - REPUESTOS Y ACCESORIOS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Partidas restringidas</v>
      </c>
      <c r="CU108" s="48" t="str">
        <f>+VLOOKUP(Tabla1[[#This Row],[ESPECÍFICA]],CLASIFICADOR_,7,0)</f>
        <v>9.6 Hasta el 1er Semestre</v>
      </c>
      <c r="CV108" s="48">
        <f>+VLOOKUP(Tabla1[[#This Row],[ESPECÍFICA]],CLASIFICADOR_,8,0)</f>
        <v>1</v>
      </c>
      <c r="CW108" s="113" t="str">
        <f>+CONCATENATE("2.",Tabla1[[#This Row],[generica]])</f>
        <v>2.3.BIENES Y SERVICIOS</v>
      </c>
      <c r="CX108" s="48" t="str">
        <f t="shared" si="17"/>
        <v>0008-OAUGD</v>
      </c>
      <c r="CY108" s="113" t="str">
        <f t="shared" si="18"/>
        <v>0008-OAUGD</v>
      </c>
      <c r="CZ108" s="20" t="str">
        <f t="shared" si="19"/>
        <v>0008-OAUGD</v>
      </c>
      <c r="DA108" s="113" t="str">
        <f>+CONCATENATE(Tabla1[[#This Row],[CC COMPLETO]],Tabla1[[#This Row],[ESPECÍFICA]])</f>
        <v>0008-OAUGD2.3.1.6.1.2</v>
      </c>
      <c r="DB108" s="49">
        <f t="shared" si="20"/>
        <v>0</v>
      </c>
      <c r="DC108" s="49">
        <f t="shared" si="21"/>
        <v>0</v>
      </c>
      <c r="DD108" s="49">
        <f t="shared" si="22"/>
        <v>0</v>
      </c>
      <c r="DE108" s="49">
        <f t="shared" si="23"/>
        <v>0</v>
      </c>
      <c r="DF108" s="49">
        <f t="shared" si="24"/>
        <v>0</v>
      </c>
      <c r="DG108" s="49">
        <f t="shared" si="25"/>
        <v>0</v>
      </c>
      <c r="DH108" s="49">
        <f t="shared" si="26"/>
        <v>0</v>
      </c>
      <c r="DI108" s="50">
        <f t="shared" si="27"/>
        <v>0</v>
      </c>
      <c r="DJ108" s="78">
        <f>+SUM(Tabla1[[#This Row],[EJECUTADO 01]:[EJECUTADO 06]])</f>
        <v>0</v>
      </c>
      <c r="DK108" s="78">
        <f>+Tabla1[[#This Row],[mto_devenga_01]]</f>
        <v>0</v>
      </c>
      <c r="DL108" s="78">
        <f>+Tabla1[[#This Row],[mto_devenga_02]]</f>
        <v>0</v>
      </c>
      <c r="DM108" s="78">
        <f>+Tabla1[[#This Row],[mto_devenga_03]]</f>
        <v>0</v>
      </c>
      <c r="DN108" s="78">
        <f>+Tabla1[[#This Row],[mto_devenga_04]]</f>
        <v>0</v>
      </c>
      <c r="DO108" s="78">
        <f>+Tabla1[[#This Row],[mto_devenga_05]]</f>
        <v>0</v>
      </c>
      <c r="DP108" s="76">
        <f>+Tabla1[[#This Row],[mto_devenga_06]]</f>
        <v>0</v>
      </c>
      <c r="DQ108" s="76">
        <f>+Tabla1[[#This Row],[mto_devenga_07]]</f>
        <v>0</v>
      </c>
      <c r="DR108" s="76">
        <f>+Tabla1[[#This Row],[mto_devenga_08]]</f>
        <v>0</v>
      </c>
      <c r="DS108" s="76">
        <f>+Tabla1[[#This Row],[mto_devenga_09]]</f>
        <v>0</v>
      </c>
      <c r="DT108" s="76">
        <f>IFERROR(VLOOKUP(Tabla1[[#This Row],[COD SE]],PF_OCTUBRE,14,0),"0")</f>
        <v>0</v>
      </c>
      <c r="DU108" s="76">
        <f>IFERROR(VLOOKUP(Tabla1[[#This Row],[COD SE]],PF_OCTUBRE,15,0),"0")</f>
        <v>0</v>
      </c>
      <c r="DV108" s="76">
        <f>IFERROR(VLOOKUP(Tabla1[[#This Row],[COD SE]],PF_OCTUBRE,16,0),"0")</f>
        <v>0</v>
      </c>
      <c r="DW108" s="76">
        <f>+SUM(Tabla1[[#This Row],[EJECUTADO 01]:[PF DICIEMBRE
]])</f>
        <v>0</v>
      </c>
      <c r="DX108" s="76">
        <f>IFERROR(VLOOKUP(Tabla1[[#This Row],[COD SE]],PF_OCTUBRE,18,0),"0")</f>
        <v>0</v>
      </c>
      <c r="DY108" s="76">
        <f>IFERROR(VLOOKUP(Tabla1[[#This Row],[COD SE]],PF_OCTUBRE,19,0),"0")</f>
        <v>0</v>
      </c>
      <c r="DZ108" s="76">
        <f>IFERROR(VLOOKUP(Tabla1[[#This Row],[COD SE]],PF_OCTUBRE,20,0),"0")</f>
        <v>0</v>
      </c>
      <c r="EA108" s="76">
        <f>+Tabla1[[#This Row],[TOTAL EJEC REAL]]+Tabla1[[#This Row],[SALDO FINAL]]</f>
        <v>0</v>
      </c>
      <c r="EB108" s="76">
        <f>IFERROR(VLOOKUP(Tabla1[[#This Row],[COD SE]],PF_OCTUBRE,22,0),"0")</f>
        <v>0</v>
      </c>
      <c r="EC108" s="76">
        <f>+IFERROR(VLOOKUP(Tabla1[[#This Row],[COD SE]],SALDO_ESC_2,7,0),0)</f>
        <v>0</v>
      </c>
      <c r="ED108" s="76">
        <f>+IFERROR(VLOOKUP(Tabla1[[#This Row],[COD SE]],SALDO_ESC_3,7,0),0)</f>
        <v>0</v>
      </c>
      <c r="EE108" s="76">
        <f>+Tabla1[[#This Row],[mto_pim]]-Tabla1[[#This Row],[TRANSF ESC2 ]]</f>
        <v>0</v>
      </c>
      <c r="EF108" s="76">
        <f>+Tabla1[[#This Row],[mto_pim]]-Tabla1[[#This Row],[TRANFS ESC 3 ]]</f>
        <v>0</v>
      </c>
      <c r="EG108" s="76">
        <f>+IFERROR(VLOOKUP(Tabla1[[#This Row],[COD SE]],HISTORICO,4,0),0)</f>
        <v>0</v>
      </c>
      <c r="EH108" s="76">
        <f>+IFERROR(VLOOKUP(Tabla1[[#This Row],[COD SE]],HISTORICO,5,0),0)</f>
        <v>0</v>
      </c>
      <c r="EI108" s="76">
        <f>+IFERROR(VLOOKUP(Tabla1[[#This Row],[COD SE]],HISTORICO,6,0),0)</f>
        <v>0</v>
      </c>
      <c r="EJ108" s="76">
        <f>+IFERROR(VLOOKUP(Tabla1[[#This Row],[COD SE]],HISTORICO,7,0),0)</f>
        <v>0</v>
      </c>
      <c r="EK108" s="76">
        <f>+IFERROR(VLOOKUP(Tabla1[[#This Row],[COD SE]],HISTORICO,8,0),0)</f>
        <v>0</v>
      </c>
      <c r="EL108" s="76">
        <f>+IFERROR(VLOOKUP(Tabla1[[#This Row],[COD SE]],HISTORICO,9,0),0)</f>
        <v>0</v>
      </c>
      <c r="EM108" s="76">
        <f>+IFERROR(VLOOKUP(Tabla1[[#This Row],[COD SE]],HISTORICO,10,0),0)</f>
        <v>0</v>
      </c>
      <c r="EN108" s="76">
        <f>+IFERROR(VLOOKUP(Tabla1[[#This Row],[COD SE]],HISTORICO,11,0),0)</f>
        <v>0</v>
      </c>
      <c r="EO108" s="76">
        <f>+IFERROR(VLOOKUP(Tabla1[[#This Row],[COD SE]],HISTORICO,12,0),0)</f>
        <v>0</v>
      </c>
      <c r="EP108" s="58">
        <f>+SUM(Tabla1[[#This Row],[EJECUTADO 01]:[EJECUTADO 03]])</f>
        <v>0</v>
      </c>
      <c r="EQ108" s="58">
        <f>+SUM(Tabla1[[#This Row],[EJECUTADO 04]:[EJECUTADO 06]])</f>
        <v>0</v>
      </c>
      <c r="ER108" s="58">
        <f>+SUM(Tabla1[[#This Row],[EJECUTADO 07]:[EJECUTADO 09]])</f>
        <v>0</v>
      </c>
      <c r="ES108" s="58">
        <f>+SUM(Tabla1[[#This Row],[PF OCTUBRE]:[PF DICIEMBRE
]])</f>
        <v>0</v>
      </c>
      <c r="ET108" s="58">
        <f>+SUM(Tabla1[[#This Row],[EJECUTADO 01]:[EJECUTADO 09]])</f>
        <v>0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1672</v>
      </c>
      <c r="AD109" s="369" t="s">
        <v>1673</v>
      </c>
      <c r="AE109" s="369" t="s">
        <v>1693</v>
      </c>
      <c r="AF109" s="369" t="s">
        <v>1694</v>
      </c>
      <c r="AG109" s="369" t="s">
        <v>1695</v>
      </c>
      <c r="AH109" s="369">
        <v>250000</v>
      </c>
      <c r="AI109" s="369">
        <v>-209644</v>
      </c>
      <c r="AJ109" s="369">
        <v>40356</v>
      </c>
      <c r="AK109" s="370">
        <v>40356</v>
      </c>
      <c r="AL109" s="370">
        <v>40356</v>
      </c>
      <c r="AM109" s="370">
        <v>40356</v>
      </c>
      <c r="AN109" s="370">
        <v>0</v>
      </c>
      <c r="AO109" s="370">
        <v>0</v>
      </c>
      <c r="AP109" s="370">
        <v>0</v>
      </c>
      <c r="AQ109" s="370">
        <v>0</v>
      </c>
      <c r="AR109" s="370">
        <v>0</v>
      </c>
      <c r="AS109" s="370">
        <v>0</v>
      </c>
      <c r="AT109" s="370">
        <v>0</v>
      </c>
      <c r="AU109" s="370">
        <v>0</v>
      </c>
      <c r="AV109" s="370">
        <v>0</v>
      </c>
      <c r="AW109" s="370">
        <v>0</v>
      </c>
      <c r="AX109" s="370">
        <v>0</v>
      </c>
      <c r="AY109" s="370">
        <v>0</v>
      </c>
      <c r="AZ109" s="370">
        <v>40356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0">
        <v>0</v>
      </c>
      <c r="BG109" s="370">
        <v>0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40356</v>
      </c>
      <c r="BN109" s="370">
        <v>0</v>
      </c>
      <c r="BO109" s="370">
        <v>0</v>
      </c>
      <c r="BP109" s="370">
        <v>0</v>
      </c>
      <c r="BQ109" s="370">
        <v>0</v>
      </c>
      <c r="BR109" s="370">
        <v>0</v>
      </c>
      <c r="BS109" s="370">
        <v>0</v>
      </c>
      <c r="BT109" s="370">
        <v>0</v>
      </c>
      <c r="BU109" s="370">
        <v>0</v>
      </c>
      <c r="BV109" s="370">
        <v>0</v>
      </c>
      <c r="BW109" s="370">
        <v>40356</v>
      </c>
      <c r="BX109" s="370">
        <v>0</v>
      </c>
      <c r="BY109" s="370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0">
        <v>0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1991</v>
      </c>
      <c r="CK109" s="48" t="s">
        <v>1987</v>
      </c>
      <c r="CL109" s="48" t="s">
        <v>2011</v>
      </c>
      <c r="CM109" s="48" t="s">
        <v>1990</v>
      </c>
      <c r="CN109" s="48" t="s">
        <v>1998</v>
      </c>
      <c r="CO109" s="48" t="str">
        <f t="shared" si="28"/>
        <v>2.3.2.5.1.99</v>
      </c>
      <c r="CP109" s="48" t="str">
        <f>+VLOOKUP(Tabla1[[#This Row],[ESPECÍFICA]],CLASIFICADOR_,2,0)</f>
        <v>2.3.2.5.1.99 - DE OTROS BIENES Y ACTIVOS</v>
      </c>
      <c r="CQ109" s="48" t="str">
        <f>+VLOOKUP(Tabla1[[#This Row],[ESPECÍFICA]],CLASIFICADOR_,3,0)</f>
        <v>2.3.2.5 - ALQUILERES DE MUEBLES E INMUEBLES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2.3.BIENES Y SERVICIOS</v>
      </c>
      <c r="CX109" s="48" t="str">
        <f t="shared" si="17"/>
        <v>0008-OAUGD</v>
      </c>
      <c r="CY109" s="113" t="str">
        <f t="shared" si="18"/>
        <v>0008-OAUGD</v>
      </c>
      <c r="CZ109" s="20" t="str">
        <f t="shared" si="19"/>
        <v>0008-OAUGD</v>
      </c>
      <c r="DA109" s="113" t="str">
        <f>+CONCATENATE(Tabla1[[#This Row],[CC COMPLETO]],Tabla1[[#This Row],[ESPECÍFICA]])</f>
        <v>0008-OAUGD2.3.2.5.1.99</v>
      </c>
      <c r="DB109" s="49">
        <f t="shared" si="20"/>
        <v>40356</v>
      </c>
      <c r="DC109" s="49">
        <f t="shared" si="21"/>
        <v>40356</v>
      </c>
      <c r="DD109" s="49">
        <f t="shared" si="22"/>
        <v>40356</v>
      </c>
      <c r="DE109" s="49">
        <f t="shared" si="23"/>
        <v>0</v>
      </c>
      <c r="DF109" s="49">
        <f t="shared" si="24"/>
        <v>0</v>
      </c>
      <c r="DG109" s="49">
        <f t="shared" si="25"/>
        <v>0</v>
      </c>
      <c r="DH109" s="49">
        <f t="shared" si="26"/>
        <v>0</v>
      </c>
      <c r="DI109" s="50">
        <f t="shared" si="27"/>
        <v>0.16142400000000001</v>
      </c>
      <c r="DJ109" s="78">
        <f>+SUM(Tabla1[[#This Row],[EJECUTADO 01]:[EJECUTADO 06]])</f>
        <v>40356</v>
      </c>
      <c r="DK109" s="78">
        <f>+Tabla1[[#This Row],[mto_devenga_01]]</f>
        <v>0</v>
      </c>
      <c r="DL109" s="78">
        <f>+Tabla1[[#This Row],[mto_devenga_02]]</f>
        <v>40356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0</v>
      </c>
      <c r="DP109" s="76">
        <f>+Tabla1[[#This Row],[mto_devenga_06]]</f>
        <v>0</v>
      </c>
      <c r="DQ109" s="76">
        <f>+Tabla1[[#This Row],[mto_devenga_07]]</f>
        <v>0</v>
      </c>
      <c r="DR109" s="76">
        <f>+Tabla1[[#This Row],[mto_devenga_08]]</f>
        <v>0</v>
      </c>
      <c r="DS109" s="76">
        <f>+Tabla1[[#This Row],[mto_devenga_09]]</f>
        <v>0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40356</v>
      </c>
      <c r="DX109" s="76">
        <f>IFERROR(VLOOKUP(Tabla1[[#This Row],[COD SE]],PF_OCTUBRE,18,0),"0")</f>
        <v>0</v>
      </c>
      <c r="DY109" s="76">
        <f>IFERROR(VLOOKUP(Tabla1[[#This Row],[COD SE]],PF_OCTUBRE,19,0),"0")</f>
        <v>0</v>
      </c>
      <c r="DZ109" s="76">
        <f>IFERROR(VLOOKUP(Tabla1[[#This Row],[COD SE]],PF_OCTUBRE,20,0),"0")</f>
        <v>0</v>
      </c>
      <c r="EA109" s="76">
        <f>+Tabla1[[#This Row],[TOTAL EJEC REAL]]+Tabla1[[#This Row],[SALDO FINAL]]</f>
        <v>40356</v>
      </c>
      <c r="EB109" s="76">
        <f>IFERROR(VLOOKUP(Tabla1[[#This Row],[COD SE]],PF_OCTUBRE,22,0),"0")</f>
        <v>0</v>
      </c>
      <c r="EC109" s="76">
        <f>+IFERROR(VLOOKUP(Tabla1[[#This Row],[COD SE]],SALDO_ESC_2,7,0),0)</f>
        <v>0</v>
      </c>
      <c r="ED109" s="76">
        <f>+IFERROR(VLOOKUP(Tabla1[[#This Row],[COD SE]],SALDO_ESC_3,7,0),0)</f>
        <v>0</v>
      </c>
      <c r="EE109" s="76">
        <f>+Tabla1[[#This Row],[mto_pim]]-Tabla1[[#This Row],[TRANSF ESC2 ]]</f>
        <v>40356</v>
      </c>
      <c r="EF109" s="76">
        <f>+Tabla1[[#This Row],[mto_pim]]-Tabla1[[#This Row],[TRANFS ESC 3 ]]</f>
        <v>40356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0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40356</v>
      </c>
      <c r="EQ109" s="58">
        <f>+SUM(Tabla1[[#This Row],[EJECUTADO 04]:[EJECUTADO 06]])</f>
        <v>0</v>
      </c>
      <c r="ER109" s="58">
        <f>+SUM(Tabla1[[#This Row],[EJECUTADO 07]:[EJECUTADO 09]])</f>
        <v>0</v>
      </c>
      <c r="ES109" s="58">
        <f>+SUM(Tabla1[[#This Row],[PF OCTUBRE]:[PF DICIEMBRE
]])</f>
        <v>0</v>
      </c>
      <c r="ET109" s="58">
        <f>+SUM(Tabla1[[#This Row],[EJECUTADO 01]:[EJECUTADO 09]])</f>
        <v>40356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1673</v>
      </c>
      <c r="AE110" s="369" t="s">
        <v>1678</v>
      </c>
      <c r="AF110" s="369" t="s">
        <v>1699</v>
      </c>
      <c r="AG110" s="369" t="s">
        <v>1700</v>
      </c>
      <c r="AH110" s="369">
        <v>25800</v>
      </c>
      <c r="AI110" s="369">
        <v>45873</v>
      </c>
      <c r="AJ110" s="369">
        <v>71673</v>
      </c>
      <c r="AK110" s="370">
        <v>15000</v>
      </c>
      <c r="AL110" s="370">
        <v>15000</v>
      </c>
      <c r="AM110" s="370">
        <v>0</v>
      </c>
      <c r="AN110" s="370">
        <v>0</v>
      </c>
      <c r="AO110" s="370">
        <v>15000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4500</v>
      </c>
      <c r="BC110" s="370">
        <v>0</v>
      </c>
      <c r="BD110" s="370">
        <v>0</v>
      </c>
      <c r="BE110" s="370">
        <v>5250</v>
      </c>
      <c r="BF110" s="370">
        <v>0</v>
      </c>
      <c r="BG110" s="370">
        <v>5250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4500</v>
      </c>
      <c r="BP110" s="370">
        <v>0</v>
      </c>
      <c r="BQ110" s="370">
        <v>5250</v>
      </c>
      <c r="BR110" s="370">
        <v>0</v>
      </c>
      <c r="BS110" s="370">
        <v>5250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15000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1987</v>
      </c>
      <c r="CL110" s="48" t="s">
        <v>1989</v>
      </c>
      <c r="CM110" s="48" t="s">
        <v>2020</v>
      </c>
      <c r="CN110" s="48" t="s">
        <v>2012</v>
      </c>
      <c r="CO110" s="48" t="str">
        <f t="shared" si="28"/>
        <v>2.3.2.7.14.98</v>
      </c>
      <c r="CP110" s="48" t="str">
        <f>+VLOOKUP(Tabla1[[#This Row],[ESPECÍFICA]],CLASIFICADOR_,2,0)</f>
        <v>2.3.2.7.14.98 - OTROS SERVICIOS TÉCNICOS Y PROFESIONALES DESARROLLADOS POR PERSONAS NATURALES</v>
      </c>
      <c r="CQ110" s="48" t="str">
        <f>+VLOOKUP(Tabla1[[#This Row],[ESPECÍFICA]],CLASIFICADOR_,3,0)</f>
        <v>2.3.2.7 - SERVICIOS PROFESIONALES Y TECNICOS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N/R</v>
      </c>
      <c r="CU110" s="48" t="str">
        <f>+VLOOKUP(Tabla1[[#This Row],[ESPECÍFICA]],CLASIFICADOR_,7,0)</f>
        <v>N/R</v>
      </c>
      <c r="CV110" s="48">
        <f>+VLOOKUP(Tabla1[[#This Row],[ESPECÍFICA]],CLASIFICADOR_,8,0)</f>
        <v>0</v>
      </c>
      <c r="CW110" s="113" t="str">
        <f>+CONCATENATE("2.",Tabla1[[#This Row],[generica]])</f>
        <v>2.3.BIENES Y SERVICIOS</v>
      </c>
      <c r="CX110" s="48" t="str">
        <f t="shared" si="17"/>
        <v>0008-OAUGD</v>
      </c>
      <c r="CY110" s="113" t="str">
        <f t="shared" si="18"/>
        <v>0008-OAUGD</v>
      </c>
      <c r="CZ110" s="20" t="str">
        <f t="shared" si="19"/>
        <v>0008-OAUGD</v>
      </c>
      <c r="DA110" s="113" t="str">
        <f>+CONCATENATE(Tabla1[[#This Row],[CC COMPLETO]],Tabla1[[#This Row],[ESPECÍFICA]])</f>
        <v>0008-OAUGD2.3.2.7.14.98</v>
      </c>
      <c r="DB110" s="49">
        <f t="shared" si="20"/>
        <v>15000</v>
      </c>
      <c r="DC110" s="49">
        <f t="shared" si="21"/>
        <v>15000</v>
      </c>
      <c r="DD110" s="49">
        <f t="shared" si="22"/>
        <v>15000</v>
      </c>
      <c r="DE110" s="49">
        <f t="shared" si="23"/>
        <v>56673</v>
      </c>
      <c r="DF110" s="49">
        <f t="shared" si="24"/>
        <v>0</v>
      </c>
      <c r="DG110" s="49">
        <f t="shared" si="25"/>
        <v>0</v>
      </c>
      <c r="DH110" s="49">
        <f t="shared" si="26"/>
        <v>56673</v>
      </c>
      <c r="DI110" s="50">
        <f t="shared" si="27"/>
        <v>0.58139534883720934</v>
      </c>
      <c r="DJ110" s="78">
        <f>+SUM(Tabla1[[#This Row],[EJECUTADO 01]:[EJECUTADO 06]])</f>
        <v>4500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4500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5250</v>
      </c>
      <c r="DR110" s="76">
        <f>+Tabla1[[#This Row],[mto_devenga_08]]</f>
        <v>0</v>
      </c>
      <c r="DS110" s="76">
        <f>+Tabla1[[#This Row],[mto_devenga_09]]</f>
        <v>5250</v>
      </c>
      <c r="DT110" s="76">
        <f>IFERROR(VLOOKUP(Tabla1[[#This Row],[COD SE]],PF_OCTUBRE,14,0),"0")</f>
        <v>0</v>
      </c>
      <c r="DU110" s="76">
        <f>IFERROR(VLOOKUP(Tabla1[[#This Row],[COD SE]],PF_OCTUBRE,15,0),"0")</f>
        <v>30836.5</v>
      </c>
      <c r="DV110" s="76">
        <f>IFERROR(VLOOKUP(Tabla1[[#This Row],[COD SE]],PF_OCTUBRE,16,0),"0")</f>
        <v>30836.5</v>
      </c>
      <c r="DW110" s="76">
        <f>+SUM(Tabla1[[#This Row],[EJECUTADO 01]:[PF DICIEMBRE
]])</f>
        <v>76673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76673</v>
      </c>
      <c r="EB110" s="76">
        <f>IFERROR(VLOOKUP(Tabla1[[#This Row],[COD SE]],PF_OCTUBRE,22,0),"0")</f>
        <v>30836.5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71673</v>
      </c>
      <c r="EF110" s="76">
        <f>+Tabla1[[#This Row],[mto_pim]]-Tabla1[[#This Row],[TRANFS ESC 3 ]]</f>
        <v>71673</v>
      </c>
      <c r="EG110" s="76">
        <f>+IFERROR(VLOOKUP(Tabla1[[#This Row],[COD SE]],HISTORICO,4,0),0)</f>
        <v>0</v>
      </c>
      <c r="EH110" s="76">
        <f>+IFERROR(VLOOKUP(Tabla1[[#This Row],[COD SE]],HISTORICO,5,0),0)</f>
        <v>6400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5250</v>
      </c>
      <c r="EM110" s="76">
        <f>+IFERROR(VLOOKUP(Tabla1[[#This Row],[COD SE]],HISTORICO,10,0),0)</f>
        <v>5250</v>
      </c>
      <c r="EN110" s="76">
        <f>+IFERROR(VLOOKUP(Tabla1[[#This Row],[COD SE]],HISTORICO,11,0),0)</f>
        <v>5250</v>
      </c>
      <c r="EO110" s="76">
        <f>+IFERROR(VLOOKUP(Tabla1[[#This Row],[COD SE]],HISTORICO,12,0),0)</f>
        <v>5250</v>
      </c>
      <c r="EP110" s="58">
        <f>+SUM(Tabla1[[#This Row],[EJECUTADO 01]:[EJECUTADO 03]])</f>
        <v>0</v>
      </c>
      <c r="EQ110" s="58">
        <f>+SUM(Tabla1[[#This Row],[EJECUTADO 04]:[EJECUTADO 06]])</f>
        <v>4500</v>
      </c>
      <c r="ER110" s="58">
        <f>+SUM(Tabla1[[#This Row],[EJECUTADO 07]:[EJECUTADO 09]])</f>
        <v>10500</v>
      </c>
      <c r="ES110" s="58">
        <f>+SUM(Tabla1[[#This Row],[PF OCTUBRE]:[PF DICIEMBRE
]])</f>
        <v>61673</v>
      </c>
      <c r="ET110" s="58">
        <f>+SUM(Tabla1[[#This Row],[EJECUTADO 01]:[EJECUTADO 09]])</f>
        <v>15000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1722</v>
      </c>
      <c r="AF111" s="369" t="s">
        <v>1723</v>
      </c>
      <c r="AG111" s="369" t="s">
        <v>1724</v>
      </c>
      <c r="AH111" s="369">
        <v>1000</v>
      </c>
      <c r="AI111" s="369">
        <v>-640</v>
      </c>
      <c r="AJ111" s="369">
        <v>360</v>
      </c>
      <c r="AK111" s="370">
        <v>360</v>
      </c>
      <c r="AL111" s="370">
        <v>360</v>
      </c>
      <c r="AM111" s="370">
        <v>0</v>
      </c>
      <c r="AN111" s="370">
        <v>360</v>
      </c>
      <c r="AO111" s="370">
        <v>0</v>
      </c>
      <c r="AP111" s="370">
        <v>0</v>
      </c>
      <c r="AQ111" s="370">
        <v>0</v>
      </c>
      <c r="AR111" s="370">
        <v>0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175</v>
      </c>
      <c r="BA111" s="370">
        <v>185</v>
      </c>
      <c r="BB111" s="370">
        <v>0</v>
      </c>
      <c r="BC111" s="370">
        <v>0</v>
      </c>
      <c r="BD111" s="370">
        <v>0</v>
      </c>
      <c r="BE111" s="370">
        <v>0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175</v>
      </c>
      <c r="BM111" s="370">
        <v>185</v>
      </c>
      <c r="BN111" s="370">
        <v>0</v>
      </c>
      <c r="BO111" s="370">
        <v>0</v>
      </c>
      <c r="BP111" s="370">
        <v>0</v>
      </c>
      <c r="BQ111" s="370">
        <v>0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360</v>
      </c>
      <c r="BY111" s="370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1992</v>
      </c>
      <c r="CM111" s="48" t="s">
        <v>1987</v>
      </c>
      <c r="CN111" s="48" t="s">
        <v>1990</v>
      </c>
      <c r="CO111" s="48" t="str">
        <f t="shared" si="28"/>
        <v>2.3.1.8.2.1</v>
      </c>
      <c r="CP111" s="48" t="str">
        <f>+VLOOKUP(Tabla1[[#This Row],[ESPECÍFICA]],CLASIFICADOR_,2,0)</f>
        <v>2.3.1.8.2.1 - MATERIAL, INSUMOS, INSTRUMENTAL Y ACCESORIOS  MEDICOS, QUIRURGICOS, ODONTOLOGICOS Y DE LABORATORIO</v>
      </c>
      <c r="CQ111" s="48" t="str">
        <f>+VLOOKUP(Tabla1[[#This Row],[ESPECÍFICA]],CLASIFICADOR_,3,0)</f>
        <v>2.3.1.8 - SUMINISTROS MEDICOS</v>
      </c>
      <c r="CR111" s="48" t="str">
        <f>+VLOOKUP(Tabla1[[#This Row],[ESPECÍFICA]],CLASIFICADOR_,4,0)</f>
        <v xml:space="preserve"> </v>
      </c>
      <c r="CS111" s="48">
        <f>+VLOOKUP(Tabla1[[#This Row],[ESPECÍFICA]],CLASIFICADOR_,5,0)</f>
        <v>0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7"/>
        <v>0008-OAUGD</v>
      </c>
      <c r="CY111" s="113" t="str">
        <f t="shared" si="18"/>
        <v>0008-OAUGD</v>
      </c>
      <c r="CZ111" s="20" t="str">
        <f t="shared" si="19"/>
        <v>0008-OAUGD</v>
      </c>
      <c r="DA111" s="113" t="str">
        <f>+CONCATENATE(Tabla1[[#This Row],[CC COMPLETO]],Tabla1[[#This Row],[ESPECÍFICA]])</f>
        <v>0008-OAUGD2.3.1.8.2.1</v>
      </c>
      <c r="DB111" s="49">
        <f t="shared" si="20"/>
        <v>360</v>
      </c>
      <c r="DC111" s="49">
        <f t="shared" si="21"/>
        <v>360</v>
      </c>
      <c r="DD111" s="49">
        <f t="shared" si="22"/>
        <v>360</v>
      </c>
      <c r="DE111" s="49">
        <f t="shared" si="23"/>
        <v>0</v>
      </c>
      <c r="DF111" s="49">
        <f t="shared" si="24"/>
        <v>0</v>
      </c>
      <c r="DG111" s="49">
        <f t="shared" si="25"/>
        <v>0</v>
      </c>
      <c r="DH111" s="49">
        <f t="shared" si="26"/>
        <v>0</v>
      </c>
      <c r="DI111" s="50">
        <f t="shared" si="27"/>
        <v>0.36</v>
      </c>
      <c r="DJ111" s="78">
        <f>+SUM(Tabla1[[#This Row],[EJECUTADO 01]:[EJECUTADO 06]])</f>
        <v>360</v>
      </c>
      <c r="DK111" s="78">
        <f>+Tabla1[[#This Row],[mto_devenga_01]]</f>
        <v>0</v>
      </c>
      <c r="DL111" s="78">
        <f>+Tabla1[[#This Row],[mto_devenga_02]]</f>
        <v>175</v>
      </c>
      <c r="DM111" s="78">
        <f>+Tabla1[[#This Row],[mto_devenga_03]]</f>
        <v>185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0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360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360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360</v>
      </c>
      <c r="EF111" s="76">
        <f>+Tabla1[[#This Row],[mto_pim]]-Tabla1[[#This Row],[TRANFS ESC 3 ]]</f>
        <v>360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185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0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360</v>
      </c>
      <c r="EQ111" s="58">
        <f>+SUM(Tabla1[[#This Row],[EJECUTADO 04]:[EJECUTADO 06]])</f>
        <v>0</v>
      </c>
      <c r="ER111" s="58">
        <f>+SUM(Tabla1[[#This Row],[EJECUTADO 07]:[EJECUTADO 09]])</f>
        <v>0</v>
      </c>
      <c r="ES111" s="58">
        <f>+SUM(Tabla1[[#This Row],[PF OCTUBRE]:[PF DICIEMBRE
]])</f>
        <v>0</v>
      </c>
      <c r="ET111" s="58">
        <f>+SUM(Tabla1[[#This Row],[EJECUTADO 01]:[EJECUTADO 09]])</f>
        <v>360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1656</v>
      </c>
      <c r="AD112" s="369" t="s">
        <v>2006</v>
      </c>
      <c r="AE112" s="369" t="s">
        <v>2007</v>
      </c>
      <c r="AF112" s="369" t="s">
        <v>2007</v>
      </c>
      <c r="AG112" s="369" t="s">
        <v>2015</v>
      </c>
      <c r="AH112" s="369">
        <v>0</v>
      </c>
      <c r="AI112" s="369">
        <v>9016</v>
      </c>
      <c r="AJ112" s="369">
        <v>9016</v>
      </c>
      <c r="AK112" s="370">
        <v>9016</v>
      </c>
      <c r="AL112" s="370">
        <v>9016</v>
      </c>
      <c r="AM112" s="370">
        <v>0</v>
      </c>
      <c r="AN112" s="370">
        <v>0</v>
      </c>
      <c r="AO112" s="370">
        <v>0</v>
      </c>
      <c r="AP112" s="370">
        <v>0</v>
      </c>
      <c r="AQ112" s="370">
        <v>912.51</v>
      </c>
      <c r="AR112" s="370">
        <v>0</v>
      </c>
      <c r="AS112" s="370">
        <v>875.01</v>
      </c>
      <c r="AT112" s="370">
        <v>0</v>
      </c>
      <c r="AU112" s="370">
        <v>7226.21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0</v>
      </c>
      <c r="BB112" s="370">
        <v>0</v>
      </c>
      <c r="BC112" s="370">
        <v>912.51</v>
      </c>
      <c r="BD112" s="370">
        <v>0</v>
      </c>
      <c r="BE112" s="370">
        <v>875.01</v>
      </c>
      <c r="BF112" s="370">
        <v>0</v>
      </c>
      <c r="BG112" s="370">
        <v>7226.21</v>
      </c>
      <c r="BH112" s="370">
        <v>0</v>
      </c>
      <c r="BI112" s="370">
        <v>0</v>
      </c>
      <c r="BJ112" s="370">
        <v>0</v>
      </c>
      <c r="BK112" s="370">
        <v>0</v>
      </c>
      <c r="BL112" s="370">
        <v>0</v>
      </c>
      <c r="BM112" s="370">
        <v>0</v>
      </c>
      <c r="BN112" s="370">
        <v>0</v>
      </c>
      <c r="BO112" s="370">
        <v>912.51</v>
      </c>
      <c r="BP112" s="370">
        <v>0</v>
      </c>
      <c r="BQ112" s="370">
        <v>875.01</v>
      </c>
      <c r="BR112" s="370">
        <v>0</v>
      </c>
      <c r="BS112" s="370">
        <v>0</v>
      </c>
      <c r="BT112" s="370">
        <v>7226.21</v>
      </c>
      <c r="BU112" s="370">
        <v>0</v>
      </c>
      <c r="BV112" s="370">
        <v>0</v>
      </c>
      <c r="BW112" s="370">
        <v>0</v>
      </c>
      <c r="BX112" s="370">
        <v>0</v>
      </c>
      <c r="BY112" s="370">
        <v>0</v>
      </c>
      <c r="BZ112" s="370">
        <v>0</v>
      </c>
      <c r="CA112" s="370">
        <v>790.84</v>
      </c>
      <c r="CB112" s="370">
        <v>0</v>
      </c>
      <c r="CC112" s="370">
        <v>790.98</v>
      </c>
      <c r="CD112" s="370">
        <v>0</v>
      </c>
      <c r="CE112" s="370">
        <v>6134.14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1990</v>
      </c>
      <c r="CK112" s="48" t="s">
        <v>1993</v>
      </c>
      <c r="CL112" s="48" t="s">
        <v>1990</v>
      </c>
      <c r="CM112" s="48" t="s">
        <v>1990</v>
      </c>
      <c r="CN112" s="48" t="s">
        <v>1989</v>
      </c>
      <c r="CO112" s="48" t="str">
        <f t="shared" si="28"/>
        <v>2.1.4.1.1.7</v>
      </c>
      <c r="CP112" s="48" t="str">
        <f>+VLOOKUP(Tabla1[[#This Row],[ESPECÍFICA]],CLASIFICADOR_,2,0)</f>
        <v>2.1.4.1.1.7 - VACACIONES TRUNCAS PERSONAL CAS</v>
      </c>
      <c r="CQ112" s="48" t="str">
        <f>+VLOOKUP(Tabla1[[#This Row],[ESPECÍFICA]],CLASIFICADOR_,3,0)</f>
        <v>01.CAS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2.1.PERSONAL Y OBLIGACIONES SOCIALES</v>
      </c>
      <c r="CX112" s="48" t="str">
        <f t="shared" si="17"/>
        <v>0008-OAUGD</v>
      </c>
      <c r="CY112" s="113" t="str">
        <f t="shared" si="18"/>
        <v>0008-OAUGD</v>
      </c>
      <c r="CZ112" s="20" t="str">
        <f t="shared" si="19"/>
        <v>0008-OAUGD</v>
      </c>
      <c r="DA112" s="113" t="str">
        <f>+CONCATENATE(Tabla1[[#This Row],[CC COMPLETO]],Tabla1[[#This Row],[ESPECÍFICA]])</f>
        <v>0008-OAUGD2.1.4.1.1.7</v>
      </c>
      <c r="DB112" s="49">
        <f t="shared" si="20"/>
        <v>9013.73</v>
      </c>
      <c r="DC112" s="49">
        <f t="shared" si="21"/>
        <v>9013.73</v>
      </c>
      <c r="DD112" s="49">
        <f t="shared" si="22"/>
        <v>9013.73</v>
      </c>
      <c r="DE112" s="49">
        <f t="shared" si="23"/>
        <v>0</v>
      </c>
      <c r="DF112" s="49">
        <f t="shared" si="24"/>
        <v>0</v>
      </c>
      <c r="DG112" s="49">
        <f t="shared" si="25"/>
        <v>2.2700000000004366</v>
      </c>
      <c r="DH112" s="49">
        <f t="shared" si="26"/>
        <v>2.2700000000004366</v>
      </c>
      <c r="DI112" s="50">
        <f t="shared" si="27"/>
        <v>0</v>
      </c>
      <c r="DJ112" s="78">
        <f>+SUM(Tabla1[[#This Row],[EJECUTADO 01]:[EJECUTADO 06]])</f>
        <v>912.51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0</v>
      </c>
      <c r="DN112" s="78">
        <f>+Tabla1[[#This Row],[mto_devenga_04]]</f>
        <v>0</v>
      </c>
      <c r="DO112" s="78">
        <f>+Tabla1[[#This Row],[mto_devenga_05]]</f>
        <v>912.51</v>
      </c>
      <c r="DP112" s="76">
        <f>+Tabla1[[#This Row],[mto_devenga_06]]</f>
        <v>0</v>
      </c>
      <c r="DQ112" s="76">
        <f>+Tabla1[[#This Row],[mto_devenga_07]]</f>
        <v>875.01</v>
      </c>
      <c r="DR112" s="76">
        <f>+Tabla1[[#This Row],[mto_devenga_08]]</f>
        <v>0</v>
      </c>
      <c r="DS112" s="76">
        <f>+Tabla1[[#This Row],[mto_devenga_09]]</f>
        <v>7226.21</v>
      </c>
      <c r="DT112" s="76">
        <f>IFERROR(VLOOKUP(Tabla1[[#This Row],[COD SE]],PF_OCTUBRE,14,0),"0")</f>
        <v>0</v>
      </c>
      <c r="DU112" s="76">
        <f>IFERROR(VLOOKUP(Tabla1[[#This Row],[COD SE]],PF_OCTUBRE,15,0),"0")</f>
        <v>0</v>
      </c>
      <c r="DV112" s="76">
        <f>IFERROR(VLOOKUP(Tabla1[[#This Row],[COD SE]],PF_OCTUBRE,16,0),"0")</f>
        <v>0</v>
      </c>
      <c r="DW112" s="76">
        <f>+SUM(Tabla1[[#This Row],[EJECUTADO 01]:[PF DICIEMBRE
]])</f>
        <v>9013.73</v>
      </c>
      <c r="DX112" s="76">
        <f>IFERROR(VLOOKUP(Tabla1[[#This Row],[COD SE]],PF_OCTUBRE,18,0),"0")</f>
        <v>0</v>
      </c>
      <c r="DY112" s="76">
        <f>IFERROR(VLOOKUP(Tabla1[[#This Row],[COD SE]],PF_OCTUBRE,19,0),"0")</f>
        <v>2.27</v>
      </c>
      <c r="DZ112" s="76">
        <f>IFERROR(VLOOKUP(Tabla1[[#This Row],[COD SE]],PF_OCTUBRE,20,0),"0")</f>
        <v>2.27</v>
      </c>
      <c r="EA112" s="76">
        <f>+Tabla1[[#This Row],[TOTAL EJEC REAL]]+Tabla1[[#This Row],[SALDO FINAL]]</f>
        <v>9016</v>
      </c>
      <c r="EB112" s="76">
        <f>IFERROR(VLOOKUP(Tabla1[[#This Row],[COD SE]],PF_OCTUBRE,22,0),"0")</f>
        <v>2.27</v>
      </c>
      <c r="EC112" s="76">
        <f>+IFERROR(VLOOKUP(Tabla1[[#This Row],[COD SE]],SALDO_ESC_2,7,0),0)</f>
        <v>0</v>
      </c>
      <c r="ED112" s="76">
        <f>+IFERROR(VLOOKUP(Tabla1[[#This Row],[COD SE]],SALDO_ESC_3,7,0),0)</f>
        <v>2.27</v>
      </c>
      <c r="EE112" s="76">
        <f>+Tabla1[[#This Row],[mto_pim]]-Tabla1[[#This Row],[TRANSF ESC2 ]]</f>
        <v>9016</v>
      </c>
      <c r="EF112" s="76">
        <f>+Tabla1[[#This Row],[mto_pim]]-Tabla1[[#This Row],[TRANFS ESC 3 ]]</f>
        <v>9013.73</v>
      </c>
      <c r="EG112" s="76">
        <f>+IFERROR(VLOOKUP(Tabla1[[#This Row],[COD SE]],HISTORICO,4,0),0)</f>
        <v>0</v>
      </c>
      <c r="EH112" s="76">
        <f>+IFERROR(VLOOKUP(Tabla1[[#This Row],[COD SE]],HISTORICO,5,0),0)</f>
        <v>0</v>
      </c>
      <c r="EI112" s="76">
        <f>+IFERROR(VLOOKUP(Tabla1[[#This Row],[COD SE]],HISTORICO,6,0),0)</f>
        <v>0</v>
      </c>
      <c r="EJ112" s="76">
        <f>+IFERROR(VLOOKUP(Tabla1[[#This Row],[COD SE]],HISTORICO,7,0),0)</f>
        <v>0</v>
      </c>
      <c r="EK112" s="76">
        <f>+IFERROR(VLOOKUP(Tabla1[[#This Row],[COD SE]],HISTORICO,8,0),0)</f>
        <v>913</v>
      </c>
      <c r="EL112" s="76">
        <f>+IFERROR(VLOOKUP(Tabla1[[#This Row],[COD SE]],HISTORICO,9,0),0)</f>
        <v>0</v>
      </c>
      <c r="EM112" s="76">
        <f>+IFERROR(VLOOKUP(Tabla1[[#This Row],[COD SE]],HISTORICO,10,0),0)</f>
        <v>0</v>
      </c>
      <c r="EN112" s="76">
        <f>+IFERROR(VLOOKUP(Tabla1[[#This Row],[COD SE]],HISTORICO,11,0),0)</f>
        <v>0</v>
      </c>
      <c r="EO112" s="76">
        <f>+IFERROR(VLOOKUP(Tabla1[[#This Row],[COD SE]],HISTORICO,12,0),0)</f>
        <v>0</v>
      </c>
      <c r="EP112" s="58">
        <f>+SUM(Tabla1[[#This Row],[EJECUTADO 01]:[EJECUTADO 03]])</f>
        <v>0</v>
      </c>
      <c r="EQ112" s="58">
        <f>+SUM(Tabla1[[#This Row],[EJECUTADO 04]:[EJECUTADO 06]])</f>
        <v>912.51</v>
      </c>
      <c r="ER112" s="58">
        <f>+SUM(Tabla1[[#This Row],[EJECUTADO 07]:[EJECUTADO 09]])</f>
        <v>8101.22</v>
      </c>
      <c r="ES112" s="58">
        <f>+SUM(Tabla1[[#This Row],[PF OCTUBRE]:[PF DICIEMBRE
]])</f>
        <v>0</v>
      </c>
      <c r="ET112" s="58">
        <f>+SUM(Tabla1[[#This Row],[EJECUTADO 01]:[EJECUTADO 09]])</f>
        <v>9013.73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1660</v>
      </c>
      <c r="AF113" s="369" t="s">
        <v>1661</v>
      </c>
      <c r="AG113" s="369" t="s">
        <v>1663</v>
      </c>
      <c r="AH113" s="369">
        <v>515733</v>
      </c>
      <c r="AI113" s="369">
        <v>54341</v>
      </c>
      <c r="AJ113" s="369">
        <v>570074</v>
      </c>
      <c r="AK113" s="370">
        <v>446161.96</v>
      </c>
      <c r="AL113" s="370">
        <v>332388.23</v>
      </c>
      <c r="AM113" s="370">
        <v>26846.240000000002</v>
      </c>
      <c r="AN113" s="370">
        <v>24164.84</v>
      </c>
      <c r="AO113" s="370">
        <v>24090.67</v>
      </c>
      <c r="AP113" s="370">
        <v>26950</v>
      </c>
      <c r="AQ113" s="370">
        <v>32366.67</v>
      </c>
      <c r="AR113" s="370">
        <v>38497.919999999998</v>
      </c>
      <c r="AS113" s="370">
        <v>36547.129999999997</v>
      </c>
      <c r="AT113" s="370">
        <v>31662.22</v>
      </c>
      <c r="AU113" s="370">
        <v>30343.52</v>
      </c>
      <c r="AV113" s="370">
        <v>28286.77</v>
      </c>
      <c r="AW113" s="370">
        <v>0</v>
      </c>
      <c r="AX113" s="370">
        <v>0</v>
      </c>
      <c r="AY113" s="370">
        <v>26846.240000000002</v>
      </c>
      <c r="AZ113" s="370">
        <v>24286.51</v>
      </c>
      <c r="BA113" s="370">
        <v>24090.67</v>
      </c>
      <c r="BB113" s="370">
        <v>26950</v>
      </c>
      <c r="BC113" s="370">
        <v>32245</v>
      </c>
      <c r="BD113" s="370">
        <v>38581.949999999997</v>
      </c>
      <c r="BE113" s="370">
        <v>36463.1</v>
      </c>
      <c r="BF113" s="370">
        <v>31820.94</v>
      </c>
      <c r="BG113" s="370">
        <v>31276.87</v>
      </c>
      <c r="BH113" s="370">
        <v>27194.7</v>
      </c>
      <c r="BI113" s="370">
        <v>0</v>
      </c>
      <c r="BJ113" s="370">
        <v>0</v>
      </c>
      <c r="BK113" s="370">
        <v>26846.240000000002</v>
      </c>
      <c r="BL113" s="370">
        <v>24286.51</v>
      </c>
      <c r="BM113" s="370">
        <v>24090.67</v>
      </c>
      <c r="BN113" s="370">
        <v>24698.720000000001</v>
      </c>
      <c r="BO113" s="370">
        <v>34496.28</v>
      </c>
      <c r="BP113" s="370">
        <v>38581.949999999997</v>
      </c>
      <c r="BQ113" s="370">
        <v>36463.1</v>
      </c>
      <c r="BR113" s="370">
        <v>31820.94</v>
      </c>
      <c r="BS113" s="370">
        <v>31276.87</v>
      </c>
      <c r="BT113" s="370">
        <v>24391.03</v>
      </c>
      <c r="BU113" s="370">
        <v>0</v>
      </c>
      <c r="BV113" s="370">
        <v>0</v>
      </c>
      <c r="BW113" s="370">
        <v>26846.240000000002</v>
      </c>
      <c r="BX113" s="370">
        <v>24286.51</v>
      </c>
      <c r="BY113" s="370">
        <v>24090.67</v>
      </c>
      <c r="BZ113" s="370">
        <v>26950</v>
      </c>
      <c r="CA113" s="370">
        <v>32366.67</v>
      </c>
      <c r="CB113" s="370">
        <v>38581.949999999997</v>
      </c>
      <c r="CC113" s="370">
        <v>36547.129999999997</v>
      </c>
      <c r="CD113" s="370">
        <v>31820.94</v>
      </c>
      <c r="CE113" s="370">
        <v>31276.87</v>
      </c>
      <c r="CF113" s="370">
        <v>25483.1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2010</v>
      </c>
      <c r="CM113" s="48" t="s">
        <v>1990</v>
      </c>
      <c r="CN113" s="48" t="s">
        <v>1987</v>
      </c>
      <c r="CO113" s="48" t="str">
        <f t="shared" si="28"/>
        <v>2.1.1.13.1.2</v>
      </c>
      <c r="CP113" s="48" t="str">
        <f>+VLOOKUP(Tabla1[[#This Row],[ESPECÍFICA]],CLASIFICADOR_,2,0)</f>
        <v>2.1.1.13.1.2 - CONTRATO ADMINISTRATIVO DE SERVICIOS - TRANSITORIO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7"/>
        <v>0008-OAUGD</v>
      </c>
      <c r="CY113" s="113" t="str">
        <f t="shared" si="18"/>
        <v>0008-OAUGD</v>
      </c>
      <c r="CZ113" s="20" t="str">
        <f t="shared" si="19"/>
        <v>0008-OAUGD</v>
      </c>
      <c r="DA113" s="113" t="str">
        <f>+CONCATENATE(Tabla1[[#This Row],[CC COMPLETO]],Tabla1[[#This Row],[ESPECÍFICA]])</f>
        <v>0008-OAUGD2.1.1.13.1.2</v>
      </c>
      <c r="DB113" s="49">
        <f t="shared" si="20"/>
        <v>299755.98</v>
      </c>
      <c r="DC113" s="49">
        <f t="shared" si="21"/>
        <v>299755.98000000004</v>
      </c>
      <c r="DD113" s="49">
        <f t="shared" si="22"/>
        <v>296952.31000000006</v>
      </c>
      <c r="DE113" s="49">
        <f t="shared" si="23"/>
        <v>123912.03999999998</v>
      </c>
      <c r="DF113" s="49">
        <f t="shared" si="24"/>
        <v>113773.73000000004</v>
      </c>
      <c r="DG113" s="49">
        <f t="shared" si="25"/>
        <v>32632.249999999942</v>
      </c>
      <c r="DH113" s="49">
        <f t="shared" si="26"/>
        <v>270318.01999999996</v>
      </c>
      <c r="DI113" s="50">
        <f t="shared" si="27"/>
        <v>0.58122319106979781</v>
      </c>
      <c r="DJ113" s="78">
        <f>+SUM(Tabla1[[#This Row],[EJECUTADO 01]:[EJECUTADO 06]])</f>
        <v>173000.37</v>
      </c>
      <c r="DK113" s="78">
        <f>+Tabla1[[#This Row],[mto_devenga_01]]</f>
        <v>26846.240000000002</v>
      </c>
      <c r="DL113" s="78">
        <f>+Tabla1[[#This Row],[mto_devenga_02]]</f>
        <v>24286.51</v>
      </c>
      <c r="DM113" s="78">
        <f>+Tabla1[[#This Row],[mto_devenga_03]]</f>
        <v>24090.67</v>
      </c>
      <c r="DN113" s="78">
        <f>+Tabla1[[#This Row],[mto_devenga_04]]</f>
        <v>26950</v>
      </c>
      <c r="DO113" s="78">
        <f>+Tabla1[[#This Row],[mto_devenga_05]]</f>
        <v>32245</v>
      </c>
      <c r="DP113" s="76">
        <f>+Tabla1[[#This Row],[mto_devenga_06]]</f>
        <v>38581.949999999997</v>
      </c>
      <c r="DQ113" s="76">
        <f>+Tabla1[[#This Row],[mto_devenga_07]]</f>
        <v>36463.1</v>
      </c>
      <c r="DR113" s="76">
        <f>+Tabla1[[#This Row],[mto_devenga_08]]</f>
        <v>31820.94</v>
      </c>
      <c r="DS113" s="76">
        <f>+Tabla1[[#This Row],[mto_devenga_09]]</f>
        <v>31276.87</v>
      </c>
      <c r="DT113" s="76">
        <f>IFERROR(VLOOKUP(Tabla1[[#This Row],[COD SE]],PF_OCTUBRE,14,0),"0")</f>
        <v>38950</v>
      </c>
      <c r="DU113" s="76">
        <f>IFERROR(VLOOKUP(Tabla1[[#This Row],[COD SE]],PF_OCTUBRE,15,0),"0")</f>
        <v>38950</v>
      </c>
      <c r="DV113" s="76">
        <f>IFERROR(VLOOKUP(Tabla1[[#This Row],[COD SE]],PF_OCTUBRE,16,0),"0")</f>
        <v>38950</v>
      </c>
      <c r="DW113" s="76">
        <f>+SUM(Tabla1[[#This Row],[EJECUTADO 01]:[PF DICIEMBRE
]])</f>
        <v>389411.28</v>
      </c>
      <c r="DX113" s="76">
        <f>IFERROR(VLOOKUP(Tabla1[[#This Row],[COD SE]],PF_OCTUBRE,18,0),"0")</f>
        <v>0</v>
      </c>
      <c r="DY113" s="76">
        <f>IFERROR(VLOOKUP(Tabla1[[#This Row],[COD SE]],PF_OCTUBRE,19,0),"0")</f>
        <v>180662.71999999997</v>
      </c>
      <c r="DZ113" s="76">
        <f>IFERROR(VLOOKUP(Tabla1[[#This Row],[COD SE]],PF_OCTUBRE,20,0),"0")</f>
        <v>180662.71999999997</v>
      </c>
      <c r="EA113" s="76">
        <f>+Tabla1[[#This Row],[TOTAL EJEC REAL]]+Tabla1[[#This Row],[SALDO FINAL]]</f>
        <v>570074</v>
      </c>
      <c r="EB113" s="76">
        <f>IFERROR(VLOOKUP(Tabla1[[#This Row],[COD SE]],PF_OCTUBRE,22,0),"0")</f>
        <v>219612.72</v>
      </c>
      <c r="EC113" s="76">
        <f>+IFERROR(VLOOKUP(Tabla1[[#This Row],[COD SE]],SALDO_ESC_2,7,0),0)</f>
        <v>0</v>
      </c>
      <c r="ED113" s="76">
        <f>+IFERROR(VLOOKUP(Tabla1[[#This Row],[COD SE]],SALDO_ESC_3,7,0),0)</f>
        <v>180662.71999999997</v>
      </c>
      <c r="EE113" s="76">
        <f>+Tabla1[[#This Row],[mto_pim]]-Tabla1[[#This Row],[TRANSF ESC2 ]]</f>
        <v>570074</v>
      </c>
      <c r="EF113" s="76">
        <f>+Tabla1[[#This Row],[mto_pim]]-Tabla1[[#This Row],[TRANFS ESC 3 ]]</f>
        <v>389411.28</v>
      </c>
      <c r="EG113" s="76">
        <f>+IFERROR(VLOOKUP(Tabla1[[#This Row],[COD SE]],HISTORICO,4,0),0)</f>
        <v>47341.9</v>
      </c>
      <c r="EH113" s="76">
        <f>+IFERROR(VLOOKUP(Tabla1[[#This Row],[COD SE]],HISTORICO,5,0),0)</f>
        <v>27849.329999999994</v>
      </c>
      <c r="EI113" s="76">
        <f>+IFERROR(VLOOKUP(Tabla1[[#This Row],[COD SE]],HISTORICO,6,0),0)</f>
        <v>24085.139999999996</v>
      </c>
      <c r="EJ113" s="76">
        <f>+IFERROR(VLOOKUP(Tabla1[[#This Row],[COD SE]],HISTORICO,7,0),0)</f>
        <v>31513.519999999993</v>
      </c>
      <c r="EK113" s="76">
        <f>+IFERROR(VLOOKUP(Tabla1[[#This Row],[COD SE]],HISTORICO,8,0),0)</f>
        <v>30450</v>
      </c>
      <c r="EL113" s="76">
        <f>+IFERROR(VLOOKUP(Tabla1[[#This Row],[COD SE]],HISTORICO,9,0),0)</f>
        <v>38950</v>
      </c>
      <c r="EM113" s="76">
        <f>+IFERROR(VLOOKUP(Tabla1[[#This Row],[COD SE]],HISTORICO,10,0),0)</f>
        <v>38950</v>
      </c>
      <c r="EN113" s="76">
        <f>+IFERROR(VLOOKUP(Tabla1[[#This Row],[COD SE]],HISTORICO,11,0),0)</f>
        <v>33950</v>
      </c>
      <c r="EO113" s="76">
        <f>+IFERROR(VLOOKUP(Tabla1[[#This Row],[COD SE]],HISTORICO,12,0),0)</f>
        <v>38950</v>
      </c>
      <c r="EP113" s="58">
        <f>+SUM(Tabla1[[#This Row],[EJECUTADO 01]:[EJECUTADO 03]])</f>
        <v>75223.42</v>
      </c>
      <c r="EQ113" s="58">
        <f>+SUM(Tabla1[[#This Row],[EJECUTADO 04]:[EJECUTADO 06]])</f>
        <v>97776.95</v>
      </c>
      <c r="ER113" s="58">
        <f>+SUM(Tabla1[[#This Row],[EJECUTADO 07]:[EJECUTADO 09]])</f>
        <v>99560.909999999989</v>
      </c>
      <c r="ES113" s="58">
        <f>+SUM(Tabla1[[#This Row],[PF OCTUBRE]:[PF DICIEMBRE
]])</f>
        <v>116850</v>
      </c>
      <c r="ET113" s="58">
        <f>+SUM(Tabla1[[#This Row],[EJECUTADO 01]:[EJECUTADO 09]])</f>
        <v>272561.28000000003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2004</v>
      </c>
      <c r="AB114" s="369" t="s">
        <v>1986</v>
      </c>
      <c r="AC114" s="369" t="s">
        <v>1656</v>
      </c>
      <c r="AD114" s="369" t="s">
        <v>1668</v>
      </c>
      <c r="AE114" s="369" t="s">
        <v>1669</v>
      </c>
      <c r="AF114" s="369" t="s">
        <v>1669</v>
      </c>
      <c r="AG114" s="369" t="s">
        <v>1671</v>
      </c>
      <c r="AH114" s="369">
        <v>55066</v>
      </c>
      <c r="AI114" s="369">
        <v>-5953</v>
      </c>
      <c r="AJ114" s="369">
        <v>49113</v>
      </c>
      <c r="AK114" s="370">
        <v>47572.4</v>
      </c>
      <c r="AL114" s="370">
        <v>42315.040000000001</v>
      </c>
      <c r="AM114" s="370">
        <v>3466.88</v>
      </c>
      <c r="AN114" s="370">
        <v>3355.59</v>
      </c>
      <c r="AO114" s="370">
        <v>3342.45</v>
      </c>
      <c r="AP114" s="370">
        <v>3466.88</v>
      </c>
      <c r="AQ114" s="370">
        <v>4017.24</v>
      </c>
      <c r="AR114" s="370">
        <v>4116.92</v>
      </c>
      <c r="AS114" s="370">
        <v>4116.92</v>
      </c>
      <c r="AT114" s="370">
        <v>3832.94</v>
      </c>
      <c r="AU114" s="370">
        <v>3617.97</v>
      </c>
      <c r="AV114" s="370">
        <v>3250.2</v>
      </c>
      <c r="AW114" s="370">
        <v>0</v>
      </c>
      <c r="AX114" s="370">
        <v>0</v>
      </c>
      <c r="AY114" s="370">
        <v>3466.88</v>
      </c>
      <c r="AZ114" s="370">
        <v>3355.59</v>
      </c>
      <c r="BA114" s="370">
        <v>3342.45</v>
      </c>
      <c r="BB114" s="370">
        <v>3466.88</v>
      </c>
      <c r="BC114" s="370">
        <v>4017.24</v>
      </c>
      <c r="BD114" s="370">
        <v>4116.92</v>
      </c>
      <c r="BE114" s="370">
        <v>4116.92</v>
      </c>
      <c r="BF114" s="370">
        <v>3832.94</v>
      </c>
      <c r="BG114" s="370">
        <v>3617.97</v>
      </c>
      <c r="BH114" s="370">
        <v>3250.2</v>
      </c>
      <c r="BI114" s="370">
        <v>0</v>
      </c>
      <c r="BJ114" s="370">
        <v>0</v>
      </c>
      <c r="BK114" s="370">
        <v>3466.88</v>
      </c>
      <c r="BL114" s="370">
        <v>3355.59</v>
      </c>
      <c r="BM114" s="370">
        <v>3342.45</v>
      </c>
      <c r="BN114" s="370">
        <v>3466.88</v>
      </c>
      <c r="BO114" s="370">
        <v>4017.24</v>
      </c>
      <c r="BP114" s="370">
        <v>4116.92</v>
      </c>
      <c r="BQ114" s="370">
        <v>4116.92</v>
      </c>
      <c r="BR114" s="370">
        <v>3832.94</v>
      </c>
      <c r="BS114" s="370">
        <v>3466.88</v>
      </c>
      <c r="BT114" s="370">
        <v>3401.29</v>
      </c>
      <c r="BU114" s="370">
        <v>0</v>
      </c>
      <c r="BV114" s="370">
        <v>0</v>
      </c>
      <c r="BW114" s="370">
        <v>3466.88</v>
      </c>
      <c r="BX114" s="370">
        <v>3355.59</v>
      </c>
      <c r="BY114" s="370">
        <v>3342.45</v>
      </c>
      <c r="BZ114" s="370">
        <v>3466.88</v>
      </c>
      <c r="CA114" s="370">
        <v>4017.24</v>
      </c>
      <c r="CB114" s="370">
        <v>4116.92</v>
      </c>
      <c r="CC114" s="370">
        <v>4116.92</v>
      </c>
      <c r="CD114" s="370">
        <v>3832.94</v>
      </c>
      <c r="CE114" s="370">
        <v>3617.97</v>
      </c>
      <c r="CF114" s="370">
        <v>3250.2</v>
      </c>
      <c r="CG114" s="370">
        <v>0</v>
      </c>
      <c r="CH114" s="370">
        <v>0</v>
      </c>
      <c r="CI114" s="48" t="s">
        <v>1987</v>
      </c>
      <c r="CJ114" s="48" t="s">
        <v>1990</v>
      </c>
      <c r="CK114" s="48" t="s">
        <v>1991</v>
      </c>
      <c r="CL114" s="48" t="s">
        <v>1990</v>
      </c>
      <c r="CM114" s="48" t="s">
        <v>1990</v>
      </c>
      <c r="CN114" s="48" t="s">
        <v>2014</v>
      </c>
      <c r="CO114" s="48" t="str">
        <f t="shared" si="28"/>
        <v>2.1.3.1.1.15</v>
      </c>
      <c r="CP114" s="48" t="str">
        <f>+VLOOKUP(Tabla1[[#This Row],[ESPECÍFICA]],CLASIFICADOR_,2,0)</f>
        <v>2.1.3.1.1.15 - CONTRIBUCIONES A ESSALUD DE CONTRATO ADMINISTRATIVO DE SERVICIOS</v>
      </c>
      <c r="CQ114" s="48" t="str">
        <f>+VLOOKUP(Tabla1[[#This Row],[ESPECÍFICA]],CLASIFICADOR_,3,0)</f>
        <v>01.CAS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2.1.PERSONAL Y OBLIGACIONES SOCIALES</v>
      </c>
      <c r="CX114" s="48" t="str">
        <f t="shared" si="17"/>
        <v>0008-OAUGD</v>
      </c>
      <c r="CY114" s="113" t="str">
        <f t="shared" si="18"/>
        <v>0008-OAUGD</v>
      </c>
      <c r="CZ114" s="20" t="str">
        <f t="shared" si="19"/>
        <v>0008-OAUGD</v>
      </c>
      <c r="DA114" s="113" t="str">
        <f>+CONCATENATE(Tabla1[[#This Row],[CC COMPLETO]],Tabla1[[#This Row],[ESPECÍFICA]])</f>
        <v>0008-OAUGD2.1.3.1.1.15</v>
      </c>
      <c r="DB114" s="49">
        <f t="shared" si="20"/>
        <v>36583.989999999991</v>
      </c>
      <c r="DC114" s="49">
        <f t="shared" si="21"/>
        <v>36583.989999999991</v>
      </c>
      <c r="DD114" s="49">
        <f t="shared" si="22"/>
        <v>36583.99</v>
      </c>
      <c r="DE114" s="49">
        <f t="shared" si="23"/>
        <v>1540.5999999999985</v>
      </c>
      <c r="DF114" s="49">
        <f t="shared" si="24"/>
        <v>5257.3600000000006</v>
      </c>
      <c r="DG114" s="49">
        <f t="shared" si="25"/>
        <v>5731.0500000000102</v>
      </c>
      <c r="DH114" s="49">
        <f t="shared" si="26"/>
        <v>12529.010000000009</v>
      </c>
      <c r="DI114" s="50">
        <f t="shared" si="27"/>
        <v>0.66436621508734961</v>
      </c>
      <c r="DJ114" s="78">
        <f>+SUM(Tabla1[[#This Row],[EJECUTADO 01]:[EJECUTADO 06]])</f>
        <v>21765.96</v>
      </c>
      <c r="DK114" s="78">
        <f>+Tabla1[[#This Row],[mto_devenga_01]]</f>
        <v>3466.88</v>
      </c>
      <c r="DL114" s="78">
        <f>+Tabla1[[#This Row],[mto_devenga_02]]</f>
        <v>3355.59</v>
      </c>
      <c r="DM114" s="78">
        <f>+Tabla1[[#This Row],[mto_devenga_03]]</f>
        <v>3342.45</v>
      </c>
      <c r="DN114" s="78">
        <f>+Tabla1[[#This Row],[mto_devenga_04]]</f>
        <v>3466.88</v>
      </c>
      <c r="DO114" s="78">
        <f>+Tabla1[[#This Row],[mto_devenga_05]]</f>
        <v>4017.24</v>
      </c>
      <c r="DP114" s="76">
        <f>+Tabla1[[#This Row],[mto_devenga_06]]</f>
        <v>4116.92</v>
      </c>
      <c r="DQ114" s="76">
        <f>+Tabla1[[#This Row],[mto_devenga_07]]</f>
        <v>4116.92</v>
      </c>
      <c r="DR114" s="76">
        <f>+Tabla1[[#This Row],[mto_devenga_08]]</f>
        <v>3832.94</v>
      </c>
      <c r="DS114" s="76">
        <f>+Tabla1[[#This Row],[mto_devenga_09]]</f>
        <v>3617.97</v>
      </c>
      <c r="DT114" s="76">
        <f>IFERROR(VLOOKUP(Tabla1[[#This Row],[COD SE]],PF_OCTUBRE,14,0),"0")</f>
        <v>4116.9199999999992</v>
      </c>
      <c r="DU114" s="76">
        <f>IFERROR(VLOOKUP(Tabla1[[#This Row],[COD SE]],PF_OCTUBRE,15,0),"0")</f>
        <v>4116.9199999999992</v>
      </c>
      <c r="DV114" s="76">
        <f>IFERROR(VLOOKUP(Tabla1[[#This Row],[COD SE]],PF_OCTUBRE,16,0),"0")</f>
        <v>4116.9199999999992</v>
      </c>
      <c r="DW114" s="76">
        <f>+SUM(Tabla1[[#This Row],[EJECUTADO 01]:[PF DICIEMBRE
]])</f>
        <v>45684.549999999988</v>
      </c>
      <c r="DX114" s="76">
        <f>IFERROR(VLOOKUP(Tabla1[[#This Row],[COD SE]],PF_OCTUBRE,18,0),"0")</f>
        <v>0</v>
      </c>
      <c r="DY114" s="76">
        <f>IFERROR(VLOOKUP(Tabla1[[#This Row],[COD SE]],PF_OCTUBRE,19,0),"0")</f>
        <v>3428.4500000000003</v>
      </c>
      <c r="DZ114" s="76">
        <f>IFERROR(VLOOKUP(Tabla1[[#This Row],[COD SE]],PF_OCTUBRE,20,0),"0")</f>
        <v>3428.4500000000003</v>
      </c>
      <c r="EA114" s="76">
        <f>+Tabla1[[#This Row],[TOTAL EJEC REAL]]+Tabla1[[#This Row],[SALDO FINAL]]</f>
        <v>49112.999999999985</v>
      </c>
      <c r="EB114" s="76">
        <f>IFERROR(VLOOKUP(Tabla1[[#This Row],[COD SE]],PF_OCTUBRE,22,0),"0")</f>
        <v>7545.3700000000017</v>
      </c>
      <c r="EC114" s="76">
        <f>+IFERROR(VLOOKUP(Tabla1[[#This Row],[COD SE]],SALDO_ESC_2,7,0),0)</f>
        <v>0</v>
      </c>
      <c r="ED114" s="76">
        <f>+IFERROR(VLOOKUP(Tabla1[[#This Row],[COD SE]],SALDO_ESC_3,7,0),0)</f>
        <v>3428.4500000000003</v>
      </c>
      <c r="EE114" s="76">
        <f>+Tabla1[[#This Row],[mto_pim]]-Tabla1[[#This Row],[TRANSF ESC2 ]]</f>
        <v>49113</v>
      </c>
      <c r="EF114" s="76">
        <f>+Tabla1[[#This Row],[mto_pim]]-Tabla1[[#This Row],[TRANFS ESC 3 ]]</f>
        <v>45684.55</v>
      </c>
      <c r="EG114" s="76">
        <f>+IFERROR(VLOOKUP(Tabla1[[#This Row],[COD SE]],HISTORICO,4,0),0)</f>
        <v>4384.4999999999991</v>
      </c>
      <c r="EH114" s="76">
        <f>+IFERROR(VLOOKUP(Tabla1[[#This Row],[COD SE]],HISTORICO,5,0),0)</f>
        <v>3466.8799999999992</v>
      </c>
      <c r="EI114" s="76">
        <f>+IFERROR(VLOOKUP(Tabla1[[#This Row],[COD SE]],HISTORICO,6,0),0)</f>
        <v>3250.1999999999994</v>
      </c>
      <c r="EJ114" s="76">
        <f>+IFERROR(VLOOKUP(Tabla1[[#This Row],[COD SE]],HISTORICO,7,0),0)</f>
        <v>4208.9499999999989</v>
      </c>
      <c r="EK114" s="76">
        <f>+IFERROR(VLOOKUP(Tabla1[[#This Row],[COD SE]],HISTORICO,8,0),0)</f>
        <v>4184.0199999999995</v>
      </c>
      <c r="EL114" s="76">
        <f>+IFERROR(VLOOKUP(Tabla1[[#This Row],[COD SE]],HISTORICO,9,0),0)</f>
        <v>4100.7199999999984</v>
      </c>
      <c r="EM114" s="76">
        <f>+IFERROR(VLOOKUP(Tabla1[[#This Row],[COD SE]],HISTORICO,10,0),0)</f>
        <v>4116.9199999999992</v>
      </c>
      <c r="EN114" s="76">
        <f>+IFERROR(VLOOKUP(Tabla1[[#This Row],[COD SE]],HISTORICO,11,0),0)</f>
        <v>3900.2399999999989</v>
      </c>
      <c r="EO114" s="76">
        <f>+IFERROR(VLOOKUP(Tabla1[[#This Row],[COD SE]],HISTORICO,12,0),0)</f>
        <v>4116.9199999999992</v>
      </c>
      <c r="EP114" s="58">
        <f>+SUM(Tabla1[[#This Row],[EJECUTADO 01]:[EJECUTADO 03]])</f>
        <v>10164.92</v>
      </c>
      <c r="EQ114" s="58">
        <f>+SUM(Tabla1[[#This Row],[EJECUTADO 04]:[EJECUTADO 06]])</f>
        <v>11601.04</v>
      </c>
      <c r="ER114" s="58">
        <f>+SUM(Tabla1[[#This Row],[EJECUTADO 07]:[EJECUTADO 09]])</f>
        <v>11567.83</v>
      </c>
      <c r="ES114" s="58">
        <f>+SUM(Tabla1[[#This Row],[PF OCTUBRE]:[PF DICIEMBRE
]])</f>
        <v>12350.759999999998</v>
      </c>
      <c r="ET114" s="58">
        <f>+SUM(Tabla1[[#This Row],[EJECUTADO 01]:[EJECUTADO 09]])</f>
        <v>33333.789999999994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1678</v>
      </c>
      <c r="AF115" s="369" t="s">
        <v>1697</v>
      </c>
      <c r="AG115" s="369" t="s">
        <v>1814</v>
      </c>
      <c r="AH115" s="369">
        <v>0</v>
      </c>
      <c r="AI115" s="369">
        <v>3829</v>
      </c>
      <c r="AJ115" s="369">
        <v>3829</v>
      </c>
      <c r="AK115" s="370">
        <v>1829</v>
      </c>
      <c r="AL115" s="370">
        <v>1829</v>
      </c>
      <c r="AM115" s="370">
        <v>0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1829</v>
      </c>
      <c r="AV115" s="370">
        <v>0</v>
      </c>
      <c r="AW115" s="370">
        <v>0</v>
      </c>
      <c r="AX115" s="370">
        <v>0</v>
      </c>
      <c r="AY115" s="370">
        <v>0</v>
      </c>
      <c r="AZ115" s="370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1829</v>
      </c>
      <c r="BI115" s="370">
        <v>0</v>
      </c>
      <c r="BJ115" s="370">
        <v>0</v>
      </c>
      <c r="BK115" s="370">
        <v>0</v>
      </c>
      <c r="BL115" s="370">
        <v>0</v>
      </c>
      <c r="BM115" s="370">
        <v>0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1829</v>
      </c>
      <c r="BU115" s="370">
        <v>0</v>
      </c>
      <c r="BV115" s="370">
        <v>0</v>
      </c>
      <c r="BW115" s="370">
        <v>0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1829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1989</v>
      </c>
      <c r="CM115" s="48" t="s">
        <v>2021</v>
      </c>
      <c r="CN115" s="48" t="s">
        <v>1988</v>
      </c>
      <c r="CO115" s="48" t="str">
        <f t="shared" si="28"/>
        <v>2.3.2.7.11.6</v>
      </c>
      <c r="CP115" s="48" t="str">
        <f>+VLOOKUP(Tabla1[[#This Row],[ESPECÍFICA]],CLASIFICADOR_,2,0)</f>
        <v>2.3.2.7.11.6 - SERVICIO DE IMPRESIONES, ENCUADERNACION Y EMPASTADO</v>
      </c>
      <c r="CQ115" s="48" t="str">
        <f>+VLOOKUP(Tabla1[[#This Row],[ESPECÍFICA]],CLASIFICADOR_,3,0)</f>
        <v>2.3.2.7 - SERVICIOS PROFESIONALES Y TECNICOS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7"/>
        <v>0008-OAUGD</v>
      </c>
      <c r="CY115" s="113" t="str">
        <f t="shared" si="18"/>
        <v>0008-OAUGD</v>
      </c>
      <c r="CZ115" s="20" t="str">
        <f t="shared" si="19"/>
        <v>0008-OAUGD</v>
      </c>
      <c r="DA115" s="113" t="str">
        <f>+CONCATENATE(Tabla1[[#This Row],[CC COMPLETO]],Tabla1[[#This Row],[ESPECÍFICA]])</f>
        <v>0008-OAUGD2.3.2.7.11.6</v>
      </c>
      <c r="DB115" s="49">
        <f t="shared" si="20"/>
        <v>1829</v>
      </c>
      <c r="DC115" s="49">
        <f t="shared" si="21"/>
        <v>1829</v>
      </c>
      <c r="DD115" s="49">
        <f t="shared" si="22"/>
        <v>1829</v>
      </c>
      <c r="DE115" s="49">
        <f t="shared" si="23"/>
        <v>2000</v>
      </c>
      <c r="DF115" s="49">
        <f t="shared" si="24"/>
        <v>0</v>
      </c>
      <c r="DG115" s="49">
        <f t="shared" si="25"/>
        <v>0</v>
      </c>
      <c r="DH115" s="49">
        <f t="shared" si="26"/>
        <v>2000</v>
      </c>
      <c r="DI115" s="50">
        <f t="shared" si="27"/>
        <v>0</v>
      </c>
      <c r="DJ115" s="78">
        <f>+SUM(Tabla1[[#This Row],[EJECUTADO 01]:[EJECUTADO 06]])</f>
        <v>0</v>
      </c>
      <c r="DK115" s="78">
        <f>+Tabla1[[#This Row],[mto_devenga_01]]</f>
        <v>0</v>
      </c>
      <c r="DL115" s="78">
        <f>+Tabla1[[#This Row],[mto_devenga_02]]</f>
        <v>0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1829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1829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1829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3829</v>
      </c>
      <c r="EF115" s="76">
        <f>+Tabla1[[#This Row],[mto_pim]]-Tabla1[[#This Row],[TRANFS ESC 3 ]]</f>
        <v>3829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0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1829</v>
      </c>
      <c r="ET115" s="58">
        <f>+SUM(Tabla1[[#This Row],[EJECUTADO 01]:[EJECUTADO 09]])</f>
        <v>0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1673</v>
      </c>
      <c r="AE116" s="369" t="s">
        <v>1736</v>
      </c>
      <c r="AF116" s="369" t="s">
        <v>1780</v>
      </c>
      <c r="AG116" s="369" t="s">
        <v>1781</v>
      </c>
      <c r="AH116" s="369">
        <v>0</v>
      </c>
      <c r="AI116" s="369">
        <v>9895</v>
      </c>
      <c r="AJ116" s="369">
        <v>9895</v>
      </c>
      <c r="AK116" s="370">
        <v>9895</v>
      </c>
      <c r="AL116" s="370">
        <v>9895</v>
      </c>
      <c r="AM116" s="370">
        <v>0</v>
      </c>
      <c r="AN116" s="370">
        <v>0</v>
      </c>
      <c r="AO116" s="370">
        <v>0</v>
      </c>
      <c r="AP116" s="370">
        <v>9895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0</v>
      </c>
      <c r="BA116" s="370">
        <v>0</v>
      </c>
      <c r="BB116" s="370">
        <v>9895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0</v>
      </c>
      <c r="BM116" s="370">
        <v>0</v>
      </c>
      <c r="BN116" s="370">
        <v>0</v>
      </c>
      <c r="BO116" s="370">
        <v>9895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0</v>
      </c>
      <c r="BY116" s="370">
        <v>0</v>
      </c>
      <c r="BZ116" s="370">
        <v>9895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1987</v>
      </c>
      <c r="CL116" s="48" t="s">
        <v>1993</v>
      </c>
      <c r="CM116" s="48" t="s">
        <v>1987</v>
      </c>
      <c r="CN116" s="48" t="s">
        <v>1990</v>
      </c>
      <c r="CO116" s="48" t="str">
        <f t="shared" si="28"/>
        <v>2.3.2.4.2.1</v>
      </c>
      <c r="CP116" s="48" t="str">
        <f>+VLOOKUP(Tabla1[[#This Row],[ESPECÍFICA]],CLASIFICADOR_,2,0)</f>
        <v>2.3.2.4.2.1 - DE EDIFICACIONES, OFICINAS Y ESTRUCTURAS</v>
      </c>
      <c r="CQ116" s="48" t="str">
        <f>+VLOOKUP(Tabla1[[#This Row],[ESPECÍFICA]],CLASIFICADOR_,3,0)</f>
        <v>2.3.2.4 - SERVICIO DE MANTENIMIENTO, ACONDICIONAMIENTO Y  REPARACIONES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Partidas restringidas</v>
      </c>
      <c r="CU116" s="48" t="str">
        <f>+VLOOKUP(Tabla1[[#This Row],[ESPECÍFICA]],CLASIFICADOR_,7,0)</f>
        <v>9.6 Hasta el 1er Semestre</v>
      </c>
      <c r="CV116" s="48">
        <f>+VLOOKUP(Tabla1[[#This Row],[ESPECÍFICA]],CLASIFICADOR_,8,0)</f>
        <v>3</v>
      </c>
      <c r="CW116" s="113" t="str">
        <f>+CONCATENATE("2.",Tabla1[[#This Row],[generica]])</f>
        <v>2.3.BIENES Y SERVICIOS</v>
      </c>
      <c r="CX116" s="48" t="str">
        <f t="shared" si="17"/>
        <v>0008-OAUGD</v>
      </c>
      <c r="CY116" s="113" t="str">
        <f t="shared" si="18"/>
        <v>0008-OAUGD</v>
      </c>
      <c r="CZ116" s="20" t="str">
        <f t="shared" si="19"/>
        <v>0008-OAUGD</v>
      </c>
      <c r="DA116" s="113" t="str">
        <f>+CONCATENATE(Tabla1[[#This Row],[CC COMPLETO]],Tabla1[[#This Row],[ESPECÍFICA]])</f>
        <v>0008-OAUGD2.3.2.4.2.1</v>
      </c>
      <c r="DB116" s="49">
        <f t="shared" si="20"/>
        <v>9895</v>
      </c>
      <c r="DC116" s="49">
        <f t="shared" si="21"/>
        <v>9895</v>
      </c>
      <c r="DD116" s="49">
        <f t="shared" si="22"/>
        <v>9895</v>
      </c>
      <c r="DE116" s="49">
        <f t="shared" si="23"/>
        <v>0</v>
      </c>
      <c r="DF116" s="49">
        <f t="shared" si="24"/>
        <v>0</v>
      </c>
      <c r="DG116" s="49">
        <f t="shared" si="25"/>
        <v>0</v>
      </c>
      <c r="DH116" s="49">
        <f t="shared" si="26"/>
        <v>0</v>
      </c>
      <c r="DI116" s="50">
        <f t="shared" si="27"/>
        <v>0</v>
      </c>
      <c r="DJ116" s="78">
        <f>+SUM(Tabla1[[#This Row],[EJECUTADO 01]:[EJECUTADO 06]])</f>
        <v>9895</v>
      </c>
      <c r="DK116" s="78">
        <f>+Tabla1[[#This Row],[mto_devenga_01]]</f>
        <v>0</v>
      </c>
      <c r="DL116" s="78">
        <f>+Tabla1[[#This Row],[mto_devenga_02]]</f>
        <v>0</v>
      </c>
      <c r="DM116" s="78">
        <f>+Tabla1[[#This Row],[mto_devenga_03]]</f>
        <v>0</v>
      </c>
      <c r="DN116" s="78">
        <f>+Tabla1[[#This Row],[mto_devenga_04]]</f>
        <v>9895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9895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9895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9895</v>
      </c>
      <c r="EF116" s="76">
        <f>+Tabla1[[#This Row],[mto_pim]]-Tabla1[[#This Row],[TRANFS ESC 3 ]]</f>
        <v>9895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0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0</v>
      </c>
      <c r="EQ116" s="58">
        <f>+SUM(Tabla1[[#This Row],[EJECUTADO 04]:[EJECUTADO 06]])</f>
        <v>9895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9895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8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7"/>
        <v>0008-OAUGD</v>
      </c>
      <c r="CY117" s="113" t="str">
        <f t="shared" si="18"/>
        <v>0008-OAUGD</v>
      </c>
      <c r="CZ117" s="20" t="str">
        <f t="shared" si="19"/>
        <v>0008-OAUGD</v>
      </c>
      <c r="DA117" s="113" t="str">
        <f>+CONCATENATE(Tabla1[[#This Row],[CC COMPLETO]],Tabla1[[#This Row],[ESPECÍFICA]])</f>
        <v>0008-OAUGD2.3.2.1.2.2</v>
      </c>
      <c r="DB117" s="49">
        <f t="shared" si="20"/>
        <v>0</v>
      </c>
      <c r="DC117" s="49">
        <f t="shared" si="21"/>
        <v>0</v>
      </c>
      <c r="DD117" s="49">
        <f t="shared" si="22"/>
        <v>0</v>
      </c>
      <c r="DE117" s="49">
        <f t="shared" si="23"/>
        <v>0</v>
      </c>
      <c r="DF117" s="49">
        <f t="shared" si="24"/>
        <v>0</v>
      </c>
      <c r="DG117" s="49">
        <f t="shared" si="25"/>
        <v>0</v>
      </c>
      <c r="DH117" s="49">
        <f t="shared" si="26"/>
        <v>0</v>
      </c>
      <c r="DI117" s="50">
        <f t="shared" si="27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1985</v>
      </c>
      <c r="AB118" s="369" t="s">
        <v>1986</v>
      </c>
      <c r="AC118" s="369" t="s">
        <v>1643</v>
      </c>
      <c r="AD118" s="369" t="s">
        <v>1994</v>
      </c>
      <c r="AE118" s="369" t="s">
        <v>1995</v>
      </c>
      <c r="AF118" s="369" t="s">
        <v>1996</v>
      </c>
      <c r="AG118" s="369" t="s">
        <v>1997</v>
      </c>
      <c r="AH118" s="369">
        <v>0</v>
      </c>
      <c r="AI118" s="369">
        <v>34503</v>
      </c>
      <c r="AJ118" s="369">
        <v>34503</v>
      </c>
      <c r="AK118" s="370">
        <v>34503</v>
      </c>
      <c r="AL118" s="370">
        <v>34503</v>
      </c>
      <c r="AM118" s="370">
        <v>0</v>
      </c>
      <c r="AN118" s="370">
        <v>0</v>
      </c>
      <c r="AO118" s="370">
        <v>0</v>
      </c>
      <c r="AP118" s="370">
        <v>34503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0</v>
      </c>
      <c r="BA118" s="370">
        <v>0</v>
      </c>
      <c r="BB118" s="370">
        <v>0</v>
      </c>
      <c r="BC118" s="370">
        <v>34503</v>
      </c>
      <c r="BD118" s="370">
        <v>0</v>
      </c>
      <c r="BE118" s="370">
        <v>0</v>
      </c>
      <c r="BF118" s="370">
        <v>0</v>
      </c>
      <c r="BG118" s="370">
        <v>0</v>
      </c>
      <c r="BH118" s="370">
        <v>0</v>
      </c>
      <c r="BI118" s="370">
        <v>0</v>
      </c>
      <c r="BJ118" s="370">
        <v>0</v>
      </c>
      <c r="BK118" s="370">
        <v>0</v>
      </c>
      <c r="BL118" s="370">
        <v>0</v>
      </c>
      <c r="BM118" s="370">
        <v>0</v>
      </c>
      <c r="BN118" s="370">
        <v>0</v>
      </c>
      <c r="BO118" s="370">
        <v>34503</v>
      </c>
      <c r="BP118" s="370">
        <v>0</v>
      </c>
      <c r="BQ118" s="370">
        <v>0</v>
      </c>
      <c r="BR118" s="370">
        <v>0</v>
      </c>
      <c r="BS118" s="370">
        <v>0</v>
      </c>
      <c r="BT118" s="370">
        <v>0</v>
      </c>
      <c r="BU118" s="370">
        <v>0</v>
      </c>
      <c r="BV118" s="370">
        <v>0</v>
      </c>
      <c r="BW118" s="370">
        <v>0</v>
      </c>
      <c r="BX118" s="370">
        <v>0</v>
      </c>
      <c r="BY118" s="370">
        <v>0</v>
      </c>
      <c r="BZ118" s="370">
        <v>34503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1988</v>
      </c>
      <c r="CK118" s="48" t="s">
        <v>1988</v>
      </c>
      <c r="CL118" s="48" t="s">
        <v>1990</v>
      </c>
      <c r="CM118" s="48" t="s">
        <v>1991</v>
      </c>
      <c r="CN118" s="48" t="s">
        <v>1998</v>
      </c>
      <c r="CO118" s="48" t="str">
        <f t="shared" si="28"/>
        <v>2.6.6.1.3.99</v>
      </c>
      <c r="CP118" s="48" t="str">
        <f>+VLOOKUP(Tabla1[[#This Row],[ESPECÍFICA]],CLASIFICADOR_,2,0)</f>
        <v>2.6.6.1.3.99 - OTROS ACTIVOS INTANGIBLES</v>
      </c>
      <c r="CQ118" s="48" t="str">
        <f>+VLOOKUP(Tabla1[[#This Row],[ESPECÍFICA]],CLASIFICADOR_,3,0)</f>
        <v>2.6.6.1 - ADQUISICION DE OTROS ACTIVOS FIJOS</v>
      </c>
      <c r="CR118" s="48" t="str">
        <f>+VLOOKUP(Tabla1[[#This Row],[ESPECÍFICA]],CLASIFICADOR_,4,0)</f>
        <v xml:space="preserve"> </v>
      </c>
      <c r="CS118" s="48">
        <f>+VLOOKUP(Tabla1[[#This Row],[ESPECÍFICA]],CLASIFICADOR_,5,0)</f>
        <v>0</v>
      </c>
      <c r="CT118" s="113" t="str">
        <f>+VLOOKUP(Tabla1[[#This Row],[ESPECÍFICA]],CLASIFICADOR_,6,0)</f>
        <v>N/R</v>
      </c>
      <c r="CU118" s="48" t="str">
        <f>+VLOOKUP(Tabla1[[#This Row],[ESPECÍFICA]],CLASIFICADOR_,7,0)</f>
        <v>N/R</v>
      </c>
      <c r="CV118" s="48">
        <f>+VLOOKUP(Tabla1[[#This Row],[ESPECÍFICA]],CLASIFICADOR_,8,0)</f>
        <v>0</v>
      </c>
      <c r="CW118" s="113" t="str">
        <f>+CONCATENATE("2.",Tabla1[[#This Row],[generica]])</f>
        <v>2.6.ADQUISICION DE ACTIVOS NO FINANCIEROS</v>
      </c>
      <c r="CX118" s="48" t="str">
        <f t="shared" si="17"/>
        <v>0009-OTI</v>
      </c>
      <c r="CY118" s="113" t="str">
        <f t="shared" si="18"/>
        <v>0009-OTI</v>
      </c>
      <c r="CZ118" s="20" t="str">
        <f t="shared" si="19"/>
        <v>0009-OTI</v>
      </c>
      <c r="DA118" s="113" t="str">
        <f>+CONCATENATE(Tabla1[[#This Row],[CC COMPLETO]],Tabla1[[#This Row],[ESPECÍFICA]])</f>
        <v>0009-OTI2.6.6.1.3.99</v>
      </c>
      <c r="DB118" s="49">
        <f t="shared" si="20"/>
        <v>34503</v>
      </c>
      <c r="DC118" s="49">
        <f t="shared" si="21"/>
        <v>34503</v>
      </c>
      <c r="DD118" s="49">
        <f t="shared" si="22"/>
        <v>34503</v>
      </c>
      <c r="DE118" s="49">
        <f t="shared" si="23"/>
        <v>0</v>
      </c>
      <c r="DF118" s="49">
        <f t="shared" si="24"/>
        <v>0</v>
      </c>
      <c r="DG118" s="49">
        <f t="shared" si="25"/>
        <v>0</v>
      </c>
      <c r="DH118" s="49">
        <f t="shared" si="26"/>
        <v>0</v>
      </c>
      <c r="DI118" s="50">
        <f t="shared" si="27"/>
        <v>0</v>
      </c>
      <c r="DJ118" s="78">
        <f>+SUM(Tabla1[[#This Row],[EJECUTADO 01]:[EJECUTADO 06]])</f>
        <v>34503</v>
      </c>
      <c r="DK118" s="78">
        <f>+Tabla1[[#This Row],[mto_devenga_01]]</f>
        <v>0</v>
      </c>
      <c r="DL118" s="78">
        <f>+Tabla1[[#This Row],[mto_devenga_02]]</f>
        <v>0</v>
      </c>
      <c r="DM118" s="78">
        <f>+Tabla1[[#This Row],[mto_devenga_03]]</f>
        <v>0</v>
      </c>
      <c r="DN118" s="78">
        <f>+Tabla1[[#This Row],[mto_devenga_04]]</f>
        <v>0</v>
      </c>
      <c r="DO118" s="78">
        <f>+Tabla1[[#This Row],[mto_devenga_05]]</f>
        <v>34503</v>
      </c>
      <c r="DP118" s="76">
        <f>+Tabla1[[#This Row],[mto_devenga_06]]</f>
        <v>0</v>
      </c>
      <c r="DQ118" s="76">
        <f>+Tabla1[[#This Row],[mto_devenga_07]]</f>
        <v>0</v>
      </c>
      <c r="DR118" s="76">
        <f>+Tabla1[[#This Row],[mto_devenga_08]]</f>
        <v>0</v>
      </c>
      <c r="DS118" s="76">
        <f>+Tabla1[[#This Row],[mto_devenga_09]]</f>
        <v>0</v>
      </c>
      <c r="DT118" s="76">
        <f>IFERROR(VLOOKUP(Tabla1[[#This Row],[COD SE]],PF_OCTUBRE,14,0),"0")</f>
        <v>0</v>
      </c>
      <c r="DU118" s="76">
        <f>IFERROR(VLOOKUP(Tabla1[[#This Row],[COD SE]],PF_OCTUBRE,15,0),"0")</f>
        <v>0</v>
      </c>
      <c r="DV118" s="76">
        <f>IFERROR(VLOOKUP(Tabla1[[#This Row],[COD SE]],PF_OCTUBRE,16,0),"0")</f>
        <v>0</v>
      </c>
      <c r="DW118" s="76">
        <f>+SUM(Tabla1[[#This Row],[EJECUTADO 01]:[PF DICIEMBRE
]])</f>
        <v>34503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34503</v>
      </c>
      <c r="EB118" s="76">
        <f>IFERROR(VLOOKUP(Tabla1[[#This Row],[COD SE]],PF_OCTUBRE,22,0),"0")</f>
        <v>0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34503</v>
      </c>
      <c r="EF118" s="76">
        <f>+Tabla1[[#This Row],[mto_pim]]-Tabla1[[#This Row],[TRANFS ESC 3 ]]</f>
        <v>34503</v>
      </c>
      <c r="EG118" s="76">
        <f>+IFERROR(VLOOKUP(Tabla1[[#This Row],[COD SE]],HISTORICO,4,0),0)</f>
        <v>0</v>
      </c>
      <c r="EH118" s="76">
        <f>+IFERROR(VLOOKUP(Tabla1[[#This Row],[COD SE]],HISTORICO,5,0),0)</f>
        <v>0</v>
      </c>
      <c r="EI118" s="76">
        <f>+IFERROR(VLOOKUP(Tabla1[[#This Row],[COD SE]],HISTORICO,6,0),0)</f>
        <v>0</v>
      </c>
      <c r="EJ118" s="76">
        <f>+IFERROR(VLOOKUP(Tabla1[[#This Row],[COD SE]],HISTORICO,7,0),0)</f>
        <v>37860</v>
      </c>
      <c r="EK118" s="76">
        <f>+IFERROR(VLOOKUP(Tabla1[[#This Row],[COD SE]],HISTORICO,8,0),0)</f>
        <v>34503</v>
      </c>
      <c r="EL118" s="76">
        <f>+IFERROR(VLOOKUP(Tabla1[[#This Row],[COD SE]],HISTORICO,9,0),0)</f>
        <v>0</v>
      </c>
      <c r="EM118" s="76">
        <f>+IFERROR(VLOOKUP(Tabla1[[#This Row],[COD SE]],HISTORICO,10,0),0)</f>
        <v>0</v>
      </c>
      <c r="EN118" s="76">
        <f>+IFERROR(VLOOKUP(Tabla1[[#This Row],[COD SE]],HISTORICO,11,0),0)</f>
        <v>0</v>
      </c>
      <c r="EO118" s="76">
        <f>+IFERROR(VLOOKUP(Tabla1[[#This Row],[COD SE]],HISTORICO,12,0),0)</f>
        <v>0</v>
      </c>
      <c r="EP118" s="58">
        <f>+SUM(Tabla1[[#This Row],[EJECUTADO 01]:[EJECUTADO 03]])</f>
        <v>0</v>
      </c>
      <c r="EQ118" s="58">
        <f>+SUM(Tabla1[[#This Row],[EJECUTADO 04]:[EJECUTADO 06]])</f>
        <v>34503</v>
      </c>
      <c r="ER118" s="58">
        <f>+SUM(Tabla1[[#This Row],[EJECUTADO 07]:[EJECUTADO 09]])</f>
        <v>0</v>
      </c>
      <c r="ES118" s="58">
        <f>+SUM(Tabla1[[#This Row],[PF OCTUBRE]:[PF DICIEMBRE
]])</f>
        <v>0</v>
      </c>
      <c r="ET118" s="58">
        <f>+SUM(Tabla1[[#This Row],[EJECUTADO 01]:[EJECUTADO 09]])</f>
        <v>34503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1985</v>
      </c>
      <c r="AB119" s="369" t="s">
        <v>1986</v>
      </c>
      <c r="AC119" s="369" t="s">
        <v>1643</v>
      </c>
      <c r="AD119" s="369" t="s">
        <v>1702</v>
      </c>
      <c r="AE119" s="369" t="s">
        <v>1703</v>
      </c>
      <c r="AF119" s="369" t="s">
        <v>2024</v>
      </c>
      <c r="AG119" s="369" t="s">
        <v>2025</v>
      </c>
      <c r="AH119" s="369">
        <v>0</v>
      </c>
      <c r="AI119" s="369">
        <v>25000</v>
      </c>
      <c r="AJ119" s="369">
        <v>25000</v>
      </c>
      <c r="AK119" s="370">
        <v>0</v>
      </c>
      <c r="AL119" s="370">
        <v>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0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0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1988</v>
      </c>
      <c r="CK119" s="48" t="s">
        <v>1991</v>
      </c>
      <c r="CL119" s="48" t="s">
        <v>1987</v>
      </c>
      <c r="CM119" s="48" t="s">
        <v>2005</v>
      </c>
      <c r="CN119" s="48" t="s">
        <v>1993</v>
      </c>
      <c r="CO119" s="48" t="str">
        <f t="shared" si="28"/>
        <v>2.6.3.2.9.4</v>
      </c>
      <c r="CP119" s="48" t="str">
        <f>+VLOOKUP(Tabla1[[#This Row],[ESPECÍFICA]],CLASIFICADOR_,2,0)</f>
        <v>2.6.3.2.9.4 - ELECTRICIDAD Y ELECTRONICA</v>
      </c>
      <c r="CQ119" s="48" t="str">
        <f>+VLOOKUP(Tabla1[[#This Row],[ESPECÍFICA]],CLASIFICADOR_,3,0)</f>
        <v>2.6.3.2 - ADQUISICION DE MAQUINARIAS, EQUIPO Y MOBILIARIO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2.6.ADQUISICION DE ACTIVOS NO FINANCIEROS</v>
      </c>
      <c r="CX119" s="48" t="str">
        <f t="shared" si="17"/>
        <v>0009-OTI</v>
      </c>
      <c r="CY119" s="113" t="str">
        <f t="shared" si="18"/>
        <v>0009-OTI</v>
      </c>
      <c r="CZ119" s="20" t="str">
        <f t="shared" si="19"/>
        <v>0009-OTI</v>
      </c>
      <c r="DA119" s="113" t="str">
        <f>+CONCATENATE(Tabla1[[#This Row],[CC COMPLETO]],Tabla1[[#This Row],[ESPECÍFICA]])</f>
        <v>0009-OTI2.6.3.2.9.4</v>
      </c>
      <c r="DB119" s="49">
        <f t="shared" si="20"/>
        <v>0</v>
      </c>
      <c r="DC119" s="49">
        <f t="shared" si="21"/>
        <v>0</v>
      </c>
      <c r="DD119" s="49">
        <f t="shared" si="22"/>
        <v>0</v>
      </c>
      <c r="DE119" s="49">
        <f t="shared" si="23"/>
        <v>25000</v>
      </c>
      <c r="DF119" s="49">
        <f t="shared" si="24"/>
        <v>0</v>
      </c>
      <c r="DG119" s="49">
        <f t="shared" si="25"/>
        <v>0</v>
      </c>
      <c r="DH119" s="49">
        <f t="shared" si="26"/>
        <v>25000</v>
      </c>
      <c r="DI119" s="50">
        <f t="shared" si="27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0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25000</v>
      </c>
      <c r="DV119" s="76">
        <f>IFERROR(VLOOKUP(Tabla1[[#This Row],[COD SE]],PF_OCTUBRE,16,0),"0")</f>
        <v>0</v>
      </c>
      <c r="DW119" s="76">
        <f>+SUM(Tabla1[[#This Row],[EJECUTADO 01]:[PF DICIEMBRE
]])</f>
        <v>25000</v>
      </c>
      <c r="DX119" s="76">
        <f>IFERROR(VLOOKUP(Tabla1[[#This Row],[COD SE]],PF_OCTUBRE,18,0),"0")</f>
        <v>0</v>
      </c>
      <c r="DY119" s="76">
        <f>IFERROR(VLOOKUP(Tabla1[[#This Row],[COD SE]],PF_OCTUBRE,19,0),"0")</f>
        <v>0</v>
      </c>
      <c r="DZ119" s="76">
        <f>IFERROR(VLOOKUP(Tabla1[[#This Row],[COD SE]],PF_OCTUBRE,20,0),"0")</f>
        <v>0</v>
      </c>
      <c r="EA119" s="76">
        <f>+Tabla1[[#This Row],[TOTAL EJEC REAL]]+Tabla1[[#This Row],[SALDO FINAL]]</f>
        <v>25000</v>
      </c>
      <c r="EB119" s="76">
        <f>IFERROR(VLOOKUP(Tabla1[[#This Row],[COD SE]],PF_OCTUBRE,22,0),"0")</f>
        <v>0</v>
      </c>
      <c r="EC119" s="76">
        <f>+IFERROR(VLOOKUP(Tabla1[[#This Row],[COD SE]],SALDO_ESC_2,7,0),0)</f>
        <v>0</v>
      </c>
      <c r="ED119" s="76">
        <f>+IFERROR(VLOOKUP(Tabla1[[#This Row],[COD SE]],SALDO_ESC_3,7,0),0)</f>
        <v>0</v>
      </c>
      <c r="EE119" s="76">
        <f>+Tabla1[[#This Row],[mto_pim]]-Tabla1[[#This Row],[TRANSF ESC2 ]]</f>
        <v>25000</v>
      </c>
      <c r="EF119" s="76">
        <f>+Tabla1[[#This Row],[mto_pim]]-Tabla1[[#This Row],[TRANFS ESC 3 ]]</f>
        <v>25000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0</v>
      </c>
      <c r="ES119" s="58">
        <f>+SUM(Tabla1[[#This Row],[PF OCTUBRE]:[PF DICIEMBRE
]])</f>
        <v>25000</v>
      </c>
      <c r="ET119" s="58">
        <f>+SUM(Tabla1[[#This Row],[EJECUTADO 01]:[EJECUTADO 09]])</f>
        <v>0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1656</v>
      </c>
      <c r="AD120" s="369" t="s">
        <v>1657</v>
      </c>
      <c r="AE120" s="369" t="s">
        <v>1660</v>
      </c>
      <c r="AF120" s="369" t="s">
        <v>1661</v>
      </c>
      <c r="AG120" s="369" t="s">
        <v>1663</v>
      </c>
      <c r="AH120" s="369">
        <v>1123703</v>
      </c>
      <c r="AI120" s="369">
        <v>40799</v>
      </c>
      <c r="AJ120" s="369">
        <v>1164502</v>
      </c>
      <c r="AK120" s="370">
        <v>637622.97</v>
      </c>
      <c r="AL120" s="370">
        <v>609901.69999999995</v>
      </c>
      <c r="AM120" s="370">
        <v>38412.129999999997</v>
      </c>
      <c r="AN120" s="370">
        <v>26400</v>
      </c>
      <c r="AO120" s="370">
        <v>26300</v>
      </c>
      <c r="AP120" s="370">
        <v>21902.78</v>
      </c>
      <c r="AQ120" s="370">
        <v>11300</v>
      </c>
      <c r="AR120" s="370">
        <v>36226.61</v>
      </c>
      <c r="AS120" s="370">
        <v>65639.19</v>
      </c>
      <c r="AT120" s="370">
        <v>77813.440000000002</v>
      </c>
      <c r="AU120" s="370">
        <v>68275.13</v>
      </c>
      <c r="AV120" s="370">
        <v>60390.95</v>
      </c>
      <c r="AW120" s="370">
        <v>0</v>
      </c>
      <c r="AX120" s="370">
        <v>0</v>
      </c>
      <c r="AY120" s="370">
        <v>38512.129999999997</v>
      </c>
      <c r="AZ120" s="370">
        <v>26200</v>
      </c>
      <c r="BA120" s="370">
        <v>26300</v>
      </c>
      <c r="BB120" s="370">
        <v>26300</v>
      </c>
      <c r="BC120" s="370">
        <v>7302.78</v>
      </c>
      <c r="BD120" s="370">
        <v>36226.61</v>
      </c>
      <c r="BE120" s="370">
        <v>64636.41</v>
      </c>
      <c r="BF120" s="370">
        <v>79097.440000000002</v>
      </c>
      <c r="BG120" s="370">
        <v>68708.210000000006</v>
      </c>
      <c r="BH120" s="370">
        <v>58673.87</v>
      </c>
      <c r="BI120" s="370">
        <v>0</v>
      </c>
      <c r="BJ120" s="370">
        <v>0</v>
      </c>
      <c r="BK120" s="370">
        <v>38512.129999999997</v>
      </c>
      <c r="BL120" s="370">
        <v>26200</v>
      </c>
      <c r="BM120" s="370">
        <v>26300</v>
      </c>
      <c r="BN120" s="370">
        <v>23128.400000000001</v>
      </c>
      <c r="BO120" s="370">
        <v>9871.6</v>
      </c>
      <c r="BP120" s="370">
        <v>36226.61</v>
      </c>
      <c r="BQ120" s="370">
        <v>65239.19</v>
      </c>
      <c r="BR120" s="370">
        <v>79097.440000000002</v>
      </c>
      <c r="BS120" s="370">
        <v>68708.210000000006</v>
      </c>
      <c r="BT120" s="370">
        <v>51182.03</v>
      </c>
      <c r="BU120" s="370">
        <v>0</v>
      </c>
      <c r="BV120" s="370">
        <v>0</v>
      </c>
      <c r="BW120" s="370">
        <v>38512.129999999997</v>
      </c>
      <c r="BX120" s="370">
        <v>26200</v>
      </c>
      <c r="BY120" s="370">
        <v>26300</v>
      </c>
      <c r="BZ120" s="370">
        <v>25697.22</v>
      </c>
      <c r="CA120" s="370">
        <v>11300</v>
      </c>
      <c r="CB120" s="370">
        <v>36226.61</v>
      </c>
      <c r="CC120" s="370">
        <v>65639.19</v>
      </c>
      <c r="CD120" s="370">
        <v>79097.440000000002</v>
      </c>
      <c r="CE120" s="370">
        <v>68708.210000000006</v>
      </c>
      <c r="CF120" s="370">
        <v>52497.86</v>
      </c>
      <c r="CG120" s="370">
        <v>0</v>
      </c>
      <c r="CH120" s="370">
        <v>0</v>
      </c>
      <c r="CI120" s="48" t="s">
        <v>1987</v>
      </c>
      <c r="CJ120" s="48" t="s">
        <v>1990</v>
      </c>
      <c r="CK120" s="48" t="s">
        <v>1990</v>
      </c>
      <c r="CL120" s="48" t="s">
        <v>2010</v>
      </c>
      <c r="CM120" s="48" t="s">
        <v>1990</v>
      </c>
      <c r="CN120" s="48" t="s">
        <v>1987</v>
      </c>
      <c r="CO120" s="48" t="str">
        <f t="shared" si="28"/>
        <v>2.1.1.13.1.2</v>
      </c>
      <c r="CP120" s="48" t="str">
        <f>+VLOOKUP(Tabla1[[#This Row],[ESPECÍFICA]],CLASIFICADOR_,2,0)</f>
        <v>2.1.1.13.1.2 - CONTRATO ADMINISTRATIVO DE SERVICIOS - TRANSITORIO</v>
      </c>
      <c r="CQ120" s="48" t="str">
        <f>+VLOOKUP(Tabla1[[#This Row],[ESPECÍFICA]],CLASIFICADOR_,3,0)</f>
        <v>01.CAS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2.1.PERSONAL Y OBLIGACIONES SOCIALES</v>
      </c>
      <c r="CX120" s="48" t="str">
        <f t="shared" si="17"/>
        <v>0009-OTI</v>
      </c>
      <c r="CY120" s="113" t="str">
        <f t="shared" si="18"/>
        <v>0009-OTI</v>
      </c>
      <c r="CZ120" s="20" t="str">
        <f t="shared" si="19"/>
        <v>0009-OTI</v>
      </c>
      <c r="DA120" s="113" t="str">
        <f>+CONCATENATE(Tabla1[[#This Row],[CC COMPLETO]],Tabla1[[#This Row],[ESPECÍFICA]])</f>
        <v>0009-OTI2.1.1.13.1.2</v>
      </c>
      <c r="DB120" s="49">
        <f t="shared" si="20"/>
        <v>432660.23000000004</v>
      </c>
      <c r="DC120" s="49">
        <f t="shared" si="21"/>
        <v>431957.45</v>
      </c>
      <c r="DD120" s="49">
        <f t="shared" si="22"/>
        <v>424465.61</v>
      </c>
      <c r="DE120" s="49">
        <f t="shared" si="23"/>
        <v>526879.03</v>
      </c>
      <c r="DF120" s="49">
        <f t="shared" si="24"/>
        <v>27721.270000000019</v>
      </c>
      <c r="DG120" s="49">
        <f t="shared" si="25"/>
        <v>177944.24999999994</v>
      </c>
      <c r="DH120" s="49">
        <f t="shared" si="26"/>
        <v>732544.55</v>
      </c>
      <c r="DI120" s="50">
        <f t="shared" si="27"/>
        <v>0.38440535443974078</v>
      </c>
      <c r="DJ120" s="78">
        <f>+SUM(Tabla1[[#This Row],[EJECUTADO 01]:[EJECUTADO 06]])</f>
        <v>160841.52000000002</v>
      </c>
      <c r="DK120" s="78">
        <f>+Tabla1[[#This Row],[mto_devenga_01]]</f>
        <v>38512.129999999997</v>
      </c>
      <c r="DL120" s="78">
        <f>+Tabla1[[#This Row],[mto_devenga_02]]</f>
        <v>26200</v>
      </c>
      <c r="DM120" s="78">
        <f>+Tabla1[[#This Row],[mto_devenga_03]]</f>
        <v>26300</v>
      </c>
      <c r="DN120" s="78">
        <f>+Tabla1[[#This Row],[mto_devenga_04]]</f>
        <v>26300</v>
      </c>
      <c r="DO120" s="78">
        <f>+Tabla1[[#This Row],[mto_devenga_05]]</f>
        <v>7302.78</v>
      </c>
      <c r="DP120" s="76">
        <f>+Tabla1[[#This Row],[mto_devenga_06]]</f>
        <v>36226.61</v>
      </c>
      <c r="DQ120" s="76">
        <f>+Tabla1[[#This Row],[mto_devenga_07]]</f>
        <v>64636.41</v>
      </c>
      <c r="DR120" s="76">
        <f>+Tabla1[[#This Row],[mto_devenga_08]]</f>
        <v>79097.440000000002</v>
      </c>
      <c r="DS120" s="76">
        <f>+Tabla1[[#This Row],[mto_devenga_09]]</f>
        <v>68708.210000000006</v>
      </c>
      <c r="DT120" s="76">
        <f>IFERROR(VLOOKUP(Tabla1[[#This Row],[COD SE]],PF_OCTUBRE,14,0),"0")</f>
        <v>80720.95</v>
      </c>
      <c r="DU120" s="76">
        <f>IFERROR(VLOOKUP(Tabla1[[#This Row],[COD SE]],PF_OCTUBRE,15,0),"0")</f>
        <v>80720.95</v>
      </c>
      <c r="DV120" s="76">
        <f>IFERROR(VLOOKUP(Tabla1[[#This Row],[COD SE]],PF_OCTUBRE,16,0),"0")</f>
        <v>580720.94999999995</v>
      </c>
      <c r="DW120" s="76">
        <f>+SUM(Tabla1[[#This Row],[EJECUTADO 01]:[PF DICIEMBRE
]])</f>
        <v>1115446.43</v>
      </c>
      <c r="DX120" s="76">
        <f>IFERROR(VLOOKUP(Tabla1[[#This Row],[COD SE]],PF_OCTUBRE,18,0),"0")</f>
        <v>0</v>
      </c>
      <c r="DY120" s="76">
        <f>IFERROR(VLOOKUP(Tabla1[[#This Row],[COD SE]],PF_OCTUBRE,19,0),"0")</f>
        <v>49055.569999999992</v>
      </c>
      <c r="DZ120" s="76">
        <f>IFERROR(VLOOKUP(Tabla1[[#This Row],[COD SE]],PF_OCTUBRE,20,0),"0")</f>
        <v>49055.569999999992</v>
      </c>
      <c r="EA120" s="76">
        <f>+Tabla1[[#This Row],[TOTAL EJEC REAL]]+Tabla1[[#This Row],[SALDO FINAL]]</f>
        <v>1164502</v>
      </c>
      <c r="EB120" s="76">
        <f>IFERROR(VLOOKUP(Tabla1[[#This Row],[COD SE]],PF_OCTUBRE,22,0),"0")</f>
        <v>629776.52000000014</v>
      </c>
      <c r="EC120" s="76">
        <f>+IFERROR(VLOOKUP(Tabla1[[#This Row],[COD SE]],SALDO_ESC_2,7,0),0)</f>
        <v>0</v>
      </c>
      <c r="ED120" s="76">
        <f>+IFERROR(VLOOKUP(Tabla1[[#This Row],[COD SE]],SALDO_ESC_3,7,0),0)</f>
        <v>49055.569999999992</v>
      </c>
      <c r="EE120" s="76">
        <f>+Tabla1[[#This Row],[mto_pim]]-Tabla1[[#This Row],[TRANSF ESC2 ]]</f>
        <v>1164502</v>
      </c>
      <c r="EF120" s="76">
        <f>+Tabla1[[#This Row],[mto_pim]]-Tabla1[[#This Row],[TRANFS ESC 3 ]]</f>
        <v>1115446.43</v>
      </c>
      <c r="EG120" s="76">
        <f>+IFERROR(VLOOKUP(Tabla1[[#This Row],[COD SE]],HISTORICO,4,0),0)</f>
        <v>48220.950000000004</v>
      </c>
      <c r="EH120" s="76">
        <f>+IFERROR(VLOOKUP(Tabla1[[#This Row],[COD SE]],HISTORICO,5,0),0)</f>
        <v>38892.57</v>
      </c>
      <c r="EI120" s="76">
        <f>+IFERROR(VLOOKUP(Tabla1[[#This Row],[COD SE]],HISTORICO,6,0),0)</f>
        <v>26528.379999999997</v>
      </c>
      <c r="EJ120" s="76">
        <f>+IFERROR(VLOOKUP(Tabla1[[#This Row],[COD SE]],HISTORICO,7,0),0)</f>
        <v>38792.57</v>
      </c>
      <c r="EK120" s="76">
        <f>+IFERROR(VLOOKUP(Tabla1[[#This Row],[COD SE]],HISTORICO,8,0),0)</f>
        <v>26792.57</v>
      </c>
      <c r="EL120" s="76">
        <f>+IFERROR(VLOOKUP(Tabla1[[#This Row],[COD SE]],HISTORICO,9,0),0)</f>
        <v>0</v>
      </c>
      <c r="EM120" s="76">
        <f>+IFERROR(VLOOKUP(Tabla1[[#This Row],[COD SE]],HISTORICO,10,0),0)</f>
        <v>80985.14</v>
      </c>
      <c r="EN120" s="76">
        <f>+IFERROR(VLOOKUP(Tabla1[[#This Row],[COD SE]],HISTORICO,11,0),0)</f>
        <v>80985.14</v>
      </c>
      <c r="EO120" s="76">
        <f>+IFERROR(VLOOKUP(Tabla1[[#This Row],[COD SE]],HISTORICO,12,0),0)</f>
        <v>80720.95</v>
      </c>
      <c r="EP120" s="58">
        <f>+SUM(Tabla1[[#This Row],[EJECUTADO 01]:[EJECUTADO 03]])</f>
        <v>91012.13</v>
      </c>
      <c r="EQ120" s="58">
        <f>+SUM(Tabla1[[#This Row],[EJECUTADO 04]:[EJECUTADO 06]])</f>
        <v>69829.39</v>
      </c>
      <c r="ER120" s="58">
        <f>+SUM(Tabla1[[#This Row],[EJECUTADO 07]:[EJECUTADO 09]])</f>
        <v>212442.06</v>
      </c>
      <c r="ES120" s="58">
        <f>+SUM(Tabla1[[#This Row],[PF OCTUBRE]:[PF DICIEMBRE
]])</f>
        <v>742162.85</v>
      </c>
      <c r="ET120" s="58">
        <f>+SUM(Tabla1[[#This Row],[EJECUTADO 01]:[EJECUTADO 09]])</f>
        <v>373283.58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1672</v>
      </c>
      <c r="AD121" s="369" t="s">
        <v>1684</v>
      </c>
      <c r="AE121" s="369" t="s">
        <v>1716</v>
      </c>
      <c r="AF121" s="369" t="s">
        <v>1764</v>
      </c>
      <c r="AG121" s="369" t="s">
        <v>1765</v>
      </c>
      <c r="AH121" s="369">
        <v>0</v>
      </c>
      <c r="AI121" s="369">
        <v>870</v>
      </c>
      <c r="AJ121" s="369">
        <v>870</v>
      </c>
      <c r="AK121" s="370">
        <v>869.66</v>
      </c>
      <c r="AL121" s="370">
        <v>869.66</v>
      </c>
      <c r="AM121" s="370">
        <v>0</v>
      </c>
      <c r="AN121" s="370">
        <v>0</v>
      </c>
      <c r="AO121" s="370">
        <v>0</v>
      </c>
      <c r="AP121" s="370">
        <v>0</v>
      </c>
      <c r="AQ121" s="370">
        <v>0</v>
      </c>
      <c r="AR121" s="370">
        <v>0</v>
      </c>
      <c r="AS121" s="370">
        <v>0</v>
      </c>
      <c r="AT121" s="370">
        <v>0</v>
      </c>
      <c r="AU121" s="370">
        <v>0</v>
      </c>
      <c r="AV121" s="370">
        <v>869.66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0</v>
      </c>
      <c r="BC121" s="370">
        <v>0</v>
      </c>
      <c r="BD121" s="370">
        <v>0</v>
      </c>
      <c r="BE121" s="370">
        <v>0</v>
      </c>
      <c r="BF121" s="370">
        <v>0</v>
      </c>
      <c r="BG121" s="370">
        <v>0</v>
      </c>
      <c r="BH121" s="370">
        <v>0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0</v>
      </c>
      <c r="BP121" s="370">
        <v>0</v>
      </c>
      <c r="BQ121" s="370">
        <v>0</v>
      </c>
      <c r="BR121" s="370">
        <v>0</v>
      </c>
      <c r="BS121" s="370">
        <v>0</v>
      </c>
      <c r="BT121" s="370">
        <v>0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0</v>
      </c>
      <c r="CA121" s="370">
        <v>0</v>
      </c>
      <c r="CB121" s="370">
        <v>0</v>
      </c>
      <c r="CC121" s="370">
        <v>0</v>
      </c>
      <c r="CD121" s="370">
        <v>0</v>
      </c>
      <c r="CE121" s="370">
        <v>0</v>
      </c>
      <c r="CF121" s="370">
        <v>0</v>
      </c>
      <c r="CG121" s="370">
        <v>0</v>
      </c>
      <c r="CH121" s="370">
        <v>0</v>
      </c>
      <c r="CI121" s="48" t="s">
        <v>1987</v>
      </c>
      <c r="CJ121" s="48" t="s">
        <v>1991</v>
      </c>
      <c r="CK121" s="48" t="s">
        <v>1990</v>
      </c>
      <c r="CL121" s="48" t="s">
        <v>2011</v>
      </c>
      <c r="CM121" s="48" t="s">
        <v>1991</v>
      </c>
      <c r="CN121" s="48" t="s">
        <v>1990</v>
      </c>
      <c r="CO121" s="48" t="str">
        <f t="shared" si="28"/>
        <v>2.3.1.5.3.1</v>
      </c>
      <c r="CP121" s="48" t="str">
        <f>+VLOOKUP(Tabla1[[#This Row],[ESPECÍFICA]],CLASIFICADOR_,2,0)</f>
        <v>2.3.1.5.3.1 - ASEO, LIMPIEZA Y TOCADOR</v>
      </c>
      <c r="CQ121" s="48" t="str">
        <f>+VLOOKUP(Tabla1[[#This Row],[ESPECÍFICA]],CLASIFICADOR_,3,0)</f>
        <v>2.3.1.5 - MATERIALES Y  UTILES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2.3.BIENES Y SERVICIOS</v>
      </c>
      <c r="CX121" s="48" t="str">
        <f t="shared" si="17"/>
        <v>0009-OTI</v>
      </c>
      <c r="CY121" s="113" t="str">
        <f t="shared" si="18"/>
        <v>0009-OTI</v>
      </c>
      <c r="CZ121" s="20" t="str">
        <f t="shared" si="19"/>
        <v>0009-OTI</v>
      </c>
      <c r="DA121" s="113" t="str">
        <f>+CONCATENATE(Tabla1[[#This Row],[CC COMPLETO]],Tabla1[[#This Row],[ESPECÍFICA]])</f>
        <v>0009-OTI2.3.1.5.3.1</v>
      </c>
      <c r="DB121" s="49">
        <f t="shared" si="20"/>
        <v>869.66</v>
      </c>
      <c r="DC121" s="49">
        <f t="shared" si="21"/>
        <v>0</v>
      </c>
      <c r="DD121" s="49">
        <f t="shared" si="22"/>
        <v>0</v>
      </c>
      <c r="DE121" s="49">
        <f t="shared" si="23"/>
        <v>0.34000000000003183</v>
      </c>
      <c r="DF121" s="49">
        <f t="shared" si="24"/>
        <v>0</v>
      </c>
      <c r="DG121" s="49">
        <f t="shared" si="25"/>
        <v>869.66</v>
      </c>
      <c r="DH121" s="49">
        <f t="shared" si="26"/>
        <v>870</v>
      </c>
      <c r="DI121" s="50">
        <f t="shared" si="27"/>
        <v>0</v>
      </c>
      <c r="DJ121" s="78">
        <f>+SUM(Tabla1[[#This Row],[EJECUTADO 01]:[EJECUTADO 06]])</f>
        <v>0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0</v>
      </c>
      <c r="DO121" s="78">
        <f>+Tabla1[[#This Row],[mto_devenga_05]]</f>
        <v>0</v>
      </c>
      <c r="DP121" s="76">
        <f>+Tabla1[[#This Row],[mto_devenga_06]]</f>
        <v>0</v>
      </c>
      <c r="DQ121" s="76">
        <f>+Tabla1[[#This Row],[mto_devenga_07]]</f>
        <v>0</v>
      </c>
      <c r="DR121" s="76">
        <f>+Tabla1[[#This Row],[mto_devenga_08]]</f>
        <v>0</v>
      </c>
      <c r="DS121" s="76">
        <f>+Tabla1[[#This Row],[mto_devenga_09]]</f>
        <v>0</v>
      </c>
      <c r="DT121" s="76">
        <f>IFERROR(VLOOKUP(Tabla1[[#This Row],[COD SE]],PF_OCTUBRE,14,0),"0")</f>
        <v>860</v>
      </c>
      <c r="DU121" s="76">
        <f>IFERROR(VLOOKUP(Tabla1[[#This Row],[COD SE]],PF_OCTUBRE,15,0),"0")</f>
        <v>0</v>
      </c>
      <c r="DV121" s="76">
        <f>IFERROR(VLOOKUP(Tabla1[[#This Row],[COD SE]],PF_OCTUBRE,16,0),"0")</f>
        <v>0</v>
      </c>
      <c r="DW121" s="76">
        <f>+SUM(Tabla1[[#This Row],[EJECUTADO 01]:[PF DICIEMBRE
]])</f>
        <v>860</v>
      </c>
      <c r="DX121" s="76">
        <f>IFERROR(VLOOKUP(Tabla1[[#This Row],[COD SE]],PF_OCTUBRE,18,0),"0")</f>
        <v>0</v>
      </c>
      <c r="DY121" s="76">
        <f>IFERROR(VLOOKUP(Tabla1[[#This Row],[COD SE]],PF_OCTUBRE,19,0),"0")</f>
        <v>0</v>
      </c>
      <c r="DZ121" s="76">
        <f>IFERROR(VLOOKUP(Tabla1[[#This Row],[COD SE]],PF_OCTUBRE,20,0),"0")</f>
        <v>0</v>
      </c>
      <c r="EA121" s="76">
        <f>+Tabla1[[#This Row],[TOTAL EJEC REAL]]+Tabla1[[#This Row],[SALDO FINAL]]</f>
        <v>860</v>
      </c>
      <c r="EB121" s="76">
        <f>IFERROR(VLOOKUP(Tabla1[[#This Row],[COD SE]],PF_OCTUBRE,22,0),"0")</f>
        <v>0</v>
      </c>
      <c r="EC121" s="76">
        <f>+IFERROR(VLOOKUP(Tabla1[[#This Row],[COD SE]],SALDO_ESC_2,7,0),0)</f>
        <v>0</v>
      </c>
      <c r="ED121" s="76">
        <f>+IFERROR(VLOOKUP(Tabla1[[#This Row],[COD SE]],SALDO_ESC_3,7,0),0)</f>
        <v>0</v>
      </c>
      <c r="EE121" s="76">
        <f>+Tabla1[[#This Row],[mto_pim]]-Tabla1[[#This Row],[TRANSF ESC2 ]]</f>
        <v>870</v>
      </c>
      <c r="EF121" s="76">
        <f>+Tabla1[[#This Row],[mto_pim]]-Tabla1[[#This Row],[TRANFS ESC 3 ]]</f>
        <v>870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0</v>
      </c>
      <c r="EM121" s="76">
        <f>+IFERROR(VLOOKUP(Tabla1[[#This Row],[COD SE]],HISTORICO,10,0),0)</f>
        <v>0</v>
      </c>
      <c r="EN121" s="76">
        <f>+IFERROR(VLOOKUP(Tabla1[[#This Row],[COD SE]],HISTORICO,11,0),0)</f>
        <v>0</v>
      </c>
      <c r="EO121" s="76">
        <f>+IFERROR(VLOOKUP(Tabla1[[#This Row],[COD SE]],HISTORICO,12,0),0)</f>
        <v>0</v>
      </c>
      <c r="EP121" s="58">
        <f>+SUM(Tabla1[[#This Row],[EJECUTADO 01]:[EJECUTADO 03]])</f>
        <v>0</v>
      </c>
      <c r="EQ121" s="58">
        <f>+SUM(Tabla1[[#This Row],[EJECUTADO 04]:[EJECUTADO 06]])</f>
        <v>0</v>
      </c>
      <c r="ER121" s="58">
        <f>+SUM(Tabla1[[#This Row],[EJECUTADO 07]:[EJECUTADO 09]])</f>
        <v>0</v>
      </c>
      <c r="ES121" s="58">
        <f>+SUM(Tabla1[[#This Row],[PF OCTUBRE]:[PF DICIEMBRE
]])</f>
        <v>860</v>
      </c>
      <c r="ET121" s="58">
        <f>+SUM(Tabla1[[#This Row],[EJECUTADO 01]:[EJECUTADO 09]])</f>
        <v>0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2004</v>
      </c>
      <c r="AB122" s="369" t="s">
        <v>1986</v>
      </c>
      <c r="AC122" s="369" t="s">
        <v>1672</v>
      </c>
      <c r="AD122" s="369" t="s">
        <v>1684</v>
      </c>
      <c r="AE122" s="369" t="s">
        <v>1716</v>
      </c>
      <c r="AF122" s="369" t="s">
        <v>1717</v>
      </c>
      <c r="AG122" s="369" t="s">
        <v>1720</v>
      </c>
      <c r="AH122" s="369">
        <v>96248</v>
      </c>
      <c r="AI122" s="369">
        <v>-24809</v>
      </c>
      <c r="AJ122" s="369">
        <v>71439</v>
      </c>
      <c r="AK122" s="370">
        <v>48575.92</v>
      </c>
      <c r="AL122" s="370">
        <v>48575.92</v>
      </c>
      <c r="AM122" s="370">
        <v>0</v>
      </c>
      <c r="AN122" s="370">
        <v>0</v>
      </c>
      <c r="AO122" s="370">
        <v>0</v>
      </c>
      <c r="AP122" s="370">
        <v>21331.1</v>
      </c>
      <c r="AQ122" s="370">
        <v>0</v>
      </c>
      <c r="AR122" s="370">
        <v>18750</v>
      </c>
      <c r="AS122" s="370">
        <v>0</v>
      </c>
      <c r="AT122" s="370">
        <v>0</v>
      </c>
      <c r="AU122" s="370">
        <v>0</v>
      </c>
      <c r="AV122" s="370">
        <v>8494.82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21331.1</v>
      </c>
      <c r="BD122" s="370">
        <v>0</v>
      </c>
      <c r="BE122" s="370">
        <v>3000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21331.1</v>
      </c>
      <c r="BP122" s="370">
        <v>0</v>
      </c>
      <c r="BQ122" s="370">
        <v>3000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21331.1</v>
      </c>
      <c r="CA122" s="370">
        <v>0</v>
      </c>
      <c r="CB122" s="370">
        <v>3000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1991</v>
      </c>
      <c r="CK122" s="48" t="s">
        <v>1990</v>
      </c>
      <c r="CL122" s="48" t="s">
        <v>2011</v>
      </c>
      <c r="CM122" s="48" t="s">
        <v>1990</v>
      </c>
      <c r="CN122" s="48" t="s">
        <v>1990</v>
      </c>
      <c r="CO122" s="48" t="str">
        <f t="shared" si="28"/>
        <v>2.3.1.5.1.1</v>
      </c>
      <c r="CP122" s="48" t="str">
        <f>+VLOOKUP(Tabla1[[#This Row],[ESPECÍFICA]],CLASIFICADOR_,2,0)</f>
        <v>2.3.1.5.1.1 - REPUESTOS Y ACCESORIOS</v>
      </c>
      <c r="CQ122" s="48" t="str">
        <f>+VLOOKUP(Tabla1[[#This Row],[ESPECÍFICA]],CLASIFICADOR_,3,0)</f>
        <v>2.3.1.5 - MATERIALES Y  UTILES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2.3.BIENES Y SERVICIOS</v>
      </c>
      <c r="CX122" s="48" t="str">
        <f t="shared" si="17"/>
        <v>0009-OTI</v>
      </c>
      <c r="CY122" s="113" t="str">
        <f t="shared" si="18"/>
        <v>0009-OTI</v>
      </c>
      <c r="CZ122" s="20" t="str">
        <f t="shared" si="19"/>
        <v>0009-OTI</v>
      </c>
      <c r="DA122" s="113" t="str">
        <f>+CONCATENATE(Tabla1[[#This Row],[CC COMPLETO]],Tabla1[[#This Row],[ESPECÍFICA]])</f>
        <v>0009-OTI2.3.1.5.1.1</v>
      </c>
      <c r="DB122" s="49">
        <f t="shared" si="20"/>
        <v>48575.92</v>
      </c>
      <c r="DC122" s="49">
        <f t="shared" si="21"/>
        <v>24331.1</v>
      </c>
      <c r="DD122" s="49">
        <f t="shared" si="22"/>
        <v>24331.1</v>
      </c>
      <c r="DE122" s="49">
        <f t="shared" si="23"/>
        <v>22863.08</v>
      </c>
      <c r="DF122" s="49">
        <f t="shared" si="24"/>
        <v>0</v>
      </c>
      <c r="DG122" s="49">
        <f t="shared" si="25"/>
        <v>24244.82</v>
      </c>
      <c r="DH122" s="49">
        <f t="shared" si="26"/>
        <v>47107.9</v>
      </c>
      <c r="DI122" s="50">
        <f t="shared" si="27"/>
        <v>0.2527959022525143</v>
      </c>
      <c r="DJ122" s="78">
        <f>+SUM(Tabla1[[#This Row],[EJECUTADO 01]:[EJECUTADO 06]])</f>
        <v>21331.1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21331.1</v>
      </c>
      <c r="DP122" s="76">
        <f>+Tabla1[[#This Row],[mto_devenga_06]]</f>
        <v>0</v>
      </c>
      <c r="DQ122" s="76">
        <f>+Tabla1[[#This Row],[mto_devenga_07]]</f>
        <v>3000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23350</v>
      </c>
      <c r="DU122" s="76">
        <f>IFERROR(VLOOKUP(Tabla1[[#This Row],[COD SE]],PF_OCTUBRE,15,0),"0")</f>
        <v>0</v>
      </c>
      <c r="DV122" s="76">
        <f>IFERROR(VLOOKUP(Tabla1[[#This Row],[COD SE]],PF_OCTUBRE,16,0),"0")</f>
        <v>25350.9</v>
      </c>
      <c r="DW122" s="76">
        <f>+SUM(Tabla1[[#This Row],[EJECUTADO 01]:[PF DICIEMBRE
]])</f>
        <v>73032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73032</v>
      </c>
      <c r="EB122" s="76">
        <f>IFERROR(VLOOKUP(Tabla1[[#This Row],[COD SE]],PF_OCTUBRE,22,0),"0")</f>
        <v>25350.9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71439</v>
      </c>
      <c r="EF122" s="76">
        <f>+Tabla1[[#This Row],[mto_pim]]-Tabla1[[#This Row],[TRANFS ESC 3 ]]</f>
        <v>71439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0</v>
      </c>
      <c r="EL122" s="76">
        <f>+IFERROR(VLOOKUP(Tabla1[[#This Row],[COD SE]],HISTORICO,9,0),0)</f>
        <v>6000</v>
      </c>
      <c r="EM122" s="76">
        <f>+IFERROR(VLOOKUP(Tabla1[[#This Row],[COD SE]],HISTORICO,10,0),0)</f>
        <v>4000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21331.1</v>
      </c>
      <c r="ER122" s="58">
        <f>+SUM(Tabla1[[#This Row],[EJECUTADO 07]:[EJECUTADO 09]])</f>
        <v>3000</v>
      </c>
      <c r="ES122" s="58">
        <f>+SUM(Tabla1[[#This Row],[PF OCTUBRE]:[PF DICIEMBRE
]])</f>
        <v>48700.9</v>
      </c>
      <c r="ET122" s="58">
        <f>+SUM(Tabla1[[#This Row],[EJECUTADO 01]:[EJECUTADO 09]])</f>
        <v>24331.1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1656</v>
      </c>
      <c r="AD123" s="369" t="s">
        <v>1668</v>
      </c>
      <c r="AE123" s="369" t="s">
        <v>1669</v>
      </c>
      <c r="AF123" s="369" t="s">
        <v>1669</v>
      </c>
      <c r="AG123" s="369" t="s">
        <v>1671</v>
      </c>
      <c r="AH123" s="369">
        <v>77592</v>
      </c>
      <c r="AI123" s="369">
        <v>-2382</v>
      </c>
      <c r="AJ123" s="369">
        <v>75210</v>
      </c>
      <c r="AK123" s="370">
        <v>61752.28</v>
      </c>
      <c r="AL123" s="370">
        <v>56296.71</v>
      </c>
      <c r="AM123" s="370">
        <v>4719.67</v>
      </c>
      <c r="AN123" s="370">
        <v>4333.6000000000004</v>
      </c>
      <c r="AO123" s="370">
        <v>4333.6000000000004</v>
      </c>
      <c r="AP123" s="370">
        <v>4550.28</v>
      </c>
      <c r="AQ123" s="370">
        <v>4333.6000000000004</v>
      </c>
      <c r="AR123" s="370">
        <v>4501.6000000000004</v>
      </c>
      <c r="AS123" s="370">
        <v>4766.96</v>
      </c>
      <c r="AT123" s="370">
        <v>4766.96</v>
      </c>
      <c r="AU123" s="370">
        <v>4983.6400000000003</v>
      </c>
      <c r="AV123" s="370">
        <v>4435.9399999999996</v>
      </c>
      <c r="AW123" s="370">
        <v>0</v>
      </c>
      <c r="AX123" s="370">
        <v>0</v>
      </c>
      <c r="AY123" s="370">
        <v>4766.96</v>
      </c>
      <c r="AZ123" s="370">
        <v>4333.6000000000004</v>
      </c>
      <c r="BA123" s="370">
        <v>4333.6000000000004</v>
      </c>
      <c r="BB123" s="370">
        <v>4550.28</v>
      </c>
      <c r="BC123" s="370">
        <v>4333.6000000000004</v>
      </c>
      <c r="BD123" s="370">
        <v>4501.6000000000004</v>
      </c>
      <c r="BE123" s="370">
        <v>4766.96</v>
      </c>
      <c r="BF123" s="370">
        <v>4719.67</v>
      </c>
      <c r="BG123" s="370">
        <v>4983.6400000000003</v>
      </c>
      <c r="BH123" s="370">
        <v>4435.9399999999996</v>
      </c>
      <c r="BI123" s="370">
        <v>0</v>
      </c>
      <c r="BJ123" s="370">
        <v>0</v>
      </c>
      <c r="BK123" s="370">
        <v>4766.96</v>
      </c>
      <c r="BL123" s="370">
        <v>4333.6000000000004</v>
      </c>
      <c r="BM123" s="370">
        <v>4333.6000000000004</v>
      </c>
      <c r="BN123" s="370">
        <v>4550.28</v>
      </c>
      <c r="BO123" s="370">
        <v>4333.6000000000004</v>
      </c>
      <c r="BP123" s="370">
        <v>4501.6000000000004</v>
      </c>
      <c r="BQ123" s="370">
        <v>4766.96</v>
      </c>
      <c r="BR123" s="370">
        <v>4719.67</v>
      </c>
      <c r="BS123" s="370">
        <v>4651.9799999999996</v>
      </c>
      <c r="BT123" s="370">
        <v>4767.6000000000004</v>
      </c>
      <c r="BU123" s="370">
        <v>0</v>
      </c>
      <c r="BV123" s="370">
        <v>0</v>
      </c>
      <c r="BW123" s="370">
        <v>4766.96</v>
      </c>
      <c r="BX123" s="370">
        <v>4333.6000000000004</v>
      </c>
      <c r="BY123" s="370">
        <v>4333.6000000000004</v>
      </c>
      <c r="BZ123" s="370">
        <v>4550.28</v>
      </c>
      <c r="CA123" s="370">
        <v>4333.6000000000004</v>
      </c>
      <c r="CB123" s="370">
        <v>4501.6000000000004</v>
      </c>
      <c r="CC123" s="370">
        <v>4766.96</v>
      </c>
      <c r="CD123" s="370">
        <v>4766.96</v>
      </c>
      <c r="CE123" s="370">
        <v>4983.6400000000003</v>
      </c>
      <c r="CF123" s="370">
        <v>4435.9399999999996</v>
      </c>
      <c r="CG123" s="370">
        <v>0</v>
      </c>
      <c r="CH123" s="370">
        <v>0</v>
      </c>
      <c r="CI123" s="48" t="s">
        <v>1987</v>
      </c>
      <c r="CJ123" s="48" t="s">
        <v>1990</v>
      </c>
      <c r="CK123" s="48" t="s">
        <v>1991</v>
      </c>
      <c r="CL123" s="48" t="s">
        <v>1990</v>
      </c>
      <c r="CM123" s="48" t="s">
        <v>1990</v>
      </c>
      <c r="CN123" s="48" t="s">
        <v>2014</v>
      </c>
      <c r="CO123" s="48" t="str">
        <f t="shared" si="28"/>
        <v>2.1.3.1.1.15</v>
      </c>
      <c r="CP123" s="48" t="str">
        <f>+VLOOKUP(Tabla1[[#This Row],[ESPECÍFICA]],CLASIFICADOR_,2,0)</f>
        <v>2.1.3.1.1.15 - CONTRIBUCIONES A ESSALUD DE CONTRATO ADMINISTRATIVO DE SERVICIOS</v>
      </c>
      <c r="CQ123" s="48" t="str">
        <f>+VLOOKUP(Tabla1[[#This Row],[ESPECÍFICA]],CLASIFICADOR_,3,0)</f>
        <v>01.CAS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2.1.PERSONAL Y OBLIGACIONES SOCIALES</v>
      </c>
      <c r="CX123" s="48" t="str">
        <f t="shared" si="17"/>
        <v>0009-OTI</v>
      </c>
      <c r="CY123" s="113" t="str">
        <f t="shared" si="18"/>
        <v>0009-OTI</v>
      </c>
      <c r="CZ123" s="20" t="str">
        <f t="shared" si="19"/>
        <v>0009-OTI</v>
      </c>
      <c r="DA123" s="113" t="str">
        <f>+CONCATENATE(Tabla1[[#This Row],[CC COMPLETO]],Tabla1[[#This Row],[ESPECÍFICA]])</f>
        <v>0009-OTI2.1.3.1.1.15</v>
      </c>
      <c r="DB123" s="49">
        <f t="shared" si="20"/>
        <v>45725.85</v>
      </c>
      <c r="DC123" s="49">
        <f t="shared" si="21"/>
        <v>45725.85</v>
      </c>
      <c r="DD123" s="49">
        <f t="shared" si="22"/>
        <v>45725.85</v>
      </c>
      <c r="DE123" s="49">
        <f t="shared" si="23"/>
        <v>13457.720000000001</v>
      </c>
      <c r="DF123" s="49">
        <f t="shared" si="24"/>
        <v>5455.57</v>
      </c>
      <c r="DG123" s="49">
        <f t="shared" si="25"/>
        <v>10570.86</v>
      </c>
      <c r="DH123" s="49">
        <f t="shared" si="26"/>
        <v>29484.15</v>
      </c>
      <c r="DI123" s="50">
        <f t="shared" si="27"/>
        <v>0.58931139808227651</v>
      </c>
      <c r="DJ123" s="78">
        <f>+SUM(Tabla1[[#This Row],[EJECUTADO 01]:[EJECUTADO 06]])</f>
        <v>26819.64</v>
      </c>
      <c r="DK123" s="78">
        <f>+Tabla1[[#This Row],[mto_devenga_01]]</f>
        <v>4766.96</v>
      </c>
      <c r="DL123" s="78">
        <f>+Tabla1[[#This Row],[mto_devenga_02]]</f>
        <v>4333.6000000000004</v>
      </c>
      <c r="DM123" s="78">
        <f>+Tabla1[[#This Row],[mto_devenga_03]]</f>
        <v>4333.6000000000004</v>
      </c>
      <c r="DN123" s="78">
        <f>+Tabla1[[#This Row],[mto_devenga_04]]</f>
        <v>4550.28</v>
      </c>
      <c r="DO123" s="78">
        <f>+Tabla1[[#This Row],[mto_devenga_05]]</f>
        <v>4333.6000000000004</v>
      </c>
      <c r="DP123" s="76">
        <f>+Tabla1[[#This Row],[mto_devenga_06]]</f>
        <v>4501.6000000000004</v>
      </c>
      <c r="DQ123" s="76">
        <f>+Tabla1[[#This Row],[mto_devenga_07]]</f>
        <v>4766.96</v>
      </c>
      <c r="DR123" s="76">
        <f>+Tabla1[[#This Row],[mto_devenga_08]]</f>
        <v>4719.67</v>
      </c>
      <c r="DS123" s="76">
        <f>+Tabla1[[#This Row],[mto_devenga_09]]</f>
        <v>4983.6400000000003</v>
      </c>
      <c r="DT123" s="76">
        <f>IFERROR(VLOOKUP(Tabla1[[#This Row],[COD SE]],PF_OCTUBRE,14,0),"0")</f>
        <v>4983.6400000000003</v>
      </c>
      <c r="DU123" s="76">
        <f>IFERROR(VLOOKUP(Tabla1[[#This Row],[COD SE]],PF_OCTUBRE,15,0),"0")</f>
        <v>4983.6400000000003</v>
      </c>
      <c r="DV123" s="76">
        <f>IFERROR(VLOOKUP(Tabla1[[#This Row],[COD SE]],PF_OCTUBRE,16,0),"0")</f>
        <v>5200.3200000000006</v>
      </c>
      <c r="DW123" s="76">
        <f>+SUM(Tabla1[[#This Row],[EJECUTADO 01]:[PF DICIEMBRE
]])</f>
        <v>56457.509999999995</v>
      </c>
      <c r="DX123" s="76">
        <f>IFERROR(VLOOKUP(Tabla1[[#This Row],[COD SE]],PF_OCTUBRE,18,0),"0")</f>
        <v>0</v>
      </c>
      <c r="DY123" s="76">
        <f>IFERROR(VLOOKUP(Tabla1[[#This Row],[COD SE]],PF_OCTUBRE,19,0),"0")</f>
        <v>18752.490000000002</v>
      </c>
      <c r="DZ123" s="76">
        <f>IFERROR(VLOOKUP(Tabla1[[#This Row],[COD SE]],PF_OCTUBRE,20,0),"0")</f>
        <v>18752.490000000002</v>
      </c>
      <c r="EA123" s="76">
        <f>+Tabla1[[#This Row],[TOTAL EJEC REAL]]+Tabla1[[#This Row],[SALDO FINAL]]</f>
        <v>75210</v>
      </c>
      <c r="EB123" s="76">
        <f>IFERROR(VLOOKUP(Tabla1[[#This Row],[COD SE]],PF_OCTUBRE,22,0),"0")</f>
        <v>23952.81</v>
      </c>
      <c r="EC123" s="76">
        <f>+IFERROR(VLOOKUP(Tabla1[[#This Row],[COD SE]],SALDO_ESC_2,7,0),0)</f>
        <v>0</v>
      </c>
      <c r="ED123" s="76">
        <f>+IFERROR(VLOOKUP(Tabla1[[#This Row],[COD SE]],SALDO_ESC_3,7,0),0)</f>
        <v>18752.490000000002</v>
      </c>
      <c r="EE123" s="76">
        <f>+Tabla1[[#This Row],[mto_pim]]-Tabla1[[#This Row],[TRANSF ESC2 ]]</f>
        <v>75210</v>
      </c>
      <c r="EF123" s="76">
        <f>+Tabla1[[#This Row],[mto_pim]]-Tabla1[[#This Row],[TRANFS ESC 3 ]]</f>
        <v>56457.509999999995</v>
      </c>
      <c r="EG123" s="76">
        <f>+IFERROR(VLOOKUP(Tabla1[[#This Row],[COD SE]],HISTORICO,4,0),0)</f>
        <v>5617.4800000000014</v>
      </c>
      <c r="EH123" s="76">
        <f>+IFERROR(VLOOKUP(Tabla1[[#This Row],[COD SE]],HISTORICO,5,0),0)</f>
        <v>4550.28</v>
      </c>
      <c r="EI123" s="76">
        <f>+IFERROR(VLOOKUP(Tabla1[[#This Row],[COD SE]],HISTORICO,6,0),0)</f>
        <v>4333.5999999999995</v>
      </c>
      <c r="EJ123" s="76">
        <f>+IFERROR(VLOOKUP(Tabla1[[#This Row],[COD SE]],HISTORICO,7,0),0)</f>
        <v>4766.96</v>
      </c>
      <c r="EK123" s="76">
        <f>+IFERROR(VLOOKUP(Tabla1[[#This Row],[COD SE]],HISTORICO,8,0),0)</f>
        <v>4333.5999999999995</v>
      </c>
      <c r="EL123" s="76">
        <f>+IFERROR(VLOOKUP(Tabla1[[#This Row],[COD SE]],HISTORICO,9,0),0)</f>
        <v>3683.559999999999</v>
      </c>
      <c r="EM123" s="76">
        <f>+IFERROR(VLOOKUP(Tabla1[[#This Row],[COD SE]],HISTORICO,10,0),0)</f>
        <v>4983.6400000000003</v>
      </c>
      <c r="EN123" s="76">
        <f>+IFERROR(VLOOKUP(Tabla1[[#This Row],[COD SE]],HISTORICO,11,0),0)</f>
        <v>4766.96</v>
      </c>
      <c r="EO123" s="76">
        <f>+IFERROR(VLOOKUP(Tabla1[[#This Row],[COD SE]],HISTORICO,12,0),0)</f>
        <v>4983.6400000000003</v>
      </c>
      <c r="EP123" s="58">
        <f>+SUM(Tabla1[[#This Row],[EJECUTADO 01]:[EJECUTADO 03]])</f>
        <v>13434.160000000002</v>
      </c>
      <c r="EQ123" s="58">
        <f>+SUM(Tabla1[[#This Row],[EJECUTADO 04]:[EJECUTADO 06]])</f>
        <v>13385.480000000001</v>
      </c>
      <c r="ER123" s="58">
        <f>+SUM(Tabla1[[#This Row],[EJECUTADO 07]:[EJECUTADO 09]])</f>
        <v>14470.27</v>
      </c>
      <c r="ES123" s="58">
        <f>+SUM(Tabla1[[#This Row],[PF OCTUBRE]:[PF DICIEMBRE
]])</f>
        <v>15167.600000000002</v>
      </c>
      <c r="ET123" s="58">
        <f>+SUM(Tabla1[[#This Row],[EJECUTADO 01]:[EJECUTADO 09]])</f>
        <v>41289.909999999996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1704</v>
      </c>
      <c r="AG124" s="369" t="s">
        <v>1705</v>
      </c>
      <c r="AH124" s="369">
        <v>0</v>
      </c>
      <c r="AI124" s="369">
        <v>0</v>
      </c>
      <c r="AJ124" s="369">
        <v>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1991</v>
      </c>
      <c r="CN124" s="48" t="s">
        <v>1990</v>
      </c>
      <c r="CO124" s="48" t="str">
        <f t="shared" si="28"/>
        <v>2.6.3.2.3.1</v>
      </c>
      <c r="CP124" s="48" t="str">
        <f>+VLOOKUP(Tabla1[[#This Row],[ESPECÍFICA]],CLASIFICADOR_,2,0)</f>
        <v>2.6.3.2.3.1 - EQUIPOS COMPUTACIONALES Y PERIFERICOS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7"/>
        <v>0009-OTI</v>
      </c>
      <c r="CY124" s="113" t="str">
        <f t="shared" si="18"/>
        <v>0009-OTI</v>
      </c>
      <c r="CZ124" s="20" t="str">
        <f t="shared" si="19"/>
        <v>0009-OTI</v>
      </c>
      <c r="DA124" s="113" t="str">
        <f>+CONCATENATE(Tabla1[[#This Row],[CC COMPLETO]],Tabla1[[#This Row],[ESPECÍFICA]])</f>
        <v>0009-OTI2.6.3.2.3.1</v>
      </c>
      <c r="DB124" s="49">
        <f t="shared" si="20"/>
        <v>0</v>
      </c>
      <c r="DC124" s="49">
        <f t="shared" si="21"/>
        <v>0</v>
      </c>
      <c r="DD124" s="49">
        <f t="shared" si="22"/>
        <v>0</v>
      </c>
      <c r="DE124" s="49">
        <f t="shared" si="23"/>
        <v>0</v>
      </c>
      <c r="DF124" s="49">
        <f t="shared" si="24"/>
        <v>0</v>
      </c>
      <c r="DG124" s="49">
        <f t="shared" si="25"/>
        <v>0</v>
      </c>
      <c r="DH124" s="49">
        <f t="shared" si="26"/>
        <v>0</v>
      </c>
      <c r="DI124" s="50">
        <f t="shared" si="27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 t="str">
        <f>IFERROR(VLOOKUP(Tabla1[[#This Row],[COD SE]],PF_OCTUBRE,14,0),"0")</f>
        <v>0</v>
      </c>
      <c r="DU124" s="76" t="str">
        <f>IFERROR(VLOOKUP(Tabla1[[#This Row],[COD SE]],PF_OCTUBRE,15,0),"0")</f>
        <v>0</v>
      </c>
      <c r="DV124" s="76" t="str">
        <f>IFERROR(VLOOKUP(Tabla1[[#This Row],[COD SE]],PF_OCTUBRE,16,0),"0")</f>
        <v>0</v>
      </c>
      <c r="DW124" s="76">
        <f>+SUM(Tabla1[[#This Row],[EJECUTADO 01]:[PF DICIEMBRE
]])</f>
        <v>0</v>
      </c>
      <c r="DX124" s="76" t="str">
        <f>IFERROR(VLOOKUP(Tabla1[[#This Row],[COD SE]],PF_OCTUBRE,18,0),"0")</f>
        <v>0</v>
      </c>
      <c r="DY124" s="76" t="str">
        <f>IFERROR(VLOOKUP(Tabla1[[#This Row],[COD SE]],PF_OCTUBRE,19,0),"0")</f>
        <v>0</v>
      </c>
      <c r="DZ124" s="76" t="str">
        <f>IFERROR(VLOOKUP(Tabla1[[#This Row],[COD SE]],PF_OCTUBRE,20,0),"0")</f>
        <v>0</v>
      </c>
      <c r="EA124" s="76">
        <f>+Tabla1[[#This Row],[TOTAL EJEC REAL]]+Tabla1[[#This Row],[SALDO FINAL]]</f>
        <v>0</v>
      </c>
      <c r="EB124" s="76" t="str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0</v>
      </c>
      <c r="EF124" s="76">
        <f>+Tabla1[[#This Row],[mto_pim]]-Tabla1[[#This Row],[TRANFS ESC 3 ]]</f>
        <v>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1985</v>
      </c>
      <c r="AB125" s="369" t="s">
        <v>1986</v>
      </c>
      <c r="AC125" s="369" t="s">
        <v>1643</v>
      </c>
      <c r="AD125" s="369" t="s">
        <v>1702</v>
      </c>
      <c r="AE125" s="369" t="s">
        <v>1703</v>
      </c>
      <c r="AF125" s="369" t="s">
        <v>1704</v>
      </c>
      <c r="AG125" s="369" t="s">
        <v>2043</v>
      </c>
      <c r="AH125" s="369">
        <v>0</v>
      </c>
      <c r="AI125" s="369">
        <v>9485</v>
      </c>
      <c r="AJ125" s="369">
        <v>9485</v>
      </c>
      <c r="AK125" s="370">
        <v>0</v>
      </c>
      <c r="AL125" s="370">
        <v>0</v>
      </c>
      <c r="AM125" s="370">
        <v>0</v>
      </c>
      <c r="AN125" s="370">
        <v>0</v>
      </c>
      <c r="AO125" s="370">
        <v>0</v>
      </c>
      <c r="AP125" s="370">
        <v>0</v>
      </c>
      <c r="AQ125" s="370">
        <v>0</v>
      </c>
      <c r="AR125" s="370">
        <v>0</v>
      </c>
      <c r="AS125" s="370">
        <v>0</v>
      </c>
      <c r="AT125" s="370">
        <v>0</v>
      </c>
      <c r="AU125" s="370">
        <v>0</v>
      </c>
      <c r="AV125" s="370">
        <v>0</v>
      </c>
      <c r="AW125" s="370">
        <v>0</v>
      </c>
      <c r="AX125" s="370">
        <v>0</v>
      </c>
      <c r="AY125" s="370">
        <v>0</v>
      </c>
      <c r="AZ125" s="370">
        <v>0</v>
      </c>
      <c r="BA125" s="370">
        <v>0</v>
      </c>
      <c r="BB125" s="370">
        <v>0</v>
      </c>
      <c r="BC125" s="370">
        <v>0</v>
      </c>
      <c r="BD125" s="370">
        <v>0</v>
      </c>
      <c r="BE125" s="370">
        <v>0</v>
      </c>
      <c r="BF125" s="370">
        <v>0</v>
      </c>
      <c r="BG125" s="370">
        <v>0</v>
      </c>
      <c r="BH125" s="370">
        <v>0</v>
      </c>
      <c r="BI125" s="370">
        <v>0</v>
      </c>
      <c r="BJ125" s="370">
        <v>0</v>
      </c>
      <c r="BK125" s="370">
        <v>0</v>
      </c>
      <c r="BL125" s="370">
        <v>0</v>
      </c>
      <c r="BM125" s="370">
        <v>0</v>
      </c>
      <c r="BN125" s="370">
        <v>0</v>
      </c>
      <c r="BO125" s="370">
        <v>0</v>
      </c>
      <c r="BP125" s="370">
        <v>0</v>
      </c>
      <c r="BQ125" s="370">
        <v>0</v>
      </c>
      <c r="BR125" s="370">
        <v>0</v>
      </c>
      <c r="BS125" s="370">
        <v>0</v>
      </c>
      <c r="BT125" s="370">
        <v>0</v>
      </c>
      <c r="BU125" s="370">
        <v>0</v>
      </c>
      <c r="BV125" s="370">
        <v>0</v>
      </c>
      <c r="BW125" s="370">
        <v>0</v>
      </c>
      <c r="BX125" s="370">
        <v>0</v>
      </c>
      <c r="BY125" s="370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0">
        <v>0</v>
      </c>
      <c r="CF125" s="370">
        <v>0</v>
      </c>
      <c r="CG125" s="370">
        <v>0</v>
      </c>
      <c r="CH125" s="370">
        <v>0</v>
      </c>
      <c r="CI125" s="48" t="s">
        <v>1987</v>
      </c>
      <c r="CJ125" s="48" t="s">
        <v>1988</v>
      </c>
      <c r="CK125" s="48" t="s">
        <v>1991</v>
      </c>
      <c r="CL125" s="48" t="s">
        <v>1987</v>
      </c>
      <c r="CM125" s="48" t="s">
        <v>1991</v>
      </c>
      <c r="CN125" s="48" t="s">
        <v>1991</v>
      </c>
      <c r="CO125" s="48" t="str">
        <f t="shared" si="28"/>
        <v>2.6.3.2.3.3</v>
      </c>
      <c r="CP125" s="48" t="str">
        <f>+VLOOKUP(Tabla1[[#This Row],[ESPECÍFICA]],CLASIFICADOR_,2,0)</f>
        <v>2.6.3.2.3.3 - EQUIPOS DE TELECOMUNICACIONES</v>
      </c>
      <c r="CQ125" s="48" t="str">
        <f>+VLOOKUP(Tabla1[[#This Row],[ESPECÍFICA]],CLASIFICADOR_,3,0)</f>
        <v>2.6.3.2 - ADQUISICION DE MAQUINARIAS, EQUIPO Y MOBILIARIO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2.6.ADQUISICION DE ACTIVOS NO FINANCIEROS</v>
      </c>
      <c r="CX125" s="48" t="str">
        <f t="shared" si="17"/>
        <v>0009-OTI</v>
      </c>
      <c r="CY125" s="113" t="str">
        <f t="shared" si="18"/>
        <v>0009-OTI</v>
      </c>
      <c r="CZ125" s="20" t="str">
        <f t="shared" si="19"/>
        <v>0009-OTI</v>
      </c>
      <c r="DA125" s="113" t="str">
        <f>+CONCATENATE(Tabla1[[#This Row],[CC COMPLETO]],Tabla1[[#This Row],[ESPECÍFICA]])</f>
        <v>0009-OTI2.6.3.2.3.3</v>
      </c>
      <c r="DB125" s="49">
        <f t="shared" si="20"/>
        <v>0</v>
      </c>
      <c r="DC125" s="49">
        <f t="shared" si="21"/>
        <v>0</v>
      </c>
      <c r="DD125" s="49">
        <f t="shared" si="22"/>
        <v>0</v>
      </c>
      <c r="DE125" s="49">
        <f t="shared" si="23"/>
        <v>9485</v>
      </c>
      <c r="DF125" s="49">
        <f t="shared" si="24"/>
        <v>0</v>
      </c>
      <c r="DG125" s="49">
        <f t="shared" si="25"/>
        <v>0</v>
      </c>
      <c r="DH125" s="49">
        <f t="shared" si="26"/>
        <v>9485</v>
      </c>
      <c r="DI125" s="50">
        <f t="shared" si="27"/>
        <v>0</v>
      </c>
      <c r="DJ125" s="78">
        <f>+SUM(Tabla1[[#This Row],[EJECUTADO 01]:[EJECUTADO 06]])</f>
        <v>0</v>
      </c>
      <c r="DK125" s="78">
        <f>+Tabla1[[#This Row],[mto_devenga_01]]</f>
        <v>0</v>
      </c>
      <c r="DL125" s="78">
        <f>+Tabla1[[#This Row],[mto_devenga_02]]</f>
        <v>0</v>
      </c>
      <c r="DM125" s="78">
        <f>+Tabla1[[#This Row],[mto_devenga_03]]</f>
        <v>0</v>
      </c>
      <c r="DN125" s="78">
        <f>+Tabla1[[#This Row],[mto_devenga_04]]</f>
        <v>0</v>
      </c>
      <c r="DO125" s="78">
        <f>+Tabla1[[#This Row],[mto_devenga_05]]</f>
        <v>0</v>
      </c>
      <c r="DP125" s="76">
        <f>+Tabla1[[#This Row],[mto_devenga_06]]</f>
        <v>0</v>
      </c>
      <c r="DQ125" s="76">
        <f>+Tabla1[[#This Row],[mto_devenga_07]]</f>
        <v>0</v>
      </c>
      <c r="DR125" s="76">
        <f>+Tabla1[[#This Row],[mto_devenga_08]]</f>
        <v>0</v>
      </c>
      <c r="DS125" s="76">
        <f>+Tabla1[[#This Row],[mto_devenga_09]]</f>
        <v>0</v>
      </c>
      <c r="DT125" s="76">
        <f>IFERROR(VLOOKUP(Tabla1[[#This Row],[COD SE]],PF_OCTUBRE,14,0),"0")</f>
        <v>6000</v>
      </c>
      <c r="DU125" s="76">
        <f>IFERROR(VLOOKUP(Tabla1[[#This Row],[COD SE]],PF_OCTUBRE,15,0),"0")</f>
        <v>3485</v>
      </c>
      <c r="DV125" s="76">
        <f>IFERROR(VLOOKUP(Tabla1[[#This Row],[COD SE]],PF_OCTUBRE,16,0),"0")</f>
        <v>0</v>
      </c>
      <c r="DW125" s="76">
        <f>+SUM(Tabla1[[#This Row],[EJECUTADO 01]:[PF DICIEMBRE
]])</f>
        <v>9485</v>
      </c>
      <c r="DX125" s="76">
        <f>IFERROR(VLOOKUP(Tabla1[[#This Row],[COD SE]],PF_OCTUBRE,18,0),"0")</f>
        <v>0</v>
      </c>
      <c r="DY125" s="76">
        <f>IFERROR(VLOOKUP(Tabla1[[#This Row],[COD SE]],PF_OCTUBRE,19,0),"0")</f>
        <v>0</v>
      </c>
      <c r="DZ125" s="76">
        <f>IFERROR(VLOOKUP(Tabla1[[#This Row],[COD SE]],PF_OCTUBRE,20,0),"0")</f>
        <v>0</v>
      </c>
      <c r="EA125" s="76">
        <f>+Tabla1[[#This Row],[TOTAL EJEC REAL]]+Tabla1[[#This Row],[SALDO FINAL]]</f>
        <v>9485</v>
      </c>
      <c r="EB125" s="76">
        <f>IFERROR(VLOOKUP(Tabla1[[#This Row],[COD SE]],PF_OCTUBRE,22,0),"0")</f>
        <v>0</v>
      </c>
      <c r="EC125" s="76">
        <f>+IFERROR(VLOOKUP(Tabla1[[#This Row],[COD SE]],SALDO_ESC_2,7,0),0)</f>
        <v>0</v>
      </c>
      <c r="ED125" s="76">
        <f>+IFERROR(VLOOKUP(Tabla1[[#This Row],[COD SE]],SALDO_ESC_3,7,0),0)</f>
        <v>0</v>
      </c>
      <c r="EE125" s="76">
        <f>+Tabla1[[#This Row],[mto_pim]]-Tabla1[[#This Row],[TRANSF ESC2 ]]</f>
        <v>9485</v>
      </c>
      <c r="EF125" s="76">
        <f>+Tabla1[[#This Row],[mto_pim]]-Tabla1[[#This Row],[TRANFS ESC 3 ]]</f>
        <v>9485</v>
      </c>
      <c r="EG125" s="76">
        <f>+IFERROR(VLOOKUP(Tabla1[[#This Row],[COD SE]],HISTORICO,4,0),0)</f>
        <v>0</v>
      </c>
      <c r="EH125" s="76">
        <f>+IFERROR(VLOOKUP(Tabla1[[#This Row],[COD SE]],HISTORICO,5,0),0)</f>
        <v>0</v>
      </c>
      <c r="EI125" s="76">
        <f>+IFERROR(VLOOKUP(Tabla1[[#This Row],[COD SE]],HISTORICO,6,0),0)</f>
        <v>0</v>
      </c>
      <c r="EJ125" s="76">
        <f>+IFERROR(VLOOKUP(Tabla1[[#This Row],[COD SE]],HISTORICO,7,0),0)</f>
        <v>0</v>
      </c>
      <c r="EK125" s="76">
        <f>+IFERROR(VLOOKUP(Tabla1[[#This Row],[COD SE]],HISTORICO,8,0),0)</f>
        <v>0</v>
      </c>
      <c r="EL125" s="76">
        <f>+IFERROR(VLOOKUP(Tabla1[[#This Row],[COD SE]],HISTORICO,9,0),0)</f>
        <v>0</v>
      </c>
      <c r="EM125" s="76">
        <f>+IFERROR(VLOOKUP(Tabla1[[#This Row],[COD SE]],HISTORICO,10,0),0)</f>
        <v>0</v>
      </c>
      <c r="EN125" s="76">
        <f>+IFERROR(VLOOKUP(Tabla1[[#This Row],[COD SE]],HISTORICO,11,0),0)</f>
        <v>0</v>
      </c>
      <c r="EO125" s="76">
        <f>+IFERROR(VLOOKUP(Tabla1[[#This Row],[COD SE]],HISTORICO,12,0),0)</f>
        <v>0</v>
      </c>
      <c r="EP125" s="58">
        <f>+SUM(Tabla1[[#This Row],[EJECUTADO 01]:[EJECUTADO 03]])</f>
        <v>0</v>
      </c>
      <c r="EQ125" s="58">
        <f>+SUM(Tabla1[[#This Row],[EJECUTADO 04]:[EJECUTADO 06]])</f>
        <v>0</v>
      </c>
      <c r="ER125" s="58">
        <f>+SUM(Tabla1[[#This Row],[EJECUTADO 07]:[EJECUTADO 09]])</f>
        <v>0</v>
      </c>
      <c r="ES125" s="58">
        <f>+SUM(Tabla1[[#This Row],[PF OCTUBRE]:[PF DICIEMBRE
]])</f>
        <v>9485</v>
      </c>
      <c r="ET125" s="58">
        <f>+SUM(Tabla1[[#This Row],[EJECUTADO 01]:[EJECUTADO 09]])</f>
        <v>0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1673</v>
      </c>
      <c r="AE126" s="369" t="s">
        <v>1688</v>
      </c>
      <c r="AF126" s="369" t="s">
        <v>1731</v>
      </c>
      <c r="AG126" s="369" t="s">
        <v>1733</v>
      </c>
      <c r="AH126" s="369">
        <v>50000</v>
      </c>
      <c r="AI126" s="369">
        <v>17361</v>
      </c>
      <c r="AJ126" s="369">
        <v>67361</v>
      </c>
      <c r="AK126" s="370">
        <v>67360.009999999995</v>
      </c>
      <c r="AL126" s="370">
        <v>67360.009999999995</v>
      </c>
      <c r="AM126" s="370">
        <v>21110.01</v>
      </c>
      <c r="AN126" s="370">
        <v>0</v>
      </c>
      <c r="AO126" s="370">
        <v>26250</v>
      </c>
      <c r="AP126" s="370">
        <v>0</v>
      </c>
      <c r="AQ126" s="370">
        <v>0</v>
      </c>
      <c r="AR126" s="370">
        <v>0</v>
      </c>
      <c r="AS126" s="370">
        <v>12000</v>
      </c>
      <c r="AT126" s="370">
        <v>0</v>
      </c>
      <c r="AU126" s="370">
        <v>0</v>
      </c>
      <c r="AV126" s="370">
        <v>8000</v>
      </c>
      <c r="AW126" s="370">
        <v>0</v>
      </c>
      <c r="AX126" s="370">
        <v>0</v>
      </c>
      <c r="AY126" s="370">
        <v>0</v>
      </c>
      <c r="AZ126" s="370">
        <v>14073.34</v>
      </c>
      <c r="BA126" s="370">
        <v>7036.67</v>
      </c>
      <c r="BB126" s="370">
        <v>0</v>
      </c>
      <c r="BC126" s="370">
        <v>7036.67</v>
      </c>
      <c r="BD126" s="370">
        <v>-1203.33</v>
      </c>
      <c r="BE126" s="370">
        <v>2916.67</v>
      </c>
      <c r="BF126" s="370">
        <v>2916.67</v>
      </c>
      <c r="BG126" s="370">
        <v>10916.67</v>
      </c>
      <c r="BH126" s="370">
        <v>5833.34</v>
      </c>
      <c r="BI126" s="370">
        <v>0</v>
      </c>
      <c r="BJ126" s="370">
        <v>0</v>
      </c>
      <c r="BK126" s="370">
        <v>0</v>
      </c>
      <c r="BL126" s="370">
        <v>14073.34</v>
      </c>
      <c r="BM126" s="370">
        <v>7036.67</v>
      </c>
      <c r="BN126" s="370">
        <v>0</v>
      </c>
      <c r="BO126" s="370">
        <v>7036.67</v>
      </c>
      <c r="BP126" s="370">
        <v>-1203.33</v>
      </c>
      <c r="BQ126" s="370">
        <v>2916.67</v>
      </c>
      <c r="BR126" s="370">
        <v>2916.67</v>
      </c>
      <c r="BS126" s="370">
        <v>10916.67</v>
      </c>
      <c r="BT126" s="370">
        <v>0</v>
      </c>
      <c r="BU126" s="370">
        <v>0</v>
      </c>
      <c r="BV126" s="370">
        <v>0</v>
      </c>
      <c r="BW126" s="370">
        <v>21110.01</v>
      </c>
      <c r="BX126" s="370">
        <v>0</v>
      </c>
      <c r="BY126" s="370">
        <v>18703.349999999999</v>
      </c>
      <c r="BZ126" s="370">
        <v>0</v>
      </c>
      <c r="CA126" s="370">
        <v>0</v>
      </c>
      <c r="CB126" s="370">
        <v>0</v>
      </c>
      <c r="CC126" s="370">
        <v>8000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1987</v>
      </c>
      <c r="CL126" s="48" t="s">
        <v>1987</v>
      </c>
      <c r="CM126" s="48" t="s">
        <v>1987</v>
      </c>
      <c r="CN126" s="48" t="s">
        <v>1987</v>
      </c>
      <c r="CO126" s="48" t="str">
        <f t="shared" si="28"/>
        <v>2.3.2.2.2.2</v>
      </c>
      <c r="CP126" s="48" t="str">
        <f>+VLOOKUP(Tabla1[[#This Row],[ESPECÍFICA]],CLASIFICADOR_,2,0)</f>
        <v>2.3.2.2.2.2 - SERVICIO DE TELEFONIA FIJA</v>
      </c>
      <c r="CQ126" s="48" t="str">
        <f>+VLOOKUP(Tabla1[[#This Row],[ESPECÍFICA]],CLASIFICADOR_,3,0)</f>
        <v>2.3.2.2 - SERVICIOS BASICOS, COMUNICACIONES, PUBLICIDAD Y DIFUSION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Partidas restringidas</v>
      </c>
      <c r="CU126" s="48">
        <f>+VLOOKUP(Tabla1[[#This Row],[ESPECÍFICA]],CLASIFICADOR_,7,0)</f>
        <v>9.6999999999999993</v>
      </c>
      <c r="CV126" s="48">
        <f>+VLOOKUP(Tabla1[[#This Row],[ESPECÍFICA]],CLASIFICADOR_,8,0)</f>
        <v>5</v>
      </c>
      <c r="CW126" s="113" t="str">
        <f>+CONCATENATE("2.",Tabla1[[#This Row],[generica]])</f>
        <v>2.3.BIENES Y SERVICIOS</v>
      </c>
      <c r="CX126" s="48" t="str">
        <f t="shared" si="17"/>
        <v>0009-OTI</v>
      </c>
      <c r="CY126" s="113" t="str">
        <f t="shared" si="18"/>
        <v>0009-OTI</v>
      </c>
      <c r="CZ126" s="20" t="str">
        <f t="shared" si="19"/>
        <v>0009-OTI</v>
      </c>
      <c r="DA126" s="113" t="str">
        <f>+CONCATENATE(Tabla1[[#This Row],[CC COMPLETO]],Tabla1[[#This Row],[ESPECÍFICA]])</f>
        <v>0009-OTI2.3.2.2.2.2</v>
      </c>
      <c r="DB126" s="49">
        <f t="shared" si="20"/>
        <v>67360.009999999995</v>
      </c>
      <c r="DC126" s="49">
        <f t="shared" si="21"/>
        <v>49526.7</v>
      </c>
      <c r="DD126" s="49">
        <f t="shared" si="22"/>
        <v>43693.359999999993</v>
      </c>
      <c r="DE126" s="49">
        <f t="shared" si="23"/>
        <v>0.99000000000523869</v>
      </c>
      <c r="DF126" s="49">
        <f t="shared" si="24"/>
        <v>0</v>
      </c>
      <c r="DG126" s="49">
        <f t="shared" si="25"/>
        <v>17833.309999999998</v>
      </c>
      <c r="DH126" s="49">
        <f t="shared" si="26"/>
        <v>17834.300000000003</v>
      </c>
      <c r="DI126" s="50">
        <f t="shared" si="27"/>
        <v>0.99053399999999991</v>
      </c>
      <c r="DJ126" s="78">
        <f>+SUM(Tabla1[[#This Row],[EJECUTADO 01]:[EJECUTADO 06]])</f>
        <v>26943.35</v>
      </c>
      <c r="DK126" s="78">
        <f>+Tabla1[[#This Row],[mto_devenga_01]]</f>
        <v>0</v>
      </c>
      <c r="DL126" s="78">
        <f>+Tabla1[[#This Row],[mto_devenga_02]]</f>
        <v>14073.34</v>
      </c>
      <c r="DM126" s="78">
        <f>+Tabla1[[#This Row],[mto_devenga_03]]</f>
        <v>7036.67</v>
      </c>
      <c r="DN126" s="78">
        <f>+Tabla1[[#This Row],[mto_devenga_04]]</f>
        <v>0</v>
      </c>
      <c r="DO126" s="78">
        <f>+Tabla1[[#This Row],[mto_devenga_05]]</f>
        <v>7036.67</v>
      </c>
      <c r="DP126" s="76">
        <f>+Tabla1[[#This Row],[mto_devenga_06]]</f>
        <v>-1203.33</v>
      </c>
      <c r="DQ126" s="76">
        <f>+Tabla1[[#This Row],[mto_devenga_07]]</f>
        <v>2916.67</v>
      </c>
      <c r="DR126" s="76">
        <f>+Tabla1[[#This Row],[mto_devenga_08]]</f>
        <v>2916.67</v>
      </c>
      <c r="DS126" s="76">
        <f>+Tabla1[[#This Row],[mto_devenga_09]]</f>
        <v>10916.67</v>
      </c>
      <c r="DT126" s="76">
        <f>IFERROR(VLOOKUP(Tabla1[[#This Row],[COD SE]],PF_OCTUBRE,14,0),"0")</f>
        <v>6916.67</v>
      </c>
      <c r="DU126" s="76">
        <f>IFERROR(VLOOKUP(Tabla1[[#This Row],[COD SE]],PF_OCTUBRE,15,0),"0")</f>
        <v>6916.67</v>
      </c>
      <c r="DV126" s="76">
        <f>IFERROR(VLOOKUP(Tabla1[[#This Row],[COD SE]],PF_OCTUBRE,16,0),"0")</f>
        <v>9833.3100000000013</v>
      </c>
      <c r="DW126" s="76">
        <f>+SUM(Tabla1[[#This Row],[EJECUTADO 01]:[PF DICIEMBRE
]])</f>
        <v>67360.009999999995</v>
      </c>
      <c r="DX126" s="76">
        <f>IFERROR(VLOOKUP(Tabla1[[#This Row],[COD SE]],PF_OCTUBRE,18,0),"0")</f>
        <v>0</v>
      </c>
      <c r="DY126" s="76">
        <f>IFERROR(VLOOKUP(Tabla1[[#This Row],[COD SE]],PF_OCTUBRE,19,0),"0")</f>
        <v>0.99</v>
      </c>
      <c r="DZ126" s="76">
        <f>IFERROR(VLOOKUP(Tabla1[[#This Row],[COD SE]],PF_OCTUBRE,20,0),"0")</f>
        <v>0.99</v>
      </c>
      <c r="EA126" s="76">
        <f>+Tabla1[[#This Row],[TOTAL EJEC REAL]]+Tabla1[[#This Row],[SALDO FINAL]]</f>
        <v>67361</v>
      </c>
      <c r="EB126" s="76">
        <f>IFERROR(VLOOKUP(Tabla1[[#This Row],[COD SE]],PF_OCTUBRE,22,0),"0")</f>
        <v>9834.2999999999993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67361</v>
      </c>
      <c r="EF126" s="76">
        <f>+Tabla1[[#This Row],[mto_pim]]-Tabla1[[#This Row],[TRANFS ESC 3 ]]</f>
        <v>67361</v>
      </c>
      <c r="EG126" s="76">
        <f>+IFERROR(VLOOKUP(Tabla1[[#This Row],[COD SE]],HISTORICO,4,0),0)</f>
        <v>5000</v>
      </c>
      <c r="EH126" s="76">
        <f>+IFERROR(VLOOKUP(Tabla1[[#This Row],[COD SE]],HISTORICO,5,0),0)</f>
        <v>7036.67</v>
      </c>
      <c r="EI126" s="76">
        <f>+IFERROR(VLOOKUP(Tabla1[[#This Row],[COD SE]],HISTORICO,6,0),0)</f>
        <v>7037.66</v>
      </c>
      <c r="EJ126" s="76">
        <f>+IFERROR(VLOOKUP(Tabla1[[#This Row],[COD SE]],HISTORICO,7,0),0)</f>
        <v>6000</v>
      </c>
      <c r="EK126" s="76">
        <f>+IFERROR(VLOOKUP(Tabla1[[#This Row],[COD SE]],HISTORICO,8,0),0)</f>
        <v>6000</v>
      </c>
      <c r="EL126" s="76">
        <f>+IFERROR(VLOOKUP(Tabla1[[#This Row],[COD SE]],HISTORICO,9,0),0)</f>
        <v>2916.67</v>
      </c>
      <c r="EM126" s="76">
        <f>+IFERROR(VLOOKUP(Tabla1[[#This Row],[COD SE]],HISTORICO,10,0),0)</f>
        <v>2916.67</v>
      </c>
      <c r="EN126" s="76">
        <f>+IFERROR(VLOOKUP(Tabla1[[#This Row],[COD SE]],HISTORICO,11,0),0)</f>
        <v>6916.67</v>
      </c>
      <c r="EO126" s="76">
        <f>+IFERROR(VLOOKUP(Tabla1[[#This Row],[COD SE]],HISTORICO,12,0),0)</f>
        <v>6916.67</v>
      </c>
      <c r="EP126" s="58">
        <f>+SUM(Tabla1[[#This Row],[EJECUTADO 01]:[EJECUTADO 03]])</f>
        <v>21110.010000000002</v>
      </c>
      <c r="EQ126" s="58">
        <f>+SUM(Tabla1[[#This Row],[EJECUTADO 04]:[EJECUTADO 06]])</f>
        <v>5833.34</v>
      </c>
      <c r="ER126" s="58">
        <f>+SUM(Tabla1[[#This Row],[EJECUTADO 07]:[EJECUTADO 09]])</f>
        <v>16750.010000000002</v>
      </c>
      <c r="ES126" s="58">
        <f>+SUM(Tabla1[[#This Row],[PF OCTUBRE]:[PF DICIEMBRE
]])</f>
        <v>23666.65</v>
      </c>
      <c r="ET126" s="58">
        <f>+SUM(Tabla1[[#This Row],[EJECUTADO 01]:[EJECUTADO 09]])</f>
        <v>43693.359999999993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1673</v>
      </c>
      <c r="AE127" s="369" t="s">
        <v>1688</v>
      </c>
      <c r="AF127" s="369" t="s">
        <v>1725</v>
      </c>
      <c r="AG127" s="369" t="s">
        <v>1735</v>
      </c>
      <c r="AH127" s="369">
        <v>1000000</v>
      </c>
      <c r="AI127" s="369">
        <v>23278</v>
      </c>
      <c r="AJ127" s="369">
        <v>1023278</v>
      </c>
      <c r="AK127" s="370">
        <v>972186.15</v>
      </c>
      <c r="AL127" s="370">
        <v>972186.15</v>
      </c>
      <c r="AM127" s="370">
        <v>372921.2</v>
      </c>
      <c r="AN127" s="370">
        <v>0</v>
      </c>
      <c r="AO127" s="370">
        <v>0</v>
      </c>
      <c r="AP127" s="370">
        <v>0</v>
      </c>
      <c r="AQ127" s="370">
        <v>242026.63</v>
      </c>
      <c r="AR127" s="370">
        <v>0</v>
      </c>
      <c r="AS127" s="370">
        <v>0</v>
      </c>
      <c r="AT127" s="370">
        <v>357238.32</v>
      </c>
      <c r="AU127" s="370">
        <v>0</v>
      </c>
      <c r="AV127" s="370">
        <v>0</v>
      </c>
      <c r="AW127" s="370">
        <v>0</v>
      </c>
      <c r="AX127" s="370">
        <v>0</v>
      </c>
      <c r="AY127" s="370">
        <v>0</v>
      </c>
      <c r="AZ127" s="370">
        <v>72931.3</v>
      </c>
      <c r="BA127" s="370">
        <v>73985.490000000005</v>
      </c>
      <c r="BB127" s="370">
        <v>69571.77</v>
      </c>
      <c r="BC127" s="370">
        <v>156432.64000000001</v>
      </c>
      <c r="BD127" s="370">
        <v>77214.570000000007</v>
      </c>
      <c r="BE127" s="370">
        <v>79083.41</v>
      </c>
      <c r="BF127" s="370">
        <v>0</v>
      </c>
      <c r="BG127" s="370">
        <v>85728.65</v>
      </c>
      <c r="BH127" s="370">
        <v>0</v>
      </c>
      <c r="BI127" s="370">
        <v>0</v>
      </c>
      <c r="BJ127" s="370">
        <v>0</v>
      </c>
      <c r="BK127" s="370">
        <v>0</v>
      </c>
      <c r="BL127" s="370">
        <v>72931.3</v>
      </c>
      <c r="BM127" s="370">
        <v>73985.490000000005</v>
      </c>
      <c r="BN127" s="370">
        <v>69571.77</v>
      </c>
      <c r="BO127" s="370">
        <v>156432.64000000001</v>
      </c>
      <c r="BP127" s="370">
        <v>0</v>
      </c>
      <c r="BQ127" s="370">
        <v>156297.98000000001</v>
      </c>
      <c r="BR127" s="370">
        <v>0</v>
      </c>
      <c r="BS127" s="370">
        <v>85728.65</v>
      </c>
      <c r="BT127" s="370">
        <v>0</v>
      </c>
      <c r="BU127" s="370">
        <v>0</v>
      </c>
      <c r="BV127" s="370">
        <v>0</v>
      </c>
      <c r="BW127" s="370">
        <v>372921.2</v>
      </c>
      <c r="BX127" s="370">
        <v>0</v>
      </c>
      <c r="BY127" s="370">
        <v>0</v>
      </c>
      <c r="BZ127" s="370">
        <v>0</v>
      </c>
      <c r="CA127" s="370">
        <v>242026.63</v>
      </c>
      <c r="CB127" s="370">
        <v>0</v>
      </c>
      <c r="CC127" s="370">
        <v>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1987</v>
      </c>
      <c r="CL127" s="48" t="s">
        <v>1987</v>
      </c>
      <c r="CM127" s="48" t="s">
        <v>1991</v>
      </c>
      <c r="CN127" s="48" t="s">
        <v>1998</v>
      </c>
      <c r="CO127" s="48" t="str">
        <f t="shared" si="28"/>
        <v>2.3.2.2.3.99</v>
      </c>
      <c r="CP127" s="48" t="str">
        <f>+VLOOKUP(Tabla1[[#This Row],[ESPECÍFICA]],CLASIFICADOR_,2,0)</f>
        <v>2.3.2.2.3.99 - OTROS SERVICIOS DE COMUNICACION</v>
      </c>
      <c r="CQ127" s="48" t="str">
        <f>+VLOOKUP(Tabla1[[#This Row],[ESPECÍFICA]],CLASIFICADOR_,3,0)</f>
        <v>2.3.2.2 - SERVICIOS BASICOS, COMUNICACIONES, PUBLICIDAD Y DIFUSION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N/R</v>
      </c>
      <c r="CU127" s="48" t="str">
        <f>+VLOOKUP(Tabla1[[#This Row],[ESPECÍFICA]],CLASIFICADOR_,7,0)</f>
        <v>N/R</v>
      </c>
      <c r="CV127" s="48">
        <f>+VLOOKUP(Tabla1[[#This Row],[ESPECÍFICA]],CLASIFICADOR_,8,0)</f>
        <v>0</v>
      </c>
      <c r="CW127" s="113" t="str">
        <f>+CONCATENATE("2.",Tabla1[[#This Row],[generica]])</f>
        <v>2.3.BIENES Y SERVICIOS</v>
      </c>
      <c r="CX127" s="48" t="str">
        <f t="shared" si="17"/>
        <v>0009-OTI</v>
      </c>
      <c r="CY127" s="113" t="str">
        <f t="shared" si="18"/>
        <v>0009-OTI</v>
      </c>
      <c r="CZ127" s="20" t="str">
        <f t="shared" si="19"/>
        <v>0009-OTI</v>
      </c>
      <c r="DA127" s="113" t="str">
        <f>+CONCATENATE(Tabla1[[#This Row],[CC COMPLETO]],Tabla1[[#This Row],[ESPECÍFICA]])</f>
        <v>0009-OTI2.3.2.2.3.99</v>
      </c>
      <c r="DB127" s="49">
        <f t="shared" si="20"/>
        <v>972186.15000000014</v>
      </c>
      <c r="DC127" s="49">
        <f t="shared" si="21"/>
        <v>614947.83000000007</v>
      </c>
      <c r="DD127" s="49">
        <f t="shared" si="22"/>
        <v>614947.83000000007</v>
      </c>
      <c r="DE127" s="49">
        <f t="shared" si="23"/>
        <v>51091.849999999977</v>
      </c>
      <c r="DF127" s="49">
        <f t="shared" si="24"/>
        <v>0</v>
      </c>
      <c r="DG127" s="49">
        <f t="shared" si="25"/>
        <v>357238.31999999995</v>
      </c>
      <c r="DH127" s="49">
        <f t="shared" si="26"/>
        <v>408330.16999999993</v>
      </c>
      <c r="DI127" s="50">
        <f t="shared" si="27"/>
        <v>0.61494783000000008</v>
      </c>
      <c r="DJ127" s="78">
        <f>+SUM(Tabla1[[#This Row],[EJECUTADO 01]:[EJECUTADO 06]])</f>
        <v>450135.77</v>
      </c>
      <c r="DK127" s="78">
        <f>+Tabla1[[#This Row],[mto_devenga_01]]</f>
        <v>0</v>
      </c>
      <c r="DL127" s="78">
        <f>+Tabla1[[#This Row],[mto_devenga_02]]</f>
        <v>72931.3</v>
      </c>
      <c r="DM127" s="78">
        <f>+Tabla1[[#This Row],[mto_devenga_03]]</f>
        <v>73985.490000000005</v>
      </c>
      <c r="DN127" s="78">
        <f>+Tabla1[[#This Row],[mto_devenga_04]]</f>
        <v>69571.77</v>
      </c>
      <c r="DO127" s="78">
        <f>+Tabla1[[#This Row],[mto_devenga_05]]</f>
        <v>156432.64000000001</v>
      </c>
      <c r="DP127" s="76">
        <f>+Tabla1[[#This Row],[mto_devenga_06]]</f>
        <v>77214.570000000007</v>
      </c>
      <c r="DQ127" s="76">
        <f>+Tabla1[[#This Row],[mto_devenga_07]]</f>
        <v>79083.41</v>
      </c>
      <c r="DR127" s="76">
        <f>+Tabla1[[#This Row],[mto_devenga_08]]</f>
        <v>0</v>
      </c>
      <c r="DS127" s="76">
        <f>+Tabla1[[#This Row],[mto_devenga_09]]</f>
        <v>85728.65</v>
      </c>
      <c r="DT127" s="76">
        <f>IFERROR(VLOOKUP(Tabla1[[#This Row],[COD SE]],PF_OCTUBRE,14,0),"0")</f>
        <v>152337.67000000001</v>
      </c>
      <c r="DU127" s="76">
        <f>IFERROR(VLOOKUP(Tabla1[[#This Row],[COD SE]],PF_OCTUBRE,15,0),"0")</f>
        <v>80000</v>
      </c>
      <c r="DV127" s="76">
        <f>IFERROR(VLOOKUP(Tabla1[[#This Row],[COD SE]],PF_OCTUBRE,16,0),"0")</f>
        <v>246296.5</v>
      </c>
      <c r="DW127" s="76">
        <f>+SUM(Tabla1[[#This Row],[EJECUTADO 01]:[PF DICIEMBRE
]])</f>
        <v>1093582</v>
      </c>
      <c r="DX127" s="76">
        <f>IFERROR(VLOOKUP(Tabla1[[#This Row],[COD SE]],PF_OCTUBRE,18,0),"0")</f>
        <v>0</v>
      </c>
      <c r="DY127" s="76">
        <f>IFERROR(VLOOKUP(Tabla1[[#This Row],[COD SE]],PF_OCTUBRE,19,0),"0")</f>
        <v>0</v>
      </c>
      <c r="DZ127" s="76">
        <f>IFERROR(VLOOKUP(Tabla1[[#This Row],[COD SE]],PF_OCTUBRE,20,0),"0")</f>
        <v>0</v>
      </c>
      <c r="EA127" s="76">
        <f>+Tabla1[[#This Row],[TOTAL EJEC REAL]]+Tabla1[[#This Row],[SALDO FINAL]]</f>
        <v>1093582</v>
      </c>
      <c r="EB127" s="76">
        <f>IFERROR(VLOOKUP(Tabla1[[#This Row],[COD SE]],PF_OCTUBRE,22,0),"0")</f>
        <v>246296.5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1023278</v>
      </c>
      <c r="EF127" s="76">
        <f>+Tabla1[[#This Row],[mto_pim]]-Tabla1[[#This Row],[TRANFS ESC 3 ]]</f>
        <v>1023278</v>
      </c>
      <c r="EG127" s="76">
        <f>+IFERROR(VLOOKUP(Tabla1[[#This Row],[COD SE]],HISTORICO,4,0),0)</f>
        <v>123200</v>
      </c>
      <c r="EH127" s="76">
        <f>+IFERROR(VLOOKUP(Tabla1[[#This Row],[COD SE]],HISTORICO,5,0),0)</f>
        <v>72931.3</v>
      </c>
      <c r="EI127" s="76">
        <f>+IFERROR(VLOOKUP(Tabla1[[#This Row],[COD SE]],HISTORICO,6,0),0)</f>
        <v>73200</v>
      </c>
      <c r="EJ127" s="76">
        <f>+IFERROR(VLOOKUP(Tabla1[[#This Row],[COD SE]],HISTORICO,7,0),0)</f>
        <v>73200</v>
      </c>
      <c r="EK127" s="76">
        <f>+IFERROR(VLOOKUP(Tabla1[[#This Row],[COD SE]],HISTORICO,8,0),0)</f>
        <v>139811.25</v>
      </c>
      <c r="EL127" s="76">
        <f>+IFERROR(VLOOKUP(Tabla1[[#This Row],[COD SE]],HISTORICO,9,0),0)</f>
        <v>79000</v>
      </c>
      <c r="EM127" s="76">
        <f>+IFERROR(VLOOKUP(Tabla1[[#This Row],[COD SE]],HISTORICO,10,0),0)</f>
        <v>79000</v>
      </c>
      <c r="EN127" s="76">
        <f>+IFERROR(VLOOKUP(Tabla1[[#This Row],[COD SE]],HISTORICO,11,0),0)</f>
        <v>79000</v>
      </c>
      <c r="EO127" s="76">
        <f>+IFERROR(VLOOKUP(Tabla1[[#This Row],[COD SE]],HISTORICO,12,0),0)</f>
        <v>175038.22999999998</v>
      </c>
      <c r="EP127" s="58">
        <f>+SUM(Tabla1[[#This Row],[EJECUTADO 01]:[EJECUTADO 03]])</f>
        <v>146916.79</v>
      </c>
      <c r="EQ127" s="58">
        <f>+SUM(Tabla1[[#This Row],[EJECUTADO 04]:[EJECUTADO 06]])</f>
        <v>303218.98000000004</v>
      </c>
      <c r="ER127" s="58">
        <f>+SUM(Tabla1[[#This Row],[EJECUTADO 07]:[EJECUTADO 09]])</f>
        <v>164812.06</v>
      </c>
      <c r="ES127" s="58">
        <f>+SUM(Tabla1[[#This Row],[PF OCTUBRE]:[PF DICIEMBRE
]])</f>
        <v>478634.17000000004</v>
      </c>
      <c r="ET127" s="58">
        <f>+SUM(Tabla1[[#This Row],[EJECUTADO 01]:[EJECUTADO 09]])</f>
        <v>614947.83000000007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2004</v>
      </c>
      <c r="AB128" s="369" t="s">
        <v>1986</v>
      </c>
      <c r="AC128" s="369" t="s">
        <v>1672</v>
      </c>
      <c r="AD128" s="369" t="s">
        <v>1684</v>
      </c>
      <c r="AE128" s="369" t="s">
        <v>1685</v>
      </c>
      <c r="AF128" s="369" t="s">
        <v>1686</v>
      </c>
      <c r="AG128" s="369" t="s">
        <v>2044</v>
      </c>
      <c r="AH128" s="369">
        <v>0</v>
      </c>
      <c r="AI128" s="369">
        <v>1893</v>
      </c>
      <c r="AJ128" s="369">
        <v>1893</v>
      </c>
      <c r="AK128" s="370">
        <v>1792.42</v>
      </c>
      <c r="AL128" s="370">
        <v>1792.42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1792.42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1991</v>
      </c>
      <c r="CK128" s="48" t="s">
        <v>1990</v>
      </c>
      <c r="CL128" s="48" t="s">
        <v>1998</v>
      </c>
      <c r="CM128" s="48" t="s">
        <v>1990</v>
      </c>
      <c r="CN128" s="48" t="s">
        <v>1990</v>
      </c>
      <c r="CO128" s="48" t="str">
        <f t="shared" si="28"/>
        <v>2.3.1.99.1.1</v>
      </c>
      <c r="CP128" s="48" t="str">
        <f>+VLOOKUP(Tabla1[[#This Row],[ESPECÍFICA]],CLASIFICADOR_,2,0)</f>
        <v>2.3.1.99.1.1 - HERRAMIENTAS</v>
      </c>
      <c r="CQ128" s="48" t="str">
        <f>+VLOOKUP(Tabla1[[#This Row],[ESPECÍFICA]],CLASIFICADOR_,3,0)</f>
        <v>2.3.1.99 - COMPRA DE OTROS BIENES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2.3.BIENES Y SERVICIOS</v>
      </c>
      <c r="CX128" s="48" t="str">
        <f t="shared" si="17"/>
        <v>0009-OTI</v>
      </c>
      <c r="CY128" s="113" t="str">
        <f t="shared" si="18"/>
        <v>0009-OTI</v>
      </c>
      <c r="CZ128" s="20" t="str">
        <f t="shared" si="19"/>
        <v>0009-OTI</v>
      </c>
      <c r="DA128" s="113" t="str">
        <f>+CONCATENATE(Tabla1[[#This Row],[CC COMPLETO]],Tabla1[[#This Row],[ESPECÍFICA]])</f>
        <v>0009-OTI2.3.1.99.1.1</v>
      </c>
      <c r="DB128" s="49">
        <f t="shared" si="20"/>
        <v>1792.42</v>
      </c>
      <c r="DC128" s="49">
        <f t="shared" si="21"/>
        <v>0</v>
      </c>
      <c r="DD128" s="49">
        <f t="shared" si="22"/>
        <v>0</v>
      </c>
      <c r="DE128" s="49">
        <f t="shared" si="23"/>
        <v>100.57999999999993</v>
      </c>
      <c r="DF128" s="49">
        <f t="shared" si="24"/>
        <v>0</v>
      </c>
      <c r="DG128" s="49">
        <f t="shared" si="25"/>
        <v>1792.42</v>
      </c>
      <c r="DH128" s="49">
        <f t="shared" si="26"/>
        <v>1893</v>
      </c>
      <c r="DI128" s="50">
        <f t="shared" si="27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>
        <f>IFERROR(VLOOKUP(Tabla1[[#This Row],[COD SE]],PF_OCTUBRE,14,0),"0")</f>
        <v>750</v>
      </c>
      <c r="DU128" s="76">
        <f>IFERROR(VLOOKUP(Tabla1[[#This Row],[COD SE]],PF_OCTUBRE,15,0),"0")</f>
        <v>0</v>
      </c>
      <c r="DV128" s="76">
        <f>IFERROR(VLOOKUP(Tabla1[[#This Row],[COD SE]],PF_OCTUBRE,16,0),"0")</f>
        <v>0</v>
      </c>
      <c r="DW128" s="76">
        <f>+SUM(Tabla1[[#This Row],[EJECUTADO 01]:[PF DICIEMBRE
]])</f>
        <v>750</v>
      </c>
      <c r="DX128" s="76">
        <f>IFERROR(VLOOKUP(Tabla1[[#This Row],[COD SE]],PF_OCTUBRE,18,0),"0")</f>
        <v>0</v>
      </c>
      <c r="DY128" s="76">
        <f>IFERROR(VLOOKUP(Tabla1[[#This Row],[COD SE]],PF_OCTUBRE,19,0),"0")</f>
        <v>0</v>
      </c>
      <c r="DZ128" s="76">
        <f>IFERROR(VLOOKUP(Tabla1[[#This Row],[COD SE]],PF_OCTUBRE,20,0),"0")</f>
        <v>0</v>
      </c>
      <c r="EA128" s="76">
        <f>+Tabla1[[#This Row],[TOTAL EJEC REAL]]+Tabla1[[#This Row],[SALDO FINAL]]</f>
        <v>750</v>
      </c>
      <c r="EB128" s="76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1893</v>
      </c>
      <c r="EF128" s="76">
        <f>+Tabla1[[#This Row],[mto_pim]]-Tabla1[[#This Row],[TRANFS ESC 3 ]]</f>
        <v>1893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750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2004</v>
      </c>
      <c r="AB129" s="369" t="s">
        <v>1986</v>
      </c>
      <c r="AC129" s="369" t="s">
        <v>1656</v>
      </c>
      <c r="AD129" s="369" t="s">
        <v>2006</v>
      </c>
      <c r="AE129" s="369" t="s">
        <v>2007</v>
      </c>
      <c r="AF129" s="369" t="s">
        <v>2007</v>
      </c>
      <c r="AG129" s="369" t="s">
        <v>2008</v>
      </c>
      <c r="AH129" s="369">
        <v>0</v>
      </c>
      <c r="AI129" s="369">
        <v>1928</v>
      </c>
      <c r="AJ129" s="369">
        <v>1928</v>
      </c>
      <c r="AK129" s="370">
        <v>1928</v>
      </c>
      <c r="AL129" s="370">
        <v>1928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1927.85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1927.85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1927.85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1927.85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1990</v>
      </c>
      <c r="CK129" s="48" t="s">
        <v>1993</v>
      </c>
      <c r="CL129" s="48" t="s">
        <v>1990</v>
      </c>
      <c r="CM129" s="48" t="s">
        <v>1990</v>
      </c>
      <c r="CN129" s="48" t="s">
        <v>1988</v>
      </c>
      <c r="CO129" s="48" t="str">
        <f t="shared" si="28"/>
        <v>2.1.4.1.1.6</v>
      </c>
      <c r="CP129" s="48" t="str">
        <f>+VLOOKUP(Tabla1[[#This Row],[ESPECÍFICA]],CLASIFICADOR_,2,0)</f>
        <v>2.1.4.1.1.6 - COMPENSACION VACACIONAL (VACACIONES TRUNCAS) AL PERSONAL ACTIVO</v>
      </c>
      <c r="CQ129" s="48" t="str">
        <f>+VLOOKUP(Tabla1[[#This Row],[ESPECÍFICA]],CLASIFICADOR_,3,0)</f>
        <v>02.SERVIR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2.1.PERSONAL Y OBLIGACIONES SOCIALES</v>
      </c>
      <c r="CX129" s="48" t="str">
        <f t="shared" si="17"/>
        <v>0009-OTI</v>
      </c>
      <c r="CY129" s="113" t="str">
        <f t="shared" si="18"/>
        <v>0009-OTI</v>
      </c>
      <c r="CZ129" s="20" t="str">
        <f t="shared" si="19"/>
        <v>0009-OTI</v>
      </c>
      <c r="DA129" s="113" t="str">
        <f>+CONCATENATE(Tabla1[[#This Row],[CC COMPLETO]],Tabla1[[#This Row],[ESPECÍFICA]])</f>
        <v>0009-OTI2.1.4.1.1.6</v>
      </c>
      <c r="DB129" s="49">
        <f t="shared" si="20"/>
        <v>1927.85</v>
      </c>
      <c r="DC129" s="49">
        <f t="shared" si="21"/>
        <v>1927.85</v>
      </c>
      <c r="DD129" s="49">
        <f t="shared" si="22"/>
        <v>1927.85</v>
      </c>
      <c r="DE129" s="49">
        <f t="shared" si="23"/>
        <v>0</v>
      </c>
      <c r="DF129" s="49">
        <f t="shared" si="24"/>
        <v>0</v>
      </c>
      <c r="DG129" s="49">
        <f t="shared" si="25"/>
        <v>0.15000000000009095</v>
      </c>
      <c r="DH129" s="49">
        <f t="shared" si="26"/>
        <v>0.15000000000009095</v>
      </c>
      <c r="DI129" s="50">
        <f t="shared" si="27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1927.85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0</v>
      </c>
      <c r="DU129" s="76">
        <f>IFERROR(VLOOKUP(Tabla1[[#This Row],[COD SE]],PF_OCTUBRE,15,0),"0")</f>
        <v>0</v>
      </c>
      <c r="DV129" s="76">
        <f>IFERROR(VLOOKUP(Tabla1[[#This Row],[COD SE]],PF_OCTUBRE,16,0),"0")</f>
        <v>0</v>
      </c>
      <c r="DW129" s="76">
        <f>+SUM(Tabla1[[#This Row],[EJECUTADO 01]:[PF DICIEMBRE
]])</f>
        <v>1927.85</v>
      </c>
      <c r="DX129" s="76">
        <f>IFERROR(VLOOKUP(Tabla1[[#This Row],[COD SE]],PF_OCTUBRE,18,0),"0")</f>
        <v>0</v>
      </c>
      <c r="DY129" s="76">
        <f>IFERROR(VLOOKUP(Tabla1[[#This Row],[COD SE]],PF_OCTUBRE,19,0),"0")</f>
        <v>0.15</v>
      </c>
      <c r="DZ129" s="76">
        <f>IFERROR(VLOOKUP(Tabla1[[#This Row],[COD SE]],PF_OCTUBRE,20,0),"0")</f>
        <v>0.15</v>
      </c>
      <c r="EA129" s="76">
        <f>+Tabla1[[#This Row],[TOTAL EJEC REAL]]+Tabla1[[#This Row],[SALDO FINAL]]</f>
        <v>1928</v>
      </c>
      <c r="EB129" s="76">
        <f>IFERROR(VLOOKUP(Tabla1[[#This Row],[COD SE]],PF_OCTUBRE,22,0),"0")</f>
        <v>0.15</v>
      </c>
      <c r="EC129" s="76">
        <f>+IFERROR(VLOOKUP(Tabla1[[#This Row],[COD SE]],SALDO_ESC_2,7,0),0)</f>
        <v>0</v>
      </c>
      <c r="ED129" s="76">
        <f>+IFERROR(VLOOKUP(Tabla1[[#This Row],[COD SE]],SALDO_ESC_3,7,0),0)</f>
        <v>0.15</v>
      </c>
      <c r="EE129" s="76">
        <f>+Tabla1[[#This Row],[mto_pim]]-Tabla1[[#This Row],[TRANSF ESC2 ]]</f>
        <v>1928</v>
      </c>
      <c r="EF129" s="76">
        <f>+Tabla1[[#This Row],[mto_pim]]-Tabla1[[#This Row],[TRANFS ESC 3 ]]</f>
        <v>1927.85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1927.85</v>
      </c>
      <c r="ES129" s="58">
        <f>+SUM(Tabla1[[#This Row],[PF OCTUBRE]:[PF DICIEMBRE
]])</f>
        <v>0</v>
      </c>
      <c r="ET129" s="58">
        <f>+SUM(Tabla1[[#This Row],[EJECUTADO 01]:[EJECUTADO 09]])</f>
        <v>1927.85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1656</v>
      </c>
      <c r="AD130" s="369" t="s">
        <v>1657</v>
      </c>
      <c r="AE130" s="369" t="s">
        <v>1664</v>
      </c>
      <c r="AF130" s="369" t="s">
        <v>1665</v>
      </c>
      <c r="AG130" s="369" t="s">
        <v>1667</v>
      </c>
      <c r="AH130" s="369">
        <v>18600</v>
      </c>
      <c r="AI130" s="369">
        <v>-1200</v>
      </c>
      <c r="AJ130" s="369">
        <v>17400</v>
      </c>
      <c r="AK130" s="370">
        <v>15300</v>
      </c>
      <c r="AL130" s="370">
        <v>12544</v>
      </c>
      <c r="AM130" s="370">
        <v>0</v>
      </c>
      <c r="AN130" s="370">
        <v>0</v>
      </c>
      <c r="AO130" s="370">
        <v>0</v>
      </c>
      <c r="AP130" s="370">
        <v>0</v>
      </c>
      <c r="AQ130" s="370">
        <v>0</v>
      </c>
      <c r="AR130" s="370">
        <v>0</v>
      </c>
      <c r="AS130" s="370">
        <v>5043.34</v>
      </c>
      <c r="AT130" s="370">
        <v>0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5043.34</v>
      </c>
      <c r="BF130" s="370">
        <v>0</v>
      </c>
      <c r="BG130" s="370">
        <v>0</v>
      </c>
      <c r="BH130" s="370">
        <v>0</v>
      </c>
      <c r="BI130" s="370">
        <v>0</v>
      </c>
      <c r="BJ130" s="370">
        <v>0</v>
      </c>
      <c r="BK130" s="370">
        <v>0</v>
      </c>
      <c r="BL130" s="370">
        <v>0</v>
      </c>
      <c r="BM130" s="370">
        <v>0</v>
      </c>
      <c r="BN130" s="370">
        <v>0</v>
      </c>
      <c r="BO130" s="370">
        <v>0</v>
      </c>
      <c r="BP130" s="370">
        <v>0</v>
      </c>
      <c r="BQ130" s="370">
        <v>5043.34</v>
      </c>
      <c r="BR130" s="370">
        <v>0</v>
      </c>
      <c r="BS130" s="370">
        <v>0</v>
      </c>
      <c r="BT130" s="370">
        <v>0</v>
      </c>
      <c r="BU130" s="370">
        <v>0</v>
      </c>
      <c r="BV130" s="370">
        <v>0</v>
      </c>
      <c r="BW130" s="370">
        <v>0</v>
      </c>
      <c r="BX130" s="370">
        <v>0</v>
      </c>
      <c r="BY130" s="370">
        <v>0</v>
      </c>
      <c r="BZ130" s="370">
        <v>0</v>
      </c>
      <c r="CA130" s="370">
        <v>0</v>
      </c>
      <c r="CB130" s="370">
        <v>0</v>
      </c>
      <c r="CC130" s="370">
        <v>5043.34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1990</v>
      </c>
      <c r="CK130" s="48" t="s">
        <v>1990</v>
      </c>
      <c r="CL130" s="48" t="s">
        <v>2005</v>
      </c>
      <c r="CM130" s="48" t="s">
        <v>1990</v>
      </c>
      <c r="CN130" s="48" t="s">
        <v>1993</v>
      </c>
      <c r="CO130" s="48" t="str">
        <f t="shared" si="28"/>
        <v>2.1.1.9.1.4</v>
      </c>
      <c r="CP130" s="48" t="str">
        <f>+VLOOKUP(Tabla1[[#This Row],[ESPECÍFICA]],CLASIFICADOR_,2,0)</f>
        <v>2.1.1.9.1.4 - AGUINALDOS DE CONTRATO ADMINISTRATIVO DE SERVICIOS</v>
      </c>
      <c r="CQ130" s="48" t="str">
        <f>+VLOOKUP(Tabla1[[#This Row],[ESPECÍFICA]],CLASIFICADOR_,3,0)</f>
        <v>01.CAS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2.1.PERSONAL Y OBLIGACIONES SOCIALES</v>
      </c>
      <c r="CX130" s="48" t="str">
        <f t="shared" si="17"/>
        <v>0009-OTI</v>
      </c>
      <c r="CY130" s="113" t="str">
        <f t="shared" si="18"/>
        <v>0009-OTI</v>
      </c>
      <c r="CZ130" s="20" t="str">
        <f t="shared" si="19"/>
        <v>0009-OTI</v>
      </c>
      <c r="DA130" s="113" t="str">
        <f>+CONCATENATE(Tabla1[[#This Row],[CC COMPLETO]],Tabla1[[#This Row],[ESPECÍFICA]])</f>
        <v>0009-OTI2.1.1.9.1.4</v>
      </c>
      <c r="DB130" s="49">
        <f t="shared" si="20"/>
        <v>5043.34</v>
      </c>
      <c r="DC130" s="49">
        <f t="shared" si="21"/>
        <v>5043.34</v>
      </c>
      <c r="DD130" s="49">
        <f t="shared" si="22"/>
        <v>5043.34</v>
      </c>
      <c r="DE130" s="49">
        <f t="shared" si="23"/>
        <v>2100</v>
      </c>
      <c r="DF130" s="49">
        <f t="shared" si="24"/>
        <v>2756</v>
      </c>
      <c r="DG130" s="49">
        <f t="shared" si="25"/>
        <v>7500.66</v>
      </c>
      <c r="DH130" s="49">
        <f t="shared" si="26"/>
        <v>12356.66</v>
      </c>
      <c r="DI130" s="50">
        <f t="shared" si="27"/>
        <v>0.27114731182795698</v>
      </c>
      <c r="DJ130" s="78">
        <f>+SUM(Tabla1[[#This Row],[EJECUTADO 01]:[EJECUTADO 06]])</f>
        <v>0</v>
      </c>
      <c r="DK130" s="78">
        <f>+Tabla1[[#This Row],[mto_devenga_01]]</f>
        <v>0</v>
      </c>
      <c r="DL130" s="78">
        <f>+Tabla1[[#This Row],[mto_devenga_02]]</f>
        <v>0</v>
      </c>
      <c r="DM130" s="78">
        <f>+Tabla1[[#This Row],[mto_devenga_03]]</f>
        <v>0</v>
      </c>
      <c r="DN130" s="78">
        <f>+Tabla1[[#This Row],[mto_devenga_04]]</f>
        <v>0</v>
      </c>
      <c r="DO130" s="78">
        <f>+Tabla1[[#This Row],[mto_devenga_05]]</f>
        <v>0</v>
      </c>
      <c r="DP130" s="76">
        <f>+Tabla1[[#This Row],[mto_devenga_06]]</f>
        <v>0</v>
      </c>
      <c r="DQ130" s="76">
        <f>+Tabla1[[#This Row],[mto_devenga_07]]</f>
        <v>5043.34</v>
      </c>
      <c r="DR130" s="76">
        <f>+Tabla1[[#This Row],[mto_devenga_08]]</f>
        <v>0</v>
      </c>
      <c r="DS130" s="76">
        <f>+Tabla1[[#This Row],[mto_devenga_09]]</f>
        <v>0</v>
      </c>
      <c r="DT130" s="76">
        <f>IFERROR(VLOOKUP(Tabla1[[#This Row],[COD SE]],PF_OCTUBRE,14,0),"0")</f>
        <v>0</v>
      </c>
      <c r="DU130" s="76">
        <f>IFERROR(VLOOKUP(Tabla1[[#This Row],[COD SE]],PF_OCTUBRE,15,0),"0")</f>
        <v>0</v>
      </c>
      <c r="DV130" s="76">
        <f>IFERROR(VLOOKUP(Tabla1[[#This Row],[COD SE]],PF_OCTUBRE,16,0),"0")</f>
        <v>7200</v>
      </c>
      <c r="DW130" s="76">
        <f>+SUM(Tabla1[[#This Row],[EJECUTADO 01]:[PF DICIEMBRE
]])</f>
        <v>12243.34</v>
      </c>
      <c r="DX130" s="76">
        <f>IFERROR(VLOOKUP(Tabla1[[#This Row],[COD SE]],PF_OCTUBRE,18,0),"0")</f>
        <v>0</v>
      </c>
      <c r="DY130" s="76">
        <f>IFERROR(VLOOKUP(Tabla1[[#This Row],[COD SE]],PF_OCTUBRE,19,0),"0")</f>
        <v>5156.66</v>
      </c>
      <c r="DZ130" s="76">
        <f>IFERROR(VLOOKUP(Tabla1[[#This Row],[COD SE]],PF_OCTUBRE,20,0),"0")</f>
        <v>5156.66</v>
      </c>
      <c r="EA130" s="76">
        <f>+Tabla1[[#This Row],[TOTAL EJEC REAL]]+Tabla1[[#This Row],[SALDO FINAL]]</f>
        <v>17400</v>
      </c>
      <c r="EB130" s="76">
        <f>IFERROR(VLOOKUP(Tabla1[[#This Row],[COD SE]],PF_OCTUBRE,22,0),"0")</f>
        <v>12356.66</v>
      </c>
      <c r="EC130" s="76">
        <f>+IFERROR(VLOOKUP(Tabla1[[#This Row],[COD SE]],SALDO_ESC_2,7,0),0)</f>
        <v>0</v>
      </c>
      <c r="ED130" s="76">
        <f>+IFERROR(VLOOKUP(Tabla1[[#This Row],[COD SE]],SALDO_ESC_3,7,0),0)</f>
        <v>5156.66</v>
      </c>
      <c r="EE130" s="76">
        <f>+Tabla1[[#This Row],[mto_pim]]-Tabla1[[#This Row],[TRANSF ESC2 ]]</f>
        <v>17400</v>
      </c>
      <c r="EF130" s="76">
        <f>+Tabla1[[#This Row],[mto_pim]]-Tabla1[[#This Row],[TRANFS ESC 3 ]]</f>
        <v>12243.34</v>
      </c>
      <c r="EG130" s="76">
        <f>+IFERROR(VLOOKUP(Tabla1[[#This Row],[COD SE]],HISTORICO,4,0),0)</f>
        <v>0</v>
      </c>
      <c r="EH130" s="76">
        <f>+IFERROR(VLOOKUP(Tabla1[[#This Row],[COD SE]],HISTORICO,5,0),0)</f>
        <v>0</v>
      </c>
      <c r="EI130" s="76">
        <f>+IFERROR(VLOOKUP(Tabla1[[#This Row],[COD SE]],HISTORICO,6,0),0)</f>
        <v>0</v>
      </c>
      <c r="EJ130" s="76">
        <f>+IFERROR(VLOOKUP(Tabla1[[#This Row],[COD SE]],HISTORICO,7,0),0)</f>
        <v>0</v>
      </c>
      <c r="EK130" s="76">
        <f>+IFERROR(VLOOKUP(Tabla1[[#This Row],[COD SE]],HISTORICO,8,0),0)</f>
        <v>0</v>
      </c>
      <c r="EL130" s="76">
        <f>+IFERROR(VLOOKUP(Tabla1[[#This Row],[COD SE]],HISTORICO,9,0),0)</f>
        <v>0</v>
      </c>
      <c r="EM130" s="76">
        <f>+IFERROR(VLOOKUP(Tabla1[[#This Row],[COD SE]],HISTORICO,10,0),0)</f>
        <v>6000</v>
      </c>
      <c r="EN130" s="76">
        <f>+IFERROR(VLOOKUP(Tabla1[[#This Row],[COD SE]],HISTORICO,11,0),0)</f>
        <v>0</v>
      </c>
      <c r="EO130" s="76">
        <f>+IFERROR(VLOOKUP(Tabla1[[#This Row],[COD SE]],HISTORICO,12,0),0)</f>
        <v>0</v>
      </c>
      <c r="EP130" s="58">
        <f>+SUM(Tabla1[[#This Row],[EJECUTADO 01]:[EJECUTADO 03]])</f>
        <v>0</v>
      </c>
      <c r="EQ130" s="58">
        <f>+SUM(Tabla1[[#This Row],[EJECUTADO 04]:[EJECUTADO 06]])</f>
        <v>0</v>
      </c>
      <c r="ER130" s="58">
        <f>+SUM(Tabla1[[#This Row],[EJECUTADO 07]:[EJECUTADO 09]])</f>
        <v>5043.34</v>
      </c>
      <c r="ES130" s="58">
        <f>+SUM(Tabla1[[#This Row],[PF OCTUBRE]:[PF DICIEMBRE
]])</f>
        <v>7200</v>
      </c>
      <c r="ET130" s="58">
        <f>+SUM(Tabla1[[#This Row],[EJECUTADO 01]:[EJECUTADO 09]])</f>
        <v>5043.34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1693</v>
      </c>
      <c r="AF131" s="369" t="s">
        <v>1694</v>
      </c>
      <c r="AG131" s="369" t="s">
        <v>1695</v>
      </c>
      <c r="AH131" s="369">
        <v>341000</v>
      </c>
      <c r="AI131" s="369">
        <v>-160550</v>
      </c>
      <c r="AJ131" s="369">
        <v>180450</v>
      </c>
      <c r="AK131" s="370">
        <v>162371.20000000001</v>
      </c>
      <c r="AL131" s="370">
        <v>66771.199999999997</v>
      </c>
      <c r="AM131" s="370">
        <v>23912.7</v>
      </c>
      <c r="AN131" s="370">
        <v>0</v>
      </c>
      <c r="AO131" s="370">
        <v>0</v>
      </c>
      <c r="AP131" s="370">
        <v>0</v>
      </c>
      <c r="AQ131" s="370">
        <v>0</v>
      </c>
      <c r="AR131" s="370">
        <v>0</v>
      </c>
      <c r="AS131" s="370">
        <v>0</v>
      </c>
      <c r="AT131" s="370">
        <v>17717.7</v>
      </c>
      <c r="AU131" s="370">
        <v>0</v>
      </c>
      <c r="AV131" s="370">
        <v>25140.799999999999</v>
      </c>
      <c r="AW131" s="370">
        <v>0</v>
      </c>
      <c r="AX131" s="370">
        <v>0</v>
      </c>
      <c r="AY131" s="370">
        <v>0</v>
      </c>
      <c r="AZ131" s="370">
        <v>3985.45</v>
      </c>
      <c r="BA131" s="370">
        <v>3985.45</v>
      </c>
      <c r="BB131" s="370">
        <v>3985.45</v>
      </c>
      <c r="BC131" s="370">
        <v>0</v>
      </c>
      <c r="BD131" s="370">
        <v>3985.45</v>
      </c>
      <c r="BE131" s="370">
        <v>3985.45</v>
      </c>
      <c r="BF131" s="370">
        <v>3985.45</v>
      </c>
      <c r="BG131" s="370">
        <v>5905.9</v>
      </c>
      <c r="BH131" s="370">
        <v>5905.9</v>
      </c>
      <c r="BI131" s="370">
        <v>0</v>
      </c>
      <c r="BJ131" s="370">
        <v>0</v>
      </c>
      <c r="BK131" s="370">
        <v>0</v>
      </c>
      <c r="BL131" s="370">
        <v>3985.45</v>
      </c>
      <c r="BM131" s="370">
        <v>3985.45</v>
      </c>
      <c r="BN131" s="370">
        <v>3985.45</v>
      </c>
      <c r="BO131" s="370">
        <v>0</v>
      </c>
      <c r="BP131" s="370">
        <v>3985.45</v>
      </c>
      <c r="BQ131" s="370">
        <v>3985.45</v>
      </c>
      <c r="BR131" s="370">
        <v>3985.45</v>
      </c>
      <c r="BS131" s="370">
        <v>5905.9</v>
      </c>
      <c r="BT131" s="370">
        <v>5905.9</v>
      </c>
      <c r="BU131" s="370">
        <v>0</v>
      </c>
      <c r="BV131" s="370">
        <v>0</v>
      </c>
      <c r="BW131" s="370">
        <v>23912.7</v>
      </c>
      <c r="BX131" s="370">
        <v>0</v>
      </c>
      <c r="BY131" s="370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11811.8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2011</v>
      </c>
      <c r="CM131" s="48" t="s">
        <v>1990</v>
      </c>
      <c r="CN131" s="48" t="s">
        <v>1998</v>
      </c>
      <c r="CO131" s="48" t="str">
        <f t="shared" si="28"/>
        <v>2.3.2.5.1.99</v>
      </c>
      <c r="CP131" s="48" t="str">
        <f>+VLOOKUP(Tabla1[[#This Row],[ESPECÍFICA]],CLASIFICADOR_,2,0)</f>
        <v>2.3.2.5.1.99 - DE OTROS BIENES Y ACTIVOS</v>
      </c>
      <c r="CQ131" s="48" t="str">
        <f>+VLOOKUP(Tabla1[[#This Row],[ESPECÍFICA]],CLASIFICADOR_,3,0)</f>
        <v>2.3.2.5 - ALQUILERES DE MUEBLES E INMUEBLES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N/R</v>
      </c>
      <c r="CU131" s="48" t="str">
        <f>+VLOOKUP(Tabla1[[#This Row],[ESPECÍFICA]],CLASIFICADOR_,7,0)</f>
        <v>N/R</v>
      </c>
      <c r="CV131" s="48">
        <f>+VLOOKUP(Tabla1[[#This Row],[ESPECÍFICA]],CLASIFICADOR_,8,0)</f>
        <v>0</v>
      </c>
      <c r="CW131" s="113" t="str">
        <f>+CONCATENATE("2.",Tabla1[[#This Row],[generica]])</f>
        <v>2.3.BIENES Y SERVICIOS</v>
      </c>
      <c r="CX131" s="48" t="str">
        <f t="shared" si="17"/>
        <v>0009-OTI</v>
      </c>
      <c r="CY131" s="113" t="str">
        <f t="shared" si="18"/>
        <v>0009-OTI</v>
      </c>
      <c r="CZ131" s="20" t="str">
        <f t="shared" si="19"/>
        <v>0009-OTI</v>
      </c>
      <c r="DA131" s="113" t="str">
        <f>+CONCATENATE(Tabla1[[#This Row],[CC COMPLETO]],Tabla1[[#This Row],[ESPECÍFICA]])</f>
        <v>0009-OTI2.3.2.5.1.99</v>
      </c>
      <c r="DB131" s="49">
        <f t="shared" si="20"/>
        <v>66771.199999999997</v>
      </c>
      <c r="DC131" s="49">
        <f t="shared" si="21"/>
        <v>35724.5</v>
      </c>
      <c r="DD131" s="49">
        <f t="shared" si="22"/>
        <v>35724.5</v>
      </c>
      <c r="DE131" s="49">
        <f t="shared" si="23"/>
        <v>18078.799999999988</v>
      </c>
      <c r="DF131" s="49">
        <f t="shared" si="24"/>
        <v>95600.000000000015</v>
      </c>
      <c r="DG131" s="49">
        <f t="shared" si="25"/>
        <v>31046.699999999997</v>
      </c>
      <c r="DH131" s="49">
        <f t="shared" si="26"/>
        <v>144725.5</v>
      </c>
      <c r="DI131" s="50">
        <f t="shared" si="27"/>
        <v>0.10476392961876833</v>
      </c>
      <c r="DJ131" s="78">
        <f>+SUM(Tabla1[[#This Row],[EJECUTADO 01]:[EJECUTADO 06]])</f>
        <v>15941.8</v>
      </c>
      <c r="DK131" s="78">
        <f>+Tabla1[[#This Row],[mto_devenga_01]]</f>
        <v>0</v>
      </c>
      <c r="DL131" s="78">
        <f>+Tabla1[[#This Row],[mto_devenga_02]]</f>
        <v>3985.45</v>
      </c>
      <c r="DM131" s="78">
        <f>+Tabla1[[#This Row],[mto_devenga_03]]</f>
        <v>3985.45</v>
      </c>
      <c r="DN131" s="78">
        <f>+Tabla1[[#This Row],[mto_devenga_04]]</f>
        <v>3985.45</v>
      </c>
      <c r="DO131" s="78">
        <f>+Tabla1[[#This Row],[mto_devenga_05]]</f>
        <v>0</v>
      </c>
      <c r="DP131" s="76">
        <f>+Tabla1[[#This Row],[mto_devenga_06]]</f>
        <v>3985.45</v>
      </c>
      <c r="DQ131" s="76">
        <f>+Tabla1[[#This Row],[mto_devenga_07]]</f>
        <v>3985.45</v>
      </c>
      <c r="DR131" s="76">
        <f>+Tabla1[[#This Row],[mto_devenga_08]]</f>
        <v>3985.45</v>
      </c>
      <c r="DS131" s="76">
        <f>+Tabla1[[#This Row],[mto_devenga_09]]</f>
        <v>5905.9</v>
      </c>
      <c r="DT131" s="76">
        <f>IFERROR(VLOOKUP(Tabla1[[#This Row],[COD SE]],PF_OCTUBRE,14,0),"0")</f>
        <v>5905.9</v>
      </c>
      <c r="DU131" s="76">
        <f>IFERROR(VLOOKUP(Tabla1[[#This Row],[COD SE]],PF_OCTUBRE,15,0),"0")</f>
        <v>27254.9</v>
      </c>
      <c r="DV131" s="76">
        <f>IFERROR(VLOOKUP(Tabla1[[#This Row],[COD SE]],PF_OCTUBRE,16,0),"0")</f>
        <v>117470.6</v>
      </c>
      <c r="DW131" s="76">
        <f>+SUM(Tabla1[[#This Row],[EJECUTADO 01]:[PF DICIEMBRE
]])</f>
        <v>180450</v>
      </c>
      <c r="DX131" s="76">
        <f>IFERROR(VLOOKUP(Tabla1[[#This Row],[COD SE]],PF_OCTUBRE,18,0),"0")</f>
        <v>0</v>
      </c>
      <c r="DY131" s="76">
        <f>IFERROR(VLOOKUP(Tabla1[[#This Row],[COD SE]],PF_OCTUBRE,19,0),"0")</f>
        <v>0</v>
      </c>
      <c r="DZ131" s="76">
        <f>IFERROR(VLOOKUP(Tabla1[[#This Row],[COD SE]],PF_OCTUBRE,20,0),"0")</f>
        <v>0</v>
      </c>
      <c r="EA131" s="76">
        <f>+Tabla1[[#This Row],[TOTAL EJEC REAL]]+Tabla1[[#This Row],[SALDO FINAL]]</f>
        <v>180450</v>
      </c>
      <c r="EB131" s="76">
        <f>IFERROR(VLOOKUP(Tabla1[[#This Row],[COD SE]],PF_OCTUBRE,22,0),"0")</f>
        <v>117470.6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180450</v>
      </c>
      <c r="EF131" s="76">
        <f>+Tabla1[[#This Row],[mto_pim]]-Tabla1[[#This Row],[TRANFS ESC 3 ]]</f>
        <v>180450</v>
      </c>
      <c r="EG131" s="76">
        <f>+IFERROR(VLOOKUP(Tabla1[[#This Row],[COD SE]],HISTORICO,4,0),0)</f>
        <v>3985.45</v>
      </c>
      <c r="EH131" s="76">
        <f>+IFERROR(VLOOKUP(Tabla1[[#This Row],[COD SE]],HISTORICO,5,0),0)</f>
        <v>3985.45</v>
      </c>
      <c r="EI131" s="76">
        <f>+IFERROR(VLOOKUP(Tabla1[[#This Row],[COD SE]],HISTORICO,6,0),0)</f>
        <v>153985.45000000001</v>
      </c>
      <c r="EJ131" s="76">
        <f>+IFERROR(VLOOKUP(Tabla1[[#This Row],[COD SE]],HISTORICO,7,0),0)</f>
        <v>3985.45</v>
      </c>
      <c r="EK131" s="76">
        <f>+IFERROR(VLOOKUP(Tabla1[[#This Row],[COD SE]],HISTORICO,8,0),0)</f>
        <v>3985.45</v>
      </c>
      <c r="EL131" s="76">
        <f>+IFERROR(VLOOKUP(Tabla1[[#This Row],[COD SE]],HISTORICO,9,0),0)</f>
        <v>7970.9</v>
      </c>
      <c r="EM131" s="76">
        <f>+IFERROR(VLOOKUP(Tabla1[[#This Row],[COD SE]],HISTORICO,10,0),0)</f>
        <v>7970.9</v>
      </c>
      <c r="EN131" s="76">
        <f>+IFERROR(VLOOKUP(Tabla1[[#This Row],[COD SE]],HISTORICO,11,0),0)</f>
        <v>11145.45</v>
      </c>
      <c r="EO131" s="76">
        <f>+IFERROR(VLOOKUP(Tabla1[[#This Row],[COD SE]],HISTORICO,12,0),0)</f>
        <v>5905.9</v>
      </c>
      <c r="EP131" s="58">
        <f>+SUM(Tabla1[[#This Row],[EJECUTADO 01]:[EJECUTADO 03]])</f>
        <v>7970.9</v>
      </c>
      <c r="EQ131" s="58">
        <f>+SUM(Tabla1[[#This Row],[EJECUTADO 04]:[EJECUTADO 06]])</f>
        <v>7970.9</v>
      </c>
      <c r="ER131" s="58">
        <f>+SUM(Tabla1[[#This Row],[EJECUTADO 07]:[EJECUTADO 09]])</f>
        <v>13876.8</v>
      </c>
      <c r="ES131" s="58">
        <f>+SUM(Tabla1[[#This Row],[PF OCTUBRE]:[PF DICIEMBRE
]])</f>
        <v>150631.40000000002</v>
      </c>
      <c r="ET131" s="58">
        <f>+SUM(Tabla1[[#This Row],[EJECUTADO 01]:[EJECUTADO 09]])</f>
        <v>29818.6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1672</v>
      </c>
      <c r="AD132" s="369" t="s">
        <v>1673</v>
      </c>
      <c r="AE132" s="369" t="s">
        <v>1693</v>
      </c>
      <c r="AF132" s="369" t="s">
        <v>1694</v>
      </c>
      <c r="AG132" s="369" t="s">
        <v>1739</v>
      </c>
      <c r="AH132" s="369">
        <v>40000</v>
      </c>
      <c r="AI132" s="369">
        <v>28572</v>
      </c>
      <c r="AJ132" s="369">
        <v>68572</v>
      </c>
      <c r="AK132" s="370">
        <v>65469.33</v>
      </c>
      <c r="AL132" s="370">
        <v>65469.33</v>
      </c>
      <c r="AM132" s="370">
        <v>41553.33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0</v>
      </c>
      <c r="AT132" s="370">
        <v>18500</v>
      </c>
      <c r="AU132" s="370">
        <v>0</v>
      </c>
      <c r="AV132" s="370">
        <v>5416</v>
      </c>
      <c r="AW132" s="370">
        <v>0</v>
      </c>
      <c r="AX132" s="370">
        <v>0</v>
      </c>
      <c r="AY132" s="370">
        <v>3249.33</v>
      </c>
      <c r="AZ132" s="370">
        <v>3938.43</v>
      </c>
      <c r="BA132" s="370">
        <v>4426.9399999999996</v>
      </c>
      <c r="BB132" s="370">
        <v>5274.46</v>
      </c>
      <c r="BC132" s="370">
        <v>3351.57</v>
      </c>
      <c r="BD132" s="370">
        <v>3746.74</v>
      </c>
      <c r="BE132" s="370">
        <v>3575.56</v>
      </c>
      <c r="BF132" s="370">
        <v>3619.12</v>
      </c>
      <c r="BG132" s="370">
        <v>11312.49</v>
      </c>
      <c r="BH132" s="370">
        <v>7740.95</v>
      </c>
      <c r="BI132" s="370">
        <v>0</v>
      </c>
      <c r="BJ132" s="370">
        <v>0</v>
      </c>
      <c r="BK132" s="370">
        <v>3249.33</v>
      </c>
      <c r="BL132" s="370">
        <v>3938.43</v>
      </c>
      <c r="BM132" s="370">
        <v>4426.9399999999996</v>
      </c>
      <c r="BN132" s="370">
        <v>5274.46</v>
      </c>
      <c r="BO132" s="370">
        <v>3351.57</v>
      </c>
      <c r="BP132" s="370">
        <v>3746.74</v>
      </c>
      <c r="BQ132" s="370">
        <v>3575.56</v>
      </c>
      <c r="BR132" s="370">
        <v>3619.12</v>
      </c>
      <c r="BS132" s="370">
        <v>11312.49</v>
      </c>
      <c r="BT132" s="370">
        <v>7740.95</v>
      </c>
      <c r="BU132" s="370">
        <v>0</v>
      </c>
      <c r="BV132" s="370">
        <v>0</v>
      </c>
      <c r="BW132" s="370">
        <v>39135.589999999997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11100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1991</v>
      </c>
      <c r="CK132" s="48" t="s">
        <v>1987</v>
      </c>
      <c r="CL132" s="48" t="s">
        <v>2011</v>
      </c>
      <c r="CM132" s="48" t="s">
        <v>1990</v>
      </c>
      <c r="CN132" s="48" t="s">
        <v>1993</v>
      </c>
      <c r="CO132" s="48" t="str">
        <f t="shared" si="28"/>
        <v>2.3.2.5.1.4</v>
      </c>
      <c r="CP132" s="48" t="str">
        <f>+VLOOKUP(Tabla1[[#This Row],[ESPECÍFICA]],CLASIFICADOR_,2,0)</f>
        <v>2.3.2.5.1.4 - DE MAQUINARIAS Y EQUIPOS</v>
      </c>
      <c r="CQ132" s="48" t="str">
        <f>+VLOOKUP(Tabla1[[#This Row],[ESPECÍFICA]],CLASIFICADOR_,3,0)</f>
        <v>2.3.2.5 - ALQUILERES DE MUEBLES E INMUEBLES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2.3.BIENES Y SERVICIOS</v>
      </c>
      <c r="CX132" s="48" t="str">
        <f t="shared" si="17"/>
        <v>0009-OTI</v>
      </c>
      <c r="CY132" s="113" t="str">
        <f t="shared" si="18"/>
        <v>0009-OTI</v>
      </c>
      <c r="CZ132" s="20" t="str">
        <f t="shared" si="19"/>
        <v>0009-OTI</v>
      </c>
      <c r="DA132" s="113" t="str">
        <f>+CONCATENATE(Tabla1[[#This Row],[CC COMPLETO]],Tabla1[[#This Row],[ESPECÍFICA]])</f>
        <v>0009-OTI2.3.2.5.1.4</v>
      </c>
      <c r="DB132" s="49">
        <f t="shared" si="20"/>
        <v>65469.33</v>
      </c>
      <c r="DC132" s="49">
        <f t="shared" si="21"/>
        <v>50235.59</v>
      </c>
      <c r="DD132" s="49">
        <f t="shared" si="22"/>
        <v>50235.59</v>
      </c>
      <c r="DE132" s="49">
        <f t="shared" si="23"/>
        <v>3102.6699999999983</v>
      </c>
      <c r="DF132" s="49">
        <f t="shared" si="24"/>
        <v>0</v>
      </c>
      <c r="DG132" s="49">
        <f t="shared" si="25"/>
        <v>15233.740000000005</v>
      </c>
      <c r="DH132" s="49">
        <f t="shared" si="26"/>
        <v>18336.410000000003</v>
      </c>
      <c r="DI132" s="50">
        <f t="shared" si="27"/>
        <v>1.2558897499999999</v>
      </c>
      <c r="DJ132" s="78">
        <f>+SUM(Tabla1[[#This Row],[EJECUTADO 01]:[EJECUTADO 06]])</f>
        <v>23987.47</v>
      </c>
      <c r="DK132" s="78">
        <f>+Tabla1[[#This Row],[mto_devenga_01]]</f>
        <v>3249.33</v>
      </c>
      <c r="DL132" s="78">
        <f>+Tabla1[[#This Row],[mto_devenga_02]]</f>
        <v>3938.43</v>
      </c>
      <c r="DM132" s="78">
        <f>+Tabla1[[#This Row],[mto_devenga_03]]</f>
        <v>4426.9399999999996</v>
      </c>
      <c r="DN132" s="78">
        <f>+Tabla1[[#This Row],[mto_devenga_04]]</f>
        <v>5274.46</v>
      </c>
      <c r="DO132" s="78">
        <f>+Tabla1[[#This Row],[mto_devenga_05]]</f>
        <v>3351.57</v>
      </c>
      <c r="DP132" s="76">
        <f>+Tabla1[[#This Row],[mto_devenga_06]]</f>
        <v>3746.74</v>
      </c>
      <c r="DQ132" s="76">
        <f>+Tabla1[[#This Row],[mto_devenga_07]]</f>
        <v>3575.56</v>
      </c>
      <c r="DR132" s="76">
        <f>+Tabla1[[#This Row],[mto_devenga_08]]</f>
        <v>3619.12</v>
      </c>
      <c r="DS132" s="76">
        <f>+Tabla1[[#This Row],[mto_devenga_09]]</f>
        <v>11312.49</v>
      </c>
      <c r="DT132" s="76">
        <f>IFERROR(VLOOKUP(Tabla1[[#This Row],[COD SE]],PF_OCTUBRE,14,0),"0")</f>
        <v>6787.51</v>
      </c>
      <c r="DU132" s="76">
        <f>IFERROR(VLOOKUP(Tabla1[[#This Row],[COD SE]],PF_OCTUBRE,15,0),"0")</f>
        <v>11121.18</v>
      </c>
      <c r="DV132" s="76">
        <f>IFERROR(VLOOKUP(Tabla1[[#This Row],[COD SE]],PF_OCTUBRE,16,0),"0")</f>
        <v>9150.67</v>
      </c>
      <c r="DW132" s="76">
        <f>+SUM(Tabla1[[#This Row],[EJECUTADO 01]:[PF DICIEMBRE
]])</f>
        <v>69554</v>
      </c>
      <c r="DX132" s="76">
        <f>IFERROR(VLOOKUP(Tabla1[[#This Row],[COD SE]],PF_OCTUBRE,18,0),"0")</f>
        <v>0</v>
      </c>
      <c r="DY132" s="76">
        <f>IFERROR(VLOOKUP(Tabla1[[#This Row],[COD SE]],PF_OCTUBRE,19,0),"0")</f>
        <v>0</v>
      </c>
      <c r="DZ132" s="76">
        <f>IFERROR(VLOOKUP(Tabla1[[#This Row],[COD SE]],PF_OCTUBRE,20,0),"0")</f>
        <v>0</v>
      </c>
      <c r="EA132" s="76">
        <f>+Tabla1[[#This Row],[TOTAL EJEC REAL]]+Tabla1[[#This Row],[SALDO FINAL]]</f>
        <v>69554</v>
      </c>
      <c r="EB132" s="76">
        <f>IFERROR(VLOOKUP(Tabla1[[#This Row],[COD SE]],PF_OCTUBRE,22,0),"0")</f>
        <v>9150.67</v>
      </c>
      <c r="EC132" s="76">
        <f>+IFERROR(VLOOKUP(Tabla1[[#This Row],[COD SE]],SALDO_ESC_2,7,0),0)</f>
        <v>0</v>
      </c>
      <c r="ED132" s="76">
        <f>+IFERROR(VLOOKUP(Tabla1[[#This Row],[COD SE]],SALDO_ESC_3,7,0),0)</f>
        <v>0</v>
      </c>
      <c r="EE132" s="76">
        <f>+Tabla1[[#This Row],[mto_pim]]-Tabla1[[#This Row],[TRANSF ESC2 ]]</f>
        <v>68572</v>
      </c>
      <c r="EF132" s="76">
        <f>+Tabla1[[#This Row],[mto_pim]]-Tabla1[[#This Row],[TRANFS ESC 3 ]]</f>
        <v>68572</v>
      </c>
      <c r="EG132" s="76">
        <f>+IFERROR(VLOOKUP(Tabla1[[#This Row],[COD SE]],HISTORICO,4,0),0)</f>
        <v>3734</v>
      </c>
      <c r="EH132" s="76">
        <f>+IFERROR(VLOOKUP(Tabla1[[#This Row],[COD SE]],HISTORICO,5,0),0)</f>
        <v>3830.4</v>
      </c>
      <c r="EI132" s="76">
        <f>+IFERROR(VLOOKUP(Tabla1[[#This Row],[COD SE]],HISTORICO,6,0),0)</f>
        <v>3830.4</v>
      </c>
      <c r="EJ132" s="76">
        <f>+IFERROR(VLOOKUP(Tabla1[[#This Row],[COD SE]],HISTORICO,7,0),0)</f>
        <v>3830.4</v>
      </c>
      <c r="EK132" s="76">
        <f>+IFERROR(VLOOKUP(Tabla1[[#This Row],[COD SE]],HISTORICO,8,0),0)</f>
        <v>3830.4</v>
      </c>
      <c r="EL132" s="76">
        <f>+IFERROR(VLOOKUP(Tabla1[[#This Row],[COD SE]],HISTORICO,9,0),0)</f>
        <v>3500</v>
      </c>
      <c r="EM132" s="76">
        <f>+IFERROR(VLOOKUP(Tabla1[[#This Row],[COD SE]],HISTORICO,10,0),0)</f>
        <v>7830.4</v>
      </c>
      <c r="EN132" s="76">
        <f>+IFERROR(VLOOKUP(Tabla1[[#This Row],[COD SE]],HISTORICO,11,0),0)</f>
        <v>7600</v>
      </c>
      <c r="EO132" s="76">
        <f>+IFERROR(VLOOKUP(Tabla1[[#This Row],[COD SE]],HISTORICO,12,0),0)</f>
        <v>7500</v>
      </c>
      <c r="EP132" s="58">
        <f>+SUM(Tabla1[[#This Row],[EJECUTADO 01]:[EJECUTADO 03]])</f>
        <v>11614.7</v>
      </c>
      <c r="EQ132" s="58">
        <f>+SUM(Tabla1[[#This Row],[EJECUTADO 04]:[EJECUTADO 06]])</f>
        <v>12372.77</v>
      </c>
      <c r="ER132" s="58">
        <f>+SUM(Tabla1[[#This Row],[EJECUTADO 07]:[EJECUTADO 09]])</f>
        <v>18507.169999999998</v>
      </c>
      <c r="ES132" s="58">
        <f>+SUM(Tabla1[[#This Row],[PF OCTUBRE]:[PF DICIEMBRE
]])</f>
        <v>27059.360000000001</v>
      </c>
      <c r="ET132" s="58">
        <f>+SUM(Tabla1[[#This Row],[EJECUTADO 01]:[EJECUTADO 09]])</f>
        <v>42494.64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1745</v>
      </c>
      <c r="AD133" s="369" t="s">
        <v>1746</v>
      </c>
      <c r="AE133" s="369" t="s">
        <v>1747</v>
      </c>
      <c r="AF133" s="369" t="s">
        <v>1748</v>
      </c>
      <c r="AG133" s="369" t="s">
        <v>1749</v>
      </c>
      <c r="AH133" s="369">
        <v>0</v>
      </c>
      <c r="AI133" s="369">
        <v>6899</v>
      </c>
      <c r="AJ133" s="369">
        <v>6899</v>
      </c>
      <c r="AK133" s="370">
        <v>6656</v>
      </c>
      <c r="AL133" s="370">
        <v>6655.3</v>
      </c>
      <c r="AM133" s="370">
        <v>0</v>
      </c>
      <c r="AN133" s="370">
        <v>226.8</v>
      </c>
      <c r="AO133" s="370">
        <v>1116.9000000000001</v>
      </c>
      <c r="AP133" s="370">
        <v>1005.9</v>
      </c>
      <c r="AQ133" s="370">
        <v>621.6</v>
      </c>
      <c r="AR133" s="370">
        <v>396.9</v>
      </c>
      <c r="AS133" s="370">
        <v>358.9</v>
      </c>
      <c r="AT133" s="370">
        <v>336.6</v>
      </c>
      <c r="AU133" s="370">
        <v>662.1</v>
      </c>
      <c r="AV133" s="370">
        <v>650.1</v>
      </c>
      <c r="AW133" s="370">
        <v>0</v>
      </c>
      <c r="AX133" s="370">
        <v>0</v>
      </c>
      <c r="AY133" s="370">
        <v>0</v>
      </c>
      <c r="AZ133" s="370">
        <v>226.8</v>
      </c>
      <c r="BA133" s="370">
        <v>1116.9000000000001</v>
      </c>
      <c r="BB133" s="370">
        <v>1005.9</v>
      </c>
      <c r="BC133" s="370">
        <v>621.6</v>
      </c>
      <c r="BD133" s="370">
        <v>396.9</v>
      </c>
      <c r="BE133" s="370">
        <v>358.9</v>
      </c>
      <c r="BF133" s="370">
        <v>336.6</v>
      </c>
      <c r="BG133" s="370">
        <v>662.1</v>
      </c>
      <c r="BH133" s="370">
        <v>650.1</v>
      </c>
      <c r="BI133" s="370">
        <v>0</v>
      </c>
      <c r="BJ133" s="370">
        <v>0</v>
      </c>
      <c r="BK133" s="370">
        <v>0</v>
      </c>
      <c r="BL133" s="370">
        <v>226.8</v>
      </c>
      <c r="BM133" s="370">
        <v>1116.9000000000001</v>
      </c>
      <c r="BN133" s="370">
        <v>1005.9</v>
      </c>
      <c r="BO133" s="370">
        <v>621.6</v>
      </c>
      <c r="BP133" s="370">
        <v>396.9</v>
      </c>
      <c r="BQ133" s="370">
        <v>358.9</v>
      </c>
      <c r="BR133" s="370">
        <v>336.6</v>
      </c>
      <c r="BS133" s="370">
        <v>662.1</v>
      </c>
      <c r="BT133" s="370">
        <v>650.1</v>
      </c>
      <c r="BU133" s="370">
        <v>0</v>
      </c>
      <c r="BV133" s="370">
        <v>0</v>
      </c>
      <c r="BW133" s="370">
        <v>0</v>
      </c>
      <c r="BX133" s="370">
        <v>226.8</v>
      </c>
      <c r="BY133" s="370">
        <v>1116.9000000000001</v>
      </c>
      <c r="BZ133" s="370">
        <v>1005.9</v>
      </c>
      <c r="CA133" s="370">
        <v>621.6</v>
      </c>
      <c r="CB133" s="370">
        <v>396.9</v>
      </c>
      <c r="CC133" s="370">
        <v>358.9</v>
      </c>
      <c r="CD133" s="370">
        <v>336.6</v>
      </c>
      <c r="CE133" s="370">
        <v>662.1</v>
      </c>
      <c r="CF133" s="370">
        <v>650.1</v>
      </c>
      <c r="CG133" s="370">
        <v>0</v>
      </c>
      <c r="CH133" s="370">
        <v>0</v>
      </c>
      <c r="CI133" s="48" t="s">
        <v>1987</v>
      </c>
      <c r="CJ133" s="48" t="s">
        <v>2011</v>
      </c>
      <c r="CK133" s="48" t="s">
        <v>1993</v>
      </c>
      <c r="CL133" s="48" t="s">
        <v>1990</v>
      </c>
      <c r="CM133" s="48" t="s">
        <v>1987</v>
      </c>
      <c r="CN133" s="48" t="s">
        <v>1990</v>
      </c>
      <c r="CO133" s="48" t="str">
        <f t="shared" si="28"/>
        <v>2.5.4.1.2.1</v>
      </c>
      <c r="CP133" s="48" t="str">
        <f>+VLOOKUP(Tabla1[[#This Row],[ESPECÍFICA]],CLASIFICADOR_,2,0)</f>
        <v>2.5.4.1.2.1 - DERECHOS ADMINISTRATIVOS</v>
      </c>
      <c r="CQ133" s="48" t="str">
        <f>+VLOOKUP(Tabla1[[#This Row],[ESPECÍFICA]],CLASIFICADOR_,3,0)</f>
        <v>2.5.4.1 - AL GOBIERNO NACIONAL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2.5.OTROS GASTOS</v>
      </c>
      <c r="CX133" s="48" t="str">
        <f t="shared" si="17"/>
        <v>0009-OTI</v>
      </c>
      <c r="CY133" s="113" t="str">
        <f t="shared" si="18"/>
        <v>0009-OTI</v>
      </c>
      <c r="CZ133" s="20" t="str">
        <f t="shared" si="19"/>
        <v>0009-OTI</v>
      </c>
      <c r="DA133" s="113" t="str">
        <f>+CONCATENATE(Tabla1[[#This Row],[CC COMPLETO]],Tabla1[[#This Row],[ESPECÍFICA]])</f>
        <v>0009-OTI2.5.4.1.2.1</v>
      </c>
      <c r="DB133" s="49">
        <f t="shared" si="20"/>
        <v>5375.8</v>
      </c>
      <c r="DC133" s="49">
        <f t="shared" si="21"/>
        <v>5375.8</v>
      </c>
      <c r="DD133" s="49">
        <f t="shared" si="22"/>
        <v>5375.8</v>
      </c>
      <c r="DE133" s="49">
        <f t="shared" si="23"/>
        <v>243</v>
      </c>
      <c r="DF133" s="49">
        <f t="shared" si="24"/>
        <v>0.6999999999998181</v>
      </c>
      <c r="DG133" s="49">
        <f t="shared" si="25"/>
        <v>1279.5</v>
      </c>
      <c r="DH133" s="49">
        <f t="shared" si="26"/>
        <v>1523.1999999999998</v>
      </c>
      <c r="DI133" s="50">
        <f t="shared" si="27"/>
        <v>0</v>
      </c>
      <c r="DJ133" s="78">
        <f>+SUM(Tabla1[[#This Row],[EJECUTADO 01]:[EJECUTADO 06]])</f>
        <v>3368.1</v>
      </c>
      <c r="DK133" s="78">
        <f>+Tabla1[[#This Row],[mto_devenga_01]]</f>
        <v>0</v>
      </c>
      <c r="DL133" s="78">
        <f>+Tabla1[[#This Row],[mto_devenga_02]]</f>
        <v>226.8</v>
      </c>
      <c r="DM133" s="78">
        <f>+Tabla1[[#This Row],[mto_devenga_03]]</f>
        <v>1116.9000000000001</v>
      </c>
      <c r="DN133" s="78">
        <f>+Tabla1[[#This Row],[mto_devenga_04]]</f>
        <v>1005.9</v>
      </c>
      <c r="DO133" s="78">
        <f>+Tabla1[[#This Row],[mto_devenga_05]]</f>
        <v>621.6</v>
      </c>
      <c r="DP133" s="76">
        <f>+Tabla1[[#This Row],[mto_devenga_06]]</f>
        <v>396.9</v>
      </c>
      <c r="DQ133" s="76">
        <f>+Tabla1[[#This Row],[mto_devenga_07]]</f>
        <v>358.9</v>
      </c>
      <c r="DR133" s="76">
        <f>+Tabla1[[#This Row],[mto_devenga_08]]</f>
        <v>336.6</v>
      </c>
      <c r="DS133" s="76">
        <f>+Tabla1[[#This Row],[mto_devenga_09]]</f>
        <v>662.1</v>
      </c>
      <c r="DT133" s="76">
        <f>IFERROR(VLOOKUP(Tabla1[[#This Row],[COD SE]],PF_OCTUBRE,14,0),"0")</f>
        <v>530</v>
      </c>
      <c r="DU133" s="76">
        <f>IFERROR(VLOOKUP(Tabla1[[#This Row],[COD SE]],PF_OCTUBRE,15,0),"0")</f>
        <v>532.20000000000005</v>
      </c>
      <c r="DV133" s="76">
        <f>IFERROR(VLOOKUP(Tabla1[[#This Row],[COD SE]],PF_OCTUBRE,16,0),"0")</f>
        <v>868.1</v>
      </c>
      <c r="DW133" s="76">
        <f>+SUM(Tabla1[[#This Row],[EJECUTADO 01]:[PF DICIEMBRE
]])</f>
        <v>6656</v>
      </c>
      <c r="DX133" s="76">
        <f>IFERROR(VLOOKUP(Tabla1[[#This Row],[COD SE]],PF_OCTUBRE,18,0),"0")</f>
        <v>0</v>
      </c>
      <c r="DY133" s="76">
        <f>IFERROR(VLOOKUP(Tabla1[[#This Row],[COD SE]],PF_OCTUBRE,19,0),"0")</f>
        <v>0</v>
      </c>
      <c r="DZ133" s="76">
        <f>IFERROR(VLOOKUP(Tabla1[[#This Row],[COD SE]],PF_OCTUBRE,20,0),"0")</f>
        <v>0</v>
      </c>
      <c r="EA133" s="76">
        <f>+Tabla1[[#This Row],[TOTAL EJEC REAL]]+Tabla1[[#This Row],[SALDO FINAL]]</f>
        <v>6656</v>
      </c>
      <c r="EB133" s="76">
        <f>IFERROR(VLOOKUP(Tabla1[[#This Row],[COD SE]],PF_OCTUBRE,22,0),"0")</f>
        <v>868.1</v>
      </c>
      <c r="EC133" s="76">
        <f>+IFERROR(VLOOKUP(Tabla1[[#This Row],[COD SE]],SALDO_ESC_2,7,0),0)</f>
        <v>0</v>
      </c>
      <c r="ED133" s="76">
        <f>+IFERROR(VLOOKUP(Tabla1[[#This Row],[COD SE]],SALDO_ESC_3,7,0),0)</f>
        <v>0</v>
      </c>
      <c r="EE133" s="76">
        <f>+Tabla1[[#This Row],[mto_pim]]-Tabla1[[#This Row],[TRANSF ESC2 ]]</f>
        <v>6899</v>
      </c>
      <c r="EF133" s="76">
        <f>+Tabla1[[#This Row],[mto_pim]]-Tabla1[[#This Row],[TRANFS ESC 3 ]]</f>
        <v>6899</v>
      </c>
      <c r="EG133" s="76">
        <f>+IFERROR(VLOOKUP(Tabla1[[#This Row],[COD SE]],HISTORICO,4,0),0)</f>
        <v>0</v>
      </c>
      <c r="EH133" s="76">
        <f>+IFERROR(VLOOKUP(Tabla1[[#This Row],[COD SE]],HISTORICO,5,0),0)</f>
        <v>180</v>
      </c>
      <c r="EI133" s="76">
        <f>+IFERROR(VLOOKUP(Tabla1[[#This Row],[COD SE]],HISTORICO,6,0),0)</f>
        <v>1152</v>
      </c>
      <c r="EJ133" s="76">
        <f>+IFERROR(VLOOKUP(Tabla1[[#This Row],[COD SE]],HISTORICO,7,0),0)</f>
        <v>963.1</v>
      </c>
      <c r="EK133" s="76">
        <f>+IFERROR(VLOOKUP(Tabla1[[#This Row],[COD SE]],HISTORICO,8,0),0)</f>
        <v>580</v>
      </c>
      <c r="EL133" s="76">
        <f>+IFERROR(VLOOKUP(Tabla1[[#This Row],[COD SE]],HISTORICO,9,0),0)</f>
        <v>530.4</v>
      </c>
      <c r="EM133" s="76">
        <f>+IFERROR(VLOOKUP(Tabla1[[#This Row],[COD SE]],HISTORICO,10,0),0)</f>
        <v>763.2</v>
      </c>
      <c r="EN133" s="76">
        <f>+IFERROR(VLOOKUP(Tabla1[[#This Row],[COD SE]],HISTORICO,11,0),0)</f>
        <v>550</v>
      </c>
      <c r="EO133" s="76">
        <f>+IFERROR(VLOOKUP(Tabla1[[#This Row],[COD SE]],HISTORICO,12,0),0)</f>
        <v>520</v>
      </c>
      <c r="EP133" s="58">
        <f>+SUM(Tabla1[[#This Row],[EJECUTADO 01]:[EJECUTADO 03]])</f>
        <v>1343.7</v>
      </c>
      <c r="EQ133" s="58">
        <f>+SUM(Tabla1[[#This Row],[EJECUTADO 04]:[EJECUTADO 06]])</f>
        <v>2024.4</v>
      </c>
      <c r="ER133" s="58">
        <f>+SUM(Tabla1[[#This Row],[EJECUTADO 07]:[EJECUTADO 09]])</f>
        <v>1357.6</v>
      </c>
      <c r="ES133" s="58">
        <f>+SUM(Tabla1[[#This Row],[PF OCTUBRE]:[PF DICIEMBRE
]])</f>
        <v>1930.3000000000002</v>
      </c>
      <c r="ET133" s="58">
        <f>+SUM(Tabla1[[#This Row],[EJECUTADO 01]:[EJECUTADO 09]])</f>
        <v>4725.7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1678</v>
      </c>
      <c r="AF134" s="369" t="s">
        <v>1740</v>
      </c>
      <c r="AG134" s="369" t="s">
        <v>1744</v>
      </c>
      <c r="AH134" s="369">
        <v>236000</v>
      </c>
      <c r="AI134" s="369">
        <v>-99500</v>
      </c>
      <c r="AJ134" s="369">
        <v>136500</v>
      </c>
      <c r="AK134" s="370">
        <v>136500</v>
      </c>
      <c r="AL134" s="370">
        <v>136500</v>
      </c>
      <c r="AM134" s="370">
        <v>36000</v>
      </c>
      <c r="AN134" s="370">
        <v>36000</v>
      </c>
      <c r="AO134" s="370">
        <v>0</v>
      </c>
      <c r="AP134" s="370">
        <v>0</v>
      </c>
      <c r="AQ134" s="370">
        <v>24000</v>
      </c>
      <c r="AR134" s="370">
        <v>0</v>
      </c>
      <c r="AS134" s="370">
        <v>40500</v>
      </c>
      <c r="AT134" s="370">
        <v>0</v>
      </c>
      <c r="AU134" s="370">
        <v>0</v>
      </c>
      <c r="AV134" s="370">
        <v>0</v>
      </c>
      <c r="AW134" s="370">
        <v>0</v>
      </c>
      <c r="AX134" s="370">
        <v>0</v>
      </c>
      <c r="AY134" s="370">
        <v>0</v>
      </c>
      <c r="AZ134" s="370">
        <v>0</v>
      </c>
      <c r="BA134" s="370">
        <v>24000</v>
      </c>
      <c r="BB134" s="370">
        <v>36000</v>
      </c>
      <c r="BC134" s="370">
        <v>12000</v>
      </c>
      <c r="BD134" s="370">
        <v>12000</v>
      </c>
      <c r="BE134" s="370">
        <v>12000</v>
      </c>
      <c r="BF134" s="370">
        <v>40500</v>
      </c>
      <c r="BG134" s="370">
        <v>0</v>
      </c>
      <c r="BH134" s="370">
        <v>0</v>
      </c>
      <c r="BI134" s="370">
        <v>0</v>
      </c>
      <c r="BJ134" s="370">
        <v>0</v>
      </c>
      <c r="BK134" s="370">
        <v>0</v>
      </c>
      <c r="BL134" s="370">
        <v>0</v>
      </c>
      <c r="BM134" s="370">
        <v>24000</v>
      </c>
      <c r="BN134" s="370">
        <v>24000</v>
      </c>
      <c r="BO134" s="370">
        <v>24000</v>
      </c>
      <c r="BP134" s="370">
        <v>12000</v>
      </c>
      <c r="BQ134" s="370">
        <v>12000</v>
      </c>
      <c r="BR134" s="370">
        <v>40500</v>
      </c>
      <c r="BS134" s="370">
        <v>0</v>
      </c>
      <c r="BT134" s="370">
        <v>0</v>
      </c>
      <c r="BU134" s="370">
        <v>0</v>
      </c>
      <c r="BV134" s="370">
        <v>0</v>
      </c>
      <c r="BW134" s="370">
        <v>36000</v>
      </c>
      <c r="BX134" s="370">
        <v>36000</v>
      </c>
      <c r="BY134" s="370">
        <v>0</v>
      </c>
      <c r="BZ134" s="370">
        <v>0</v>
      </c>
      <c r="CA134" s="370">
        <v>24000</v>
      </c>
      <c r="CB134" s="370">
        <v>0</v>
      </c>
      <c r="CC134" s="370">
        <v>40500</v>
      </c>
      <c r="CD134" s="370">
        <v>0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1989</v>
      </c>
      <c r="CM134" s="48" t="s">
        <v>1993</v>
      </c>
      <c r="CN134" s="48" t="s">
        <v>1998</v>
      </c>
      <c r="CO134" s="48" t="str">
        <f t="shared" si="28"/>
        <v>2.3.2.7.4.99</v>
      </c>
      <c r="CP134" s="48" t="str">
        <f>+VLOOKUP(Tabla1[[#This Row],[ESPECÍFICA]],CLASIFICADOR_,2,0)</f>
        <v>2.3.2.7.4.99 - OTROS SERVICIOS DE INFORMATICA</v>
      </c>
      <c r="CQ134" s="48" t="str">
        <f>+VLOOKUP(Tabla1[[#This Row],[ESPECÍFICA]],CLASIFICADOR_,3,0)</f>
        <v>2.3.2.7 - SERVICIOS PROFESIONALES Y TECNICOS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9">+VLOOKUP(U134,CC_COMPLETO,2,0)</f>
        <v>0009-OTI</v>
      </c>
      <c r="CY134" s="113" t="str">
        <f t="shared" ref="CY134:CY197" si="30">+VLOOKUP(U134,CC_COMPLETO,3,0)</f>
        <v>0009-OTI</v>
      </c>
      <c r="CZ134" s="20" t="str">
        <f t="shared" ref="CZ134:CZ197" si="31">+VLOOKUP(U134,CC_COMPLETO,4,0)</f>
        <v>0009-OTI</v>
      </c>
      <c r="DA134" s="113" t="str">
        <f>+CONCATENATE(Tabla1[[#This Row],[CC COMPLETO]],Tabla1[[#This Row],[ESPECÍFICA]])</f>
        <v>0009-OTI2.3.2.7.4.99</v>
      </c>
      <c r="DB134" s="49">
        <f t="shared" ref="DB134:DB197" si="32">SUM(AM134:AX134)</f>
        <v>136500</v>
      </c>
      <c r="DC134" s="49">
        <f t="shared" ref="DC134:DC197" si="33">+SUM(AY134:BJ134)</f>
        <v>136500</v>
      </c>
      <c r="DD134" s="49">
        <f t="shared" ref="DD134:DD197" si="34">+SUM(BK134:BV134)</f>
        <v>136500</v>
      </c>
      <c r="DE134" s="49">
        <f t="shared" ref="DE134:DE197" si="35">+AJ134-AK134</f>
        <v>0</v>
      </c>
      <c r="DF134" s="49">
        <f t="shared" ref="DF134:DF197" si="36">+AK134-AL134</f>
        <v>0</v>
      </c>
      <c r="DG134" s="49">
        <f t="shared" ref="DG134:DG197" si="37">+AL134-DC134</f>
        <v>0</v>
      </c>
      <c r="DH134" s="49">
        <f t="shared" ref="DH134:DH197" si="38">+AJ134-DC134</f>
        <v>0</v>
      </c>
      <c r="DI134" s="50">
        <f t="shared" ref="DI134:DI197" si="39">+IFERROR((DC134/AH134),0)</f>
        <v>0.57838983050847459</v>
      </c>
      <c r="DJ134" s="78">
        <f>+SUM(Tabla1[[#This Row],[EJECUTADO 01]:[EJECUTADO 06]])</f>
        <v>84000</v>
      </c>
      <c r="DK134" s="78">
        <f>+Tabla1[[#This Row],[mto_devenga_01]]</f>
        <v>0</v>
      </c>
      <c r="DL134" s="78">
        <f>+Tabla1[[#This Row],[mto_devenga_02]]</f>
        <v>0</v>
      </c>
      <c r="DM134" s="78">
        <f>+Tabla1[[#This Row],[mto_devenga_03]]</f>
        <v>24000</v>
      </c>
      <c r="DN134" s="78">
        <f>+Tabla1[[#This Row],[mto_devenga_04]]</f>
        <v>36000</v>
      </c>
      <c r="DO134" s="78">
        <f>+Tabla1[[#This Row],[mto_devenga_05]]</f>
        <v>12000</v>
      </c>
      <c r="DP134" s="76">
        <f>+Tabla1[[#This Row],[mto_devenga_06]]</f>
        <v>12000</v>
      </c>
      <c r="DQ134" s="76">
        <f>+Tabla1[[#This Row],[mto_devenga_07]]</f>
        <v>12000</v>
      </c>
      <c r="DR134" s="76">
        <f>+Tabla1[[#This Row],[mto_devenga_08]]</f>
        <v>40500</v>
      </c>
      <c r="DS134" s="76">
        <f>+Tabla1[[#This Row],[mto_devenga_09]]</f>
        <v>0</v>
      </c>
      <c r="DT134" s="76">
        <f>IFERROR(VLOOKUP(Tabla1[[#This Row],[COD SE]],PF_OCTUBRE,14,0),"0")</f>
        <v>0</v>
      </c>
      <c r="DU134" s="76">
        <f>IFERROR(VLOOKUP(Tabla1[[#This Row],[COD SE]],PF_OCTUBRE,15,0),"0")</f>
        <v>0</v>
      </c>
      <c r="DV134" s="76">
        <f>IFERROR(VLOOKUP(Tabla1[[#This Row],[COD SE]],PF_OCTUBRE,16,0),"0")</f>
        <v>6100</v>
      </c>
      <c r="DW134" s="76">
        <f>+SUM(Tabla1[[#This Row],[EJECUTADO 01]:[PF DICIEMBRE
]])</f>
        <v>142600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142600</v>
      </c>
      <c r="EB134" s="76">
        <f>IFERROR(VLOOKUP(Tabla1[[#This Row],[COD SE]],PF_OCTUBRE,22,0),"0")</f>
        <v>6100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136500</v>
      </c>
      <c r="EF134" s="76">
        <f>+Tabla1[[#This Row],[mto_pim]]-Tabla1[[#This Row],[TRANFS ESC 3 ]]</f>
        <v>136500</v>
      </c>
      <c r="EG134" s="76">
        <f>+IFERROR(VLOOKUP(Tabla1[[#This Row],[COD SE]],HISTORICO,4,0),0)</f>
        <v>0</v>
      </c>
      <c r="EH134" s="76">
        <f>+IFERROR(VLOOKUP(Tabla1[[#This Row],[COD SE]],HISTORICO,5,0),0)</f>
        <v>0</v>
      </c>
      <c r="EI134" s="76">
        <f>+IFERROR(VLOOKUP(Tabla1[[#This Row],[COD SE]],HISTORICO,6,0),0)</f>
        <v>27500</v>
      </c>
      <c r="EJ134" s="76">
        <f>+IFERROR(VLOOKUP(Tabla1[[#This Row],[COD SE]],HISTORICO,7,0),0)</f>
        <v>24000</v>
      </c>
      <c r="EK134" s="76">
        <f>+IFERROR(VLOOKUP(Tabla1[[#This Row],[COD SE]],HISTORICO,8,0),0)</f>
        <v>16500</v>
      </c>
      <c r="EL134" s="76">
        <f>+IFERROR(VLOOKUP(Tabla1[[#This Row],[COD SE]],HISTORICO,9,0),0)</f>
        <v>12000</v>
      </c>
      <c r="EM134" s="76">
        <f>+IFERROR(VLOOKUP(Tabla1[[#This Row],[COD SE]],HISTORICO,10,0),0)</f>
        <v>52500</v>
      </c>
      <c r="EN134" s="76">
        <f>+IFERROR(VLOOKUP(Tabla1[[#This Row],[COD SE]],HISTORICO,11,0),0)</f>
        <v>49500</v>
      </c>
      <c r="EO134" s="76">
        <f>+IFERROR(VLOOKUP(Tabla1[[#This Row],[COD SE]],HISTORICO,12,0),0)</f>
        <v>0</v>
      </c>
      <c r="EP134" s="58">
        <f>+SUM(Tabla1[[#This Row],[EJECUTADO 01]:[EJECUTADO 03]])</f>
        <v>24000</v>
      </c>
      <c r="EQ134" s="58">
        <f>+SUM(Tabla1[[#This Row],[EJECUTADO 04]:[EJECUTADO 06]])</f>
        <v>60000</v>
      </c>
      <c r="ER134" s="58">
        <f>+SUM(Tabla1[[#This Row],[EJECUTADO 07]:[EJECUTADO 09]])</f>
        <v>52500</v>
      </c>
      <c r="ES134" s="58">
        <f>+SUM(Tabla1[[#This Row],[PF OCTUBRE]:[PF DICIEMBRE
]])</f>
        <v>6100</v>
      </c>
      <c r="ET134" s="58">
        <f>+SUM(Tabla1[[#This Row],[EJECUTADO 01]:[EJECUTADO 09]])</f>
        <v>136500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1678</v>
      </c>
      <c r="AF135" s="369" t="s">
        <v>1740</v>
      </c>
      <c r="AG135" s="369" t="s">
        <v>1741</v>
      </c>
      <c r="AH135" s="369">
        <v>542000</v>
      </c>
      <c r="AI135" s="369">
        <v>-468600</v>
      </c>
      <c r="AJ135" s="369">
        <v>73400</v>
      </c>
      <c r="AK135" s="370">
        <v>30600</v>
      </c>
      <c r="AL135" s="370">
        <v>30600</v>
      </c>
      <c r="AM135" s="370">
        <v>0</v>
      </c>
      <c r="AN135" s="370">
        <v>12600</v>
      </c>
      <c r="AO135" s="370">
        <v>0</v>
      </c>
      <c r="AP135" s="370">
        <v>12000</v>
      </c>
      <c r="AQ135" s="370">
        <v>0</v>
      </c>
      <c r="AR135" s="370">
        <v>0</v>
      </c>
      <c r="AS135" s="370">
        <v>6000</v>
      </c>
      <c r="AT135" s="370">
        <v>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0</v>
      </c>
      <c r="AZ135" s="370">
        <v>0</v>
      </c>
      <c r="BA135" s="370">
        <v>0</v>
      </c>
      <c r="BB135" s="370">
        <v>6300</v>
      </c>
      <c r="BC135" s="370">
        <v>6300</v>
      </c>
      <c r="BD135" s="370">
        <v>6000</v>
      </c>
      <c r="BE135" s="370">
        <v>0</v>
      </c>
      <c r="BF135" s="370">
        <v>6000</v>
      </c>
      <c r="BG135" s="370">
        <v>6000</v>
      </c>
      <c r="BH135" s="370">
        <v>0</v>
      </c>
      <c r="BI135" s="370">
        <v>0</v>
      </c>
      <c r="BJ135" s="370">
        <v>0</v>
      </c>
      <c r="BK135" s="370">
        <v>0</v>
      </c>
      <c r="BL135" s="370">
        <v>0</v>
      </c>
      <c r="BM135" s="370">
        <v>0</v>
      </c>
      <c r="BN135" s="370">
        <v>6300</v>
      </c>
      <c r="BO135" s="370">
        <v>6300</v>
      </c>
      <c r="BP135" s="370">
        <v>6000</v>
      </c>
      <c r="BQ135" s="370">
        <v>0</v>
      </c>
      <c r="BR135" s="370">
        <v>6000</v>
      </c>
      <c r="BS135" s="370">
        <v>6000</v>
      </c>
      <c r="BT135" s="370">
        <v>0</v>
      </c>
      <c r="BU135" s="370">
        <v>0</v>
      </c>
      <c r="BV135" s="370">
        <v>0</v>
      </c>
      <c r="BW135" s="370">
        <v>0</v>
      </c>
      <c r="BX135" s="370">
        <v>12600</v>
      </c>
      <c r="BY135" s="370">
        <v>0</v>
      </c>
      <c r="BZ135" s="370">
        <v>12000</v>
      </c>
      <c r="CA135" s="370">
        <v>0</v>
      </c>
      <c r="CB135" s="370">
        <v>0</v>
      </c>
      <c r="CC135" s="370">
        <v>6000</v>
      </c>
      <c r="CD135" s="370">
        <v>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1989</v>
      </c>
      <c r="CM135" s="48" t="s">
        <v>1993</v>
      </c>
      <c r="CN135" s="48" t="s">
        <v>1990</v>
      </c>
      <c r="CO135" s="48" t="str">
        <f t="shared" ref="CO135:CO184" si="40">+CONCATENATE(CI135,".",CJ135,".",CK135,".",CL135,".",CM135,".",CN135)</f>
        <v>2.3.2.7.4.1</v>
      </c>
      <c r="CP135" s="48" t="str">
        <f>+VLOOKUP(Tabla1[[#This Row],[ESPECÍFICA]],CLASIFICADOR_,2,0)</f>
        <v>2.3.2.7.4.1 - ELABORACION DE PROGRAMAS INFORMATICOS</v>
      </c>
      <c r="CQ135" s="48" t="str">
        <f>+VLOOKUP(Tabla1[[#This Row],[ESPECÍFICA]],CLASIFICADOR_,3,0)</f>
        <v>2.3.2.7 - SERVICIOS PROFESIONALES Y TECNICOS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9"/>
        <v>0009-OTI</v>
      </c>
      <c r="CY135" s="113" t="str">
        <f t="shared" si="30"/>
        <v>0009-OTI</v>
      </c>
      <c r="CZ135" s="20" t="str">
        <f t="shared" si="31"/>
        <v>0009-OTI</v>
      </c>
      <c r="DA135" s="113" t="str">
        <f>+CONCATENATE(Tabla1[[#This Row],[CC COMPLETO]],Tabla1[[#This Row],[ESPECÍFICA]])</f>
        <v>0009-OTI2.3.2.7.4.1</v>
      </c>
      <c r="DB135" s="49">
        <f t="shared" si="32"/>
        <v>30600</v>
      </c>
      <c r="DC135" s="49">
        <f t="shared" si="33"/>
        <v>30600</v>
      </c>
      <c r="DD135" s="49">
        <f t="shared" si="34"/>
        <v>30600</v>
      </c>
      <c r="DE135" s="49">
        <f t="shared" si="35"/>
        <v>42800</v>
      </c>
      <c r="DF135" s="49">
        <f t="shared" si="36"/>
        <v>0</v>
      </c>
      <c r="DG135" s="49">
        <f t="shared" si="37"/>
        <v>0</v>
      </c>
      <c r="DH135" s="49">
        <f t="shared" si="38"/>
        <v>42800</v>
      </c>
      <c r="DI135" s="50">
        <f t="shared" si="39"/>
        <v>5.6457564575645755E-2</v>
      </c>
      <c r="DJ135" s="78">
        <f>+SUM(Tabla1[[#This Row],[EJECUTADO 01]:[EJECUTADO 06]])</f>
        <v>18600</v>
      </c>
      <c r="DK135" s="78">
        <f>+Tabla1[[#This Row],[mto_devenga_01]]</f>
        <v>0</v>
      </c>
      <c r="DL135" s="78">
        <f>+Tabla1[[#This Row],[mto_devenga_02]]</f>
        <v>0</v>
      </c>
      <c r="DM135" s="78">
        <f>+Tabla1[[#This Row],[mto_devenga_03]]</f>
        <v>0</v>
      </c>
      <c r="DN135" s="78">
        <f>+Tabla1[[#This Row],[mto_devenga_04]]</f>
        <v>6300</v>
      </c>
      <c r="DO135" s="78">
        <f>+Tabla1[[#This Row],[mto_devenga_05]]</f>
        <v>6300</v>
      </c>
      <c r="DP135" s="76">
        <f>+Tabla1[[#This Row],[mto_devenga_06]]</f>
        <v>6000</v>
      </c>
      <c r="DQ135" s="76">
        <f>+Tabla1[[#This Row],[mto_devenga_07]]</f>
        <v>0</v>
      </c>
      <c r="DR135" s="76">
        <f>+Tabla1[[#This Row],[mto_devenga_08]]</f>
        <v>6000</v>
      </c>
      <c r="DS135" s="76">
        <f>+Tabla1[[#This Row],[mto_devenga_09]]</f>
        <v>6000</v>
      </c>
      <c r="DT135" s="76">
        <f>IFERROR(VLOOKUP(Tabla1[[#This Row],[COD SE]],PF_OCTUBRE,14,0),"0")</f>
        <v>0</v>
      </c>
      <c r="DU135" s="76">
        <f>IFERROR(VLOOKUP(Tabla1[[#This Row],[COD SE]],PF_OCTUBRE,15,0),"0")</f>
        <v>0</v>
      </c>
      <c r="DV135" s="76">
        <f>IFERROR(VLOOKUP(Tabla1[[#This Row],[COD SE]],PF_OCTUBRE,16,0),"0")</f>
        <v>3599</v>
      </c>
      <c r="DW135" s="76">
        <f>+SUM(Tabla1[[#This Row],[EJECUTADO 01]:[PF DICIEMBRE
]])</f>
        <v>34199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34199</v>
      </c>
      <c r="EB135" s="76">
        <f>IFERROR(VLOOKUP(Tabla1[[#This Row],[COD SE]],PF_OCTUBRE,22,0),"0")</f>
        <v>3599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73400</v>
      </c>
      <c r="EF135" s="76">
        <f>+Tabla1[[#This Row],[mto_pim]]-Tabla1[[#This Row],[TRANFS ESC 3 ]]</f>
        <v>73400</v>
      </c>
      <c r="EG135" s="76">
        <f>+IFERROR(VLOOKUP(Tabla1[[#This Row],[COD SE]],HISTORICO,4,0),0)</f>
        <v>0</v>
      </c>
      <c r="EH135" s="76">
        <f>+IFERROR(VLOOKUP(Tabla1[[#This Row],[COD SE]],HISTORICO,5,0),0)</f>
        <v>0</v>
      </c>
      <c r="EI135" s="76">
        <f>+IFERROR(VLOOKUP(Tabla1[[#This Row],[COD SE]],HISTORICO,6,0),0)</f>
        <v>1400</v>
      </c>
      <c r="EJ135" s="76">
        <f>+IFERROR(VLOOKUP(Tabla1[[#This Row],[COD SE]],HISTORICO,7,0),0)</f>
        <v>6300</v>
      </c>
      <c r="EK135" s="76">
        <f>+IFERROR(VLOOKUP(Tabla1[[#This Row],[COD SE]],HISTORICO,8,0),0)</f>
        <v>12300</v>
      </c>
      <c r="EL135" s="76">
        <f>+IFERROR(VLOOKUP(Tabla1[[#This Row],[COD SE]],HISTORICO,9,0),0)</f>
        <v>6000</v>
      </c>
      <c r="EM135" s="76">
        <f>+IFERROR(VLOOKUP(Tabla1[[#This Row],[COD SE]],HISTORICO,10,0),0)</f>
        <v>0</v>
      </c>
      <c r="EN135" s="76">
        <f>+IFERROR(VLOOKUP(Tabla1[[#This Row],[COD SE]],HISTORICO,11,0),0)</f>
        <v>12000</v>
      </c>
      <c r="EO135" s="76">
        <f>+IFERROR(VLOOKUP(Tabla1[[#This Row],[COD SE]],HISTORICO,12,0),0)</f>
        <v>6000</v>
      </c>
      <c r="EP135" s="58">
        <f>+SUM(Tabla1[[#This Row],[EJECUTADO 01]:[EJECUTADO 03]])</f>
        <v>0</v>
      </c>
      <c r="EQ135" s="58">
        <f>+SUM(Tabla1[[#This Row],[EJECUTADO 04]:[EJECUTADO 06]])</f>
        <v>18600</v>
      </c>
      <c r="ER135" s="58">
        <f>+SUM(Tabla1[[#This Row],[EJECUTADO 07]:[EJECUTADO 09]])</f>
        <v>12000</v>
      </c>
      <c r="ES135" s="58">
        <f>+SUM(Tabla1[[#This Row],[PF OCTUBRE]:[PF DICIEMBRE
]])</f>
        <v>3599</v>
      </c>
      <c r="ET135" s="58">
        <f>+SUM(Tabla1[[#This Row],[EJECUTADO 01]:[EJECUTADO 09]])</f>
        <v>30600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1656</v>
      </c>
      <c r="AD136" s="369" t="s">
        <v>2006</v>
      </c>
      <c r="AE136" s="369" t="s">
        <v>2007</v>
      </c>
      <c r="AF136" s="369" t="s">
        <v>2007</v>
      </c>
      <c r="AG136" s="369" t="s">
        <v>2015</v>
      </c>
      <c r="AH136" s="369">
        <v>0</v>
      </c>
      <c r="AI136" s="369">
        <v>44296</v>
      </c>
      <c r="AJ136" s="369">
        <v>44296</v>
      </c>
      <c r="AK136" s="370">
        <v>44296</v>
      </c>
      <c r="AL136" s="370">
        <v>31695.47</v>
      </c>
      <c r="AM136" s="370">
        <v>0</v>
      </c>
      <c r="AN136" s="370">
        <v>0</v>
      </c>
      <c r="AO136" s="370">
        <v>0</v>
      </c>
      <c r="AP136" s="370">
        <v>3693.92</v>
      </c>
      <c r="AQ136" s="370">
        <v>17515.919999999998</v>
      </c>
      <c r="AR136" s="370">
        <v>0</v>
      </c>
      <c r="AS136" s="370">
        <v>0</v>
      </c>
      <c r="AT136" s="370">
        <v>0</v>
      </c>
      <c r="AU136" s="370">
        <v>10483.209999999999</v>
      </c>
      <c r="AV136" s="370">
        <v>0</v>
      </c>
      <c r="AW136" s="370">
        <v>0</v>
      </c>
      <c r="AX136" s="370">
        <v>0</v>
      </c>
      <c r="AY136" s="370">
        <v>0</v>
      </c>
      <c r="AZ136" s="370">
        <v>0</v>
      </c>
      <c r="BA136" s="370">
        <v>0</v>
      </c>
      <c r="BB136" s="370">
        <v>3693.92</v>
      </c>
      <c r="BC136" s="370">
        <v>18016.45</v>
      </c>
      <c r="BD136" s="370">
        <v>-500.53</v>
      </c>
      <c r="BE136" s="370">
        <v>0</v>
      </c>
      <c r="BF136" s="370">
        <v>0</v>
      </c>
      <c r="BG136" s="370">
        <v>10483.209999999999</v>
      </c>
      <c r="BH136" s="370">
        <v>0</v>
      </c>
      <c r="BI136" s="370">
        <v>0</v>
      </c>
      <c r="BJ136" s="370">
        <v>0</v>
      </c>
      <c r="BK136" s="370">
        <v>0</v>
      </c>
      <c r="BL136" s="370">
        <v>0</v>
      </c>
      <c r="BM136" s="370">
        <v>0</v>
      </c>
      <c r="BN136" s="370">
        <v>3693.92</v>
      </c>
      <c r="BO136" s="370">
        <v>18016.45</v>
      </c>
      <c r="BP136" s="370">
        <v>-500.53</v>
      </c>
      <c r="BQ136" s="370">
        <v>0</v>
      </c>
      <c r="BR136" s="370">
        <v>0</v>
      </c>
      <c r="BS136" s="370">
        <v>0</v>
      </c>
      <c r="BT136" s="370">
        <v>10483.209999999999</v>
      </c>
      <c r="BU136" s="370">
        <v>0</v>
      </c>
      <c r="BV136" s="370">
        <v>0</v>
      </c>
      <c r="BW136" s="370">
        <v>0</v>
      </c>
      <c r="BX136" s="370">
        <v>0</v>
      </c>
      <c r="BY136" s="370">
        <v>0</v>
      </c>
      <c r="BZ136" s="370">
        <v>3693.92</v>
      </c>
      <c r="CA136" s="370">
        <v>17515.919999999998</v>
      </c>
      <c r="CB136" s="370">
        <v>0</v>
      </c>
      <c r="CC136" s="370">
        <v>0</v>
      </c>
      <c r="CD136" s="370">
        <v>0</v>
      </c>
      <c r="CE136" s="370">
        <v>8114.21</v>
      </c>
      <c r="CF136" s="370">
        <v>0</v>
      </c>
      <c r="CG136" s="370">
        <v>0</v>
      </c>
      <c r="CH136" s="370">
        <v>0</v>
      </c>
      <c r="CI136" s="48" t="s">
        <v>1987</v>
      </c>
      <c r="CJ136" s="48" t="s">
        <v>1990</v>
      </c>
      <c r="CK136" s="48" t="s">
        <v>1993</v>
      </c>
      <c r="CL136" s="48" t="s">
        <v>1990</v>
      </c>
      <c r="CM136" s="48" t="s">
        <v>1990</v>
      </c>
      <c r="CN136" s="48" t="s">
        <v>1989</v>
      </c>
      <c r="CO136" s="48" t="str">
        <f t="shared" si="40"/>
        <v>2.1.4.1.1.7</v>
      </c>
      <c r="CP136" s="48" t="str">
        <f>+VLOOKUP(Tabla1[[#This Row],[ESPECÍFICA]],CLASIFICADOR_,2,0)</f>
        <v>2.1.4.1.1.7 - VACACIONES TRUNCAS PERSONAL CAS</v>
      </c>
      <c r="CQ136" s="48" t="str">
        <f>+VLOOKUP(Tabla1[[#This Row],[ESPECÍFICA]],CLASIFICADOR_,3,0)</f>
        <v>01.CAS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2.1.PERSONAL Y OBLIGACIONES SOCIALES</v>
      </c>
      <c r="CX136" s="48" t="str">
        <f t="shared" si="29"/>
        <v>0009-OTI</v>
      </c>
      <c r="CY136" s="113" t="str">
        <f t="shared" si="30"/>
        <v>0009-OTI</v>
      </c>
      <c r="CZ136" s="20" t="str">
        <f t="shared" si="31"/>
        <v>0009-OTI</v>
      </c>
      <c r="DA136" s="113" t="str">
        <f>+CONCATENATE(Tabla1[[#This Row],[CC COMPLETO]],Tabla1[[#This Row],[ESPECÍFICA]])</f>
        <v>0009-OTI2.1.4.1.1.7</v>
      </c>
      <c r="DB136" s="49">
        <f t="shared" si="32"/>
        <v>31693.049999999996</v>
      </c>
      <c r="DC136" s="49">
        <f t="shared" si="33"/>
        <v>31693.050000000003</v>
      </c>
      <c r="DD136" s="49">
        <f t="shared" si="34"/>
        <v>31693.050000000003</v>
      </c>
      <c r="DE136" s="49">
        <f t="shared" si="35"/>
        <v>0</v>
      </c>
      <c r="DF136" s="49">
        <f t="shared" si="36"/>
        <v>12600.529999999999</v>
      </c>
      <c r="DG136" s="49">
        <f t="shared" si="37"/>
        <v>2.4199999999982538</v>
      </c>
      <c r="DH136" s="49">
        <f t="shared" si="38"/>
        <v>12602.949999999997</v>
      </c>
      <c r="DI136" s="50">
        <f t="shared" si="39"/>
        <v>0</v>
      </c>
      <c r="DJ136" s="78">
        <f>+SUM(Tabla1[[#This Row],[EJECUTADO 01]:[EJECUTADO 06]])</f>
        <v>21209.840000000004</v>
      </c>
      <c r="DK136" s="78">
        <f>+Tabla1[[#This Row],[mto_devenga_01]]</f>
        <v>0</v>
      </c>
      <c r="DL136" s="78">
        <f>+Tabla1[[#This Row],[mto_devenga_02]]</f>
        <v>0</v>
      </c>
      <c r="DM136" s="78">
        <f>+Tabla1[[#This Row],[mto_devenga_03]]</f>
        <v>0</v>
      </c>
      <c r="DN136" s="78">
        <f>+Tabla1[[#This Row],[mto_devenga_04]]</f>
        <v>3693.92</v>
      </c>
      <c r="DO136" s="78">
        <f>+Tabla1[[#This Row],[mto_devenga_05]]</f>
        <v>18016.45</v>
      </c>
      <c r="DP136" s="76">
        <f>+Tabla1[[#This Row],[mto_devenga_06]]</f>
        <v>-500.53</v>
      </c>
      <c r="DQ136" s="76">
        <f>+Tabla1[[#This Row],[mto_devenga_07]]</f>
        <v>0</v>
      </c>
      <c r="DR136" s="76">
        <f>+Tabla1[[#This Row],[mto_devenga_08]]</f>
        <v>0</v>
      </c>
      <c r="DS136" s="76">
        <f>+Tabla1[[#This Row],[mto_devenga_09]]</f>
        <v>10483.209999999999</v>
      </c>
      <c r="DT136" s="76">
        <f>IFERROR(VLOOKUP(Tabla1[[#This Row],[COD SE]],PF_OCTUBRE,14,0),"0")</f>
        <v>0</v>
      </c>
      <c r="DU136" s="76">
        <f>IFERROR(VLOOKUP(Tabla1[[#This Row],[COD SE]],PF_OCTUBRE,15,0),"0")</f>
        <v>0</v>
      </c>
      <c r="DV136" s="76">
        <f>IFERROR(VLOOKUP(Tabla1[[#This Row],[COD SE]],PF_OCTUBRE,16,0),"0")</f>
        <v>0.87</v>
      </c>
      <c r="DW136" s="76">
        <f>+SUM(Tabla1[[#This Row],[EJECUTADO 01]:[PF DICIEMBRE
]])</f>
        <v>31693.920000000002</v>
      </c>
      <c r="DX136" s="76">
        <f>IFERROR(VLOOKUP(Tabla1[[#This Row],[COD SE]],PF_OCTUBRE,18,0),"0")</f>
        <v>0</v>
      </c>
      <c r="DY136" s="76">
        <f>IFERROR(VLOOKUP(Tabla1[[#This Row],[COD SE]],PF_OCTUBRE,19,0),"0")</f>
        <v>502.08000000000004</v>
      </c>
      <c r="DZ136" s="76">
        <f>IFERROR(VLOOKUP(Tabla1[[#This Row],[COD SE]],PF_OCTUBRE,20,0),"0")</f>
        <v>502.08000000000004</v>
      </c>
      <c r="EA136" s="76">
        <f>+Tabla1[[#This Row],[TOTAL EJEC REAL]]+Tabla1[[#This Row],[SALDO FINAL]]</f>
        <v>32196.000000000004</v>
      </c>
      <c r="EB136" s="76">
        <f>IFERROR(VLOOKUP(Tabla1[[#This Row],[COD SE]],PF_OCTUBRE,22,0),"0")</f>
        <v>502.95000000000005</v>
      </c>
      <c r="EC136" s="76">
        <f>+IFERROR(VLOOKUP(Tabla1[[#This Row],[COD SE]],SALDO_ESC_2,7,0),0)</f>
        <v>0</v>
      </c>
      <c r="ED136" s="76">
        <f>+IFERROR(VLOOKUP(Tabla1[[#This Row],[COD SE]],SALDO_ESC_3,7,0),0)</f>
        <v>502.08000000000004</v>
      </c>
      <c r="EE136" s="76">
        <f>+Tabla1[[#This Row],[mto_pim]]-Tabla1[[#This Row],[TRANSF ESC2 ]]</f>
        <v>44296</v>
      </c>
      <c r="EF136" s="76">
        <f>+Tabla1[[#This Row],[mto_pim]]-Tabla1[[#This Row],[TRANFS ESC 3 ]]</f>
        <v>43793.919999999998</v>
      </c>
      <c r="EG136" s="76">
        <f>+IFERROR(VLOOKUP(Tabla1[[#This Row],[COD SE]],HISTORICO,4,0),0)</f>
        <v>0</v>
      </c>
      <c r="EH136" s="76">
        <f>+IFERROR(VLOOKUP(Tabla1[[#This Row],[COD SE]],HISTORICO,5,0),0)</f>
        <v>0</v>
      </c>
      <c r="EI136" s="76">
        <f>+IFERROR(VLOOKUP(Tabla1[[#This Row],[COD SE]],HISTORICO,6,0),0)</f>
        <v>3694</v>
      </c>
      <c r="EJ136" s="76">
        <f>+IFERROR(VLOOKUP(Tabla1[[#This Row],[COD SE]],HISTORICO,7,0),0)</f>
        <v>3694</v>
      </c>
      <c r="EK136" s="76">
        <f>+IFERROR(VLOOKUP(Tabla1[[#This Row],[COD SE]],HISTORICO,8,0),0)</f>
        <v>4584</v>
      </c>
      <c r="EL136" s="76">
        <f>+IFERROR(VLOOKUP(Tabla1[[#This Row],[COD SE]],HISTORICO,9,0),0)</f>
        <v>0</v>
      </c>
      <c r="EM136" s="76">
        <f>+IFERROR(VLOOKUP(Tabla1[[#This Row],[COD SE]],HISTORICO,10,0),0)</f>
        <v>0</v>
      </c>
      <c r="EN136" s="76">
        <f>+IFERROR(VLOOKUP(Tabla1[[#This Row],[COD SE]],HISTORICO,11,0),0)</f>
        <v>0</v>
      </c>
      <c r="EO136" s="76">
        <f>+IFERROR(VLOOKUP(Tabla1[[#This Row],[COD SE]],HISTORICO,12,0),0)</f>
        <v>0</v>
      </c>
      <c r="EP136" s="58">
        <f>+SUM(Tabla1[[#This Row],[EJECUTADO 01]:[EJECUTADO 03]])</f>
        <v>0</v>
      </c>
      <c r="EQ136" s="58">
        <f>+SUM(Tabla1[[#This Row],[EJECUTADO 04]:[EJECUTADO 06]])</f>
        <v>21209.840000000004</v>
      </c>
      <c r="ER136" s="58">
        <f>+SUM(Tabla1[[#This Row],[EJECUTADO 07]:[EJECUTADO 09]])</f>
        <v>10483.209999999999</v>
      </c>
      <c r="ES136" s="58">
        <f>+SUM(Tabla1[[#This Row],[PF OCTUBRE]:[PF DICIEMBRE
]])</f>
        <v>0.87</v>
      </c>
      <c r="ET136" s="58">
        <f>+SUM(Tabla1[[#This Row],[EJECUTADO 01]:[EJECUTADO 09]])</f>
        <v>31693.050000000003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1684</v>
      </c>
      <c r="AE137" s="369" t="s">
        <v>1719</v>
      </c>
      <c r="AF137" s="369" t="s">
        <v>1720</v>
      </c>
      <c r="AG137" s="369" t="s">
        <v>1729</v>
      </c>
      <c r="AH137" s="369">
        <v>4000</v>
      </c>
      <c r="AI137" s="369">
        <v>-4000</v>
      </c>
      <c r="AJ137" s="369">
        <v>0</v>
      </c>
      <c r="AK137" s="370">
        <v>0</v>
      </c>
      <c r="AL137" s="370">
        <v>0</v>
      </c>
      <c r="AM137" s="370">
        <v>0</v>
      </c>
      <c r="AN137" s="370">
        <v>0</v>
      </c>
      <c r="AO137" s="370">
        <v>0</v>
      </c>
      <c r="AP137" s="370">
        <v>0</v>
      </c>
      <c r="AQ137" s="370">
        <v>0</v>
      </c>
      <c r="AR137" s="370">
        <v>0</v>
      </c>
      <c r="AS137" s="370">
        <v>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0">
        <v>0</v>
      </c>
      <c r="BG137" s="370">
        <v>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0</v>
      </c>
      <c r="BO137" s="370">
        <v>0</v>
      </c>
      <c r="BP137" s="370">
        <v>0</v>
      </c>
      <c r="BQ137" s="370">
        <v>0</v>
      </c>
      <c r="BR137" s="370">
        <v>0</v>
      </c>
      <c r="BS137" s="370">
        <v>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0</v>
      </c>
      <c r="BY137" s="370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1990</v>
      </c>
      <c r="CL137" s="48" t="s">
        <v>1988</v>
      </c>
      <c r="CM137" s="48" t="s">
        <v>1990</v>
      </c>
      <c r="CN137" s="48" t="s">
        <v>1993</v>
      </c>
      <c r="CO137" s="48" t="str">
        <f t="shared" si="40"/>
        <v>2.3.1.6.1.4</v>
      </c>
      <c r="CP137" s="48" t="str">
        <f>+VLOOKUP(Tabla1[[#This Row],[ESPECÍFICA]],CLASIFICADOR_,2,0)</f>
        <v>2.3.1.6.1.4 - DE SEGURIDAD</v>
      </c>
      <c r="CQ137" s="48" t="str">
        <f>+VLOOKUP(Tabla1[[#This Row],[ESPECÍFICA]],CLASIFICADOR_,3,0)</f>
        <v>2.3.1.6 - REPUESTOS Y ACCESORIOS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Partidas restringidas</v>
      </c>
      <c r="CU137" s="48" t="str">
        <f>+VLOOKUP(Tabla1[[#This Row],[ESPECÍFICA]],CLASIFICADOR_,7,0)</f>
        <v>9.6 Hasta el 1er Semestre</v>
      </c>
      <c r="CV137" s="48">
        <f>+VLOOKUP(Tabla1[[#This Row],[ESPECÍFICA]],CLASIFICADOR_,8,0)</f>
        <v>1</v>
      </c>
      <c r="CW137" s="113" t="str">
        <f>+CONCATENATE("2.",Tabla1[[#This Row],[generica]])</f>
        <v>2.3.BIENES Y SERVICIOS</v>
      </c>
      <c r="CX137" s="48" t="str">
        <f t="shared" si="29"/>
        <v>0009-OTI</v>
      </c>
      <c r="CY137" s="113" t="str">
        <f t="shared" si="30"/>
        <v>0009-OTI</v>
      </c>
      <c r="CZ137" s="20" t="str">
        <f t="shared" si="31"/>
        <v>0009-OTI</v>
      </c>
      <c r="DA137" s="113" t="str">
        <f>+CONCATENATE(Tabla1[[#This Row],[CC COMPLETO]],Tabla1[[#This Row],[ESPECÍFICA]])</f>
        <v>0009-OTI2.3.1.6.1.4</v>
      </c>
      <c r="DB137" s="49">
        <f t="shared" si="32"/>
        <v>0</v>
      </c>
      <c r="DC137" s="49">
        <f t="shared" si="33"/>
        <v>0</v>
      </c>
      <c r="DD137" s="49">
        <f t="shared" si="34"/>
        <v>0</v>
      </c>
      <c r="DE137" s="49">
        <f t="shared" si="35"/>
        <v>0</v>
      </c>
      <c r="DF137" s="49">
        <f t="shared" si="36"/>
        <v>0</v>
      </c>
      <c r="DG137" s="49">
        <f t="shared" si="37"/>
        <v>0</v>
      </c>
      <c r="DH137" s="49">
        <f t="shared" si="38"/>
        <v>0</v>
      </c>
      <c r="DI137" s="50">
        <f t="shared" si="39"/>
        <v>0</v>
      </c>
      <c r="DJ137" s="78">
        <f>+SUM(Tabla1[[#This Row],[EJECUTADO 01]:[EJECUTADO 06]])</f>
        <v>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0</v>
      </c>
      <c r="DO137" s="78">
        <f>+Tabla1[[#This Row],[mto_devenga_05]]</f>
        <v>0</v>
      </c>
      <c r="DP137" s="76">
        <f>+Tabla1[[#This Row],[mto_devenga_06]]</f>
        <v>0</v>
      </c>
      <c r="DQ137" s="76">
        <f>+Tabla1[[#This Row],[mto_devenga_07]]</f>
        <v>0</v>
      </c>
      <c r="DR137" s="76">
        <f>+Tabla1[[#This Row],[mto_devenga_08]]</f>
        <v>0</v>
      </c>
      <c r="DS137" s="76">
        <f>+Tabla1[[#This Row],[mto_devenga_09]]</f>
        <v>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0</v>
      </c>
      <c r="DW137" s="76">
        <f>+SUM(Tabla1[[#This Row],[EJECUTADO 01]:[PF DICIEMBRE
]])</f>
        <v>0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0</v>
      </c>
      <c r="EB137" s="76">
        <f>IFERROR(VLOOKUP(Tabla1[[#This Row],[COD SE]],PF_OCTUBRE,22,0),"0")</f>
        <v>0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0</v>
      </c>
      <c r="EF137" s="76">
        <f>+Tabla1[[#This Row],[mto_pim]]-Tabla1[[#This Row],[TRANFS ESC 3 ]]</f>
        <v>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0</v>
      </c>
      <c r="EJ137" s="76">
        <f>+IFERROR(VLOOKUP(Tabla1[[#This Row],[COD SE]],HISTORICO,7,0),0)</f>
        <v>0</v>
      </c>
      <c r="EK137" s="76">
        <f>+IFERROR(VLOOKUP(Tabla1[[#This Row],[COD SE]],HISTORICO,8,0),0)</f>
        <v>0</v>
      </c>
      <c r="EL137" s="76">
        <f>+IFERROR(VLOOKUP(Tabla1[[#This Row],[COD SE]],HISTORICO,9,0),0)</f>
        <v>0</v>
      </c>
      <c r="EM137" s="76">
        <f>+IFERROR(VLOOKUP(Tabla1[[#This Row],[COD SE]],HISTORICO,10,0),0)</f>
        <v>0</v>
      </c>
      <c r="EN137" s="76">
        <f>+IFERROR(VLOOKUP(Tabla1[[#This Row],[COD SE]],HISTORICO,11,0),0)</f>
        <v>0</v>
      </c>
      <c r="EO137" s="76">
        <f>+IFERROR(VLOOKUP(Tabla1[[#This Row],[COD SE]],HISTORICO,12,0),0)</f>
        <v>0</v>
      </c>
      <c r="EP137" s="58">
        <f>+SUM(Tabla1[[#This Row],[EJECUTADO 01]:[EJECUTADO 03]])</f>
        <v>0</v>
      </c>
      <c r="EQ137" s="58">
        <f>+SUM(Tabla1[[#This Row],[EJECUTADO 04]:[EJECUTADO 06]])</f>
        <v>0</v>
      </c>
      <c r="ER137" s="58">
        <f>+SUM(Tabla1[[#This Row],[EJECUTADO 07]:[EJECUTADO 09]])</f>
        <v>0</v>
      </c>
      <c r="ES137" s="58">
        <f>+SUM(Tabla1[[#This Row],[PF OCTUBRE]:[PF DICIEMBRE
]])</f>
        <v>0</v>
      </c>
      <c r="ET137" s="58">
        <f>+SUM(Tabla1[[#This Row],[EJECUTADO 01]:[EJECUTADO 09]])</f>
        <v>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1672</v>
      </c>
      <c r="AD138" s="369" t="s">
        <v>1673</v>
      </c>
      <c r="AE138" s="369" t="s">
        <v>1681</v>
      </c>
      <c r="AF138" s="369" t="s">
        <v>1682</v>
      </c>
      <c r="AG138" s="369" t="s">
        <v>1682</v>
      </c>
      <c r="AH138" s="369">
        <v>67900</v>
      </c>
      <c r="AI138" s="369">
        <v>-5900</v>
      </c>
      <c r="AJ138" s="369">
        <v>62000</v>
      </c>
      <c r="AK138" s="370">
        <v>40000</v>
      </c>
      <c r="AL138" s="370">
        <v>40000</v>
      </c>
      <c r="AM138" s="370">
        <v>7000</v>
      </c>
      <c r="AN138" s="370">
        <v>0</v>
      </c>
      <c r="AO138" s="370">
        <v>0</v>
      </c>
      <c r="AP138" s="370">
        <v>21000</v>
      </c>
      <c r="AQ138" s="370">
        <v>8000</v>
      </c>
      <c r="AR138" s="370">
        <v>0</v>
      </c>
      <c r="AS138" s="370">
        <v>0</v>
      </c>
      <c r="AT138" s="370">
        <v>0</v>
      </c>
      <c r="AU138" s="370">
        <v>0</v>
      </c>
      <c r="AV138" s="370">
        <v>4000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7000</v>
      </c>
      <c r="BB138" s="370">
        <v>0</v>
      </c>
      <c r="BC138" s="370">
        <v>7000</v>
      </c>
      <c r="BD138" s="370">
        <v>4000</v>
      </c>
      <c r="BE138" s="370">
        <v>3500</v>
      </c>
      <c r="BF138" s="370">
        <v>7500</v>
      </c>
      <c r="BG138" s="370">
        <v>7000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7000</v>
      </c>
      <c r="BN138" s="370">
        <v>0</v>
      </c>
      <c r="BO138" s="370">
        <v>3500</v>
      </c>
      <c r="BP138" s="370">
        <v>7500</v>
      </c>
      <c r="BQ138" s="370">
        <v>3500</v>
      </c>
      <c r="BR138" s="370">
        <v>7500</v>
      </c>
      <c r="BS138" s="370">
        <v>7000</v>
      </c>
      <c r="BT138" s="370">
        <v>0</v>
      </c>
      <c r="BU138" s="370">
        <v>0</v>
      </c>
      <c r="BV138" s="370">
        <v>0</v>
      </c>
      <c r="BW138" s="370">
        <v>7000</v>
      </c>
      <c r="BX138" s="370">
        <v>0</v>
      </c>
      <c r="BY138" s="370">
        <v>0</v>
      </c>
      <c r="BZ138" s="370">
        <v>21000</v>
      </c>
      <c r="CA138" s="370">
        <v>8000</v>
      </c>
      <c r="CB138" s="370">
        <v>0</v>
      </c>
      <c r="CC138" s="370">
        <v>0</v>
      </c>
      <c r="CD138" s="370">
        <v>0</v>
      </c>
      <c r="CE138" s="370">
        <v>0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1991</v>
      </c>
      <c r="CK138" s="48" t="s">
        <v>1987</v>
      </c>
      <c r="CL138" s="48" t="s">
        <v>2005</v>
      </c>
      <c r="CM138" s="48" t="s">
        <v>1990</v>
      </c>
      <c r="CN138" s="48" t="s">
        <v>1990</v>
      </c>
      <c r="CO138" s="48" t="str">
        <f t="shared" si="40"/>
        <v>2.3.2.9.1.1</v>
      </c>
      <c r="CP138" s="48" t="str">
        <f>+VLOOKUP(Tabla1[[#This Row],[ESPECÍFICA]],CLASIFICADOR_,2,0)</f>
        <v>2.3.2.9.1.1 - LOCACIÓN DE SERVICIOS REALIZADOS POR PERSONA NATURAL</v>
      </c>
      <c r="CQ138" s="48" t="str">
        <f>+VLOOKUP(Tabla1[[#This Row],[ESPECÍFICA]],CLASIFICADOR_,3,0)</f>
        <v>2.3.2.9 - LOCACIÓN DE SERVICIOS REALIZADOS POR PERSONA NATURAL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2.3.BIENES Y SERVICIOS</v>
      </c>
      <c r="CX138" s="48" t="str">
        <f t="shared" si="29"/>
        <v>0009-OTI</v>
      </c>
      <c r="CY138" s="113" t="str">
        <f t="shared" si="30"/>
        <v>0009-OTI</v>
      </c>
      <c r="CZ138" s="20" t="str">
        <f t="shared" si="31"/>
        <v>0009-OTI</v>
      </c>
      <c r="DA138" s="113" t="str">
        <f>+CONCATENATE(Tabla1[[#This Row],[CC COMPLETO]],Tabla1[[#This Row],[ESPECÍFICA]])</f>
        <v>0009-OTI2.3.2.9.1.1</v>
      </c>
      <c r="DB138" s="49">
        <f t="shared" si="32"/>
        <v>40000</v>
      </c>
      <c r="DC138" s="49">
        <f t="shared" si="33"/>
        <v>36000</v>
      </c>
      <c r="DD138" s="49">
        <f t="shared" si="34"/>
        <v>36000</v>
      </c>
      <c r="DE138" s="49">
        <f t="shared" si="35"/>
        <v>22000</v>
      </c>
      <c r="DF138" s="49">
        <f t="shared" si="36"/>
        <v>0</v>
      </c>
      <c r="DG138" s="49">
        <f t="shared" si="37"/>
        <v>4000</v>
      </c>
      <c r="DH138" s="49">
        <f t="shared" si="38"/>
        <v>26000</v>
      </c>
      <c r="DI138" s="50">
        <f t="shared" si="39"/>
        <v>0.53019145802650958</v>
      </c>
      <c r="DJ138" s="78">
        <f>+SUM(Tabla1[[#This Row],[EJECUTADO 01]:[EJECUTADO 06]])</f>
        <v>18000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7000</v>
      </c>
      <c r="DN138" s="78">
        <f>+Tabla1[[#This Row],[mto_devenga_04]]</f>
        <v>0</v>
      </c>
      <c r="DO138" s="78">
        <f>+Tabla1[[#This Row],[mto_devenga_05]]</f>
        <v>7000</v>
      </c>
      <c r="DP138" s="76">
        <f>+Tabla1[[#This Row],[mto_devenga_06]]</f>
        <v>4000</v>
      </c>
      <c r="DQ138" s="76">
        <f>+Tabla1[[#This Row],[mto_devenga_07]]</f>
        <v>3500</v>
      </c>
      <c r="DR138" s="76">
        <f>+Tabla1[[#This Row],[mto_devenga_08]]</f>
        <v>7500</v>
      </c>
      <c r="DS138" s="76">
        <f>+Tabla1[[#This Row],[mto_devenga_09]]</f>
        <v>7000</v>
      </c>
      <c r="DT138" s="76">
        <f>IFERROR(VLOOKUP(Tabla1[[#This Row],[COD SE]],PF_OCTUBRE,14,0),"0")</f>
        <v>0</v>
      </c>
      <c r="DU138" s="76">
        <f>IFERROR(VLOOKUP(Tabla1[[#This Row],[COD SE]],PF_OCTUBRE,15,0),"0")</f>
        <v>4000</v>
      </c>
      <c r="DV138" s="76">
        <f>IFERROR(VLOOKUP(Tabla1[[#This Row],[COD SE]],PF_OCTUBRE,16,0),"0")</f>
        <v>8000</v>
      </c>
      <c r="DW138" s="76">
        <f>+SUM(Tabla1[[#This Row],[EJECUTADO 01]:[PF DICIEMBRE
]])</f>
        <v>48000</v>
      </c>
      <c r="DX138" s="76">
        <f>IFERROR(VLOOKUP(Tabla1[[#This Row],[COD SE]],PF_OCTUBRE,18,0),"0")</f>
        <v>0</v>
      </c>
      <c r="DY138" s="76">
        <f>IFERROR(VLOOKUP(Tabla1[[#This Row],[COD SE]],PF_OCTUBRE,19,0),"0")</f>
        <v>0</v>
      </c>
      <c r="DZ138" s="76">
        <f>IFERROR(VLOOKUP(Tabla1[[#This Row],[COD SE]],PF_OCTUBRE,20,0),"0")</f>
        <v>0</v>
      </c>
      <c r="EA138" s="76">
        <f>+Tabla1[[#This Row],[TOTAL EJEC REAL]]+Tabla1[[#This Row],[SALDO FINAL]]</f>
        <v>48000</v>
      </c>
      <c r="EB138" s="76">
        <f>IFERROR(VLOOKUP(Tabla1[[#This Row],[COD SE]],PF_OCTUBRE,22,0),"0")</f>
        <v>8000</v>
      </c>
      <c r="EC138" s="76">
        <f>+IFERROR(VLOOKUP(Tabla1[[#This Row],[COD SE]],SALDO_ESC_2,7,0),0)</f>
        <v>0</v>
      </c>
      <c r="ED138" s="76">
        <f>+IFERROR(VLOOKUP(Tabla1[[#This Row],[COD SE]],SALDO_ESC_3,7,0),0)</f>
        <v>0</v>
      </c>
      <c r="EE138" s="76">
        <f>+Tabla1[[#This Row],[mto_pim]]-Tabla1[[#This Row],[TRANSF ESC2 ]]</f>
        <v>62000</v>
      </c>
      <c r="EF138" s="76">
        <f>+Tabla1[[#This Row],[mto_pim]]-Tabla1[[#This Row],[TRANFS ESC 3 ]]</f>
        <v>62000</v>
      </c>
      <c r="EG138" s="76">
        <f>+IFERROR(VLOOKUP(Tabla1[[#This Row],[COD SE]],HISTORICO,4,0),0)</f>
        <v>0</v>
      </c>
      <c r="EH138" s="76">
        <f>+IFERROR(VLOOKUP(Tabla1[[#This Row],[COD SE]],HISTORICO,5,0),0)</f>
        <v>3500</v>
      </c>
      <c r="EI138" s="76">
        <f>+IFERROR(VLOOKUP(Tabla1[[#This Row],[COD SE]],HISTORICO,6,0),0)</f>
        <v>3500</v>
      </c>
      <c r="EJ138" s="76">
        <f>+IFERROR(VLOOKUP(Tabla1[[#This Row],[COD SE]],HISTORICO,7,0),0)</f>
        <v>21000</v>
      </c>
      <c r="EK138" s="76">
        <f>+IFERROR(VLOOKUP(Tabla1[[#This Row],[COD SE]],HISTORICO,8,0),0)</f>
        <v>3500</v>
      </c>
      <c r="EL138" s="76">
        <f>+IFERROR(VLOOKUP(Tabla1[[#This Row],[COD SE]],HISTORICO,9,0),0)</f>
        <v>7500</v>
      </c>
      <c r="EM138" s="76">
        <f>+IFERROR(VLOOKUP(Tabla1[[#This Row],[COD SE]],HISTORICO,10,0),0)</f>
        <v>7500</v>
      </c>
      <c r="EN138" s="76">
        <f>+IFERROR(VLOOKUP(Tabla1[[#This Row],[COD SE]],HISTORICO,11,0),0)</f>
        <v>7500</v>
      </c>
      <c r="EO138" s="76">
        <f>+IFERROR(VLOOKUP(Tabla1[[#This Row],[COD SE]],HISTORICO,12,0),0)</f>
        <v>3500</v>
      </c>
      <c r="EP138" s="58">
        <f>+SUM(Tabla1[[#This Row],[EJECUTADO 01]:[EJECUTADO 03]])</f>
        <v>7000</v>
      </c>
      <c r="EQ138" s="58">
        <f>+SUM(Tabla1[[#This Row],[EJECUTADO 04]:[EJECUTADO 06]])</f>
        <v>11000</v>
      </c>
      <c r="ER138" s="58">
        <f>+SUM(Tabla1[[#This Row],[EJECUTADO 07]:[EJECUTADO 09]])</f>
        <v>18000</v>
      </c>
      <c r="ES138" s="58">
        <f>+SUM(Tabla1[[#This Row],[PF OCTUBRE]:[PF DICIEMBRE
]])</f>
        <v>12000</v>
      </c>
      <c r="ET138" s="58">
        <f>+SUM(Tabla1[[#This Row],[EJECUTADO 01]:[EJECUTADO 09]])</f>
        <v>36000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40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9"/>
        <v>0009-OTI</v>
      </c>
      <c r="CY139" s="113" t="str">
        <f t="shared" si="30"/>
        <v>0009-OTI</v>
      </c>
      <c r="CZ139" s="20" t="str">
        <f t="shared" si="31"/>
        <v>0009-OTI</v>
      </c>
      <c r="DA139" s="113" t="str">
        <f>+CONCATENATE(Tabla1[[#This Row],[CC COMPLETO]],Tabla1[[#This Row],[ESPECÍFICA]])</f>
        <v>0009-OTI2.6.6.1.3.2</v>
      </c>
      <c r="DB139" s="49">
        <f t="shared" si="32"/>
        <v>0</v>
      </c>
      <c r="DC139" s="49">
        <f t="shared" si="33"/>
        <v>0</v>
      </c>
      <c r="DD139" s="49">
        <f t="shared" si="34"/>
        <v>0</v>
      </c>
      <c r="DE139" s="49">
        <f t="shared" si="35"/>
        <v>0</v>
      </c>
      <c r="DF139" s="49">
        <f t="shared" si="36"/>
        <v>0</v>
      </c>
      <c r="DG139" s="49">
        <f t="shared" si="37"/>
        <v>0</v>
      </c>
      <c r="DH139" s="49">
        <f t="shared" si="38"/>
        <v>0</v>
      </c>
      <c r="DI139" s="50">
        <f t="shared" si="39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40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9"/>
        <v>0009-OTI</v>
      </c>
      <c r="CY140" s="113" t="str">
        <f t="shared" si="30"/>
        <v>0009-OTI</v>
      </c>
      <c r="CZ140" s="20" t="str">
        <f t="shared" si="31"/>
        <v>0009-OTI</v>
      </c>
      <c r="DA140" s="113" t="str">
        <f>+CONCATENATE(Tabla1[[#This Row],[CC COMPLETO]],Tabla1[[#This Row],[ESPECÍFICA]])</f>
        <v>0009-OTI2.3.2.7.13.98</v>
      </c>
      <c r="DB140" s="49">
        <f t="shared" si="32"/>
        <v>6000</v>
      </c>
      <c r="DC140" s="49">
        <f t="shared" si="33"/>
        <v>0</v>
      </c>
      <c r="DD140" s="49">
        <f t="shared" si="34"/>
        <v>0</v>
      </c>
      <c r="DE140" s="49">
        <f t="shared" si="35"/>
        <v>8560</v>
      </c>
      <c r="DF140" s="49">
        <f t="shared" si="36"/>
        <v>0</v>
      </c>
      <c r="DG140" s="49">
        <f t="shared" si="37"/>
        <v>6000</v>
      </c>
      <c r="DH140" s="49">
        <f t="shared" si="38"/>
        <v>14560</v>
      </c>
      <c r="DI140" s="50">
        <f t="shared" si="39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2004</v>
      </c>
      <c r="AB141" s="369" t="s">
        <v>1986</v>
      </c>
      <c r="AC141" s="369" t="s">
        <v>1656</v>
      </c>
      <c r="AD141" s="369" t="s">
        <v>1657</v>
      </c>
      <c r="AE141" s="369" t="s">
        <v>1660</v>
      </c>
      <c r="AF141" s="369" t="s">
        <v>1661</v>
      </c>
      <c r="AG141" s="369" t="s">
        <v>1662</v>
      </c>
      <c r="AH141" s="369">
        <v>1619376</v>
      </c>
      <c r="AI141" s="369">
        <v>-210340</v>
      </c>
      <c r="AJ141" s="369">
        <v>1409036</v>
      </c>
      <c r="AK141" s="370">
        <v>1122545</v>
      </c>
      <c r="AL141" s="370">
        <v>968026.51</v>
      </c>
      <c r="AM141" s="370">
        <v>109571.64</v>
      </c>
      <c r="AN141" s="370">
        <v>108045.79</v>
      </c>
      <c r="AO141" s="370">
        <v>107243.51</v>
      </c>
      <c r="AP141" s="370">
        <v>108427.04</v>
      </c>
      <c r="AQ141" s="370">
        <v>104103.75</v>
      </c>
      <c r="AR141" s="370">
        <v>87348.92</v>
      </c>
      <c r="AS141" s="370">
        <v>82857.53</v>
      </c>
      <c r="AT141" s="370">
        <v>77943.710000000006</v>
      </c>
      <c r="AU141" s="370">
        <v>78447.009999999995</v>
      </c>
      <c r="AV141" s="370">
        <v>75422.17</v>
      </c>
      <c r="AW141" s="370">
        <v>0</v>
      </c>
      <c r="AX141" s="370">
        <v>0</v>
      </c>
      <c r="AY141" s="370">
        <v>111453.74</v>
      </c>
      <c r="AZ141" s="370">
        <v>106377.69</v>
      </c>
      <c r="BA141" s="370">
        <v>107243.51</v>
      </c>
      <c r="BB141" s="370">
        <v>108427.04</v>
      </c>
      <c r="BC141" s="370">
        <v>103889.75</v>
      </c>
      <c r="BD141" s="370">
        <v>87348.92</v>
      </c>
      <c r="BE141" s="370">
        <v>83910.7</v>
      </c>
      <c r="BF141" s="370">
        <v>77943.710000000006</v>
      </c>
      <c r="BG141" s="370">
        <v>78447.009999999995</v>
      </c>
      <c r="BH141" s="370">
        <v>74369</v>
      </c>
      <c r="BI141" s="370">
        <v>0</v>
      </c>
      <c r="BJ141" s="370">
        <v>0</v>
      </c>
      <c r="BK141" s="370">
        <v>111239.74</v>
      </c>
      <c r="BL141" s="370">
        <v>106377.69</v>
      </c>
      <c r="BM141" s="370">
        <v>107243.51</v>
      </c>
      <c r="BN141" s="370">
        <v>96946.63</v>
      </c>
      <c r="BO141" s="370">
        <v>115584.16</v>
      </c>
      <c r="BP141" s="370">
        <v>87348.92</v>
      </c>
      <c r="BQ141" s="370">
        <v>83910.7</v>
      </c>
      <c r="BR141" s="370">
        <v>77943.710000000006</v>
      </c>
      <c r="BS141" s="370">
        <v>78447.009999999995</v>
      </c>
      <c r="BT141" s="370">
        <v>65590.14</v>
      </c>
      <c r="BU141" s="370">
        <v>0</v>
      </c>
      <c r="BV141" s="370">
        <v>0</v>
      </c>
      <c r="BW141" s="370">
        <v>110854.74</v>
      </c>
      <c r="BX141" s="370">
        <v>108045.79</v>
      </c>
      <c r="BY141" s="370">
        <v>107243.51</v>
      </c>
      <c r="BZ141" s="370">
        <v>108427.04</v>
      </c>
      <c r="CA141" s="370">
        <v>104103.75</v>
      </c>
      <c r="CB141" s="370">
        <v>87348.92</v>
      </c>
      <c r="CC141" s="370">
        <v>83910.7</v>
      </c>
      <c r="CD141" s="370">
        <v>77943.710000000006</v>
      </c>
      <c r="CE141" s="370">
        <v>78447.009999999995</v>
      </c>
      <c r="CF141" s="370">
        <v>66643.31</v>
      </c>
      <c r="CG141" s="370">
        <v>0</v>
      </c>
      <c r="CH141" s="370">
        <v>0</v>
      </c>
      <c r="CI141" s="48" t="s">
        <v>1987</v>
      </c>
      <c r="CJ141" s="48" t="s">
        <v>1990</v>
      </c>
      <c r="CK141" s="48" t="s">
        <v>1990</v>
      </c>
      <c r="CL141" s="48" t="s">
        <v>2010</v>
      </c>
      <c r="CM141" s="48" t="s">
        <v>1990</v>
      </c>
      <c r="CN141" s="48" t="s">
        <v>1990</v>
      </c>
      <c r="CO141" s="48" t="str">
        <f t="shared" si="40"/>
        <v>2.1.1.13.1.1</v>
      </c>
      <c r="CP141" s="48" t="str">
        <f>+VLOOKUP(Tabla1[[#This Row],[ESPECÍFICA]],CLASIFICADOR_,2,0)</f>
        <v>2.1.1.13.1.1 - CONTRATO ADMINISTRATIVO DE SERVICIOS - INDETERMINADO</v>
      </c>
      <c r="CQ141" s="48" t="str">
        <f>+VLOOKUP(Tabla1[[#This Row],[ESPECÍFICA]],CLASIFICADOR_,3,0)</f>
        <v>01.CAS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2.1.PERSONAL Y OBLIGACIONES SOCIALES</v>
      </c>
      <c r="CX141" s="48" t="str">
        <f t="shared" si="29"/>
        <v>0009-OTI</v>
      </c>
      <c r="CY141" s="113" t="str">
        <f t="shared" si="30"/>
        <v>0009-OTI</v>
      </c>
      <c r="CZ141" s="20" t="str">
        <f t="shared" si="31"/>
        <v>0009-OTI</v>
      </c>
      <c r="DA141" s="113" t="str">
        <f>+CONCATENATE(Tabla1[[#This Row],[CC COMPLETO]],Tabla1[[#This Row],[ESPECÍFICA]])</f>
        <v>0009-OTI2.1.1.13.1.1</v>
      </c>
      <c r="DB141" s="49">
        <f t="shared" si="32"/>
        <v>939411.07000000007</v>
      </c>
      <c r="DC141" s="49">
        <f t="shared" si="33"/>
        <v>939411.07</v>
      </c>
      <c r="DD141" s="49">
        <f t="shared" si="34"/>
        <v>930632.21</v>
      </c>
      <c r="DE141" s="49">
        <f t="shared" si="35"/>
        <v>286491</v>
      </c>
      <c r="DF141" s="49">
        <f t="shared" si="36"/>
        <v>154518.49</v>
      </c>
      <c r="DG141" s="49">
        <f t="shared" si="37"/>
        <v>28615.440000000061</v>
      </c>
      <c r="DH141" s="49">
        <f t="shared" si="38"/>
        <v>469624.93000000005</v>
      </c>
      <c r="DI141" s="50">
        <f t="shared" si="39"/>
        <v>0.58010682509806244</v>
      </c>
      <c r="DJ141" s="78">
        <f>+SUM(Tabla1[[#This Row],[EJECUTADO 01]:[EJECUTADO 06]])</f>
        <v>624740.65</v>
      </c>
      <c r="DK141" s="78">
        <f>+Tabla1[[#This Row],[mto_devenga_01]]</f>
        <v>111453.74</v>
      </c>
      <c r="DL141" s="78">
        <f>+Tabla1[[#This Row],[mto_devenga_02]]</f>
        <v>106377.69</v>
      </c>
      <c r="DM141" s="78">
        <f>+Tabla1[[#This Row],[mto_devenga_03]]</f>
        <v>107243.51</v>
      </c>
      <c r="DN141" s="78">
        <f>+Tabla1[[#This Row],[mto_devenga_04]]</f>
        <v>108427.04</v>
      </c>
      <c r="DO141" s="78">
        <f>+Tabla1[[#This Row],[mto_devenga_05]]</f>
        <v>103889.75</v>
      </c>
      <c r="DP141" s="76">
        <f>+Tabla1[[#This Row],[mto_devenga_06]]</f>
        <v>87348.92</v>
      </c>
      <c r="DQ141" s="76">
        <f>+Tabla1[[#This Row],[mto_devenga_07]]</f>
        <v>83910.7</v>
      </c>
      <c r="DR141" s="76">
        <f>+Tabla1[[#This Row],[mto_devenga_08]]</f>
        <v>77943.710000000006</v>
      </c>
      <c r="DS141" s="76">
        <f>+Tabla1[[#This Row],[mto_devenga_09]]</f>
        <v>78447.009999999995</v>
      </c>
      <c r="DT141" s="76">
        <f>IFERROR(VLOOKUP(Tabla1[[#This Row],[COD SE]],PF_OCTUBRE,14,0),"0")</f>
        <v>87934.470000000016</v>
      </c>
      <c r="DU141" s="76">
        <f>IFERROR(VLOOKUP(Tabla1[[#This Row],[COD SE]],PF_OCTUBRE,15,0),"0")</f>
        <v>87934.470000000016</v>
      </c>
      <c r="DV141" s="76">
        <f>IFERROR(VLOOKUP(Tabla1[[#This Row],[COD SE]],PF_OCTUBRE,16,0),"0")</f>
        <v>95198.660000000018</v>
      </c>
      <c r="DW141" s="76">
        <f>+SUM(Tabla1[[#This Row],[EJECUTADO 01]:[PF DICIEMBRE
]])</f>
        <v>1136109.67</v>
      </c>
      <c r="DX141" s="76">
        <f>IFERROR(VLOOKUP(Tabla1[[#This Row],[COD SE]],PF_OCTUBRE,18,0),"0")</f>
        <v>0</v>
      </c>
      <c r="DY141" s="76">
        <f>IFERROR(VLOOKUP(Tabla1[[#This Row],[COD SE]],PF_OCTUBRE,19,0),"0")</f>
        <v>272926.33</v>
      </c>
      <c r="DZ141" s="76">
        <f>IFERROR(VLOOKUP(Tabla1[[#This Row],[COD SE]],PF_OCTUBRE,20,0),"0")</f>
        <v>272926.33</v>
      </c>
      <c r="EA141" s="76">
        <f>+Tabla1[[#This Row],[TOTAL EJEC REAL]]+Tabla1[[#This Row],[SALDO FINAL]]</f>
        <v>1409036</v>
      </c>
      <c r="EB141" s="76">
        <f>IFERROR(VLOOKUP(Tabla1[[#This Row],[COD SE]],PF_OCTUBRE,22,0),"0")</f>
        <v>368124.99</v>
      </c>
      <c r="EC141" s="76">
        <f>+IFERROR(VLOOKUP(Tabla1[[#This Row],[COD SE]],SALDO_ESC_2,7,0),0)</f>
        <v>0</v>
      </c>
      <c r="ED141" s="76">
        <f>+IFERROR(VLOOKUP(Tabla1[[#This Row],[COD SE]],SALDO_ESC_3,7,0),0)</f>
        <v>272926.33</v>
      </c>
      <c r="EE141" s="76">
        <f>+Tabla1[[#This Row],[mto_pim]]-Tabla1[[#This Row],[TRANSF ESC2 ]]</f>
        <v>1409036</v>
      </c>
      <c r="EF141" s="76">
        <f>+Tabla1[[#This Row],[mto_pim]]-Tabla1[[#This Row],[TRANFS ESC 3 ]]</f>
        <v>1136109.67</v>
      </c>
      <c r="EG141" s="76">
        <f>+IFERROR(VLOOKUP(Tabla1[[#This Row],[COD SE]],HISTORICO,4,0),0)</f>
        <v>136947.99000000002</v>
      </c>
      <c r="EH141" s="76">
        <f>+IFERROR(VLOOKUP(Tabla1[[#This Row],[COD SE]],HISTORICO,5,0),0)</f>
        <v>108491.23000000003</v>
      </c>
      <c r="EI141" s="76">
        <f>+IFERROR(VLOOKUP(Tabla1[[#This Row],[COD SE]],HISTORICO,6,0),0)</f>
        <v>108527.94000000002</v>
      </c>
      <c r="EJ141" s="76">
        <f>+IFERROR(VLOOKUP(Tabla1[[#This Row],[COD SE]],HISTORICO,7,0),0)</f>
        <v>120755.42000000003</v>
      </c>
      <c r="EK141" s="76">
        <f>+IFERROR(VLOOKUP(Tabla1[[#This Row],[COD SE]],HISTORICO,8,0),0)</f>
        <v>108491.23000000003</v>
      </c>
      <c r="EL141" s="76">
        <f>+IFERROR(VLOOKUP(Tabla1[[#This Row],[COD SE]],HISTORICO,9,0),0)</f>
        <v>108491.23000000003</v>
      </c>
      <c r="EM141" s="76">
        <f>+IFERROR(VLOOKUP(Tabla1[[#This Row],[COD SE]],HISTORICO,10,0),0)</f>
        <v>86268.24</v>
      </c>
      <c r="EN141" s="76">
        <f>+IFERROR(VLOOKUP(Tabla1[[#This Row],[COD SE]],HISTORICO,11,0),0)</f>
        <v>78934.470000000016</v>
      </c>
      <c r="EO141" s="76">
        <f>+IFERROR(VLOOKUP(Tabla1[[#This Row],[COD SE]],HISTORICO,12,0),0)</f>
        <v>87934.470000000016</v>
      </c>
      <c r="EP141" s="58">
        <f>+SUM(Tabla1[[#This Row],[EJECUTADO 01]:[EJECUTADO 03]])</f>
        <v>325074.94</v>
      </c>
      <c r="EQ141" s="58">
        <f>+SUM(Tabla1[[#This Row],[EJECUTADO 04]:[EJECUTADO 06]])</f>
        <v>299665.70999999996</v>
      </c>
      <c r="ER141" s="58">
        <f>+SUM(Tabla1[[#This Row],[EJECUTADO 07]:[EJECUTADO 09]])</f>
        <v>240301.41999999998</v>
      </c>
      <c r="ES141" s="58">
        <f>+SUM(Tabla1[[#This Row],[PF OCTUBRE]:[PF DICIEMBRE
]])</f>
        <v>271067.60000000003</v>
      </c>
      <c r="ET141" s="58">
        <f>+SUM(Tabla1[[#This Row],[EJECUTADO 01]:[EJECUTADO 09]])</f>
        <v>865042.07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1672</v>
      </c>
      <c r="AD142" s="369" t="s">
        <v>1684</v>
      </c>
      <c r="AE142" s="369" t="s">
        <v>1719</v>
      </c>
      <c r="AF142" s="369" t="s">
        <v>1720</v>
      </c>
      <c r="AG142" s="369" t="s">
        <v>1730</v>
      </c>
      <c r="AH142" s="369">
        <v>1000</v>
      </c>
      <c r="AI142" s="369">
        <v>-700</v>
      </c>
      <c r="AJ142" s="369">
        <v>300</v>
      </c>
      <c r="AK142" s="370">
        <v>300</v>
      </c>
      <c r="AL142" s="370">
        <v>300</v>
      </c>
      <c r="AM142" s="370">
        <v>0</v>
      </c>
      <c r="AN142" s="370">
        <v>0</v>
      </c>
      <c r="AO142" s="370">
        <v>0</v>
      </c>
      <c r="AP142" s="370">
        <v>0</v>
      </c>
      <c r="AQ142" s="370">
        <v>0</v>
      </c>
      <c r="AR142" s="370">
        <v>0</v>
      </c>
      <c r="AS142" s="370">
        <v>0</v>
      </c>
      <c r="AT142" s="370">
        <v>0</v>
      </c>
      <c r="AU142" s="370">
        <v>0</v>
      </c>
      <c r="AV142" s="370">
        <v>300</v>
      </c>
      <c r="AW142" s="370">
        <v>0</v>
      </c>
      <c r="AX142" s="370">
        <v>0</v>
      </c>
      <c r="AY142" s="370">
        <v>0</v>
      </c>
      <c r="AZ142" s="370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0">
        <v>0</v>
      </c>
      <c r="BG142" s="370">
        <v>0</v>
      </c>
      <c r="BH142" s="370">
        <v>0</v>
      </c>
      <c r="BI142" s="370">
        <v>0</v>
      </c>
      <c r="BJ142" s="370">
        <v>0</v>
      </c>
      <c r="BK142" s="370">
        <v>0</v>
      </c>
      <c r="BL142" s="370">
        <v>0</v>
      </c>
      <c r="BM142" s="370">
        <v>0</v>
      </c>
      <c r="BN142" s="370">
        <v>0</v>
      </c>
      <c r="BO142" s="370">
        <v>0</v>
      </c>
      <c r="BP142" s="370">
        <v>0</v>
      </c>
      <c r="BQ142" s="370">
        <v>0</v>
      </c>
      <c r="BR142" s="370">
        <v>0</v>
      </c>
      <c r="BS142" s="370">
        <v>0</v>
      </c>
      <c r="BT142" s="370">
        <v>0</v>
      </c>
      <c r="BU142" s="370">
        <v>0</v>
      </c>
      <c r="BV142" s="370">
        <v>0</v>
      </c>
      <c r="BW142" s="370">
        <v>0</v>
      </c>
      <c r="BX142" s="370">
        <v>0</v>
      </c>
      <c r="BY142" s="370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0">
        <v>0</v>
      </c>
      <c r="CF142" s="370">
        <v>0</v>
      </c>
      <c r="CG142" s="370">
        <v>0</v>
      </c>
      <c r="CH142" s="370">
        <v>0</v>
      </c>
      <c r="CI142" s="48" t="s">
        <v>1987</v>
      </c>
      <c r="CJ142" s="48" t="s">
        <v>1991</v>
      </c>
      <c r="CK142" s="48" t="s">
        <v>1990</v>
      </c>
      <c r="CL142" s="48" t="s">
        <v>1988</v>
      </c>
      <c r="CM142" s="48" t="s">
        <v>1990</v>
      </c>
      <c r="CN142" s="48" t="s">
        <v>1998</v>
      </c>
      <c r="CO142" s="48" t="str">
        <f t="shared" si="40"/>
        <v>2.3.1.6.1.99</v>
      </c>
      <c r="CP142" s="48" t="str">
        <f>+VLOOKUP(Tabla1[[#This Row],[ESPECÍFICA]],CLASIFICADOR_,2,0)</f>
        <v>2.3.1.6.1.99 - OTROS ACCESORIOS Y REPUESTOS</v>
      </c>
      <c r="CQ142" s="48" t="str">
        <f>+VLOOKUP(Tabla1[[#This Row],[ESPECÍFICA]],CLASIFICADOR_,3,0)</f>
        <v>2.3.1.6 - REPUESTOS Y ACCESORIOS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Partidas restringidas</v>
      </c>
      <c r="CU142" s="48" t="str">
        <f>+VLOOKUP(Tabla1[[#This Row],[ESPECÍFICA]],CLASIFICADOR_,7,0)</f>
        <v>9.6 Hasta el 1er Semestre</v>
      </c>
      <c r="CV142" s="48">
        <f>+VLOOKUP(Tabla1[[#This Row],[ESPECÍFICA]],CLASIFICADOR_,8,0)</f>
        <v>1</v>
      </c>
      <c r="CW142" s="113" t="str">
        <f>+CONCATENATE("2.",Tabla1[[#This Row],[generica]])</f>
        <v>2.3.BIENES Y SERVICIOS</v>
      </c>
      <c r="CX142" s="48" t="str">
        <f t="shared" si="29"/>
        <v>0009-OTI</v>
      </c>
      <c r="CY142" s="113" t="str">
        <f t="shared" si="30"/>
        <v>0009-OTI</v>
      </c>
      <c r="CZ142" s="20" t="str">
        <f t="shared" si="31"/>
        <v>0009-OTI</v>
      </c>
      <c r="DA142" s="113" t="str">
        <f>+CONCATENATE(Tabla1[[#This Row],[CC COMPLETO]],Tabla1[[#This Row],[ESPECÍFICA]])</f>
        <v>0009-OTI2.3.1.6.1.99</v>
      </c>
      <c r="DB142" s="49">
        <f t="shared" si="32"/>
        <v>300</v>
      </c>
      <c r="DC142" s="49">
        <f t="shared" si="33"/>
        <v>0</v>
      </c>
      <c r="DD142" s="49">
        <f t="shared" si="34"/>
        <v>0</v>
      </c>
      <c r="DE142" s="49">
        <f t="shared" si="35"/>
        <v>0</v>
      </c>
      <c r="DF142" s="49">
        <f t="shared" si="36"/>
        <v>0</v>
      </c>
      <c r="DG142" s="49">
        <f t="shared" si="37"/>
        <v>300</v>
      </c>
      <c r="DH142" s="49">
        <f t="shared" si="38"/>
        <v>300</v>
      </c>
      <c r="DI142" s="50">
        <f t="shared" si="39"/>
        <v>0</v>
      </c>
      <c r="DJ142" s="78">
        <f>+SUM(Tabla1[[#This Row],[EJECUTADO 01]:[EJECUTADO 06]])</f>
        <v>0</v>
      </c>
      <c r="DK142" s="78">
        <f>+Tabla1[[#This Row],[mto_devenga_01]]</f>
        <v>0</v>
      </c>
      <c r="DL142" s="78">
        <f>+Tabla1[[#This Row],[mto_devenga_02]]</f>
        <v>0</v>
      </c>
      <c r="DM142" s="78">
        <f>+Tabla1[[#This Row],[mto_devenga_03]]</f>
        <v>0</v>
      </c>
      <c r="DN142" s="78">
        <f>+Tabla1[[#This Row],[mto_devenga_04]]</f>
        <v>0</v>
      </c>
      <c r="DO142" s="78">
        <f>+Tabla1[[#This Row],[mto_devenga_05]]</f>
        <v>0</v>
      </c>
      <c r="DP142" s="76">
        <f>+Tabla1[[#This Row],[mto_devenga_06]]</f>
        <v>0</v>
      </c>
      <c r="DQ142" s="76">
        <f>+Tabla1[[#This Row],[mto_devenga_07]]</f>
        <v>0</v>
      </c>
      <c r="DR142" s="76">
        <f>+Tabla1[[#This Row],[mto_devenga_08]]</f>
        <v>0</v>
      </c>
      <c r="DS142" s="76">
        <f>+Tabla1[[#This Row],[mto_devenga_09]]</f>
        <v>0</v>
      </c>
      <c r="DT142" s="76">
        <f>IFERROR(VLOOKUP(Tabla1[[#This Row],[COD SE]],PF_OCTUBRE,14,0),"0")</f>
        <v>100</v>
      </c>
      <c r="DU142" s="76">
        <f>IFERROR(VLOOKUP(Tabla1[[#This Row],[COD SE]],PF_OCTUBRE,15,0),"0")</f>
        <v>0</v>
      </c>
      <c r="DV142" s="76">
        <f>IFERROR(VLOOKUP(Tabla1[[#This Row],[COD SE]],PF_OCTUBRE,16,0),"0")</f>
        <v>0</v>
      </c>
      <c r="DW142" s="76">
        <f>+SUM(Tabla1[[#This Row],[EJECUTADO 01]:[PF DICIEMBRE
]])</f>
        <v>100</v>
      </c>
      <c r="DX142" s="76">
        <f>IFERROR(VLOOKUP(Tabla1[[#This Row],[COD SE]],PF_OCTUBRE,18,0),"0")</f>
        <v>0</v>
      </c>
      <c r="DY142" s="76">
        <f>IFERROR(VLOOKUP(Tabla1[[#This Row],[COD SE]],PF_OCTUBRE,19,0),"0")</f>
        <v>0</v>
      </c>
      <c r="DZ142" s="76">
        <f>IFERROR(VLOOKUP(Tabla1[[#This Row],[COD SE]],PF_OCTUBRE,20,0),"0")</f>
        <v>0</v>
      </c>
      <c r="EA142" s="76">
        <f>+Tabla1[[#This Row],[TOTAL EJEC REAL]]+Tabla1[[#This Row],[SALDO FINAL]]</f>
        <v>100</v>
      </c>
      <c r="EB142" s="76">
        <f>IFERROR(VLOOKUP(Tabla1[[#This Row],[COD SE]],PF_OCTUBRE,22,0),"0")</f>
        <v>0</v>
      </c>
      <c r="EC142" s="76">
        <f>+IFERROR(VLOOKUP(Tabla1[[#This Row],[COD SE]],SALDO_ESC_2,7,0),0)</f>
        <v>0</v>
      </c>
      <c r="ED142" s="76">
        <f>+IFERROR(VLOOKUP(Tabla1[[#This Row],[COD SE]],SALDO_ESC_3,7,0),0)</f>
        <v>0</v>
      </c>
      <c r="EE142" s="76">
        <f>+Tabla1[[#This Row],[mto_pim]]-Tabla1[[#This Row],[TRANSF ESC2 ]]</f>
        <v>300</v>
      </c>
      <c r="EF142" s="76">
        <f>+Tabla1[[#This Row],[mto_pim]]-Tabla1[[#This Row],[TRANFS ESC 3 ]]</f>
        <v>300</v>
      </c>
      <c r="EG142" s="76">
        <f>+IFERROR(VLOOKUP(Tabla1[[#This Row],[COD SE]],HISTORICO,4,0),0)</f>
        <v>0</v>
      </c>
      <c r="EH142" s="76">
        <f>+IFERROR(VLOOKUP(Tabla1[[#This Row],[COD SE]],HISTORICO,5,0),0)</f>
        <v>0</v>
      </c>
      <c r="EI142" s="76">
        <f>+IFERROR(VLOOKUP(Tabla1[[#This Row],[COD SE]],HISTORICO,6,0),0)</f>
        <v>0</v>
      </c>
      <c r="EJ142" s="76">
        <f>+IFERROR(VLOOKUP(Tabla1[[#This Row],[COD SE]],HISTORICO,7,0),0)</f>
        <v>0</v>
      </c>
      <c r="EK142" s="76">
        <f>+IFERROR(VLOOKUP(Tabla1[[#This Row],[COD SE]],HISTORICO,8,0),0)</f>
        <v>0</v>
      </c>
      <c r="EL142" s="76">
        <f>+IFERROR(VLOOKUP(Tabla1[[#This Row],[COD SE]],HISTORICO,9,0),0)</f>
        <v>0</v>
      </c>
      <c r="EM142" s="76">
        <f>+IFERROR(VLOOKUP(Tabla1[[#This Row],[COD SE]],HISTORICO,10,0),0)</f>
        <v>0</v>
      </c>
      <c r="EN142" s="76">
        <f>+IFERROR(VLOOKUP(Tabla1[[#This Row],[COD SE]],HISTORICO,11,0),0)</f>
        <v>0</v>
      </c>
      <c r="EO142" s="76">
        <f>+IFERROR(VLOOKUP(Tabla1[[#This Row],[COD SE]],HISTORICO,12,0),0)</f>
        <v>0</v>
      </c>
      <c r="EP142" s="58">
        <f>+SUM(Tabla1[[#This Row],[EJECUTADO 01]:[EJECUTADO 03]])</f>
        <v>0</v>
      </c>
      <c r="EQ142" s="58">
        <f>+SUM(Tabla1[[#This Row],[EJECUTADO 04]:[EJECUTADO 06]])</f>
        <v>0</v>
      </c>
      <c r="ER142" s="58">
        <f>+SUM(Tabla1[[#This Row],[EJECUTADO 07]:[EJECUTADO 09]])</f>
        <v>0</v>
      </c>
      <c r="ES142" s="58">
        <f>+SUM(Tabla1[[#This Row],[PF OCTUBRE]:[PF DICIEMBRE
]])</f>
        <v>100</v>
      </c>
      <c r="ET142" s="58">
        <f>+SUM(Tabla1[[#This Row],[EJECUTADO 01]:[EJECUTADO 09]])</f>
        <v>0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1716</v>
      </c>
      <c r="AF143" s="369" t="s">
        <v>1717</v>
      </c>
      <c r="AG143" s="369" t="s">
        <v>1718</v>
      </c>
      <c r="AH143" s="369">
        <v>31000</v>
      </c>
      <c r="AI143" s="369">
        <v>-26080</v>
      </c>
      <c r="AJ143" s="369">
        <v>4920</v>
      </c>
      <c r="AK143" s="370">
        <v>4868.68</v>
      </c>
      <c r="AL143" s="370">
        <v>4868.68</v>
      </c>
      <c r="AM143" s="370">
        <v>0</v>
      </c>
      <c r="AN143" s="370">
        <v>0</v>
      </c>
      <c r="AO143" s="370">
        <v>0</v>
      </c>
      <c r="AP143" s="370">
        <v>4720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148.68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4720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4720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4720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2011</v>
      </c>
      <c r="CM143" s="48" t="s">
        <v>1990</v>
      </c>
      <c r="CN143" s="48" t="s">
        <v>1987</v>
      </c>
      <c r="CO143" s="48" t="str">
        <f t="shared" si="40"/>
        <v>2.3.1.5.1.2</v>
      </c>
      <c r="CP143" s="48" t="str">
        <f>+VLOOKUP(Tabla1[[#This Row],[ESPECÍFICA]],CLASIFICADOR_,2,0)</f>
        <v>2.3.1.5.1.2 - PAPELERIA EN GENERAL, UTILES Y MATERIALES DE OFICINA</v>
      </c>
      <c r="CQ143" s="48" t="str">
        <f>+VLOOKUP(Tabla1[[#This Row],[ESPECÍFICA]],CLASIFICADOR_,3,0)</f>
        <v>2.3.1.5 - MATERIALES Y  UTILES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9"/>
        <v>0009-OTI</v>
      </c>
      <c r="CY143" s="113" t="str">
        <f t="shared" si="30"/>
        <v>0009-OTI</v>
      </c>
      <c r="CZ143" s="20" t="str">
        <f t="shared" si="31"/>
        <v>0009-OTI</v>
      </c>
      <c r="DA143" s="113" t="str">
        <f>+CONCATENATE(Tabla1[[#This Row],[CC COMPLETO]],Tabla1[[#This Row],[ESPECÍFICA]])</f>
        <v>0009-OTI2.3.1.5.1.2</v>
      </c>
      <c r="DB143" s="49">
        <f t="shared" si="32"/>
        <v>4868.68</v>
      </c>
      <c r="DC143" s="49">
        <f t="shared" si="33"/>
        <v>4720</v>
      </c>
      <c r="DD143" s="49">
        <f t="shared" si="34"/>
        <v>4720</v>
      </c>
      <c r="DE143" s="49">
        <f t="shared" si="35"/>
        <v>51.319999999999709</v>
      </c>
      <c r="DF143" s="49">
        <f t="shared" si="36"/>
        <v>0</v>
      </c>
      <c r="DG143" s="49">
        <f t="shared" si="37"/>
        <v>148.68000000000029</v>
      </c>
      <c r="DH143" s="49">
        <f t="shared" si="38"/>
        <v>200</v>
      </c>
      <c r="DI143" s="50">
        <f t="shared" si="39"/>
        <v>0.15225806451612903</v>
      </c>
      <c r="DJ143" s="78">
        <f>+SUM(Tabla1[[#This Row],[EJECUTADO 01]:[EJECUTADO 06]])</f>
        <v>4720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4720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200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4920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4920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4920</v>
      </c>
      <c r="EF143" s="76">
        <f>+Tabla1[[#This Row],[mto_pim]]-Tabla1[[#This Row],[TRANFS ESC 3 ]]</f>
        <v>4920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5500</v>
      </c>
      <c r="EJ143" s="76">
        <f>+IFERROR(VLOOKUP(Tabla1[[#This Row],[COD SE]],HISTORICO,7,0),0)</f>
        <v>5500</v>
      </c>
      <c r="EK143" s="76">
        <f>+IFERROR(VLOOKUP(Tabla1[[#This Row],[COD SE]],HISTORICO,8,0),0)</f>
        <v>4720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4720</v>
      </c>
      <c r="ER143" s="58">
        <f>+SUM(Tabla1[[#This Row],[EJECUTADO 07]:[EJECUTADO 09]])</f>
        <v>0</v>
      </c>
      <c r="ES143" s="58">
        <f>+SUM(Tabla1[[#This Row],[PF OCTUBRE]:[PF DICIEMBRE
]])</f>
        <v>200</v>
      </c>
      <c r="ET143" s="58">
        <f>+SUM(Tabla1[[#This Row],[EJECUTADO 01]:[EJECUTADO 09]])</f>
        <v>4720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1736</v>
      </c>
      <c r="AF144" s="369" t="s">
        <v>1737</v>
      </c>
      <c r="AG144" s="369" t="s">
        <v>1738</v>
      </c>
      <c r="AH144" s="369">
        <v>36000</v>
      </c>
      <c r="AI144" s="369">
        <v>15531</v>
      </c>
      <c r="AJ144" s="369">
        <v>51531</v>
      </c>
      <c r="AK144" s="370">
        <v>43530.91</v>
      </c>
      <c r="AL144" s="370">
        <v>43530.91</v>
      </c>
      <c r="AM144" s="370">
        <v>0</v>
      </c>
      <c r="AN144" s="370">
        <v>0</v>
      </c>
      <c r="AO144" s="370">
        <v>0</v>
      </c>
      <c r="AP144" s="370">
        <v>4000</v>
      </c>
      <c r="AQ144" s="370">
        <v>10000</v>
      </c>
      <c r="AR144" s="370">
        <v>19600</v>
      </c>
      <c r="AS144" s="370">
        <v>0</v>
      </c>
      <c r="AT144" s="370">
        <v>0</v>
      </c>
      <c r="AU144" s="370">
        <v>1930.91</v>
      </c>
      <c r="AV144" s="370">
        <v>8000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4000</v>
      </c>
      <c r="BF144" s="370">
        <v>11200</v>
      </c>
      <c r="BG144" s="370">
        <v>12772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0</v>
      </c>
      <c r="BN144" s="370">
        <v>0</v>
      </c>
      <c r="BO144" s="370">
        <v>0</v>
      </c>
      <c r="BP144" s="370">
        <v>0</v>
      </c>
      <c r="BQ144" s="370">
        <v>4000</v>
      </c>
      <c r="BR144" s="370">
        <v>11200</v>
      </c>
      <c r="BS144" s="370">
        <v>12772</v>
      </c>
      <c r="BT144" s="370">
        <v>0</v>
      </c>
      <c r="BU144" s="370">
        <v>0</v>
      </c>
      <c r="BV144" s="370">
        <v>0</v>
      </c>
      <c r="BW144" s="370">
        <v>0</v>
      </c>
      <c r="BX144" s="370">
        <v>0</v>
      </c>
      <c r="BY144" s="370">
        <v>0</v>
      </c>
      <c r="BZ144" s="370">
        <v>4000</v>
      </c>
      <c r="CA144" s="370">
        <v>10000</v>
      </c>
      <c r="CB144" s="370">
        <v>13972</v>
      </c>
      <c r="CC144" s="370">
        <v>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1993</v>
      </c>
      <c r="CM144" s="48" t="s">
        <v>1989</v>
      </c>
      <c r="CN144" s="48" t="s">
        <v>1990</v>
      </c>
      <c r="CO144" s="48" t="str">
        <f t="shared" si="40"/>
        <v>2.3.2.4.7.1</v>
      </c>
      <c r="CP144" s="48" t="str">
        <f>+VLOOKUP(Tabla1[[#This Row],[ESPECÍFICA]],CLASIFICADOR_,2,0)</f>
        <v>2.3.2.4.7.1 - DE MAQUINARIAS Y EQUIPOS</v>
      </c>
      <c r="CQ144" s="48" t="str">
        <f>+VLOOKUP(Tabla1[[#This Row],[ESPECÍFICA]],CLASIFICADOR_,3,0)</f>
        <v>2.3.2.4 - SERVICIO DE MANTENIMIENTO, ACONDICIONAMIENTO Y  REPARACIONES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Partidas restringidas</v>
      </c>
      <c r="CU144" s="48" t="str">
        <f>+VLOOKUP(Tabla1[[#This Row],[ESPECÍFICA]],CLASIFICADOR_,7,0)</f>
        <v>9.6 Hasta el 1er Semestre</v>
      </c>
      <c r="CV144" s="48">
        <f>+VLOOKUP(Tabla1[[#This Row],[ESPECÍFICA]],CLASIFICADOR_,8,0)</f>
        <v>3</v>
      </c>
      <c r="CW144" s="113" t="str">
        <f>+CONCATENATE("2.",Tabla1[[#This Row],[generica]])</f>
        <v>2.3.BIENES Y SERVICIOS</v>
      </c>
      <c r="CX144" s="48" t="str">
        <f t="shared" si="29"/>
        <v>0009-OTI</v>
      </c>
      <c r="CY144" s="113" t="str">
        <f t="shared" si="30"/>
        <v>0009-OTI</v>
      </c>
      <c r="CZ144" s="20" t="str">
        <f t="shared" si="31"/>
        <v>0009-OTI</v>
      </c>
      <c r="DA144" s="113" t="str">
        <f>+CONCATENATE(Tabla1[[#This Row],[CC COMPLETO]],Tabla1[[#This Row],[ESPECÍFICA]])</f>
        <v>0009-OTI2.3.2.4.7.1</v>
      </c>
      <c r="DB144" s="49">
        <f t="shared" si="32"/>
        <v>43530.91</v>
      </c>
      <c r="DC144" s="49">
        <f t="shared" si="33"/>
        <v>27972</v>
      </c>
      <c r="DD144" s="49">
        <f t="shared" si="34"/>
        <v>27972</v>
      </c>
      <c r="DE144" s="49">
        <f t="shared" si="35"/>
        <v>8000.0899999999965</v>
      </c>
      <c r="DF144" s="49">
        <f t="shared" si="36"/>
        <v>0</v>
      </c>
      <c r="DG144" s="49">
        <f t="shared" si="37"/>
        <v>15558.910000000003</v>
      </c>
      <c r="DH144" s="49">
        <f t="shared" si="38"/>
        <v>23559</v>
      </c>
      <c r="DI144" s="50">
        <f t="shared" si="39"/>
        <v>0.77700000000000002</v>
      </c>
      <c r="DJ144" s="78">
        <f>+SUM(Tabla1[[#This Row],[EJECUTADO 01]:[EJECUTADO 06]])</f>
        <v>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0</v>
      </c>
      <c r="DN144" s="78">
        <f>+Tabla1[[#This Row],[mto_devenga_04]]</f>
        <v>0</v>
      </c>
      <c r="DO144" s="78">
        <f>+Tabla1[[#This Row],[mto_devenga_05]]</f>
        <v>0</v>
      </c>
      <c r="DP144" s="76">
        <f>+Tabla1[[#This Row],[mto_devenga_06]]</f>
        <v>0</v>
      </c>
      <c r="DQ144" s="76">
        <f>+Tabla1[[#This Row],[mto_devenga_07]]</f>
        <v>4000</v>
      </c>
      <c r="DR144" s="76">
        <f>+Tabla1[[#This Row],[mto_devenga_08]]</f>
        <v>11200</v>
      </c>
      <c r="DS144" s="76">
        <f>+Tabla1[[#This Row],[mto_devenga_09]]</f>
        <v>12772</v>
      </c>
      <c r="DT144" s="76">
        <f>IFERROR(VLOOKUP(Tabla1[[#This Row],[COD SE]],PF_OCTUBRE,14,0),"0")</f>
        <v>1930.91</v>
      </c>
      <c r="DU144" s="76">
        <f>IFERROR(VLOOKUP(Tabla1[[#This Row],[COD SE]],PF_OCTUBRE,15,0),"0")</f>
        <v>10800</v>
      </c>
      <c r="DV144" s="76">
        <f>IFERROR(VLOOKUP(Tabla1[[#This Row],[COD SE]],PF_OCTUBRE,16,0),"0")</f>
        <v>10897.09</v>
      </c>
      <c r="DW144" s="76">
        <f>+SUM(Tabla1[[#This Row],[EJECUTADO 01]:[PF DICIEMBRE
]])</f>
        <v>51600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51600</v>
      </c>
      <c r="EB144" s="76">
        <f>IFERROR(VLOOKUP(Tabla1[[#This Row],[COD SE]],PF_OCTUBRE,22,0),"0")</f>
        <v>10897.09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51531</v>
      </c>
      <c r="EF144" s="76">
        <f>+Tabla1[[#This Row],[mto_pim]]-Tabla1[[#This Row],[TRANFS ESC 3 ]]</f>
        <v>51531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0</v>
      </c>
      <c r="EJ144" s="76">
        <f>+IFERROR(VLOOKUP(Tabla1[[#This Row],[COD SE]],HISTORICO,7,0),0)</f>
        <v>8000</v>
      </c>
      <c r="EK144" s="76">
        <f>+IFERROR(VLOOKUP(Tabla1[[#This Row],[COD SE]],HISTORICO,8,0),0)</f>
        <v>14000</v>
      </c>
      <c r="EL144" s="76">
        <f>+IFERROR(VLOOKUP(Tabla1[[#This Row],[COD SE]],HISTORICO,9,0),0)</f>
        <v>16772</v>
      </c>
      <c r="EM144" s="76">
        <f>+IFERROR(VLOOKUP(Tabla1[[#This Row],[COD SE]],HISTORICO,10,0),0)</f>
        <v>27972</v>
      </c>
      <c r="EN144" s="76">
        <f>+IFERROR(VLOOKUP(Tabla1[[#This Row],[COD SE]],HISTORICO,11,0),0)</f>
        <v>25972</v>
      </c>
      <c r="EO144" s="76">
        <f>+IFERROR(VLOOKUP(Tabla1[[#This Row],[COD SE]],HISTORICO,12,0),0)</f>
        <v>14702.91</v>
      </c>
      <c r="EP144" s="58">
        <f>+SUM(Tabla1[[#This Row],[EJECUTADO 01]:[EJECUTADO 03]])</f>
        <v>0</v>
      </c>
      <c r="EQ144" s="58">
        <f>+SUM(Tabla1[[#This Row],[EJECUTADO 04]:[EJECUTADO 06]])</f>
        <v>0</v>
      </c>
      <c r="ER144" s="58">
        <f>+SUM(Tabla1[[#This Row],[EJECUTADO 07]:[EJECUTADO 09]])</f>
        <v>27972</v>
      </c>
      <c r="ES144" s="58">
        <f>+SUM(Tabla1[[#This Row],[PF OCTUBRE]:[PF DICIEMBRE
]])</f>
        <v>23628</v>
      </c>
      <c r="ET144" s="58">
        <f>+SUM(Tabla1[[#This Row],[EJECUTADO 01]:[EJECUTADO 09]])</f>
        <v>27972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1656</v>
      </c>
      <c r="AD145" s="369" t="s">
        <v>2006</v>
      </c>
      <c r="AE145" s="369" t="s">
        <v>2007</v>
      </c>
      <c r="AF145" s="369" t="s">
        <v>2007</v>
      </c>
      <c r="AG145" s="369" t="s">
        <v>2009</v>
      </c>
      <c r="AH145" s="369">
        <v>0</v>
      </c>
      <c r="AI145" s="369">
        <v>13262</v>
      </c>
      <c r="AJ145" s="369">
        <v>13262</v>
      </c>
      <c r="AK145" s="370">
        <v>7595</v>
      </c>
      <c r="AL145" s="370">
        <v>7595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971.84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971.84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971.84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971.84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1990</v>
      </c>
      <c r="CK145" s="48" t="s">
        <v>1993</v>
      </c>
      <c r="CL145" s="48" t="s">
        <v>1990</v>
      </c>
      <c r="CM145" s="48" t="s">
        <v>1990</v>
      </c>
      <c r="CN145" s="48" t="s">
        <v>1990</v>
      </c>
      <c r="CO145" s="48" t="str">
        <f t="shared" si="40"/>
        <v>2.1.4.1.1.1</v>
      </c>
      <c r="CP145" s="48" t="str">
        <f>+VLOOKUP(Tabla1[[#This Row],[ESPECÍFICA]],CLASIFICADOR_,2,0)</f>
        <v>2.1.4.1.1.1 - COMPENSACION POR TIEMPO DE SERVICIOS DEL REGIMEN LABORAL PRIVADO Y REGIMEN DEL SERVICIO CIVIL</v>
      </c>
      <c r="CQ145" s="48" t="str">
        <f>+VLOOKUP(Tabla1[[#This Row],[ESPECÍFICA]],CLASIFICADOR_,3,0)</f>
        <v>02.SERVIR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N/R</v>
      </c>
      <c r="CU145" s="48" t="str">
        <f>+VLOOKUP(Tabla1[[#This Row],[ESPECÍFICA]],CLASIFICADOR_,7,0)</f>
        <v>N/R</v>
      </c>
      <c r="CV145" s="48">
        <f>+VLOOKUP(Tabla1[[#This Row],[ESPECÍFICA]],CLASIFICADOR_,8,0)</f>
        <v>0</v>
      </c>
      <c r="CW145" s="113" t="str">
        <f>+CONCATENATE("2.",Tabla1[[#This Row],[generica]])</f>
        <v>2.1.PERSONAL Y OBLIGACIONES SOCIALES</v>
      </c>
      <c r="CX145" s="48" t="str">
        <f t="shared" si="29"/>
        <v>0009-OTI</v>
      </c>
      <c r="CY145" s="113" t="str">
        <f t="shared" si="30"/>
        <v>0009-OTI</v>
      </c>
      <c r="CZ145" s="20" t="str">
        <f t="shared" si="31"/>
        <v>0009-OTI</v>
      </c>
      <c r="DA145" s="113" t="str">
        <f>+CONCATENATE(Tabla1[[#This Row],[CC COMPLETO]],Tabla1[[#This Row],[ESPECÍFICA]])</f>
        <v>0009-OTI2.1.4.1.1.1</v>
      </c>
      <c r="DB145" s="49">
        <f t="shared" si="32"/>
        <v>971.84</v>
      </c>
      <c r="DC145" s="49">
        <f t="shared" si="33"/>
        <v>971.84</v>
      </c>
      <c r="DD145" s="49">
        <f t="shared" si="34"/>
        <v>971.84</v>
      </c>
      <c r="DE145" s="49">
        <f t="shared" si="35"/>
        <v>5667</v>
      </c>
      <c r="DF145" s="49">
        <f t="shared" si="36"/>
        <v>0</v>
      </c>
      <c r="DG145" s="49">
        <f t="shared" si="37"/>
        <v>6623.16</v>
      </c>
      <c r="DH145" s="49">
        <f t="shared" si="38"/>
        <v>12290.16</v>
      </c>
      <c r="DI145" s="50">
        <f t="shared" si="39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971.84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7594.86</v>
      </c>
      <c r="DV145" s="76">
        <f>IFERROR(VLOOKUP(Tabla1[[#This Row],[COD SE]],PF_OCTUBRE,16,0),"0")</f>
        <v>0</v>
      </c>
      <c r="DW145" s="76">
        <f>+SUM(Tabla1[[#This Row],[EJECUTADO 01]:[PF DICIEMBRE
]])</f>
        <v>8566.6999999999989</v>
      </c>
      <c r="DX145" s="76">
        <f>IFERROR(VLOOKUP(Tabla1[[#This Row],[COD SE]],PF_OCTUBRE,18,0),"0")</f>
        <v>0</v>
      </c>
      <c r="DY145" s="76">
        <f>IFERROR(VLOOKUP(Tabla1[[#This Row],[COD SE]],PF_OCTUBRE,19,0),"0")</f>
        <v>4695.3</v>
      </c>
      <c r="DZ145" s="76">
        <f>IFERROR(VLOOKUP(Tabla1[[#This Row],[COD SE]],PF_OCTUBRE,20,0),"0")</f>
        <v>4695.3</v>
      </c>
      <c r="EA145" s="76">
        <f>+Tabla1[[#This Row],[TOTAL EJEC REAL]]+Tabla1[[#This Row],[SALDO FINAL]]</f>
        <v>13262</v>
      </c>
      <c r="EB145" s="76">
        <f>IFERROR(VLOOKUP(Tabla1[[#This Row],[COD SE]],PF_OCTUBRE,22,0),"0")</f>
        <v>4695.3</v>
      </c>
      <c r="EC145" s="76">
        <f>+IFERROR(VLOOKUP(Tabla1[[#This Row],[COD SE]],SALDO_ESC_2,7,0),0)</f>
        <v>0</v>
      </c>
      <c r="ED145" s="76">
        <f>+IFERROR(VLOOKUP(Tabla1[[#This Row],[COD SE]],SALDO_ESC_3,7,0),0)</f>
        <v>4695.3</v>
      </c>
      <c r="EE145" s="76">
        <f>+Tabla1[[#This Row],[mto_pim]]-Tabla1[[#This Row],[TRANSF ESC2 ]]</f>
        <v>13262</v>
      </c>
      <c r="EF145" s="76">
        <f>+Tabla1[[#This Row],[mto_pim]]-Tabla1[[#This Row],[TRANFS ESC 3 ]]</f>
        <v>8566.7000000000007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0.85999999999967258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971.84</v>
      </c>
      <c r="ES145" s="58">
        <f>+SUM(Tabla1[[#This Row],[PF OCTUBRE]:[PF DICIEMBRE
]])</f>
        <v>7594.86</v>
      </c>
      <c r="ET145" s="58">
        <f>+SUM(Tabla1[[#This Row],[EJECUTADO 01]:[EJECUTADO 09]])</f>
        <v>971.84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1688</v>
      </c>
      <c r="AF146" s="369" t="s">
        <v>1731</v>
      </c>
      <c r="AG146" s="369" t="s">
        <v>1732</v>
      </c>
      <c r="AH146" s="369">
        <v>102000</v>
      </c>
      <c r="AI146" s="369">
        <v>-69531</v>
      </c>
      <c r="AJ146" s="369">
        <v>32469</v>
      </c>
      <c r="AK146" s="370">
        <v>29469</v>
      </c>
      <c r="AL146" s="370">
        <v>29469</v>
      </c>
      <c r="AM146" s="370">
        <v>29469</v>
      </c>
      <c r="AN146" s="370">
        <v>0</v>
      </c>
      <c r="AO146" s="370">
        <v>0</v>
      </c>
      <c r="AP146" s="370">
        <v>0</v>
      </c>
      <c r="AQ146" s="370">
        <v>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0</v>
      </c>
      <c r="AW146" s="370">
        <v>0</v>
      </c>
      <c r="AX146" s="370">
        <v>0</v>
      </c>
      <c r="AY146" s="370">
        <v>0</v>
      </c>
      <c r="AZ146" s="370">
        <v>5358</v>
      </c>
      <c r="BA146" s="370">
        <v>0</v>
      </c>
      <c r="BB146" s="370">
        <v>2679</v>
      </c>
      <c r="BC146" s="370">
        <v>5358</v>
      </c>
      <c r="BD146" s="370">
        <v>2679</v>
      </c>
      <c r="BE146" s="370">
        <v>2679</v>
      </c>
      <c r="BF146" s="370">
        <v>2679</v>
      </c>
      <c r="BG146" s="370">
        <v>0</v>
      </c>
      <c r="BH146" s="370">
        <v>5358</v>
      </c>
      <c r="BI146" s="370">
        <v>0</v>
      </c>
      <c r="BJ146" s="370">
        <v>0</v>
      </c>
      <c r="BK146" s="370">
        <v>0</v>
      </c>
      <c r="BL146" s="370">
        <v>5358</v>
      </c>
      <c r="BM146" s="370">
        <v>0</v>
      </c>
      <c r="BN146" s="370">
        <v>2679</v>
      </c>
      <c r="BO146" s="370">
        <v>5358</v>
      </c>
      <c r="BP146" s="370">
        <v>2679</v>
      </c>
      <c r="BQ146" s="370">
        <v>2679</v>
      </c>
      <c r="BR146" s="370">
        <v>2679</v>
      </c>
      <c r="BS146" s="370">
        <v>0</v>
      </c>
      <c r="BT146" s="370">
        <v>5358</v>
      </c>
      <c r="BU146" s="370">
        <v>0</v>
      </c>
      <c r="BV146" s="370">
        <v>0</v>
      </c>
      <c r="BW146" s="370">
        <v>26790</v>
      </c>
      <c r="BX146" s="370">
        <v>0</v>
      </c>
      <c r="BY146" s="370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1987</v>
      </c>
      <c r="CM146" s="48" t="s">
        <v>1987</v>
      </c>
      <c r="CN146" s="48" t="s">
        <v>1990</v>
      </c>
      <c r="CO146" s="48" t="str">
        <f t="shared" si="40"/>
        <v>2.3.2.2.2.1</v>
      </c>
      <c r="CP146" s="48" t="str">
        <f>+VLOOKUP(Tabla1[[#This Row],[ESPECÍFICA]],CLASIFICADOR_,2,0)</f>
        <v>2.3.2.2.2.1 - SERVICIO DE TELEFONIA MOVIL</v>
      </c>
      <c r="CQ146" s="48" t="str">
        <f>+VLOOKUP(Tabla1[[#This Row],[ESPECÍFICA]],CLASIFICADOR_,3,0)</f>
        <v>2.3.2.2 - SERVICIOS BASICOS, COMUNICACIONES, PUBLICIDAD Y DIFUSION</v>
      </c>
      <c r="CR146" s="48" t="str">
        <f>+VLOOKUP(Tabla1[[#This Row],[ESPECÍFICA]],CLASIFICADOR_,4,0)</f>
        <v>Límite de Gasto</v>
      </c>
      <c r="CS146" s="48" t="str">
        <f>+VLOOKUP(Tabla1[[#This Row],[ESPECÍFICA]],CLASIFICADOR_,5,0)</f>
        <v>10.6 a)</v>
      </c>
      <c r="CT146" s="113" t="str">
        <f>+VLOOKUP(Tabla1[[#This Row],[ESPECÍFICA]],CLASIFICADOR_,6,0)</f>
        <v>Partidas restringidas</v>
      </c>
      <c r="CU146" s="48">
        <f>+VLOOKUP(Tabla1[[#This Row],[ESPECÍFICA]],CLASIFICADOR_,7,0)</f>
        <v>9.6999999999999993</v>
      </c>
      <c r="CV146" s="48">
        <f>+VLOOKUP(Tabla1[[#This Row],[ESPECÍFICA]],CLASIFICADOR_,8,0)</f>
        <v>5</v>
      </c>
      <c r="CW146" s="113" t="str">
        <f>+CONCATENATE("2.",Tabla1[[#This Row],[generica]])</f>
        <v>2.3.BIENES Y SERVICIOS</v>
      </c>
      <c r="CX146" s="48" t="str">
        <f t="shared" si="29"/>
        <v>0009-OTI</v>
      </c>
      <c r="CY146" s="113" t="str">
        <f t="shared" si="30"/>
        <v>0009-OTI</v>
      </c>
      <c r="CZ146" s="20" t="str">
        <f t="shared" si="31"/>
        <v>0009-OTI</v>
      </c>
      <c r="DA146" s="113" t="str">
        <f>+CONCATENATE(Tabla1[[#This Row],[CC COMPLETO]],Tabla1[[#This Row],[ESPECÍFICA]])</f>
        <v>0009-OTI2.3.2.2.2.1</v>
      </c>
      <c r="DB146" s="49">
        <f t="shared" si="32"/>
        <v>29469</v>
      </c>
      <c r="DC146" s="49">
        <f t="shared" si="33"/>
        <v>26790</v>
      </c>
      <c r="DD146" s="49">
        <f t="shared" si="34"/>
        <v>26790</v>
      </c>
      <c r="DE146" s="49">
        <f t="shared" si="35"/>
        <v>3000</v>
      </c>
      <c r="DF146" s="49">
        <f t="shared" si="36"/>
        <v>0</v>
      </c>
      <c r="DG146" s="49">
        <f t="shared" si="37"/>
        <v>2679</v>
      </c>
      <c r="DH146" s="49">
        <f t="shared" si="38"/>
        <v>5679</v>
      </c>
      <c r="DI146" s="50">
        <f t="shared" si="39"/>
        <v>0.2626470588235294</v>
      </c>
      <c r="DJ146" s="78">
        <f>+SUM(Tabla1[[#This Row],[EJECUTADO 01]:[EJECUTADO 06]])</f>
        <v>16074</v>
      </c>
      <c r="DK146" s="78">
        <f>+Tabla1[[#This Row],[mto_devenga_01]]</f>
        <v>0</v>
      </c>
      <c r="DL146" s="78">
        <f>+Tabla1[[#This Row],[mto_devenga_02]]</f>
        <v>5358</v>
      </c>
      <c r="DM146" s="78">
        <f>+Tabla1[[#This Row],[mto_devenga_03]]</f>
        <v>0</v>
      </c>
      <c r="DN146" s="78">
        <f>+Tabla1[[#This Row],[mto_devenga_04]]</f>
        <v>2679</v>
      </c>
      <c r="DO146" s="78">
        <f>+Tabla1[[#This Row],[mto_devenga_05]]</f>
        <v>5358</v>
      </c>
      <c r="DP146" s="76">
        <f>+Tabla1[[#This Row],[mto_devenga_06]]</f>
        <v>2679</v>
      </c>
      <c r="DQ146" s="76">
        <f>+Tabla1[[#This Row],[mto_devenga_07]]</f>
        <v>2679</v>
      </c>
      <c r="DR146" s="76">
        <f>+Tabla1[[#This Row],[mto_devenga_08]]</f>
        <v>2679</v>
      </c>
      <c r="DS146" s="76">
        <f>+Tabla1[[#This Row],[mto_devenga_09]]</f>
        <v>0</v>
      </c>
      <c r="DT146" s="76">
        <f>IFERROR(VLOOKUP(Tabla1[[#This Row],[COD SE]],PF_OCTUBRE,14,0),"0")</f>
        <v>2679</v>
      </c>
      <c r="DU146" s="76">
        <f>IFERROR(VLOOKUP(Tabla1[[#This Row],[COD SE]],PF_OCTUBRE,15,0),"0")</f>
        <v>2679</v>
      </c>
      <c r="DV146" s="76">
        <f>IFERROR(VLOOKUP(Tabla1[[#This Row],[COD SE]],PF_OCTUBRE,16,0),"0")</f>
        <v>5679</v>
      </c>
      <c r="DW146" s="76">
        <f>+SUM(Tabla1[[#This Row],[EJECUTADO 01]:[PF DICIEMBRE
]])</f>
        <v>32469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32469</v>
      </c>
      <c r="EB146" s="76">
        <f>IFERROR(VLOOKUP(Tabla1[[#This Row],[COD SE]],PF_OCTUBRE,22,0),"0")</f>
        <v>5679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32469</v>
      </c>
      <c r="EF146" s="76">
        <f>+Tabla1[[#This Row],[mto_pim]]-Tabla1[[#This Row],[TRANFS ESC 3 ]]</f>
        <v>32469</v>
      </c>
      <c r="EG146" s="76">
        <f>+IFERROR(VLOOKUP(Tabla1[[#This Row],[COD SE]],HISTORICO,4,0),0)</f>
        <v>2679</v>
      </c>
      <c r="EH146" s="76">
        <f>+IFERROR(VLOOKUP(Tabla1[[#This Row],[COD SE]],HISTORICO,5,0),0)</f>
        <v>2679</v>
      </c>
      <c r="EI146" s="76">
        <f>+IFERROR(VLOOKUP(Tabla1[[#This Row],[COD SE]],HISTORICO,6,0),0)</f>
        <v>2679</v>
      </c>
      <c r="EJ146" s="76">
        <f>+IFERROR(VLOOKUP(Tabla1[[#This Row],[COD SE]],HISTORICO,7,0),0)</f>
        <v>2679</v>
      </c>
      <c r="EK146" s="76">
        <f>+IFERROR(VLOOKUP(Tabla1[[#This Row],[COD SE]],HISTORICO,8,0),0)</f>
        <v>2679</v>
      </c>
      <c r="EL146" s="76">
        <f>+IFERROR(VLOOKUP(Tabla1[[#This Row],[COD SE]],HISTORICO,9,0),0)</f>
        <v>2679</v>
      </c>
      <c r="EM146" s="76">
        <f>+IFERROR(VLOOKUP(Tabla1[[#This Row],[COD SE]],HISTORICO,10,0),0)</f>
        <v>2679</v>
      </c>
      <c r="EN146" s="76">
        <f>+IFERROR(VLOOKUP(Tabla1[[#This Row],[COD SE]],HISTORICO,11,0),0)</f>
        <v>2679</v>
      </c>
      <c r="EO146" s="76">
        <f>+IFERROR(VLOOKUP(Tabla1[[#This Row],[COD SE]],HISTORICO,12,0),0)</f>
        <v>2679</v>
      </c>
      <c r="EP146" s="58">
        <f>+SUM(Tabla1[[#This Row],[EJECUTADO 01]:[EJECUTADO 03]])</f>
        <v>5358</v>
      </c>
      <c r="EQ146" s="58">
        <f>+SUM(Tabla1[[#This Row],[EJECUTADO 04]:[EJECUTADO 06]])</f>
        <v>10716</v>
      </c>
      <c r="ER146" s="58">
        <f>+SUM(Tabla1[[#This Row],[EJECUTADO 07]:[EJECUTADO 09]])</f>
        <v>5358</v>
      </c>
      <c r="ES146" s="58">
        <f>+SUM(Tabla1[[#This Row],[PF OCTUBRE]:[PF DICIEMBRE
]])</f>
        <v>11037</v>
      </c>
      <c r="ET146" s="58">
        <f>+SUM(Tabla1[[#This Row],[EJECUTADO 01]:[EJECUTADO 09]])</f>
        <v>21432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1672</v>
      </c>
      <c r="AD147" s="369" t="s">
        <v>1673</v>
      </c>
      <c r="AE147" s="369" t="s">
        <v>1678</v>
      </c>
      <c r="AF147" s="369" t="s">
        <v>1697</v>
      </c>
      <c r="AG147" s="369" t="s">
        <v>1698</v>
      </c>
      <c r="AH147" s="369">
        <v>3602</v>
      </c>
      <c r="AI147" s="369">
        <v>-2428</v>
      </c>
      <c r="AJ147" s="369">
        <v>1174</v>
      </c>
      <c r="AK147" s="370">
        <v>1173.2</v>
      </c>
      <c r="AL147" s="370">
        <v>1173.2</v>
      </c>
      <c r="AM147" s="370">
        <v>0</v>
      </c>
      <c r="AN147" s="370">
        <v>0</v>
      </c>
      <c r="AO147" s="370">
        <v>0</v>
      </c>
      <c r="AP147" s="370">
        <v>0</v>
      </c>
      <c r="AQ147" s="370">
        <v>0</v>
      </c>
      <c r="AR147" s="370">
        <v>0</v>
      </c>
      <c r="AS147" s="370">
        <v>0</v>
      </c>
      <c r="AT147" s="370">
        <v>1173.2</v>
      </c>
      <c r="AU147" s="370">
        <v>0</v>
      </c>
      <c r="AV147" s="370">
        <v>0</v>
      </c>
      <c r="AW147" s="370">
        <v>0</v>
      </c>
      <c r="AX147" s="370">
        <v>0</v>
      </c>
      <c r="AY147" s="370">
        <v>0</v>
      </c>
      <c r="AZ147" s="370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0">
        <v>0</v>
      </c>
      <c r="BG147" s="370">
        <v>1173.2</v>
      </c>
      <c r="BH147" s="370">
        <v>0</v>
      </c>
      <c r="BI147" s="370">
        <v>0</v>
      </c>
      <c r="BJ147" s="370">
        <v>0</v>
      </c>
      <c r="BK147" s="370">
        <v>0</v>
      </c>
      <c r="BL147" s="370">
        <v>0</v>
      </c>
      <c r="BM147" s="370">
        <v>0</v>
      </c>
      <c r="BN147" s="370">
        <v>0</v>
      </c>
      <c r="BO147" s="370">
        <v>0</v>
      </c>
      <c r="BP147" s="370">
        <v>0</v>
      </c>
      <c r="BQ147" s="370">
        <v>0</v>
      </c>
      <c r="BR147" s="370">
        <v>0</v>
      </c>
      <c r="BS147" s="370">
        <v>1173.2</v>
      </c>
      <c r="BT147" s="370">
        <v>0</v>
      </c>
      <c r="BU147" s="370">
        <v>0</v>
      </c>
      <c r="BV147" s="370">
        <v>0</v>
      </c>
      <c r="BW147" s="370">
        <v>0</v>
      </c>
      <c r="BX147" s="370">
        <v>0</v>
      </c>
      <c r="BY147" s="370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1173.2</v>
      </c>
      <c r="CE147" s="370">
        <v>0</v>
      </c>
      <c r="CF147" s="370">
        <v>0</v>
      </c>
      <c r="CG147" s="370">
        <v>0</v>
      </c>
      <c r="CH147" s="370">
        <v>0</v>
      </c>
      <c r="CI147" s="48" t="s">
        <v>1987</v>
      </c>
      <c r="CJ147" s="48" t="s">
        <v>1991</v>
      </c>
      <c r="CK147" s="48" t="s">
        <v>1987</v>
      </c>
      <c r="CL147" s="48" t="s">
        <v>1989</v>
      </c>
      <c r="CM147" s="48" t="s">
        <v>2021</v>
      </c>
      <c r="CN147" s="48" t="s">
        <v>1998</v>
      </c>
      <c r="CO147" s="48" t="str">
        <f t="shared" si="40"/>
        <v>2.3.2.7.11.99</v>
      </c>
      <c r="CP147" s="48" t="str">
        <f>+VLOOKUP(Tabla1[[#This Row],[ESPECÍFICA]],CLASIFICADOR_,2,0)</f>
        <v>2.3.2.7.11.99 - SERVICIOS DIVERSOS</v>
      </c>
      <c r="CQ147" s="48" t="str">
        <f>+VLOOKUP(Tabla1[[#This Row],[ESPECÍFICA]],CLASIFICADOR_,3,0)</f>
        <v>2.3.2.7 - SERVICIOS PROFESIONALES Y TECNICOS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Partidas restringidas</v>
      </c>
      <c r="CU147" s="48">
        <f>+VLOOKUP(Tabla1[[#This Row],[ESPECÍFICA]],CLASIFICADOR_,7,0)</f>
        <v>9.1300000000000008</v>
      </c>
      <c r="CV147" s="48">
        <f>+VLOOKUP(Tabla1[[#This Row],[ESPECÍFICA]],CLASIFICADOR_,8,0)</f>
        <v>10</v>
      </c>
      <c r="CW147" s="113" t="str">
        <f>+CONCATENATE("2.",Tabla1[[#This Row],[generica]])</f>
        <v>2.3.BIENES Y SERVICIOS</v>
      </c>
      <c r="CX147" s="48" t="str">
        <f t="shared" si="29"/>
        <v>0009-OTI</v>
      </c>
      <c r="CY147" s="113" t="str">
        <f t="shared" si="30"/>
        <v>0009-OTI</v>
      </c>
      <c r="CZ147" s="20" t="str">
        <f t="shared" si="31"/>
        <v>0009-OTI</v>
      </c>
      <c r="DA147" s="113" t="str">
        <f>+CONCATENATE(Tabla1[[#This Row],[CC COMPLETO]],Tabla1[[#This Row],[ESPECÍFICA]])</f>
        <v>0009-OTI2.3.2.7.11.99</v>
      </c>
      <c r="DB147" s="49">
        <f t="shared" si="32"/>
        <v>1173.2</v>
      </c>
      <c r="DC147" s="49">
        <f t="shared" si="33"/>
        <v>1173.2</v>
      </c>
      <c r="DD147" s="49">
        <f t="shared" si="34"/>
        <v>1173.2</v>
      </c>
      <c r="DE147" s="49">
        <f t="shared" si="35"/>
        <v>0.79999999999995453</v>
      </c>
      <c r="DF147" s="49">
        <f t="shared" si="36"/>
        <v>0</v>
      </c>
      <c r="DG147" s="49">
        <f t="shared" si="37"/>
        <v>0</v>
      </c>
      <c r="DH147" s="49">
        <f t="shared" si="38"/>
        <v>0.79999999999995453</v>
      </c>
      <c r="DI147" s="50">
        <f t="shared" si="39"/>
        <v>0.32570794003331482</v>
      </c>
      <c r="DJ147" s="78">
        <f>+SUM(Tabla1[[#This Row],[EJECUTADO 01]:[EJECUTADO 06]])</f>
        <v>0</v>
      </c>
      <c r="DK147" s="78">
        <f>+Tabla1[[#This Row],[mto_devenga_01]]</f>
        <v>0</v>
      </c>
      <c r="DL147" s="78">
        <f>+Tabla1[[#This Row],[mto_devenga_02]]</f>
        <v>0</v>
      </c>
      <c r="DM147" s="78">
        <f>+Tabla1[[#This Row],[mto_devenga_03]]</f>
        <v>0</v>
      </c>
      <c r="DN147" s="78">
        <f>+Tabla1[[#This Row],[mto_devenga_04]]</f>
        <v>0</v>
      </c>
      <c r="DO147" s="78">
        <f>+Tabla1[[#This Row],[mto_devenga_05]]</f>
        <v>0</v>
      </c>
      <c r="DP147" s="76">
        <f>+Tabla1[[#This Row],[mto_devenga_06]]</f>
        <v>0</v>
      </c>
      <c r="DQ147" s="76">
        <f>+Tabla1[[#This Row],[mto_devenga_07]]</f>
        <v>0</v>
      </c>
      <c r="DR147" s="76">
        <f>+Tabla1[[#This Row],[mto_devenga_08]]</f>
        <v>0</v>
      </c>
      <c r="DS147" s="76">
        <f>+Tabla1[[#This Row],[mto_devenga_09]]</f>
        <v>1173.2</v>
      </c>
      <c r="DT147" s="76">
        <f>IFERROR(VLOOKUP(Tabla1[[#This Row],[COD SE]],PF_OCTUBRE,14,0),"0")</f>
        <v>0</v>
      </c>
      <c r="DU147" s="76">
        <f>IFERROR(VLOOKUP(Tabla1[[#This Row],[COD SE]],PF_OCTUBRE,15,0),"0")</f>
        <v>0</v>
      </c>
      <c r="DV147" s="76">
        <f>IFERROR(VLOOKUP(Tabla1[[#This Row],[COD SE]],PF_OCTUBRE,16,0),"0")</f>
        <v>0.8</v>
      </c>
      <c r="DW147" s="76">
        <f>+SUM(Tabla1[[#This Row],[EJECUTADO 01]:[PF DICIEMBRE
]])</f>
        <v>1174</v>
      </c>
      <c r="DX147" s="76">
        <f>IFERROR(VLOOKUP(Tabla1[[#This Row],[COD SE]],PF_OCTUBRE,18,0),"0")</f>
        <v>0</v>
      </c>
      <c r="DY147" s="76">
        <f>IFERROR(VLOOKUP(Tabla1[[#This Row],[COD SE]],PF_OCTUBRE,19,0),"0")</f>
        <v>0</v>
      </c>
      <c r="DZ147" s="76">
        <f>IFERROR(VLOOKUP(Tabla1[[#This Row],[COD SE]],PF_OCTUBRE,20,0),"0")</f>
        <v>0</v>
      </c>
      <c r="EA147" s="76">
        <f>+Tabla1[[#This Row],[TOTAL EJEC REAL]]+Tabla1[[#This Row],[SALDO FINAL]]</f>
        <v>1174</v>
      </c>
      <c r="EB147" s="76">
        <f>IFERROR(VLOOKUP(Tabla1[[#This Row],[COD SE]],PF_OCTUBRE,22,0),"0")</f>
        <v>0.8</v>
      </c>
      <c r="EC147" s="76">
        <f>+IFERROR(VLOOKUP(Tabla1[[#This Row],[COD SE]],SALDO_ESC_2,7,0),0)</f>
        <v>0</v>
      </c>
      <c r="ED147" s="76">
        <f>+IFERROR(VLOOKUP(Tabla1[[#This Row],[COD SE]],SALDO_ESC_3,7,0),0)</f>
        <v>0</v>
      </c>
      <c r="EE147" s="76">
        <f>+Tabla1[[#This Row],[mto_pim]]-Tabla1[[#This Row],[TRANSF ESC2 ]]</f>
        <v>1174</v>
      </c>
      <c r="EF147" s="76">
        <f>+Tabla1[[#This Row],[mto_pim]]-Tabla1[[#This Row],[TRANFS ESC 3 ]]</f>
        <v>1174</v>
      </c>
      <c r="EG147" s="76">
        <f>+IFERROR(VLOOKUP(Tabla1[[#This Row],[COD SE]],HISTORICO,4,0),0)</f>
        <v>0</v>
      </c>
      <c r="EH147" s="76">
        <f>+IFERROR(VLOOKUP(Tabla1[[#This Row],[COD SE]],HISTORICO,5,0),0)</f>
        <v>0</v>
      </c>
      <c r="EI147" s="76">
        <f>+IFERROR(VLOOKUP(Tabla1[[#This Row],[COD SE]],HISTORICO,6,0),0)</f>
        <v>0</v>
      </c>
      <c r="EJ147" s="76">
        <f>+IFERROR(VLOOKUP(Tabla1[[#This Row],[COD SE]],HISTORICO,7,0),0)</f>
        <v>0</v>
      </c>
      <c r="EK147" s="76">
        <f>+IFERROR(VLOOKUP(Tabla1[[#This Row],[COD SE]],HISTORICO,8,0),0)</f>
        <v>3602</v>
      </c>
      <c r="EL147" s="76">
        <f>+IFERROR(VLOOKUP(Tabla1[[#This Row],[COD SE]],HISTORICO,9,0),0)</f>
        <v>3602</v>
      </c>
      <c r="EM147" s="76">
        <f>+IFERROR(VLOOKUP(Tabla1[[#This Row],[COD SE]],HISTORICO,10,0),0)</f>
        <v>2000</v>
      </c>
      <c r="EN147" s="76">
        <f>+IFERROR(VLOOKUP(Tabla1[[#This Row],[COD SE]],HISTORICO,11,0),0)</f>
        <v>1174</v>
      </c>
      <c r="EO147" s="76">
        <f>+IFERROR(VLOOKUP(Tabla1[[#This Row],[COD SE]],HISTORICO,12,0),0)</f>
        <v>1173.2</v>
      </c>
      <c r="EP147" s="58">
        <f>+SUM(Tabla1[[#This Row],[EJECUTADO 01]:[EJECUTADO 03]])</f>
        <v>0</v>
      </c>
      <c r="EQ147" s="58">
        <f>+SUM(Tabla1[[#This Row],[EJECUTADO 04]:[EJECUTADO 06]])</f>
        <v>0</v>
      </c>
      <c r="ER147" s="58">
        <f>+SUM(Tabla1[[#This Row],[EJECUTADO 07]:[EJECUTADO 09]])</f>
        <v>1173.2</v>
      </c>
      <c r="ES147" s="58">
        <f>+SUM(Tabla1[[#This Row],[PF OCTUBRE]:[PF DICIEMBRE
]])</f>
        <v>0.8</v>
      </c>
      <c r="ET147" s="58">
        <f>+SUM(Tabla1[[#This Row],[EJECUTADO 01]:[EJECUTADO 09]])</f>
        <v>1173.2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1673</v>
      </c>
      <c r="AE148" s="369" t="s">
        <v>1678</v>
      </c>
      <c r="AF148" s="369" t="s">
        <v>1740</v>
      </c>
      <c r="AG148" s="369" t="s">
        <v>1743</v>
      </c>
      <c r="AH148" s="369">
        <v>37000</v>
      </c>
      <c r="AI148" s="369">
        <v>16300</v>
      </c>
      <c r="AJ148" s="369">
        <v>53300</v>
      </c>
      <c r="AK148" s="370">
        <v>15500</v>
      </c>
      <c r="AL148" s="370">
        <v>15500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15500</v>
      </c>
      <c r="AU148" s="370">
        <v>0</v>
      </c>
      <c r="AV148" s="370">
        <v>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15500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15500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15500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1987</v>
      </c>
      <c r="CL148" s="48" t="s">
        <v>1989</v>
      </c>
      <c r="CM148" s="48" t="s">
        <v>1993</v>
      </c>
      <c r="CN148" s="48" t="s">
        <v>1987</v>
      </c>
      <c r="CO148" s="48" t="str">
        <f t="shared" si="40"/>
        <v>2.3.2.7.4.2</v>
      </c>
      <c r="CP148" s="48" t="str">
        <f>+VLOOKUP(Tabla1[[#This Row],[ESPECÍFICA]],CLASIFICADOR_,2,0)</f>
        <v>2.3.2.7.4.2 - PROCESAMIENTOS DE DATOS</v>
      </c>
      <c r="CQ148" s="48" t="str">
        <f>+VLOOKUP(Tabla1[[#This Row],[ESPECÍFICA]],CLASIFICADOR_,3,0)</f>
        <v>2.3.2.7 - SERVICIOS PROFESIONALES Y TECNICOS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N/R</v>
      </c>
      <c r="CU148" s="48" t="str">
        <f>+VLOOKUP(Tabla1[[#This Row],[ESPECÍFICA]],CLASIFICADOR_,7,0)</f>
        <v>N/R</v>
      </c>
      <c r="CV148" s="48">
        <f>+VLOOKUP(Tabla1[[#This Row],[ESPECÍFICA]],CLASIFICADOR_,8,0)</f>
        <v>0</v>
      </c>
      <c r="CW148" s="113" t="str">
        <f>+CONCATENATE("2.",Tabla1[[#This Row],[generica]])</f>
        <v>2.3.BIENES Y SERVICIOS</v>
      </c>
      <c r="CX148" s="48" t="str">
        <f t="shared" si="29"/>
        <v>0009-OTI</v>
      </c>
      <c r="CY148" s="113" t="str">
        <f t="shared" si="30"/>
        <v>0009-OTI</v>
      </c>
      <c r="CZ148" s="20" t="str">
        <f t="shared" si="31"/>
        <v>0009-OTI</v>
      </c>
      <c r="DA148" s="113" t="str">
        <f>+CONCATENATE(Tabla1[[#This Row],[CC COMPLETO]],Tabla1[[#This Row],[ESPECÍFICA]])</f>
        <v>0009-OTI2.3.2.7.4.2</v>
      </c>
      <c r="DB148" s="49">
        <f t="shared" si="32"/>
        <v>15500</v>
      </c>
      <c r="DC148" s="49">
        <f t="shared" si="33"/>
        <v>15500</v>
      </c>
      <c r="DD148" s="49">
        <f t="shared" si="34"/>
        <v>15500</v>
      </c>
      <c r="DE148" s="49">
        <f t="shared" si="35"/>
        <v>37800</v>
      </c>
      <c r="DF148" s="49">
        <f t="shared" si="36"/>
        <v>0</v>
      </c>
      <c r="DG148" s="49">
        <f t="shared" si="37"/>
        <v>0</v>
      </c>
      <c r="DH148" s="49">
        <f t="shared" si="38"/>
        <v>37800</v>
      </c>
      <c r="DI148" s="50">
        <f t="shared" si="39"/>
        <v>0.41891891891891891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15500</v>
      </c>
      <c r="DT148" s="76">
        <f>IFERROR(VLOOKUP(Tabla1[[#This Row],[COD SE]],PF_OCTUBRE,14,0),"0")</f>
        <v>0</v>
      </c>
      <c r="DU148" s="76">
        <f>IFERROR(VLOOKUP(Tabla1[[#This Row],[COD SE]],PF_OCTUBRE,15,0),"0")</f>
        <v>0</v>
      </c>
      <c r="DV148" s="76">
        <f>IFERROR(VLOOKUP(Tabla1[[#This Row],[COD SE]],PF_OCTUBRE,16,0),"0")</f>
        <v>37800</v>
      </c>
      <c r="DW148" s="76">
        <f>+SUM(Tabla1[[#This Row],[EJECUTADO 01]:[PF DICIEMBRE
]])</f>
        <v>53300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53300</v>
      </c>
      <c r="EB148" s="76">
        <f>IFERROR(VLOOKUP(Tabla1[[#This Row],[COD SE]],PF_OCTUBRE,22,0),"0")</f>
        <v>37800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53300</v>
      </c>
      <c r="EF148" s="76">
        <f>+Tabla1[[#This Row],[mto_pim]]-Tabla1[[#This Row],[TRANFS ESC 3 ]]</f>
        <v>53300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0</v>
      </c>
      <c r="EL148" s="76">
        <f>+IFERROR(VLOOKUP(Tabla1[[#This Row],[COD SE]],HISTORICO,9,0),0)</f>
        <v>0</v>
      </c>
      <c r="EM148" s="76">
        <f>+IFERROR(VLOOKUP(Tabla1[[#This Row],[COD SE]],HISTORICO,10,0),0)</f>
        <v>0</v>
      </c>
      <c r="EN148" s="76">
        <f>+IFERROR(VLOOKUP(Tabla1[[#This Row],[COD SE]],HISTORICO,11,0),0)</f>
        <v>37000</v>
      </c>
      <c r="EO148" s="76">
        <f>+IFERROR(VLOOKUP(Tabla1[[#This Row],[COD SE]],HISTORICO,12,0),0)</f>
        <v>15500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15500</v>
      </c>
      <c r="ES148" s="58">
        <f>+SUM(Tabla1[[#This Row],[PF OCTUBRE]:[PF DICIEMBRE
]])</f>
        <v>37800</v>
      </c>
      <c r="ET148" s="58">
        <f>+SUM(Tabla1[[#This Row],[EJECUTADO 01]:[EJECUTADO 09]])</f>
        <v>15500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1673</v>
      </c>
      <c r="AE149" s="369" t="s">
        <v>1678</v>
      </c>
      <c r="AF149" s="369" t="s">
        <v>1740</v>
      </c>
      <c r="AG149" s="369" t="s">
        <v>1815</v>
      </c>
      <c r="AH149" s="369">
        <v>0</v>
      </c>
      <c r="AI149" s="369">
        <v>42800</v>
      </c>
      <c r="AJ149" s="369">
        <v>42800</v>
      </c>
      <c r="AK149" s="370">
        <v>0</v>
      </c>
      <c r="AL149" s="370">
        <v>0</v>
      </c>
      <c r="AM149" s="370">
        <v>0</v>
      </c>
      <c r="AN149" s="370">
        <v>0</v>
      </c>
      <c r="AO149" s="370">
        <v>0</v>
      </c>
      <c r="AP149" s="370">
        <v>0</v>
      </c>
      <c r="AQ149" s="370">
        <v>0</v>
      </c>
      <c r="AR149" s="370">
        <v>0</v>
      </c>
      <c r="AS149" s="370">
        <v>0</v>
      </c>
      <c r="AT149" s="370">
        <v>0</v>
      </c>
      <c r="AU149" s="370">
        <v>0</v>
      </c>
      <c r="AV149" s="370">
        <v>0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0">
        <v>0</v>
      </c>
      <c r="BG149" s="370">
        <v>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0</v>
      </c>
      <c r="BP149" s="370">
        <v>0</v>
      </c>
      <c r="BQ149" s="370">
        <v>0</v>
      </c>
      <c r="BR149" s="370">
        <v>0</v>
      </c>
      <c r="BS149" s="370">
        <v>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1987</v>
      </c>
      <c r="CL149" s="48" t="s">
        <v>1989</v>
      </c>
      <c r="CM149" s="48" t="s">
        <v>1993</v>
      </c>
      <c r="CN149" s="48" t="s">
        <v>1991</v>
      </c>
      <c r="CO149" s="48" t="str">
        <f t="shared" si="40"/>
        <v>2.3.2.7.4.3</v>
      </c>
      <c r="CP149" s="48" t="str">
        <f>+VLOOKUP(Tabla1[[#This Row],[ESPECÍFICA]],CLASIFICADOR_,2,0)</f>
        <v>2.3.2.7.4.3 - SOPORTE TECNICO</v>
      </c>
      <c r="CQ149" s="48" t="str">
        <f>+VLOOKUP(Tabla1[[#This Row],[ESPECÍFICA]],CLASIFICADOR_,3,0)</f>
        <v>2.3.2.7 - SERVICIOS PROFESIONALES Y TECNICOS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9"/>
        <v>0009-OTI</v>
      </c>
      <c r="CY149" s="113" t="str">
        <f t="shared" si="30"/>
        <v>0009-OTI</v>
      </c>
      <c r="CZ149" s="20" t="str">
        <f t="shared" si="31"/>
        <v>0009-OTI</v>
      </c>
      <c r="DA149" s="113" t="str">
        <f>+CONCATENATE(Tabla1[[#This Row],[CC COMPLETO]],Tabla1[[#This Row],[ESPECÍFICA]])</f>
        <v>0009-OTI2.3.2.7.4.3</v>
      </c>
      <c r="DB149" s="49">
        <f t="shared" si="32"/>
        <v>0</v>
      </c>
      <c r="DC149" s="49">
        <f t="shared" si="33"/>
        <v>0</v>
      </c>
      <c r="DD149" s="49">
        <f t="shared" si="34"/>
        <v>0</v>
      </c>
      <c r="DE149" s="49">
        <f t="shared" si="35"/>
        <v>42800</v>
      </c>
      <c r="DF149" s="49">
        <f t="shared" si="36"/>
        <v>0</v>
      </c>
      <c r="DG149" s="49">
        <f t="shared" si="37"/>
        <v>0</v>
      </c>
      <c r="DH149" s="49">
        <f t="shared" si="38"/>
        <v>42800</v>
      </c>
      <c r="DI149" s="50">
        <f t="shared" si="39"/>
        <v>0</v>
      </c>
      <c r="DJ149" s="78">
        <f>+SUM(Tabla1[[#This Row],[EJECUTADO 01]:[EJECUTADO 06]])</f>
        <v>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0</v>
      </c>
      <c r="DT149" s="76">
        <f>IFERROR(VLOOKUP(Tabla1[[#This Row],[COD SE]],PF_OCTUBRE,14,0),"0")</f>
        <v>0</v>
      </c>
      <c r="DU149" s="76">
        <f>IFERROR(VLOOKUP(Tabla1[[#This Row],[COD SE]],PF_OCTUBRE,15,0),"0")</f>
        <v>42800</v>
      </c>
      <c r="DV149" s="76">
        <f>IFERROR(VLOOKUP(Tabla1[[#This Row],[COD SE]],PF_OCTUBRE,16,0),"0")</f>
        <v>0</v>
      </c>
      <c r="DW149" s="76">
        <f>+SUM(Tabla1[[#This Row],[EJECUTADO 01]:[PF DICIEMBRE
]])</f>
        <v>42800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42800</v>
      </c>
      <c r="EB149" s="76">
        <f>IFERROR(VLOOKUP(Tabla1[[#This Row],[COD SE]],PF_OCTUBRE,22,0),"0")</f>
        <v>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42800</v>
      </c>
      <c r="EF149" s="76">
        <f>+Tabla1[[#This Row],[mto_pim]]-Tabla1[[#This Row],[TRANFS ESC 3 ]]</f>
        <v>42800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0</v>
      </c>
      <c r="EJ149" s="76">
        <f>+IFERROR(VLOOKUP(Tabla1[[#This Row],[COD SE]],HISTORICO,7,0),0)</f>
        <v>0</v>
      </c>
      <c r="EK149" s="76">
        <f>+IFERROR(VLOOKUP(Tabla1[[#This Row],[COD SE]],HISTORICO,8,0),0)</f>
        <v>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0</v>
      </c>
      <c r="EO149" s="76">
        <f>+IFERROR(VLOOKUP(Tabla1[[#This Row],[COD SE]],HISTORICO,12,0),0)</f>
        <v>0</v>
      </c>
      <c r="EP149" s="58">
        <f>+SUM(Tabla1[[#This Row],[EJECUTADO 01]:[EJECUTADO 03]])</f>
        <v>0</v>
      </c>
      <c r="EQ149" s="58">
        <f>+SUM(Tabla1[[#This Row],[EJECUTADO 04]:[EJECUTADO 06]])</f>
        <v>0</v>
      </c>
      <c r="ER149" s="58">
        <f>+SUM(Tabla1[[#This Row],[EJECUTADO 07]:[EJECUTADO 09]])</f>
        <v>0</v>
      </c>
      <c r="ES149" s="58">
        <f>+SUM(Tabla1[[#This Row],[PF OCTUBRE]:[PF DICIEMBRE
]])</f>
        <v>42800</v>
      </c>
      <c r="ET149" s="58">
        <f>+SUM(Tabla1[[#This Row],[EJECUTADO 01]:[EJECUTADO 09]])</f>
        <v>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1684</v>
      </c>
      <c r="AE150" s="369" t="s">
        <v>1685</v>
      </c>
      <c r="AF150" s="369" t="s">
        <v>1686</v>
      </c>
      <c r="AG150" s="369" t="s">
        <v>1771</v>
      </c>
      <c r="AH150" s="369">
        <v>0</v>
      </c>
      <c r="AI150" s="369">
        <v>700</v>
      </c>
      <c r="AJ150" s="369">
        <v>700</v>
      </c>
      <c r="AK150" s="370">
        <v>358.72</v>
      </c>
      <c r="AL150" s="370">
        <v>358.72</v>
      </c>
      <c r="AM150" s="370">
        <v>0</v>
      </c>
      <c r="AN150" s="370">
        <v>0</v>
      </c>
      <c r="AO150" s="370">
        <v>0</v>
      </c>
      <c r="AP150" s="370">
        <v>0</v>
      </c>
      <c r="AQ150" s="370">
        <v>0</v>
      </c>
      <c r="AR150" s="370">
        <v>0</v>
      </c>
      <c r="AS150" s="370">
        <v>0</v>
      </c>
      <c r="AT150" s="370">
        <v>0</v>
      </c>
      <c r="AU150" s="370">
        <v>0</v>
      </c>
      <c r="AV150" s="370">
        <v>358.72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0">
        <v>0</v>
      </c>
      <c r="BG150" s="370">
        <v>0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0</v>
      </c>
      <c r="BR150" s="370">
        <v>0</v>
      </c>
      <c r="BS150" s="370">
        <v>0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1990</v>
      </c>
      <c r="CL150" s="48" t="s">
        <v>1998</v>
      </c>
      <c r="CM150" s="48" t="s">
        <v>1990</v>
      </c>
      <c r="CN150" s="48" t="s">
        <v>1998</v>
      </c>
      <c r="CO150" s="48" t="str">
        <f t="shared" si="40"/>
        <v>2.3.1.99.1.99</v>
      </c>
      <c r="CP150" s="48" t="str">
        <f>+VLOOKUP(Tabla1[[#This Row],[ESPECÍFICA]],CLASIFICADOR_,2,0)</f>
        <v>2.3.1.99.1.99 - OTROS BIENES</v>
      </c>
      <c r="CQ150" s="48" t="str">
        <f>+VLOOKUP(Tabla1[[#This Row],[ESPECÍFICA]],CLASIFICADOR_,3,0)</f>
        <v>2.3.1.99 - COMPRA DE OTROS BIENES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N/R</v>
      </c>
      <c r="CU150" s="48" t="str">
        <f>+VLOOKUP(Tabla1[[#This Row],[ESPECÍFICA]],CLASIFICADOR_,7,0)</f>
        <v>N/R</v>
      </c>
      <c r="CV150" s="48">
        <f>+VLOOKUP(Tabla1[[#This Row],[ESPECÍFICA]],CLASIFICADOR_,8,0)</f>
        <v>0</v>
      </c>
      <c r="CW150" s="113" t="str">
        <f>+CONCATENATE("2.",Tabla1[[#This Row],[generica]])</f>
        <v>2.3.BIENES Y SERVICIOS</v>
      </c>
      <c r="CX150" s="48" t="str">
        <f t="shared" si="29"/>
        <v>0009-OTI</v>
      </c>
      <c r="CY150" s="113" t="str">
        <f t="shared" si="30"/>
        <v>0009-OTI</v>
      </c>
      <c r="CZ150" s="20" t="str">
        <f t="shared" si="31"/>
        <v>0009-OTI</v>
      </c>
      <c r="DA150" s="113" t="str">
        <f>+CONCATENATE(Tabla1[[#This Row],[CC COMPLETO]],Tabla1[[#This Row],[ESPECÍFICA]])</f>
        <v>0009-OTI2.3.1.99.1.99</v>
      </c>
      <c r="DB150" s="49">
        <f t="shared" si="32"/>
        <v>358.72</v>
      </c>
      <c r="DC150" s="49">
        <f t="shared" si="33"/>
        <v>0</v>
      </c>
      <c r="DD150" s="49">
        <f t="shared" si="34"/>
        <v>0</v>
      </c>
      <c r="DE150" s="49">
        <f t="shared" si="35"/>
        <v>341.28</v>
      </c>
      <c r="DF150" s="49">
        <f t="shared" si="36"/>
        <v>0</v>
      </c>
      <c r="DG150" s="49">
        <f t="shared" si="37"/>
        <v>358.72</v>
      </c>
      <c r="DH150" s="49">
        <f t="shared" si="38"/>
        <v>700</v>
      </c>
      <c r="DI150" s="50">
        <f t="shared" si="39"/>
        <v>0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0</v>
      </c>
      <c r="DR150" s="76">
        <f>+Tabla1[[#This Row],[mto_devenga_08]]</f>
        <v>0</v>
      </c>
      <c r="DS150" s="76">
        <f>+Tabla1[[#This Row],[mto_devenga_09]]</f>
        <v>0</v>
      </c>
      <c r="DT150" s="76">
        <f>IFERROR(VLOOKUP(Tabla1[[#This Row],[COD SE]],PF_OCTUBRE,14,0),"0")</f>
        <v>700</v>
      </c>
      <c r="DU150" s="76">
        <f>IFERROR(VLOOKUP(Tabla1[[#This Row],[COD SE]],PF_OCTUBRE,15,0),"0")</f>
        <v>0</v>
      </c>
      <c r="DV150" s="76">
        <f>IFERROR(VLOOKUP(Tabla1[[#This Row],[COD SE]],PF_OCTUBRE,16,0),"0")</f>
        <v>0</v>
      </c>
      <c r="DW150" s="76">
        <f>+SUM(Tabla1[[#This Row],[EJECUTADO 01]:[PF DICIEMBRE
]])</f>
        <v>700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700</v>
      </c>
      <c r="EB150" s="76">
        <f>IFERROR(VLOOKUP(Tabla1[[#This Row],[COD SE]],PF_OCTUBRE,22,0),"0")</f>
        <v>0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700</v>
      </c>
      <c r="EF150" s="76">
        <f>+Tabla1[[#This Row],[mto_pim]]-Tabla1[[#This Row],[TRANFS ESC 3 ]]</f>
        <v>700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0</v>
      </c>
      <c r="EK150" s="76">
        <f>+IFERROR(VLOOKUP(Tabla1[[#This Row],[COD SE]],HISTORICO,8,0),0)</f>
        <v>0</v>
      </c>
      <c r="EL150" s="76">
        <f>+IFERROR(VLOOKUP(Tabla1[[#This Row],[COD SE]],HISTORICO,9,0),0)</f>
        <v>0</v>
      </c>
      <c r="EM150" s="76">
        <f>+IFERROR(VLOOKUP(Tabla1[[#This Row],[COD SE]],HISTORICO,10,0),0)</f>
        <v>0</v>
      </c>
      <c r="EN150" s="76">
        <f>+IFERROR(VLOOKUP(Tabla1[[#This Row],[COD SE]],HISTORICO,11,0),0)</f>
        <v>0</v>
      </c>
      <c r="EO150" s="76">
        <f>+IFERROR(VLOOKUP(Tabla1[[#This Row],[COD SE]],HISTORICO,12,0),0)</f>
        <v>0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0</v>
      </c>
      <c r="ES150" s="58">
        <f>+SUM(Tabla1[[#This Row],[PF OCTUBRE]:[PF DICIEMBRE
]])</f>
        <v>700</v>
      </c>
      <c r="ET150" s="58">
        <f>+SUM(Tabla1[[#This Row],[EJECUTADO 01]:[EJECUTADO 09]])</f>
        <v>0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1668</v>
      </c>
      <c r="AE151" s="369" t="s">
        <v>1669</v>
      </c>
      <c r="AF151" s="369" t="s">
        <v>1669</v>
      </c>
      <c r="AG151" s="369" t="s">
        <v>1670</v>
      </c>
      <c r="AH151" s="369">
        <v>0</v>
      </c>
      <c r="AI151" s="369">
        <v>16405</v>
      </c>
      <c r="AJ151" s="369">
        <v>16405</v>
      </c>
      <c r="AK151" s="370">
        <v>9788</v>
      </c>
      <c r="AL151" s="370">
        <v>9788</v>
      </c>
      <c r="AM151" s="370">
        <v>0</v>
      </c>
      <c r="AN151" s="370">
        <v>0</v>
      </c>
      <c r="AO151" s="370">
        <v>0</v>
      </c>
      <c r="AP151" s="370">
        <v>452.63</v>
      </c>
      <c r="AQ151" s="370">
        <v>1357.88</v>
      </c>
      <c r="AR151" s="370">
        <v>271.58</v>
      </c>
      <c r="AS151" s="370">
        <v>897.71</v>
      </c>
      <c r="AT151" s="370">
        <v>1357.88</v>
      </c>
      <c r="AU151" s="370">
        <v>1357.88</v>
      </c>
      <c r="AV151" s="370">
        <v>1357.88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452.63</v>
      </c>
      <c r="BC151" s="370">
        <v>1357.88</v>
      </c>
      <c r="BD151" s="370">
        <v>271.58</v>
      </c>
      <c r="BE151" s="370">
        <v>897.71</v>
      </c>
      <c r="BF151" s="370">
        <v>1357.88</v>
      </c>
      <c r="BG151" s="370">
        <v>1357.88</v>
      </c>
      <c r="BH151" s="370">
        <v>1357.88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1810.51</v>
      </c>
      <c r="BP151" s="370">
        <v>271.58</v>
      </c>
      <c r="BQ151" s="370">
        <v>897.71</v>
      </c>
      <c r="BR151" s="370">
        <v>1357.88</v>
      </c>
      <c r="BS151" s="370">
        <v>1357.88</v>
      </c>
      <c r="BT151" s="370">
        <v>1357.88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452.63</v>
      </c>
      <c r="CA151" s="370">
        <v>1357.88</v>
      </c>
      <c r="CB151" s="370">
        <v>271.58</v>
      </c>
      <c r="CC151" s="370">
        <v>897.71</v>
      </c>
      <c r="CD151" s="370">
        <v>1357.88</v>
      </c>
      <c r="CE151" s="370">
        <v>1357.88</v>
      </c>
      <c r="CF151" s="370">
        <v>1357.88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1991</v>
      </c>
      <c r="CL151" s="48" t="s">
        <v>1990</v>
      </c>
      <c r="CM151" s="48" t="s">
        <v>1990</v>
      </c>
      <c r="CN151" s="48" t="s">
        <v>2010</v>
      </c>
      <c r="CO151" s="48" t="str">
        <f t="shared" si="40"/>
        <v>2.1.3.1.1.13</v>
      </c>
      <c r="CP151" s="48" t="str">
        <f>+VLOOKUP(Tabla1[[#This Row],[ESPECÍFICA]],CLASIFICADOR_,2,0)</f>
        <v>2.1.3.1.1.13 - CONTRIBUCIONES A ESSALUD DEL PERSONAL ADMINISTRATIVO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9"/>
        <v>0009-OTI</v>
      </c>
      <c r="CY151" s="113" t="str">
        <f t="shared" si="30"/>
        <v>0009-OTI</v>
      </c>
      <c r="CZ151" s="20" t="str">
        <f t="shared" si="31"/>
        <v>0009-OTI</v>
      </c>
      <c r="DA151" s="113" t="str">
        <f>+CONCATENATE(Tabla1[[#This Row],[CC COMPLETO]],Tabla1[[#This Row],[ESPECÍFICA]])</f>
        <v>0009-OTI2.1.3.1.1.13</v>
      </c>
      <c r="DB151" s="49">
        <f t="shared" si="32"/>
        <v>7053.4400000000005</v>
      </c>
      <c r="DC151" s="49">
        <f t="shared" si="33"/>
        <v>7053.4400000000005</v>
      </c>
      <c r="DD151" s="49">
        <f t="shared" si="34"/>
        <v>7053.4400000000005</v>
      </c>
      <c r="DE151" s="49">
        <f t="shared" si="35"/>
        <v>6617</v>
      </c>
      <c r="DF151" s="49">
        <f t="shared" si="36"/>
        <v>0</v>
      </c>
      <c r="DG151" s="49">
        <f t="shared" si="37"/>
        <v>2734.5599999999995</v>
      </c>
      <c r="DH151" s="49">
        <f t="shared" si="38"/>
        <v>9351.56</v>
      </c>
      <c r="DI151" s="50">
        <f t="shared" si="39"/>
        <v>0</v>
      </c>
      <c r="DJ151" s="78">
        <f>+SUM(Tabla1[[#This Row],[EJECUTADO 01]:[EJECUTADO 06]])</f>
        <v>2082.09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452.63</v>
      </c>
      <c r="DO151" s="78">
        <f>+Tabla1[[#This Row],[mto_devenga_05]]</f>
        <v>1357.88</v>
      </c>
      <c r="DP151" s="76">
        <f>+Tabla1[[#This Row],[mto_devenga_06]]</f>
        <v>271.58</v>
      </c>
      <c r="DQ151" s="76">
        <f>+Tabla1[[#This Row],[mto_devenga_07]]</f>
        <v>897.71</v>
      </c>
      <c r="DR151" s="76">
        <f>+Tabla1[[#This Row],[mto_devenga_08]]</f>
        <v>1357.88</v>
      </c>
      <c r="DS151" s="76">
        <f>+Tabla1[[#This Row],[mto_devenga_09]]</f>
        <v>1357.88</v>
      </c>
      <c r="DT151" s="76">
        <f>IFERROR(VLOOKUP(Tabla1[[#This Row],[COD SE]],PF_OCTUBRE,14,0),"0")</f>
        <v>1367.07</v>
      </c>
      <c r="DU151" s="76">
        <f>IFERROR(VLOOKUP(Tabla1[[#This Row],[COD SE]],PF_OCTUBRE,15,0),"0")</f>
        <v>1367.07</v>
      </c>
      <c r="DV151" s="76">
        <f>IFERROR(VLOOKUP(Tabla1[[#This Row],[COD SE]],PF_OCTUBRE,16,0),"0")</f>
        <v>1367.0699999999997</v>
      </c>
      <c r="DW151" s="76">
        <f>+SUM(Tabla1[[#This Row],[EJECUTADO 01]:[PF DICIEMBRE
]])</f>
        <v>9796.77</v>
      </c>
      <c r="DX151" s="76">
        <f>IFERROR(VLOOKUP(Tabla1[[#This Row],[COD SE]],PF_OCTUBRE,18,0),"0")</f>
        <v>0</v>
      </c>
      <c r="DY151" s="76">
        <f>IFERROR(VLOOKUP(Tabla1[[#This Row],[COD SE]],PF_OCTUBRE,19,0),"0")</f>
        <v>6608.2300000000005</v>
      </c>
      <c r="DZ151" s="76">
        <f>IFERROR(VLOOKUP(Tabla1[[#This Row],[COD SE]],PF_OCTUBRE,20,0),"0")</f>
        <v>6608.2300000000005</v>
      </c>
      <c r="EA151" s="76">
        <f>+Tabla1[[#This Row],[TOTAL EJEC REAL]]+Tabla1[[#This Row],[SALDO FINAL]]</f>
        <v>16405</v>
      </c>
      <c r="EB151" s="76">
        <f>IFERROR(VLOOKUP(Tabla1[[#This Row],[COD SE]],PF_OCTUBRE,22,0),"0")</f>
        <v>7975.3</v>
      </c>
      <c r="EC151" s="76">
        <f>+IFERROR(VLOOKUP(Tabla1[[#This Row],[COD SE]],SALDO_ESC_2,7,0),0)</f>
        <v>0</v>
      </c>
      <c r="ED151" s="76">
        <f>+IFERROR(VLOOKUP(Tabla1[[#This Row],[COD SE]],SALDO_ESC_3,7,0),0)</f>
        <v>6608.2300000000005</v>
      </c>
      <c r="EE151" s="76">
        <f>+Tabla1[[#This Row],[mto_pim]]-Tabla1[[#This Row],[TRANSF ESC2 ]]</f>
        <v>16405</v>
      </c>
      <c r="EF151" s="76">
        <f>+Tabla1[[#This Row],[mto_pim]]-Tabla1[[#This Row],[TRANFS ESC 3 ]]</f>
        <v>9796.77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</v>
      </c>
      <c r="EL151" s="76">
        <f>+IFERROR(VLOOKUP(Tabla1[[#This Row],[COD SE]],HISTORICO,9,0),0)</f>
        <v>1367.07</v>
      </c>
      <c r="EM151" s="76">
        <f>+IFERROR(VLOOKUP(Tabla1[[#This Row],[COD SE]],HISTORICO,10,0),0)</f>
        <v>0</v>
      </c>
      <c r="EN151" s="76">
        <f>+IFERROR(VLOOKUP(Tabla1[[#This Row],[COD SE]],HISTORICO,11,0),0)</f>
        <v>1367.07</v>
      </c>
      <c r="EO151" s="76">
        <f>+IFERROR(VLOOKUP(Tabla1[[#This Row],[COD SE]],HISTORICO,12,0),0)</f>
        <v>1367.07</v>
      </c>
      <c r="EP151" s="58">
        <f>+SUM(Tabla1[[#This Row],[EJECUTADO 01]:[EJECUTADO 03]])</f>
        <v>0</v>
      </c>
      <c r="EQ151" s="58">
        <f>+SUM(Tabla1[[#This Row],[EJECUTADO 04]:[EJECUTADO 06]])</f>
        <v>2082.09</v>
      </c>
      <c r="ER151" s="58">
        <f>+SUM(Tabla1[[#This Row],[EJECUTADO 07]:[EJECUTADO 09]])</f>
        <v>3613.4700000000003</v>
      </c>
      <c r="ES151" s="58">
        <f>+SUM(Tabla1[[#This Row],[PF OCTUBRE]:[PF DICIEMBRE
]])</f>
        <v>4101.2099999999991</v>
      </c>
      <c r="ET151" s="58">
        <f>+SUM(Tabla1[[#This Row],[EJECUTADO 01]:[EJECUTADO 09]])</f>
        <v>5695.56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1985</v>
      </c>
      <c r="AB152" s="369" t="s">
        <v>1986</v>
      </c>
      <c r="AC152" s="369" t="s">
        <v>1643</v>
      </c>
      <c r="AD152" s="369" t="s">
        <v>1702</v>
      </c>
      <c r="AE152" s="369" t="s">
        <v>1703</v>
      </c>
      <c r="AF152" s="369" t="s">
        <v>1704</v>
      </c>
      <c r="AG152" s="369" t="s">
        <v>2028</v>
      </c>
      <c r="AH152" s="369">
        <v>0</v>
      </c>
      <c r="AI152" s="369">
        <v>248640</v>
      </c>
      <c r="AJ152" s="369">
        <v>248640</v>
      </c>
      <c r="AK152" s="370">
        <v>241636</v>
      </c>
      <c r="AL152" s="370">
        <v>1636</v>
      </c>
      <c r="AM152" s="370">
        <v>0</v>
      </c>
      <c r="AN152" s="370">
        <v>0</v>
      </c>
      <c r="AO152" s="370">
        <v>0</v>
      </c>
      <c r="AP152" s="370">
        <v>1636</v>
      </c>
      <c r="AQ152" s="370">
        <v>0</v>
      </c>
      <c r="AR152" s="370">
        <v>0</v>
      </c>
      <c r="AS152" s="370">
        <v>0</v>
      </c>
      <c r="AT152" s="370">
        <v>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1636</v>
      </c>
      <c r="BD152" s="370">
        <v>0</v>
      </c>
      <c r="BE152" s="370">
        <v>0</v>
      </c>
      <c r="BF152" s="370">
        <v>0</v>
      </c>
      <c r="BG152" s="370">
        <v>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1636</v>
      </c>
      <c r="BP152" s="370">
        <v>0</v>
      </c>
      <c r="BQ152" s="370">
        <v>0</v>
      </c>
      <c r="BR152" s="370">
        <v>0</v>
      </c>
      <c r="BS152" s="370">
        <v>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1636</v>
      </c>
      <c r="CA152" s="370">
        <v>0</v>
      </c>
      <c r="CB152" s="370">
        <v>0</v>
      </c>
      <c r="CC152" s="370">
        <v>0</v>
      </c>
      <c r="CD152" s="370">
        <v>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1988</v>
      </c>
      <c r="CK152" s="48" t="s">
        <v>1991</v>
      </c>
      <c r="CL152" s="48" t="s">
        <v>1987</v>
      </c>
      <c r="CM152" s="48" t="s">
        <v>1991</v>
      </c>
      <c r="CN152" s="48" t="s">
        <v>1987</v>
      </c>
      <c r="CO152" s="48" t="str">
        <f t="shared" si="40"/>
        <v>2.6.3.2.3.2</v>
      </c>
      <c r="CP152" s="48" t="str">
        <f>+VLOOKUP(Tabla1[[#This Row],[ESPECÍFICA]],CLASIFICADOR_,2,0)</f>
        <v>2.6.3.2.3.2 - EQUIPOS DE COMUNICACIONES PARA REDES INFORMATICAS</v>
      </c>
      <c r="CQ152" s="48" t="str">
        <f>+VLOOKUP(Tabla1[[#This Row],[ESPECÍFICA]],CLASIFICADOR_,3,0)</f>
        <v>2.6.3.2 - ADQUISICION DE MAQUINARIAS, EQUIPO Y MOBILIARIO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2.6.ADQUISICION DE ACTIVOS NO FINANCIEROS</v>
      </c>
      <c r="CX152" s="48" t="str">
        <f t="shared" si="29"/>
        <v>0009-OTI</v>
      </c>
      <c r="CY152" s="113" t="str">
        <f t="shared" si="30"/>
        <v>0009-OTI</v>
      </c>
      <c r="CZ152" s="20" t="str">
        <f t="shared" si="31"/>
        <v>0009-OTI</v>
      </c>
      <c r="DA152" s="113" t="str">
        <f>+CONCATENATE(Tabla1[[#This Row],[CC COMPLETO]],Tabla1[[#This Row],[ESPECÍFICA]])</f>
        <v>0009-OTI2.6.3.2.3.2</v>
      </c>
      <c r="DB152" s="49">
        <f t="shared" si="32"/>
        <v>1636</v>
      </c>
      <c r="DC152" s="49">
        <f t="shared" si="33"/>
        <v>1636</v>
      </c>
      <c r="DD152" s="49">
        <f t="shared" si="34"/>
        <v>1636</v>
      </c>
      <c r="DE152" s="49">
        <f t="shared" si="35"/>
        <v>7004</v>
      </c>
      <c r="DF152" s="49">
        <f t="shared" si="36"/>
        <v>240000</v>
      </c>
      <c r="DG152" s="49">
        <f t="shared" si="37"/>
        <v>0</v>
      </c>
      <c r="DH152" s="49">
        <f t="shared" si="38"/>
        <v>247004</v>
      </c>
      <c r="DI152" s="50">
        <f t="shared" si="39"/>
        <v>0</v>
      </c>
      <c r="DJ152" s="78">
        <f>+SUM(Tabla1[[#This Row],[EJECUTADO 01]:[EJECUTADO 06]])</f>
        <v>1636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1636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0</v>
      </c>
      <c r="DT152" s="76">
        <f>IFERROR(VLOOKUP(Tabla1[[#This Row],[COD SE]],PF_OCTUBRE,14,0),"0")</f>
        <v>7000</v>
      </c>
      <c r="DU152" s="76">
        <f>IFERROR(VLOOKUP(Tabla1[[#This Row],[COD SE]],PF_OCTUBRE,15,0),"0")</f>
        <v>0</v>
      </c>
      <c r="DV152" s="76">
        <f>IFERROR(VLOOKUP(Tabla1[[#This Row],[COD SE]],PF_OCTUBRE,16,0),"0")</f>
        <v>240004</v>
      </c>
      <c r="DW152" s="76">
        <f>+SUM(Tabla1[[#This Row],[EJECUTADO 01]:[PF DICIEMBRE
]])</f>
        <v>248640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248640</v>
      </c>
      <c r="EB152" s="76">
        <f>IFERROR(VLOOKUP(Tabla1[[#This Row],[COD SE]],PF_OCTUBRE,22,0),"0")</f>
        <v>240004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248640</v>
      </c>
      <c r="EF152" s="76">
        <f>+Tabla1[[#This Row],[mto_pim]]-Tabla1[[#This Row],[TRANFS ESC 3 ]]</f>
        <v>248640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1636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0</v>
      </c>
      <c r="EO152" s="76">
        <f>+IFERROR(VLOOKUP(Tabla1[[#This Row],[COD SE]],HISTORICO,12,0),0)</f>
        <v>0</v>
      </c>
      <c r="EP152" s="58">
        <f>+SUM(Tabla1[[#This Row],[EJECUTADO 01]:[EJECUTADO 03]])</f>
        <v>0</v>
      </c>
      <c r="EQ152" s="58">
        <f>+SUM(Tabla1[[#This Row],[EJECUTADO 04]:[EJECUTADO 06]])</f>
        <v>1636</v>
      </c>
      <c r="ER152" s="58">
        <f>+SUM(Tabla1[[#This Row],[EJECUTADO 07]:[EJECUTADO 09]])</f>
        <v>0</v>
      </c>
      <c r="ES152" s="58">
        <f>+SUM(Tabla1[[#This Row],[PF OCTUBRE]:[PF DICIEMBRE
]])</f>
        <v>247004</v>
      </c>
      <c r="ET152" s="58">
        <f>+SUM(Tabla1[[#This Row],[EJECUTADO 01]:[EJECUTADO 09]])</f>
        <v>1636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1673</v>
      </c>
      <c r="AE153" s="369" t="s">
        <v>1688</v>
      </c>
      <c r="AF153" s="369" t="s">
        <v>1731</v>
      </c>
      <c r="AG153" s="369" t="s">
        <v>1734</v>
      </c>
      <c r="AH153" s="369">
        <v>116700</v>
      </c>
      <c r="AI153" s="369">
        <v>-46965</v>
      </c>
      <c r="AJ153" s="369">
        <v>69735</v>
      </c>
      <c r="AK153" s="370">
        <v>69734.429999999993</v>
      </c>
      <c r="AL153" s="370">
        <v>69734.429999999993</v>
      </c>
      <c r="AM153" s="370">
        <v>28169.83</v>
      </c>
      <c r="AN153" s="370">
        <v>0</v>
      </c>
      <c r="AO153" s="370">
        <v>26809.599999999999</v>
      </c>
      <c r="AP153" s="370">
        <v>0</v>
      </c>
      <c r="AQ153" s="370">
        <v>0</v>
      </c>
      <c r="AR153" s="370">
        <v>0</v>
      </c>
      <c r="AS153" s="370">
        <v>0</v>
      </c>
      <c r="AT153" s="370">
        <v>14755</v>
      </c>
      <c r="AU153" s="370">
        <v>0</v>
      </c>
      <c r="AV153" s="370">
        <v>0</v>
      </c>
      <c r="AW153" s="370">
        <v>0</v>
      </c>
      <c r="AX153" s="370">
        <v>0</v>
      </c>
      <c r="AY153" s="370">
        <v>0</v>
      </c>
      <c r="AZ153" s="370">
        <v>10920.94</v>
      </c>
      <c r="BA153" s="370">
        <v>5460.47</v>
      </c>
      <c r="BB153" s="370">
        <v>0</v>
      </c>
      <c r="BC153" s="370">
        <v>5460.47</v>
      </c>
      <c r="BD153" s="370">
        <v>6702.4</v>
      </c>
      <c r="BE153" s="370">
        <v>0</v>
      </c>
      <c r="BF153" s="370">
        <v>6702.4</v>
      </c>
      <c r="BG153" s="370">
        <v>3351.2</v>
      </c>
      <c r="BH153" s="370">
        <v>10899.15</v>
      </c>
      <c r="BI153" s="370">
        <v>0</v>
      </c>
      <c r="BJ153" s="370">
        <v>0</v>
      </c>
      <c r="BK153" s="370">
        <v>0</v>
      </c>
      <c r="BL153" s="370">
        <v>10920.94</v>
      </c>
      <c r="BM153" s="370">
        <v>5460.47</v>
      </c>
      <c r="BN153" s="370">
        <v>0</v>
      </c>
      <c r="BO153" s="370">
        <v>5460.47</v>
      </c>
      <c r="BP153" s="370">
        <v>0</v>
      </c>
      <c r="BQ153" s="370">
        <v>6702.4</v>
      </c>
      <c r="BR153" s="370">
        <v>6702.4</v>
      </c>
      <c r="BS153" s="370">
        <v>3351.2</v>
      </c>
      <c r="BT153" s="370">
        <v>10899.15</v>
      </c>
      <c r="BU153" s="370">
        <v>0</v>
      </c>
      <c r="BV153" s="370">
        <v>0</v>
      </c>
      <c r="BW153" s="370">
        <v>24373.13</v>
      </c>
      <c r="BX153" s="370">
        <v>0</v>
      </c>
      <c r="BY153" s="370">
        <v>20107.2</v>
      </c>
      <c r="BZ153" s="370">
        <v>0</v>
      </c>
      <c r="CA153" s="370">
        <v>0</v>
      </c>
      <c r="CB153" s="370">
        <v>0</v>
      </c>
      <c r="CC153" s="370">
        <v>0</v>
      </c>
      <c r="CD153" s="370">
        <v>1220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1987</v>
      </c>
      <c r="CL153" s="48" t="s">
        <v>1987</v>
      </c>
      <c r="CM153" s="48" t="s">
        <v>1987</v>
      </c>
      <c r="CN153" s="48" t="s">
        <v>1991</v>
      </c>
      <c r="CO153" s="48" t="str">
        <f t="shared" si="40"/>
        <v>2.3.2.2.2.3</v>
      </c>
      <c r="CP153" s="48" t="str">
        <f>+VLOOKUP(Tabla1[[#This Row],[ESPECÍFICA]],CLASIFICADOR_,2,0)</f>
        <v>2.3.2.2.2.3 - SERVICIO DE INTERNET</v>
      </c>
      <c r="CQ153" s="48" t="str">
        <f>+VLOOKUP(Tabla1[[#This Row],[ESPECÍFICA]],CLASIFICADOR_,3,0)</f>
        <v>2.3.2.2 - SERVICIOS BASICOS, COMUNICACIONES, PUBLICIDAD Y DIFUSION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Partidas restringidas</v>
      </c>
      <c r="CU153" s="48">
        <f>+VLOOKUP(Tabla1[[#This Row],[ESPECÍFICA]],CLASIFICADOR_,7,0)</f>
        <v>9.6999999999999993</v>
      </c>
      <c r="CV153" s="48">
        <f>+VLOOKUP(Tabla1[[#This Row],[ESPECÍFICA]],CLASIFICADOR_,8,0)</f>
        <v>5</v>
      </c>
      <c r="CW153" s="113" t="str">
        <f>+CONCATENATE("2.",Tabla1[[#This Row],[generica]])</f>
        <v>2.3.BIENES Y SERVICIOS</v>
      </c>
      <c r="CX153" s="48" t="str">
        <f t="shared" si="29"/>
        <v>0009-OTI</v>
      </c>
      <c r="CY153" s="113" t="str">
        <f t="shared" si="30"/>
        <v>0009-OTI</v>
      </c>
      <c r="CZ153" s="20" t="str">
        <f t="shared" si="31"/>
        <v>0009-OTI</v>
      </c>
      <c r="DA153" s="113" t="str">
        <f>+CONCATENATE(Tabla1[[#This Row],[CC COMPLETO]],Tabla1[[#This Row],[ESPECÍFICA]])</f>
        <v>0009-OTI2.3.2.2.2.3</v>
      </c>
      <c r="DB153" s="49">
        <f t="shared" si="32"/>
        <v>69734.429999999993</v>
      </c>
      <c r="DC153" s="49">
        <f t="shared" si="33"/>
        <v>49497.03</v>
      </c>
      <c r="DD153" s="49">
        <f t="shared" si="34"/>
        <v>49497.03</v>
      </c>
      <c r="DE153" s="49">
        <f t="shared" si="35"/>
        <v>0.57000000000698492</v>
      </c>
      <c r="DF153" s="49">
        <f t="shared" si="36"/>
        <v>0</v>
      </c>
      <c r="DG153" s="49">
        <f t="shared" si="37"/>
        <v>20237.399999999994</v>
      </c>
      <c r="DH153" s="49">
        <f t="shared" si="38"/>
        <v>20237.97</v>
      </c>
      <c r="DI153" s="50">
        <f t="shared" si="39"/>
        <v>0.4241390745501285</v>
      </c>
      <c r="DJ153" s="78">
        <f>+SUM(Tabla1[[#This Row],[EJECUTADO 01]:[EJECUTADO 06]])</f>
        <v>28544.28</v>
      </c>
      <c r="DK153" s="78">
        <f>+Tabla1[[#This Row],[mto_devenga_01]]</f>
        <v>0</v>
      </c>
      <c r="DL153" s="78">
        <f>+Tabla1[[#This Row],[mto_devenga_02]]</f>
        <v>10920.94</v>
      </c>
      <c r="DM153" s="78">
        <f>+Tabla1[[#This Row],[mto_devenga_03]]</f>
        <v>5460.47</v>
      </c>
      <c r="DN153" s="78">
        <f>+Tabla1[[#This Row],[mto_devenga_04]]</f>
        <v>0</v>
      </c>
      <c r="DO153" s="78">
        <f>+Tabla1[[#This Row],[mto_devenga_05]]</f>
        <v>5460.47</v>
      </c>
      <c r="DP153" s="76">
        <f>+Tabla1[[#This Row],[mto_devenga_06]]</f>
        <v>6702.4</v>
      </c>
      <c r="DQ153" s="76">
        <f>+Tabla1[[#This Row],[mto_devenga_07]]</f>
        <v>0</v>
      </c>
      <c r="DR153" s="76">
        <f>+Tabla1[[#This Row],[mto_devenga_08]]</f>
        <v>6702.4</v>
      </c>
      <c r="DS153" s="76">
        <f>+Tabla1[[#This Row],[mto_devenga_09]]</f>
        <v>3351.2</v>
      </c>
      <c r="DT153" s="76">
        <f>IFERROR(VLOOKUP(Tabla1[[#This Row],[COD SE]],PF_OCTUBRE,14,0),"0")</f>
        <v>14849.15</v>
      </c>
      <c r="DU153" s="76">
        <f>IFERROR(VLOOKUP(Tabla1[[#This Row],[COD SE]],PF_OCTUBRE,15,0),"0")</f>
        <v>6546.2</v>
      </c>
      <c r="DV153" s="76">
        <f>IFERROR(VLOOKUP(Tabla1[[#This Row],[COD SE]],PF_OCTUBRE,16,0),"0")</f>
        <v>9741.77</v>
      </c>
      <c r="DW153" s="76">
        <f>+SUM(Tabla1[[#This Row],[EJECUTADO 01]:[PF DICIEMBRE
]])</f>
        <v>69735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69735</v>
      </c>
      <c r="EB153" s="76">
        <f>IFERROR(VLOOKUP(Tabla1[[#This Row],[COD SE]],PF_OCTUBRE,22,0),"0")</f>
        <v>9741.77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69735</v>
      </c>
      <c r="EF153" s="76">
        <f>+Tabla1[[#This Row],[mto_pim]]-Tabla1[[#This Row],[TRANFS ESC 3 ]]</f>
        <v>69735</v>
      </c>
      <c r="EG153" s="76">
        <f>+IFERROR(VLOOKUP(Tabla1[[#This Row],[COD SE]],HISTORICO,4,0),0)</f>
        <v>6451.2</v>
      </c>
      <c r="EH153" s="76">
        <f>+IFERROR(VLOOKUP(Tabla1[[#This Row],[COD SE]],HISTORICO,5,0),0)</f>
        <v>5851.2</v>
      </c>
      <c r="EI153" s="76">
        <f>+IFERROR(VLOOKUP(Tabla1[[#This Row],[COD SE]],HISTORICO,6,0),0)</f>
        <v>5851.2</v>
      </c>
      <c r="EJ153" s="76">
        <f>+IFERROR(VLOOKUP(Tabla1[[#This Row],[COD SE]],HISTORICO,7,0),0)</f>
        <v>9586.27</v>
      </c>
      <c r="EK153" s="76">
        <f>+IFERROR(VLOOKUP(Tabla1[[#This Row],[COD SE]],HISTORICO,8,0),0)</f>
        <v>11695.54</v>
      </c>
      <c r="EL153" s="76">
        <f>+IFERROR(VLOOKUP(Tabla1[[#This Row],[COD SE]],HISTORICO,9,0),0)</f>
        <v>5460.4699999999993</v>
      </c>
      <c r="EM153" s="76">
        <f>+IFERROR(VLOOKUP(Tabla1[[#This Row],[COD SE]],HISTORICO,10,0),0)</f>
        <v>5460.4699999999993</v>
      </c>
      <c r="EN153" s="76">
        <f>+IFERROR(VLOOKUP(Tabla1[[#This Row],[COD SE]],HISTORICO,11,0),0)</f>
        <v>13030.21</v>
      </c>
      <c r="EO153" s="76">
        <f>+IFERROR(VLOOKUP(Tabla1[[#This Row],[COD SE]],HISTORICO,12,0),0)</f>
        <v>12874.15</v>
      </c>
      <c r="EP153" s="58">
        <f>+SUM(Tabla1[[#This Row],[EJECUTADO 01]:[EJECUTADO 03]])</f>
        <v>16381.41</v>
      </c>
      <c r="EQ153" s="58">
        <f>+SUM(Tabla1[[#This Row],[EJECUTADO 04]:[EJECUTADO 06]])</f>
        <v>12162.869999999999</v>
      </c>
      <c r="ER153" s="58">
        <f>+SUM(Tabla1[[#This Row],[EJECUTADO 07]:[EJECUTADO 09]])</f>
        <v>10053.599999999999</v>
      </c>
      <c r="ES153" s="58">
        <f>+SUM(Tabla1[[#This Row],[PF OCTUBRE]:[PF DICIEMBRE
]])</f>
        <v>31137.119999999999</v>
      </c>
      <c r="ET153" s="58">
        <f>+SUM(Tabla1[[#This Row],[EJECUTADO 01]:[EJECUTADO 09]])</f>
        <v>38597.879999999997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1684</v>
      </c>
      <c r="AE154" s="369" t="s">
        <v>1716</v>
      </c>
      <c r="AF154" s="369" t="s">
        <v>1766</v>
      </c>
      <c r="AG154" s="369" t="s">
        <v>1767</v>
      </c>
      <c r="AH154" s="369">
        <v>0</v>
      </c>
      <c r="AI154" s="369">
        <v>11991</v>
      </c>
      <c r="AJ154" s="369">
        <v>11991</v>
      </c>
      <c r="AK154" s="370">
        <v>11989.7</v>
      </c>
      <c r="AL154" s="370">
        <v>11989.7</v>
      </c>
      <c r="AM154" s="370">
        <v>0</v>
      </c>
      <c r="AN154" s="370">
        <v>0</v>
      </c>
      <c r="AO154" s="370">
        <v>0</v>
      </c>
      <c r="AP154" s="370">
        <v>0</v>
      </c>
      <c r="AQ154" s="370">
        <v>0</v>
      </c>
      <c r="AR154" s="370">
        <v>0</v>
      </c>
      <c r="AS154" s="370">
        <v>0</v>
      </c>
      <c r="AT154" s="370">
        <v>0</v>
      </c>
      <c r="AU154" s="370">
        <v>0</v>
      </c>
      <c r="AV154" s="370">
        <v>11989.7</v>
      </c>
      <c r="AW154" s="370">
        <v>0</v>
      </c>
      <c r="AX154" s="370">
        <v>0</v>
      </c>
      <c r="AY154" s="370">
        <v>0</v>
      </c>
      <c r="AZ154" s="370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0">
        <v>0</v>
      </c>
      <c r="BG154" s="370">
        <v>0</v>
      </c>
      <c r="BH154" s="370">
        <v>0</v>
      </c>
      <c r="BI154" s="370">
        <v>0</v>
      </c>
      <c r="BJ154" s="370">
        <v>0</v>
      </c>
      <c r="BK154" s="370">
        <v>0</v>
      </c>
      <c r="BL154" s="370">
        <v>0</v>
      </c>
      <c r="BM154" s="370">
        <v>0</v>
      </c>
      <c r="BN154" s="370">
        <v>0</v>
      </c>
      <c r="BO154" s="370">
        <v>0</v>
      </c>
      <c r="BP154" s="370">
        <v>0</v>
      </c>
      <c r="BQ154" s="370">
        <v>0</v>
      </c>
      <c r="BR154" s="370">
        <v>0</v>
      </c>
      <c r="BS154" s="370">
        <v>0</v>
      </c>
      <c r="BT154" s="370">
        <v>0</v>
      </c>
      <c r="BU154" s="370">
        <v>0</v>
      </c>
      <c r="BV154" s="370">
        <v>0</v>
      </c>
      <c r="BW154" s="370">
        <v>0</v>
      </c>
      <c r="BX154" s="370">
        <v>0</v>
      </c>
      <c r="BY154" s="370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1990</v>
      </c>
      <c r="CL154" s="48" t="s">
        <v>2011</v>
      </c>
      <c r="CM154" s="48" t="s">
        <v>1993</v>
      </c>
      <c r="CN154" s="48" t="s">
        <v>1990</v>
      </c>
      <c r="CO154" s="48" t="str">
        <f t="shared" si="40"/>
        <v>2.3.1.5.4.1</v>
      </c>
      <c r="CP154" s="48" t="str">
        <f>+VLOOKUP(Tabla1[[#This Row],[ESPECÍFICA]],CLASIFICADOR_,2,0)</f>
        <v>2.3.1.5.4.1 - ELECTRICIDAD, ILUMINACION Y ELECTRONICA</v>
      </c>
      <c r="CQ154" s="48" t="str">
        <f>+VLOOKUP(Tabla1[[#This Row],[ESPECÍFICA]],CLASIFICADOR_,3,0)</f>
        <v>2.3.1.5 - MATERIALES Y  UTILES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N/R</v>
      </c>
      <c r="CU154" s="48" t="str">
        <f>+VLOOKUP(Tabla1[[#This Row],[ESPECÍFICA]],CLASIFICADOR_,7,0)</f>
        <v>N/R</v>
      </c>
      <c r="CV154" s="48">
        <f>+VLOOKUP(Tabla1[[#This Row],[ESPECÍFICA]],CLASIFICADOR_,8,0)</f>
        <v>0</v>
      </c>
      <c r="CW154" s="113" t="str">
        <f>+CONCATENATE("2.",Tabla1[[#This Row],[generica]])</f>
        <v>2.3.BIENES Y SERVICIOS</v>
      </c>
      <c r="CX154" s="48" t="str">
        <f t="shared" si="29"/>
        <v>0009-OTI</v>
      </c>
      <c r="CY154" s="113" t="str">
        <f t="shared" si="30"/>
        <v>0009-OTI</v>
      </c>
      <c r="CZ154" s="20" t="str">
        <f t="shared" si="31"/>
        <v>0009-OTI</v>
      </c>
      <c r="DA154" s="113" t="str">
        <f>+CONCATENATE(Tabla1[[#This Row],[CC COMPLETO]],Tabla1[[#This Row],[ESPECÍFICA]])</f>
        <v>0009-OTI2.3.1.5.4.1</v>
      </c>
      <c r="DB154" s="49">
        <f t="shared" si="32"/>
        <v>11989.7</v>
      </c>
      <c r="DC154" s="49">
        <f t="shared" si="33"/>
        <v>0</v>
      </c>
      <c r="DD154" s="49">
        <f t="shared" si="34"/>
        <v>0</v>
      </c>
      <c r="DE154" s="49">
        <f t="shared" si="35"/>
        <v>1.2999999999992724</v>
      </c>
      <c r="DF154" s="49">
        <f t="shared" si="36"/>
        <v>0</v>
      </c>
      <c r="DG154" s="49">
        <f t="shared" si="37"/>
        <v>11989.7</v>
      </c>
      <c r="DH154" s="49">
        <f t="shared" si="38"/>
        <v>11991</v>
      </c>
      <c r="DI154" s="50">
        <f t="shared" si="39"/>
        <v>0</v>
      </c>
      <c r="DJ154" s="78">
        <f>+SUM(Tabla1[[#This Row],[EJECUTADO 01]:[EJECUTADO 06]])</f>
        <v>0</v>
      </c>
      <c r="DK154" s="78">
        <f>+Tabla1[[#This Row],[mto_devenga_01]]</f>
        <v>0</v>
      </c>
      <c r="DL154" s="78">
        <f>+Tabla1[[#This Row],[mto_devenga_02]]</f>
        <v>0</v>
      </c>
      <c r="DM154" s="78">
        <f>+Tabla1[[#This Row],[mto_devenga_03]]</f>
        <v>0</v>
      </c>
      <c r="DN154" s="78">
        <f>+Tabla1[[#This Row],[mto_devenga_04]]</f>
        <v>0</v>
      </c>
      <c r="DO154" s="78">
        <f>+Tabla1[[#This Row],[mto_devenga_05]]</f>
        <v>0</v>
      </c>
      <c r="DP154" s="76">
        <f>+Tabla1[[#This Row],[mto_devenga_06]]</f>
        <v>0</v>
      </c>
      <c r="DQ154" s="76">
        <f>+Tabla1[[#This Row],[mto_devenga_07]]</f>
        <v>0</v>
      </c>
      <c r="DR154" s="76">
        <f>+Tabla1[[#This Row],[mto_devenga_08]]</f>
        <v>0</v>
      </c>
      <c r="DS154" s="76">
        <f>+Tabla1[[#This Row],[mto_devenga_09]]</f>
        <v>0</v>
      </c>
      <c r="DT154" s="76">
        <f>IFERROR(VLOOKUP(Tabla1[[#This Row],[COD SE]],PF_OCTUBRE,14,0),"0")</f>
        <v>8400</v>
      </c>
      <c r="DU154" s="76">
        <f>IFERROR(VLOOKUP(Tabla1[[#This Row],[COD SE]],PF_OCTUBRE,15,0),"0")</f>
        <v>0</v>
      </c>
      <c r="DV154" s="76">
        <f>IFERROR(VLOOKUP(Tabla1[[#This Row],[COD SE]],PF_OCTUBRE,16,0),"0")</f>
        <v>0</v>
      </c>
      <c r="DW154" s="76">
        <f>+SUM(Tabla1[[#This Row],[EJECUTADO 01]:[PF DICIEMBRE
]])</f>
        <v>8400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8400</v>
      </c>
      <c r="EB154" s="76">
        <f>IFERROR(VLOOKUP(Tabla1[[#This Row],[COD SE]],PF_OCTUBRE,22,0),"0")</f>
        <v>0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11991</v>
      </c>
      <c r="EF154" s="76">
        <f>+Tabla1[[#This Row],[mto_pim]]-Tabla1[[#This Row],[TRANFS ESC 3 ]]</f>
        <v>11991</v>
      </c>
      <c r="EG154" s="76">
        <f>+IFERROR(VLOOKUP(Tabla1[[#This Row],[COD SE]],HISTORICO,4,0),0)</f>
        <v>0</v>
      </c>
      <c r="EH154" s="76">
        <f>+IFERROR(VLOOKUP(Tabla1[[#This Row],[COD SE]],HISTORICO,5,0),0)</f>
        <v>0</v>
      </c>
      <c r="EI154" s="76">
        <f>+IFERROR(VLOOKUP(Tabla1[[#This Row],[COD SE]],HISTORICO,6,0),0)</f>
        <v>0</v>
      </c>
      <c r="EJ154" s="76">
        <f>+IFERROR(VLOOKUP(Tabla1[[#This Row],[COD SE]],HISTORICO,7,0),0)</f>
        <v>0</v>
      </c>
      <c r="EK154" s="76">
        <f>+IFERROR(VLOOKUP(Tabla1[[#This Row],[COD SE]],HISTORICO,8,0),0)</f>
        <v>0</v>
      </c>
      <c r="EL154" s="76">
        <f>+IFERROR(VLOOKUP(Tabla1[[#This Row],[COD SE]],HISTORICO,9,0),0)</f>
        <v>0</v>
      </c>
      <c r="EM154" s="76">
        <f>+IFERROR(VLOOKUP(Tabla1[[#This Row],[COD SE]],HISTORICO,10,0),0)</f>
        <v>0</v>
      </c>
      <c r="EN154" s="76">
        <f>+IFERROR(VLOOKUP(Tabla1[[#This Row],[COD SE]],HISTORICO,11,0),0)</f>
        <v>0</v>
      </c>
      <c r="EO154" s="76">
        <f>+IFERROR(VLOOKUP(Tabla1[[#This Row],[COD SE]],HISTORICO,12,0),0)</f>
        <v>0</v>
      </c>
      <c r="EP154" s="58">
        <f>+SUM(Tabla1[[#This Row],[EJECUTADO 01]:[EJECUTADO 03]])</f>
        <v>0</v>
      </c>
      <c r="EQ154" s="58">
        <f>+SUM(Tabla1[[#This Row],[EJECUTADO 04]:[EJECUTADO 06]])</f>
        <v>0</v>
      </c>
      <c r="ER154" s="58">
        <f>+SUM(Tabla1[[#This Row],[EJECUTADO 07]:[EJECUTADO 09]])</f>
        <v>0</v>
      </c>
      <c r="ES154" s="58">
        <f>+SUM(Tabla1[[#This Row],[PF OCTUBRE]:[PF DICIEMBRE
]])</f>
        <v>8400</v>
      </c>
      <c r="ET154" s="58">
        <f>+SUM(Tabla1[[#This Row],[EJECUTADO 01]:[EJECUTADO 09]])</f>
        <v>0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106823</v>
      </c>
      <c r="AL155" s="370">
        <v>106823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40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9"/>
        <v>0009-OTI</v>
      </c>
      <c r="CY155" s="113" t="str">
        <f t="shared" si="30"/>
        <v>0009-OTI</v>
      </c>
      <c r="CZ155" s="20" t="str">
        <f t="shared" si="31"/>
        <v>0009-OTI</v>
      </c>
      <c r="DA155" s="113" t="str">
        <f>+CONCATENATE(Tabla1[[#This Row],[CC COMPLETO]],Tabla1[[#This Row],[ESPECÍFICA]])</f>
        <v>0009-OTI2.1.1.1.1.8</v>
      </c>
      <c r="DB155" s="49">
        <f t="shared" si="32"/>
        <v>76443.34</v>
      </c>
      <c r="DC155" s="49">
        <f t="shared" si="33"/>
        <v>76443.34</v>
      </c>
      <c r="DD155" s="49">
        <f t="shared" si="34"/>
        <v>74533.88</v>
      </c>
      <c r="DE155" s="49">
        <f t="shared" si="35"/>
        <v>75454</v>
      </c>
      <c r="DF155" s="49">
        <f t="shared" si="36"/>
        <v>0</v>
      </c>
      <c r="DG155" s="49">
        <f t="shared" si="37"/>
        <v>30379.660000000003</v>
      </c>
      <c r="DH155" s="49">
        <f t="shared" si="38"/>
        <v>105833.66</v>
      </c>
      <c r="DI155" s="50">
        <f t="shared" si="39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1656</v>
      </c>
      <c r="AD156" s="369" t="s">
        <v>1657</v>
      </c>
      <c r="AE156" s="369" t="s">
        <v>1664</v>
      </c>
      <c r="AF156" s="369" t="s">
        <v>1665</v>
      </c>
      <c r="AG156" s="369" t="s">
        <v>1666</v>
      </c>
      <c r="AH156" s="369">
        <v>0</v>
      </c>
      <c r="AI156" s="369">
        <v>30380</v>
      </c>
      <c r="AJ156" s="369">
        <v>30380</v>
      </c>
      <c r="AK156" s="370">
        <v>17705</v>
      </c>
      <c r="AL156" s="370">
        <v>17705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2514.58</v>
      </c>
      <c r="AT156" s="370">
        <v>0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2514.58</v>
      </c>
      <c r="BF156" s="370">
        <v>0</v>
      </c>
      <c r="BG156" s="370">
        <v>0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2514.58</v>
      </c>
      <c r="BR156" s="370">
        <v>0</v>
      </c>
      <c r="BS156" s="370">
        <v>0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2514.58</v>
      </c>
      <c r="CD156" s="370">
        <v>0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1990</v>
      </c>
      <c r="CK156" s="48" t="s">
        <v>1990</v>
      </c>
      <c r="CL156" s="48" t="s">
        <v>2005</v>
      </c>
      <c r="CM156" s="48" t="s">
        <v>1990</v>
      </c>
      <c r="CN156" s="48" t="s">
        <v>1987</v>
      </c>
      <c r="CO156" s="48" t="str">
        <f t="shared" si="40"/>
        <v>2.1.1.9.1.2</v>
      </c>
      <c r="CP156" s="48" t="str">
        <f>+VLOOKUP(Tabla1[[#This Row],[ESPECÍFICA]],CLASIFICADOR_,2,0)</f>
        <v>2.1.1.9.1.2 - AGUINALDOS</v>
      </c>
      <c r="CQ156" s="48" t="str">
        <f>+VLOOKUP(Tabla1[[#This Row],[ESPECÍFICA]],CLASIFICADOR_,3,0)</f>
        <v>02.SERVIR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N/R</v>
      </c>
      <c r="CU156" s="48" t="str">
        <f>+VLOOKUP(Tabla1[[#This Row],[ESPECÍFICA]],CLASIFICADOR_,7,0)</f>
        <v>N/R</v>
      </c>
      <c r="CV156" s="48">
        <f>+VLOOKUP(Tabla1[[#This Row],[ESPECÍFICA]],CLASIFICADOR_,8,0)</f>
        <v>0</v>
      </c>
      <c r="CW156" s="113" t="str">
        <f>+CONCATENATE("2.",Tabla1[[#This Row],[generica]])</f>
        <v>2.1.PERSONAL Y OBLIGACIONES SOCIALES</v>
      </c>
      <c r="CX156" s="48" t="str">
        <f t="shared" si="29"/>
        <v>0009-OTI</v>
      </c>
      <c r="CY156" s="113" t="str">
        <f t="shared" si="30"/>
        <v>0009-OTI</v>
      </c>
      <c r="CZ156" s="20" t="str">
        <f t="shared" si="31"/>
        <v>0009-OTI</v>
      </c>
      <c r="DA156" s="113" t="str">
        <f>+CONCATENATE(Tabla1[[#This Row],[CC COMPLETO]],Tabla1[[#This Row],[ESPECÍFICA]])</f>
        <v>0009-OTI2.1.1.9.1.2</v>
      </c>
      <c r="DB156" s="49">
        <f t="shared" si="32"/>
        <v>2514.58</v>
      </c>
      <c r="DC156" s="49">
        <f t="shared" si="33"/>
        <v>2514.58</v>
      </c>
      <c r="DD156" s="49">
        <f t="shared" si="34"/>
        <v>2514.58</v>
      </c>
      <c r="DE156" s="49">
        <f t="shared" si="35"/>
        <v>12675</v>
      </c>
      <c r="DF156" s="49">
        <f t="shared" si="36"/>
        <v>0</v>
      </c>
      <c r="DG156" s="49">
        <f t="shared" si="37"/>
        <v>15190.42</v>
      </c>
      <c r="DH156" s="49">
        <f t="shared" si="38"/>
        <v>27865.42</v>
      </c>
      <c r="DI156" s="50">
        <f t="shared" si="39"/>
        <v>0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2514.58</v>
      </c>
      <c r="DR156" s="76">
        <f>+Tabla1[[#This Row],[mto_devenga_08]]</f>
        <v>0</v>
      </c>
      <c r="DS156" s="76">
        <f>+Tabla1[[#This Row],[mto_devenga_09]]</f>
        <v>0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15189.71</v>
      </c>
      <c r="DW156" s="76">
        <f>+SUM(Tabla1[[#This Row],[EJECUTADO 01]:[PF DICIEMBRE
]])</f>
        <v>17704.29</v>
      </c>
      <c r="DX156" s="76">
        <f>IFERROR(VLOOKUP(Tabla1[[#This Row],[COD SE]],PF_OCTUBRE,18,0),"0")</f>
        <v>0</v>
      </c>
      <c r="DY156" s="76">
        <f>IFERROR(VLOOKUP(Tabla1[[#This Row],[COD SE]],PF_OCTUBRE,19,0),"0")</f>
        <v>12675.71</v>
      </c>
      <c r="DZ156" s="76">
        <f>IFERROR(VLOOKUP(Tabla1[[#This Row],[COD SE]],PF_OCTUBRE,20,0),"0")</f>
        <v>12675.71</v>
      </c>
      <c r="EA156" s="76">
        <f>+Tabla1[[#This Row],[TOTAL EJEC REAL]]+Tabla1[[#This Row],[SALDO FINAL]]</f>
        <v>30380</v>
      </c>
      <c r="EB156" s="76">
        <f>IFERROR(VLOOKUP(Tabla1[[#This Row],[COD SE]],PF_OCTUBRE,22,0),"0")</f>
        <v>27865.42</v>
      </c>
      <c r="EC156" s="76">
        <f>+IFERROR(VLOOKUP(Tabla1[[#This Row],[COD SE]],SALDO_ESC_2,7,0),0)</f>
        <v>0</v>
      </c>
      <c r="ED156" s="76">
        <f>+IFERROR(VLOOKUP(Tabla1[[#This Row],[COD SE]],SALDO_ESC_3,7,0),0)</f>
        <v>12675.71</v>
      </c>
      <c r="EE156" s="76">
        <f>+Tabla1[[#This Row],[mto_pim]]-Tabla1[[#This Row],[TRANSF ESC2 ]]</f>
        <v>30380</v>
      </c>
      <c r="EF156" s="76">
        <f>+Tabla1[[#This Row],[mto_pim]]-Tabla1[[#This Row],[TRANFS ESC 3 ]]</f>
        <v>17704.29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0</v>
      </c>
      <c r="EL156" s="76">
        <f>+IFERROR(VLOOKUP(Tabla1[[#This Row],[COD SE]],HISTORICO,9,0),0)</f>
        <v>0</v>
      </c>
      <c r="EM156" s="76">
        <f>+IFERROR(VLOOKUP(Tabla1[[#This Row],[COD SE]],HISTORICO,10,0),0)</f>
        <v>0</v>
      </c>
      <c r="EN156" s="76">
        <f>+IFERROR(VLOOKUP(Tabla1[[#This Row],[COD SE]],HISTORICO,11,0),0)</f>
        <v>0</v>
      </c>
      <c r="EO156" s="76">
        <f>+IFERROR(VLOOKUP(Tabla1[[#This Row],[COD SE]],HISTORICO,12,0),0)</f>
        <v>0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2514.58</v>
      </c>
      <c r="ES156" s="58">
        <f>+SUM(Tabla1[[#This Row],[PF OCTUBRE]:[PF DICIEMBRE
]])</f>
        <v>15189.71</v>
      </c>
      <c r="ET156" s="58">
        <f>+SUM(Tabla1[[#This Row],[EJECUTADO 01]:[EJECUTADO 09]])</f>
        <v>2514.58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1684</v>
      </c>
      <c r="AE157" s="369" t="s">
        <v>1719</v>
      </c>
      <c r="AF157" s="369" t="s">
        <v>1720</v>
      </c>
      <c r="AG157" s="369" t="s">
        <v>2350</v>
      </c>
      <c r="AH157" s="369">
        <v>0</v>
      </c>
      <c r="AI157" s="369">
        <v>532</v>
      </c>
      <c r="AJ157" s="369">
        <v>532</v>
      </c>
      <c r="AK157" s="370">
        <v>0</v>
      </c>
      <c r="AL157" s="370">
        <v>0</v>
      </c>
      <c r="AM157" s="370">
        <v>0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0</v>
      </c>
      <c r="AV157" s="370">
        <v>0</v>
      </c>
      <c r="AW157" s="370">
        <v>0</v>
      </c>
      <c r="AX157" s="370">
        <v>0</v>
      </c>
      <c r="AY157" s="370">
        <v>0</v>
      </c>
      <c r="AZ157" s="370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0">
        <v>0</v>
      </c>
      <c r="BG157" s="370">
        <v>0</v>
      </c>
      <c r="BH157" s="370">
        <v>0</v>
      </c>
      <c r="BI157" s="370">
        <v>0</v>
      </c>
      <c r="BJ157" s="370">
        <v>0</v>
      </c>
      <c r="BK157" s="370">
        <v>0</v>
      </c>
      <c r="BL157" s="370">
        <v>0</v>
      </c>
      <c r="BM157" s="370">
        <v>0</v>
      </c>
      <c r="BN157" s="370">
        <v>0</v>
      </c>
      <c r="BO157" s="370">
        <v>0</v>
      </c>
      <c r="BP157" s="370">
        <v>0</v>
      </c>
      <c r="BQ157" s="370">
        <v>0</v>
      </c>
      <c r="BR157" s="370">
        <v>0</v>
      </c>
      <c r="BS157" s="370">
        <v>0</v>
      </c>
      <c r="BT157" s="370">
        <v>0</v>
      </c>
      <c r="BU157" s="370">
        <v>0</v>
      </c>
      <c r="BV157" s="370">
        <v>0</v>
      </c>
      <c r="BW157" s="370">
        <v>0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1990</v>
      </c>
      <c r="CL157" s="48" t="s">
        <v>1988</v>
      </c>
      <c r="CM157" s="48" t="s">
        <v>1990</v>
      </c>
      <c r="CN157" s="48" t="s">
        <v>1991</v>
      </c>
      <c r="CO157" s="48" t="str">
        <f t="shared" si="40"/>
        <v>2.3.1.6.1.3</v>
      </c>
      <c r="CP157" s="48" t="str">
        <f>+VLOOKUP(Tabla1[[#This Row],[ESPECÍFICA]],CLASIFICADOR_,2,0)</f>
        <v>2.3.1.6.1.3 - DE CONSTRUCCION Y MAQUINAS</v>
      </c>
      <c r="CQ157" s="48" t="str">
        <f>+VLOOKUP(Tabla1[[#This Row],[ESPECÍFICA]],CLASIFICADOR_,3,0)</f>
        <v>2.3.1.6 - REPUESTOS Y ACCESORIOS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Partidas restringidas</v>
      </c>
      <c r="CU157" s="48" t="str">
        <f>+VLOOKUP(Tabla1[[#This Row],[ESPECÍFICA]],CLASIFICADOR_,7,0)</f>
        <v>9.6 Hasta el 1er Semestre</v>
      </c>
      <c r="CV157" s="48">
        <f>+VLOOKUP(Tabla1[[#This Row],[ESPECÍFICA]],CLASIFICADOR_,8,0)</f>
        <v>1</v>
      </c>
      <c r="CW157" s="113" t="str">
        <f>+CONCATENATE("2.",Tabla1[[#This Row],[generica]])</f>
        <v>2.3.BIENES Y SERVICIOS</v>
      </c>
      <c r="CX157" s="48" t="str">
        <f t="shared" si="29"/>
        <v>0010-OA</v>
      </c>
      <c r="CY157" s="113" t="str">
        <f t="shared" si="30"/>
        <v>0010-OA</v>
      </c>
      <c r="CZ157" s="20" t="str">
        <f t="shared" si="31"/>
        <v>0010-OA</v>
      </c>
      <c r="DA157" s="113" t="str">
        <f>+CONCATENATE(Tabla1[[#This Row],[CC COMPLETO]],Tabla1[[#This Row],[ESPECÍFICA]])</f>
        <v>0010-OA2.3.1.6.1.3</v>
      </c>
      <c r="DB157" s="49">
        <f t="shared" si="32"/>
        <v>0</v>
      </c>
      <c r="DC157" s="49">
        <f t="shared" si="33"/>
        <v>0</v>
      </c>
      <c r="DD157" s="49">
        <f t="shared" si="34"/>
        <v>0</v>
      </c>
      <c r="DE157" s="49">
        <f t="shared" si="35"/>
        <v>532</v>
      </c>
      <c r="DF157" s="49">
        <f t="shared" si="36"/>
        <v>0</v>
      </c>
      <c r="DG157" s="49">
        <f t="shared" si="37"/>
        <v>0</v>
      </c>
      <c r="DH157" s="49">
        <f t="shared" si="38"/>
        <v>532</v>
      </c>
      <c r="DI157" s="50">
        <f t="shared" si="39"/>
        <v>0</v>
      </c>
      <c r="DJ157" s="78">
        <f>+SUM(Tabla1[[#This Row],[EJECUTADO 01]:[EJECUTADO 06]])</f>
        <v>0</v>
      </c>
      <c r="DK157" s="78">
        <f>+Tabla1[[#This Row],[mto_devenga_01]]</f>
        <v>0</v>
      </c>
      <c r="DL157" s="78">
        <f>+Tabla1[[#This Row],[mto_devenga_02]]</f>
        <v>0</v>
      </c>
      <c r="DM157" s="78">
        <f>+Tabla1[[#This Row],[mto_devenga_03]]</f>
        <v>0</v>
      </c>
      <c r="DN157" s="78">
        <f>+Tabla1[[#This Row],[mto_devenga_04]]</f>
        <v>0</v>
      </c>
      <c r="DO157" s="78">
        <f>+Tabla1[[#This Row],[mto_devenga_05]]</f>
        <v>0</v>
      </c>
      <c r="DP157" s="76">
        <f>+Tabla1[[#This Row],[mto_devenga_06]]</f>
        <v>0</v>
      </c>
      <c r="DQ157" s="76">
        <f>+Tabla1[[#This Row],[mto_devenga_07]]</f>
        <v>0</v>
      </c>
      <c r="DR157" s="76">
        <f>+Tabla1[[#This Row],[mto_devenga_08]]</f>
        <v>0</v>
      </c>
      <c r="DS157" s="76">
        <f>+Tabla1[[#This Row],[mto_devenga_09]]</f>
        <v>0</v>
      </c>
      <c r="DT157" s="76" t="str">
        <f>IFERROR(VLOOKUP(Tabla1[[#This Row],[COD SE]],PF_OCTUBRE,14,0),"0")</f>
        <v>0</v>
      </c>
      <c r="DU157" s="76" t="str">
        <f>IFERROR(VLOOKUP(Tabla1[[#This Row],[COD SE]],PF_OCTUBRE,15,0),"0")</f>
        <v>0</v>
      </c>
      <c r="DV157" s="76" t="str">
        <f>IFERROR(VLOOKUP(Tabla1[[#This Row],[COD SE]],PF_OCTUBRE,16,0),"0")</f>
        <v>0</v>
      </c>
      <c r="DW157" s="76">
        <f>+SUM(Tabla1[[#This Row],[EJECUTADO 01]:[PF DICIEMBRE
]])</f>
        <v>0</v>
      </c>
      <c r="DX157" s="76" t="str">
        <f>IFERROR(VLOOKUP(Tabla1[[#This Row],[COD SE]],PF_OCTUBRE,18,0),"0")</f>
        <v>0</v>
      </c>
      <c r="DY157" s="76" t="str">
        <f>IFERROR(VLOOKUP(Tabla1[[#This Row],[COD SE]],PF_OCTUBRE,19,0),"0")</f>
        <v>0</v>
      </c>
      <c r="DZ157" s="76" t="str">
        <f>IFERROR(VLOOKUP(Tabla1[[#This Row],[COD SE]],PF_OCTUBRE,20,0),"0")</f>
        <v>0</v>
      </c>
      <c r="EA157" s="76">
        <f>+Tabla1[[#This Row],[TOTAL EJEC REAL]]+Tabla1[[#This Row],[SALDO FINAL]]</f>
        <v>0</v>
      </c>
      <c r="EB157" s="76" t="str">
        <f>IFERROR(VLOOKUP(Tabla1[[#This Row],[COD SE]],PF_OCTUBRE,22,0),"0")</f>
        <v>0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532</v>
      </c>
      <c r="EF157" s="76">
        <f>+Tabla1[[#This Row],[mto_pim]]-Tabla1[[#This Row],[TRANFS ESC 3 ]]</f>
        <v>532</v>
      </c>
      <c r="EG157" s="76">
        <f>+IFERROR(VLOOKUP(Tabla1[[#This Row],[COD SE]],HISTORICO,4,0),0)</f>
        <v>0</v>
      </c>
      <c r="EH157" s="76">
        <f>+IFERROR(VLOOKUP(Tabla1[[#This Row],[COD SE]],HISTORICO,5,0),0)</f>
        <v>0</v>
      </c>
      <c r="EI157" s="76">
        <f>+IFERROR(VLOOKUP(Tabla1[[#This Row],[COD SE]],HISTORICO,6,0),0)</f>
        <v>0</v>
      </c>
      <c r="EJ157" s="76">
        <f>+IFERROR(VLOOKUP(Tabla1[[#This Row],[COD SE]],HISTORICO,7,0),0)</f>
        <v>0</v>
      </c>
      <c r="EK157" s="76">
        <f>+IFERROR(VLOOKUP(Tabla1[[#This Row],[COD SE]],HISTORICO,8,0),0)</f>
        <v>0</v>
      </c>
      <c r="EL157" s="76">
        <f>+IFERROR(VLOOKUP(Tabla1[[#This Row],[COD SE]],HISTORICO,9,0),0)</f>
        <v>0</v>
      </c>
      <c r="EM157" s="76">
        <f>+IFERROR(VLOOKUP(Tabla1[[#This Row],[COD SE]],HISTORICO,10,0),0)</f>
        <v>0</v>
      </c>
      <c r="EN157" s="76">
        <f>+IFERROR(VLOOKUP(Tabla1[[#This Row],[COD SE]],HISTORICO,11,0),0)</f>
        <v>0</v>
      </c>
      <c r="EO157" s="76">
        <f>+IFERROR(VLOOKUP(Tabla1[[#This Row],[COD SE]],HISTORICO,12,0),0)</f>
        <v>0</v>
      </c>
      <c r="EP157" s="58">
        <f>+SUM(Tabla1[[#This Row],[EJECUTADO 01]:[EJECUTADO 03]])</f>
        <v>0</v>
      </c>
      <c r="EQ157" s="58">
        <f>+SUM(Tabla1[[#This Row],[EJECUTADO 04]:[EJECUTADO 06]])</f>
        <v>0</v>
      </c>
      <c r="ER157" s="58">
        <f>+SUM(Tabla1[[#This Row],[EJECUTADO 07]:[EJECUTADO 09]])</f>
        <v>0</v>
      </c>
      <c r="ES157" s="58">
        <f>+SUM(Tabla1[[#This Row],[PF OCTUBRE]:[PF DICIEMBRE
]])</f>
        <v>0</v>
      </c>
      <c r="ET157" s="58">
        <f>+SUM(Tabla1[[#This Row],[EJECUTADO 01]:[EJECUTADO 09]])</f>
        <v>0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1672</v>
      </c>
      <c r="AD158" s="369" t="s">
        <v>1673</v>
      </c>
      <c r="AE158" s="369" t="s">
        <v>1688</v>
      </c>
      <c r="AF158" s="369" t="s">
        <v>1691</v>
      </c>
      <c r="AG158" s="369" t="s">
        <v>1692</v>
      </c>
      <c r="AH158" s="369">
        <v>151752</v>
      </c>
      <c r="AI158" s="369">
        <v>-63000</v>
      </c>
      <c r="AJ158" s="369">
        <v>88752</v>
      </c>
      <c r="AK158" s="370">
        <v>88752</v>
      </c>
      <c r="AL158" s="370">
        <v>88752</v>
      </c>
      <c r="AM158" s="370">
        <v>88752</v>
      </c>
      <c r="AN158" s="370">
        <v>0</v>
      </c>
      <c r="AO158" s="370">
        <v>0</v>
      </c>
      <c r="AP158" s="370">
        <v>0</v>
      </c>
      <c r="AQ158" s="370">
        <v>0</v>
      </c>
      <c r="AR158" s="370">
        <v>0</v>
      </c>
      <c r="AS158" s="370">
        <v>0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9930.2900000000009</v>
      </c>
      <c r="AZ158" s="370">
        <v>4611.25</v>
      </c>
      <c r="BA158" s="370">
        <v>7206.42</v>
      </c>
      <c r="BB158" s="370">
        <v>15109.91</v>
      </c>
      <c r="BC158" s="370">
        <v>6080.42</v>
      </c>
      <c r="BD158" s="370">
        <v>6252</v>
      </c>
      <c r="BE158" s="370">
        <v>3656.84</v>
      </c>
      <c r="BF158" s="370">
        <v>11833.77</v>
      </c>
      <c r="BG158" s="370">
        <v>15946.37</v>
      </c>
      <c r="BH158" s="370">
        <v>2595.17</v>
      </c>
      <c r="BI158" s="370">
        <v>0</v>
      </c>
      <c r="BJ158" s="370">
        <v>0</v>
      </c>
      <c r="BK158" s="370">
        <v>9930.2900000000009</v>
      </c>
      <c r="BL158" s="370">
        <v>4611.25</v>
      </c>
      <c r="BM158" s="370">
        <v>7206.42</v>
      </c>
      <c r="BN158" s="370">
        <v>4042.89</v>
      </c>
      <c r="BO158" s="370">
        <v>17147.439999999999</v>
      </c>
      <c r="BP158" s="370">
        <v>3131.36</v>
      </c>
      <c r="BQ158" s="370">
        <v>6777.48</v>
      </c>
      <c r="BR158" s="370">
        <v>11833.77</v>
      </c>
      <c r="BS158" s="370">
        <v>14096.51</v>
      </c>
      <c r="BT158" s="370">
        <v>4133.03</v>
      </c>
      <c r="BU158" s="370">
        <v>0</v>
      </c>
      <c r="BV158" s="370">
        <v>0</v>
      </c>
      <c r="BW158" s="370">
        <v>82910.44</v>
      </c>
      <c r="BX158" s="370">
        <v>0</v>
      </c>
      <c r="BY158" s="370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1991</v>
      </c>
      <c r="CK158" s="48" t="s">
        <v>1987</v>
      </c>
      <c r="CL158" s="48" t="s">
        <v>1987</v>
      </c>
      <c r="CM158" s="48" t="s">
        <v>2011</v>
      </c>
      <c r="CN158" s="48" t="s">
        <v>1990</v>
      </c>
      <c r="CO158" s="48" t="str">
        <f t="shared" si="40"/>
        <v>2.3.2.2.5.1</v>
      </c>
      <c r="CP158" s="48" t="str">
        <f>+VLOOKUP(Tabla1[[#This Row],[ESPECÍFICA]],CLASIFICADOR_,2,0)</f>
        <v>2.3.2.2.5.1 - DIFUSIÓN EN EL DIARIO OFICIAL</v>
      </c>
      <c r="CQ158" s="48" t="str">
        <f>+VLOOKUP(Tabla1[[#This Row],[ESPECÍFICA]],CLASIFICADOR_,3,0)</f>
        <v>2.3.2.2 - SERVICIOS BASICOS, COMUNICACIONES, PUBLICIDAD Y DIFUSION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2.3.BIENES Y SERVICIOS</v>
      </c>
      <c r="CX158" s="48" t="str">
        <f t="shared" si="29"/>
        <v>0010-OA</v>
      </c>
      <c r="CY158" s="113" t="str">
        <f t="shared" si="30"/>
        <v>0010-OA</v>
      </c>
      <c r="CZ158" s="20" t="str">
        <f t="shared" si="31"/>
        <v>0010-OA</v>
      </c>
      <c r="DA158" s="113" t="str">
        <f>+CONCATENATE(Tabla1[[#This Row],[CC COMPLETO]],Tabla1[[#This Row],[ESPECÍFICA]])</f>
        <v>0010-OA2.3.2.2.5.1</v>
      </c>
      <c r="DB158" s="49">
        <f t="shared" si="32"/>
        <v>88752</v>
      </c>
      <c r="DC158" s="49">
        <f t="shared" si="33"/>
        <v>83222.439999999988</v>
      </c>
      <c r="DD158" s="49">
        <f t="shared" si="34"/>
        <v>82910.439999999988</v>
      </c>
      <c r="DE158" s="49">
        <f t="shared" si="35"/>
        <v>0</v>
      </c>
      <c r="DF158" s="49">
        <f t="shared" si="36"/>
        <v>0</v>
      </c>
      <c r="DG158" s="49">
        <f t="shared" si="37"/>
        <v>5529.5600000000122</v>
      </c>
      <c r="DH158" s="49">
        <f t="shared" si="38"/>
        <v>5529.5600000000122</v>
      </c>
      <c r="DI158" s="50">
        <f t="shared" si="39"/>
        <v>0.54841082819336806</v>
      </c>
      <c r="DJ158" s="78">
        <f>+SUM(Tabla1[[#This Row],[EJECUTADO 01]:[EJECUTADO 06]])</f>
        <v>49190.289999999994</v>
      </c>
      <c r="DK158" s="78">
        <f>+Tabla1[[#This Row],[mto_devenga_01]]</f>
        <v>9930.2900000000009</v>
      </c>
      <c r="DL158" s="78">
        <f>+Tabla1[[#This Row],[mto_devenga_02]]</f>
        <v>4611.25</v>
      </c>
      <c r="DM158" s="78">
        <f>+Tabla1[[#This Row],[mto_devenga_03]]</f>
        <v>7206.42</v>
      </c>
      <c r="DN158" s="78">
        <f>+Tabla1[[#This Row],[mto_devenga_04]]</f>
        <v>15109.91</v>
      </c>
      <c r="DO158" s="78">
        <f>+Tabla1[[#This Row],[mto_devenga_05]]</f>
        <v>6080.42</v>
      </c>
      <c r="DP158" s="76">
        <f>+Tabla1[[#This Row],[mto_devenga_06]]</f>
        <v>6252</v>
      </c>
      <c r="DQ158" s="76">
        <f>+Tabla1[[#This Row],[mto_devenga_07]]</f>
        <v>3656.84</v>
      </c>
      <c r="DR158" s="76">
        <f>+Tabla1[[#This Row],[mto_devenga_08]]</f>
        <v>11833.77</v>
      </c>
      <c r="DS158" s="76">
        <f>+Tabla1[[#This Row],[mto_devenga_09]]</f>
        <v>15946.37</v>
      </c>
      <c r="DT158" s="76">
        <f>IFERROR(VLOOKUP(Tabla1[[#This Row],[COD SE]],PF_OCTUBRE,14,0),"0")</f>
        <v>5500</v>
      </c>
      <c r="DU158" s="76">
        <f>IFERROR(VLOOKUP(Tabla1[[#This Row],[COD SE]],PF_OCTUBRE,15,0),"0")</f>
        <v>2624.73</v>
      </c>
      <c r="DV158" s="76">
        <f>IFERROR(VLOOKUP(Tabla1[[#This Row],[COD SE]],PF_OCTUBRE,16,0),"0")</f>
        <v>0</v>
      </c>
      <c r="DW158" s="76">
        <f>+SUM(Tabla1[[#This Row],[EJECUTADO 01]:[PF DICIEMBRE
]])</f>
        <v>88751.999999999985</v>
      </c>
      <c r="DX158" s="76">
        <f>IFERROR(VLOOKUP(Tabla1[[#This Row],[COD SE]],PF_OCTUBRE,18,0),"0")</f>
        <v>0</v>
      </c>
      <c r="DY158" s="76">
        <f>IFERROR(VLOOKUP(Tabla1[[#This Row],[COD SE]],PF_OCTUBRE,19,0),"0")</f>
        <v>0</v>
      </c>
      <c r="DZ158" s="76">
        <f>IFERROR(VLOOKUP(Tabla1[[#This Row],[COD SE]],PF_OCTUBRE,20,0),"0")</f>
        <v>0</v>
      </c>
      <c r="EA158" s="76">
        <f>+Tabla1[[#This Row],[TOTAL EJEC REAL]]+Tabla1[[#This Row],[SALDO FINAL]]</f>
        <v>88751.999999999985</v>
      </c>
      <c r="EB158" s="76">
        <f>IFERROR(VLOOKUP(Tabla1[[#This Row],[COD SE]],PF_OCTUBRE,22,0),"0")</f>
        <v>0</v>
      </c>
      <c r="EC158" s="76">
        <f>+IFERROR(VLOOKUP(Tabla1[[#This Row],[COD SE]],SALDO_ESC_2,7,0),0)</f>
        <v>0</v>
      </c>
      <c r="ED158" s="76">
        <f>+IFERROR(VLOOKUP(Tabla1[[#This Row],[COD SE]],SALDO_ESC_3,7,0),0)</f>
        <v>0</v>
      </c>
      <c r="EE158" s="76">
        <f>+Tabla1[[#This Row],[mto_pim]]-Tabla1[[#This Row],[TRANSF ESC2 ]]</f>
        <v>88752</v>
      </c>
      <c r="EF158" s="76">
        <f>+Tabla1[[#This Row],[mto_pim]]-Tabla1[[#This Row],[TRANFS ESC 3 ]]</f>
        <v>88752</v>
      </c>
      <c r="EG158" s="76">
        <f>+IFERROR(VLOOKUP(Tabla1[[#This Row],[COD SE]],HISTORICO,4,0),0)</f>
        <v>0</v>
      </c>
      <c r="EH158" s="76">
        <f>+IFERROR(VLOOKUP(Tabla1[[#This Row],[COD SE]],HISTORICO,5,0),0)</f>
        <v>3872</v>
      </c>
      <c r="EI158" s="76">
        <f>+IFERROR(VLOOKUP(Tabla1[[#This Row],[COD SE]],HISTORICO,6,0),0)</f>
        <v>5912.46</v>
      </c>
      <c r="EJ158" s="76">
        <f>+IFERROR(VLOOKUP(Tabla1[[#This Row],[COD SE]],HISTORICO,7,0),0)</f>
        <v>9930.2900000000009</v>
      </c>
      <c r="EK158" s="76">
        <f>+IFERROR(VLOOKUP(Tabla1[[#This Row],[COD SE]],HISTORICO,8,0),0)</f>
        <v>14361.77</v>
      </c>
      <c r="EL158" s="76">
        <f>+IFERROR(VLOOKUP(Tabla1[[#This Row],[COD SE]],HISTORICO,9,0),0)</f>
        <v>6412.3419999999996</v>
      </c>
      <c r="EM158" s="76">
        <f>+IFERROR(VLOOKUP(Tabla1[[#This Row],[COD SE]],HISTORICO,10,0),0)</f>
        <v>6655.4779999999992</v>
      </c>
      <c r="EN158" s="76">
        <f>+IFERROR(VLOOKUP(Tabla1[[#This Row],[COD SE]],HISTORICO,11,0),0)</f>
        <v>6000</v>
      </c>
      <c r="EO158" s="76">
        <f>+IFERROR(VLOOKUP(Tabla1[[#This Row],[COD SE]],HISTORICO,12,0),0)</f>
        <v>6000</v>
      </c>
      <c r="EP158" s="58">
        <f>+SUM(Tabla1[[#This Row],[EJECUTADO 01]:[EJECUTADO 03]])</f>
        <v>21747.96</v>
      </c>
      <c r="EQ158" s="58">
        <f>+SUM(Tabla1[[#This Row],[EJECUTADO 04]:[EJECUTADO 06]])</f>
        <v>27442.33</v>
      </c>
      <c r="ER158" s="58">
        <f>+SUM(Tabla1[[#This Row],[EJECUTADO 07]:[EJECUTADO 09]])</f>
        <v>31436.980000000003</v>
      </c>
      <c r="ES158" s="58">
        <f>+SUM(Tabla1[[#This Row],[PF OCTUBRE]:[PF DICIEMBRE
]])</f>
        <v>8124.73</v>
      </c>
      <c r="ET158" s="58">
        <f>+SUM(Tabla1[[#This Row],[EJECUTADO 01]:[EJECUTADO 09]])</f>
        <v>80627.26999999999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1672</v>
      </c>
      <c r="AD159" s="369" t="s">
        <v>1684</v>
      </c>
      <c r="AE159" s="369" t="s">
        <v>1716</v>
      </c>
      <c r="AF159" s="369" t="s">
        <v>1764</v>
      </c>
      <c r="AG159" s="369" t="s">
        <v>1765</v>
      </c>
      <c r="AH159" s="369">
        <v>30000</v>
      </c>
      <c r="AI159" s="369">
        <v>440</v>
      </c>
      <c r="AJ159" s="369">
        <v>30440</v>
      </c>
      <c r="AK159" s="370">
        <v>30439.41</v>
      </c>
      <c r="AL159" s="370">
        <v>30439.41</v>
      </c>
      <c r="AM159" s="370">
        <v>0</v>
      </c>
      <c r="AN159" s="370">
        <v>1996.67</v>
      </c>
      <c r="AO159" s="370">
        <v>0</v>
      </c>
      <c r="AP159" s="370">
        <v>28027.74</v>
      </c>
      <c r="AQ159" s="370">
        <v>0</v>
      </c>
      <c r="AR159" s="370">
        <v>415</v>
      </c>
      <c r="AS159" s="370">
        <v>0</v>
      </c>
      <c r="AT159" s="370">
        <v>0</v>
      </c>
      <c r="AU159" s="370">
        <v>0</v>
      </c>
      <c r="AV159" s="370">
        <v>0</v>
      </c>
      <c r="AW159" s="370">
        <v>0</v>
      </c>
      <c r="AX159" s="370">
        <v>0</v>
      </c>
      <c r="AY159" s="370">
        <v>0</v>
      </c>
      <c r="AZ159" s="370">
        <v>1996.67</v>
      </c>
      <c r="BA159" s="370">
        <v>0</v>
      </c>
      <c r="BB159" s="370">
        <v>0</v>
      </c>
      <c r="BC159" s="370">
        <v>8668.19</v>
      </c>
      <c r="BD159" s="370">
        <v>19774.55</v>
      </c>
      <c r="BE159" s="370">
        <v>0</v>
      </c>
      <c r="BF159" s="370">
        <v>0</v>
      </c>
      <c r="BG159" s="370">
        <v>0</v>
      </c>
      <c r="BH159" s="370">
        <v>0</v>
      </c>
      <c r="BI159" s="370">
        <v>0</v>
      </c>
      <c r="BJ159" s="370">
        <v>0</v>
      </c>
      <c r="BK159" s="370">
        <v>0</v>
      </c>
      <c r="BL159" s="370">
        <v>1996.67</v>
      </c>
      <c r="BM159" s="370">
        <v>0</v>
      </c>
      <c r="BN159" s="370">
        <v>0</v>
      </c>
      <c r="BO159" s="370">
        <v>8668.19</v>
      </c>
      <c r="BP159" s="370">
        <v>19774.55</v>
      </c>
      <c r="BQ159" s="370">
        <v>0</v>
      </c>
      <c r="BR159" s="370">
        <v>0</v>
      </c>
      <c r="BS159" s="370">
        <v>0</v>
      </c>
      <c r="BT159" s="370">
        <v>0</v>
      </c>
      <c r="BU159" s="370">
        <v>0</v>
      </c>
      <c r="BV159" s="370">
        <v>0</v>
      </c>
      <c r="BW159" s="370">
        <v>0</v>
      </c>
      <c r="BX159" s="370">
        <v>1996.67</v>
      </c>
      <c r="BY159" s="370">
        <v>0</v>
      </c>
      <c r="BZ159" s="370">
        <v>28027.74</v>
      </c>
      <c r="CA159" s="370">
        <v>0</v>
      </c>
      <c r="CB159" s="370">
        <v>415</v>
      </c>
      <c r="CC159" s="370">
        <v>0</v>
      </c>
      <c r="CD159" s="370">
        <v>0</v>
      </c>
      <c r="CE159" s="370">
        <v>0</v>
      </c>
      <c r="CF159" s="370">
        <v>0</v>
      </c>
      <c r="CG159" s="370">
        <v>0</v>
      </c>
      <c r="CH159" s="370">
        <v>0</v>
      </c>
      <c r="CI159" s="48" t="s">
        <v>1987</v>
      </c>
      <c r="CJ159" s="48" t="s">
        <v>1991</v>
      </c>
      <c r="CK159" s="48" t="s">
        <v>1990</v>
      </c>
      <c r="CL159" s="48" t="s">
        <v>2011</v>
      </c>
      <c r="CM159" s="48" t="s">
        <v>1991</v>
      </c>
      <c r="CN159" s="48" t="s">
        <v>1990</v>
      </c>
      <c r="CO159" s="48" t="str">
        <f t="shared" si="40"/>
        <v>2.3.1.5.3.1</v>
      </c>
      <c r="CP159" s="48" t="str">
        <f>+VLOOKUP(Tabla1[[#This Row],[ESPECÍFICA]],CLASIFICADOR_,2,0)</f>
        <v>2.3.1.5.3.1 - ASEO, LIMPIEZA Y TOCADOR</v>
      </c>
      <c r="CQ159" s="48" t="str">
        <f>+VLOOKUP(Tabla1[[#This Row],[ESPECÍFICA]],CLASIFICADOR_,3,0)</f>
        <v>2.3.1.5 - MATERIALES Y  UTILES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N/R</v>
      </c>
      <c r="CU159" s="48" t="str">
        <f>+VLOOKUP(Tabla1[[#This Row],[ESPECÍFICA]],CLASIFICADOR_,7,0)</f>
        <v>N/R</v>
      </c>
      <c r="CV159" s="48">
        <f>+VLOOKUP(Tabla1[[#This Row],[ESPECÍFICA]],CLASIFICADOR_,8,0)</f>
        <v>0</v>
      </c>
      <c r="CW159" s="113" t="str">
        <f>+CONCATENATE("2.",Tabla1[[#This Row],[generica]])</f>
        <v>2.3.BIENES Y SERVICIOS</v>
      </c>
      <c r="CX159" s="48" t="str">
        <f t="shared" si="29"/>
        <v>0010-OA</v>
      </c>
      <c r="CY159" s="113" t="str">
        <f t="shared" si="30"/>
        <v>0010-OA</v>
      </c>
      <c r="CZ159" s="20" t="str">
        <f t="shared" si="31"/>
        <v>0010-OA</v>
      </c>
      <c r="DA159" s="113" t="str">
        <f>+CONCATENATE(Tabla1[[#This Row],[CC COMPLETO]],Tabla1[[#This Row],[ESPECÍFICA]])</f>
        <v>0010-OA2.3.1.5.3.1</v>
      </c>
      <c r="DB159" s="49">
        <f t="shared" si="32"/>
        <v>30439.410000000003</v>
      </c>
      <c r="DC159" s="49">
        <f t="shared" si="33"/>
        <v>30439.41</v>
      </c>
      <c r="DD159" s="49">
        <f t="shared" si="34"/>
        <v>30439.41</v>
      </c>
      <c r="DE159" s="49">
        <f t="shared" si="35"/>
        <v>0.59000000000014552</v>
      </c>
      <c r="DF159" s="49">
        <f t="shared" si="36"/>
        <v>0</v>
      </c>
      <c r="DG159" s="49">
        <f t="shared" si="37"/>
        <v>0</v>
      </c>
      <c r="DH159" s="49">
        <f t="shared" si="38"/>
        <v>0.59000000000014552</v>
      </c>
      <c r="DI159" s="50">
        <f t="shared" si="39"/>
        <v>1.0146470000000001</v>
      </c>
      <c r="DJ159" s="78">
        <f>+SUM(Tabla1[[#This Row],[EJECUTADO 01]:[EJECUTADO 06]])</f>
        <v>30439.41</v>
      </c>
      <c r="DK159" s="78">
        <f>+Tabla1[[#This Row],[mto_devenga_01]]</f>
        <v>0</v>
      </c>
      <c r="DL159" s="78">
        <f>+Tabla1[[#This Row],[mto_devenga_02]]</f>
        <v>1996.67</v>
      </c>
      <c r="DM159" s="78">
        <f>+Tabla1[[#This Row],[mto_devenga_03]]</f>
        <v>0</v>
      </c>
      <c r="DN159" s="78">
        <f>+Tabla1[[#This Row],[mto_devenga_04]]</f>
        <v>0</v>
      </c>
      <c r="DO159" s="78">
        <f>+Tabla1[[#This Row],[mto_devenga_05]]</f>
        <v>8668.19</v>
      </c>
      <c r="DP159" s="76">
        <f>+Tabla1[[#This Row],[mto_devenga_06]]</f>
        <v>19774.55</v>
      </c>
      <c r="DQ159" s="76">
        <f>+Tabla1[[#This Row],[mto_devenga_07]]</f>
        <v>0</v>
      </c>
      <c r="DR159" s="76">
        <f>+Tabla1[[#This Row],[mto_devenga_08]]</f>
        <v>0</v>
      </c>
      <c r="DS159" s="76">
        <f>+Tabla1[[#This Row],[mto_devenga_09]]</f>
        <v>0</v>
      </c>
      <c r="DT159" s="76">
        <f>IFERROR(VLOOKUP(Tabla1[[#This Row],[COD SE]],PF_OCTUBRE,14,0),"0")</f>
        <v>0</v>
      </c>
      <c r="DU159" s="76">
        <f>IFERROR(VLOOKUP(Tabla1[[#This Row],[COD SE]],PF_OCTUBRE,15,0),"0")</f>
        <v>0</v>
      </c>
      <c r="DV159" s="76">
        <f>IFERROR(VLOOKUP(Tabla1[[#This Row],[COD SE]],PF_OCTUBRE,16,0),"0")</f>
        <v>3.4924285685633549E-12</v>
      </c>
      <c r="DW159" s="76">
        <f>+SUM(Tabla1[[#This Row],[EJECUTADO 01]:[PF DICIEMBRE
]])</f>
        <v>30439.410000000003</v>
      </c>
      <c r="DX159" s="76">
        <f>IFERROR(VLOOKUP(Tabla1[[#This Row],[COD SE]],PF_OCTUBRE,18,0),"0")</f>
        <v>0</v>
      </c>
      <c r="DY159" s="76">
        <f>IFERROR(VLOOKUP(Tabla1[[#This Row],[COD SE]],PF_OCTUBRE,19,0),"0")</f>
        <v>0.58999999999650754</v>
      </c>
      <c r="DZ159" s="76">
        <f>IFERROR(VLOOKUP(Tabla1[[#This Row],[COD SE]],PF_OCTUBRE,20,0),"0")</f>
        <v>0.58999999999650754</v>
      </c>
      <c r="EA159" s="76">
        <f>+Tabla1[[#This Row],[TOTAL EJEC REAL]]+Tabla1[[#This Row],[SALDO FINAL]]</f>
        <v>30440</v>
      </c>
      <c r="EB159" s="76">
        <f>IFERROR(VLOOKUP(Tabla1[[#This Row],[COD SE]],PF_OCTUBRE,22,0),"0")</f>
        <v>0.59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30440</v>
      </c>
      <c r="EF159" s="76">
        <f>+Tabla1[[#This Row],[mto_pim]]-Tabla1[[#This Row],[TRANFS ESC 3 ]]</f>
        <v>30440</v>
      </c>
      <c r="EG159" s="76">
        <f>+IFERROR(VLOOKUP(Tabla1[[#This Row],[COD SE]],HISTORICO,4,0),0)</f>
        <v>0</v>
      </c>
      <c r="EH159" s="76">
        <f>+IFERROR(VLOOKUP(Tabla1[[#This Row],[COD SE]],HISTORICO,5,0),0)</f>
        <v>0</v>
      </c>
      <c r="EI159" s="76">
        <f>+IFERROR(VLOOKUP(Tabla1[[#This Row],[COD SE]],HISTORICO,6,0),0)</f>
        <v>503.33</v>
      </c>
      <c r="EJ159" s="76">
        <f>+IFERROR(VLOOKUP(Tabla1[[#This Row],[COD SE]],HISTORICO,7,0),0)</f>
        <v>0</v>
      </c>
      <c r="EK159" s="76">
        <f>+IFERROR(VLOOKUP(Tabla1[[#This Row],[COD SE]],HISTORICO,8,0),0)</f>
        <v>28029.330000000005</v>
      </c>
      <c r="EL159" s="76">
        <f>+IFERROR(VLOOKUP(Tabla1[[#This Row],[COD SE]],HISTORICO,9,0),0)</f>
        <v>19359.55</v>
      </c>
      <c r="EM159" s="76">
        <f>+IFERROR(VLOOKUP(Tabla1[[#This Row],[COD SE]],HISTORICO,10,0),0)</f>
        <v>0</v>
      </c>
      <c r="EN159" s="76">
        <f>+IFERROR(VLOOKUP(Tabla1[[#This Row],[COD SE]],HISTORICO,11,0),0)</f>
        <v>0</v>
      </c>
      <c r="EO159" s="76">
        <f>+IFERROR(VLOOKUP(Tabla1[[#This Row],[COD SE]],HISTORICO,12,0),0)</f>
        <v>0</v>
      </c>
      <c r="EP159" s="58">
        <f>+SUM(Tabla1[[#This Row],[EJECUTADO 01]:[EJECUTADO 03]])</f>
        <v>1996.67</v>
      </c>
      <c r="EQ159" s="58">
        <f>+SUM(Tabla1[[#This Row],[EJECUTADO 04]:[EJECUTADO 06]])</f>
        <v>28442.739999999998</v>
      </c>
      <c r="ER159" s="58">
        <f>+SUM(Tabla1[[#This Row],[EJECUTADO 07]:[EJECUTADO 09]])</f>
        <v>0</v>
      </c>
      <c r="ES159" s="58">
        <f>+SUM(Tabla1[[#This Row],[PF OCTUBRE]:[PF DICIEMBRE
]])</f>
        <v>3.4924285685633549E-12</v>
      </c>
      <c r="ET159" s="58">
        <f>+SUM(Tabla1[[#This Row],[EJECUTADO 01]:[EJECUTADO 09]])</f>
        <v>30439.41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1684</v>
      </c>
      <c r="AE160" s="369" t="s">
        <v>1758</v>
      </c>
      <c r="AF160" s="369" t="s">
        <v>1759</v>
      </c>
      <c r="AG160" s="369" t="s">
        <v>2346</v>
      </c>
      <c r="AH160" s="369">
        <v>0</v>
      </c>
      <c r="AI160" s="369">
        <v>259</v>
      </c>
      <c r="AJ160" s="369">
        <v>259</v>
      </c>
      <c r="AK160" s="370">
        <v>0</v>
      </c>
      <c r="AL160" s="370">
        <v>0</v>
      </c>
      <c r="AM160" s="370">
        <v>0</v>
      </c>
      <c r="AN160" s="370">
        <v>0</v>
      </c>
      <c r="AO160" s="370">
        <v>0</v>
      </c>
      <c r="AP160" s="370">
        <v>0</v>
      </c>
      <c r="AQ160" s="370">
        <v>0</v>
      </c>
      <c r="AR160" s="370">
        <v>0</v>
      </c>
      <c r="AS160" s="370">
        <v>0</v>
      </c>
      <c r="AT160" s="370">
        <v>0</v>
      </c>
      <c r="AU160" s="370">
        <v>0</v>
      </c>
      <c r="AV160" s="370">
        <v>0</v>
      </c>
      <c r="AW160" s="370">
        <v>0</v>
      </c>
      <c r="AX160" s="370">
        <v>0</v>
      </c>
      <c r="AY160" s="370">
        <v>0</v>
      </c>
      <c r="AZ160" s="370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0">
        <v>0</v>
      </c>
      <c r="BG160" s="370">
        <v>0</v>
      </c>
      <c r="BH160" s="370">
        <v>0</v>
      </c>
      <c r="BI160" s="370">
        <v>0</v>
      </c>
      <c r="BJ160" s="370">
        <v>0</v>
      </c>
      <c r="BK160" s="370">
        <v>0</v>
      </c>
      <c r="BL160" s="370">
        <v>0</v>
      </c>
      <c r="BM160" s="370">
        <v>0</v>
      </c>
      <c r="BN160" s="370">
        <v>0</v>
      </c>
      <c r="BO160" s="370">
        <v>0</v>
      </c>
      <c r="BP160" s="370">
        <v>0</v>
      </c>
      <c r="BQ160" s="370">
        <v>0</v>
      </c>
      <c r="BR160" s="370">
        <v>0</v>
      </c>
      <c r="BS160" s="370">
        <v>0</v>
      </c>
      <c r="BT160" s="370">
        <v>0</v>
      </c>
      <c r="BU160" s="370">
        <v>0</v>
      </c>
      <c r="BV160" s="370">
        <v>0</v>
      </c>
      <c r="BW160" s="370">
        <v>0</v>
      </c>
      <c r="BX160" s="370">
        <v>0</v>
      </c>
      <c r="BY160" s="370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0">
        <v>0</v>
      </c>
      <c r="CF160" s="370">
        <v>0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1990</v>
      </c>
      <c r="CL160" s="48" t="s">
        <v>2021</v>
      </c>
      <c r="CM160" s="48" t="s">
        <v>1990</v>
      </c>
      <c r="CN160" s="48" t="s">
        <v>1990</v>
      </c>
      <c r="CO160" s="48" t="str">
        <f t="shared" si="40"/>
        <v>2.3.1.11.1.1</v>
      </c>
      <c r="CP160" s="48" t="str">
        <f>+VLOOKUP(Tabla1[[#This Row],[ESPECÍFICA]],CLASIFICADOR_,2,0)</f>
        <v>2.3.1.11.1.1 - PARA EDIFICIOS Y ESTRUCTURAS</v>
      </c>
      <c r="CQ160" s="48" t="str">
        <f>+VLOOKUP(Tabla1[[#This Row],[ESPECÍFICA]],CLASIFICADOR_,3,0)</f>
        <v>2.3.1.11 - SUMINISTROS PARA MANTENIMIENTO Y REPARACION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Partidas restringidas</v>
      </c>
      <c r="CU160" s="48" t="str">
        <f>+VLOOKUP(Tabla1[[#This Row],[ESPECÍFICA]],CLASIFICADOR_,7,0)</f>
        <v>9.6 Hasta el 1er Semestre</v>
      </c>
      <c r="CV160" s="48">
        <f>+VLOOKUP(Tabla1[[#This Row],[ESPECÍFICA]],CLASIFICADOR_,8,0)</f>
        <v>2</v>
      </c>
      <c r="CW160" s="113" t="str">
        <f>+CONCATENATE("2.",Tabla1[[#This Row],[generica]])</f>
        <v>2.3.BIENES Y SERVICIOS</v>
      </c>
      <c r="CX160" s="48" t="str">
        <f t="shared" si="29"/>
        <v>0010-OA</v>
      </c>
      <c r="CY160" s="113" t="str">
        <f t="shared" si="30"/>
        <v>0010-OA</v>
      </c>
      <c r="CZ160" s="20" t="str">
        <f t="shared" si="31"/>
        <v>0010-OA</v>
      </c>
      <c r="DA160" s="113" t="str">
        <f>+CONCATENATE(Tabla1[[#This Row],[CC COMPLETO]],Tabla1[[#This Row],[ESPECÍFICA]])</f>
        <v>0010-OA2.3.1.11.1.1</v>
      </c>
      <c r="DB160" s="49">
        <f t="shared" si="32"/>
        <v>0</v>
      </c>
      <c r="DC160" s="49">
        <f t="shared" si="33"/>
        <v>0</v>
      </c>
      <c r="DD160" s="49">
        <f t="shared" si="34"/>
        <v>0</v>
      </c>
      <c r="DE160" s="49">
        <f t="shared" si="35"/>
        <v>259</v>
      </c>
      <c r="DF160" s="49">
        <f t="shared" si="36"/>
        <v>0</v>
      </c>
      <c r="DG160" s="49">
        <f t="shared" si="37"/>
        <v>0</v>
      </c>
      <c r="DH160" s="49">
        <f t="shared" si="38"/>
        <v>259</v>
      </c>
      <c r="DI160" s="50">
        <f t="shared" si="39"/>
        <v>0</v>
      </c>
      <c r="DJ160" s="78">
        <f>+SUM(Tabla1[[#This Row],[EJECUTADO 01]:[EJECUTADO 06]])</f>
        <v>0</v>
      </c>
      <c r="DK160" s="78">
        <f>+Tabla1[[#This Row],[mto_devenga_01]]</f>
        <v>0</v>
      </c>
      <c r="DL160" s="78">
        <f>+Tabla1[[#This Row],[mto_devenga_02]]</f>
        <v>0</v>
      </c>
      <c r="DM160" s="78">
        <f>+Tabla1[[#This Row],[mto_devenga_03]]</f>
        <v>0</v>
      </c>
      <c r="DN160" s="78">
        <f>+Tabla1[[#This Row],[mto_devenga_04]]</f>
        <v>0</v>
      </c>
      <c r="DO160" s="78">
        <f>+Tabla1[[#This Row],[mto_devenga_05]]</f>
        <v>0</v>
      </c>
      <c r="DP160" s="76">
        <f>+Tabla1[[#This Row],[mto_devenga_06]]</f>
        <v>0</v>
      </c>
      <c r="DQ160" s="76">
        <f>+Tabla1[[#This Row],[mto_devenga_07]]</f>
        <v>0</v>
      </c>
      <c r="DR160" s="76">
        <f>+Tabla1[[#This Row],[mto_devenga_08]]</f>
        <v>0</v>
      </c>
      <c r="DS160" s="76">
        <f>+Tabla1[[#This Row],[mto_devenga_09]]</f>
        <v>0</v>
      </c>
      <c r="DT160" s="76" t="str">
        <f>IFERROR(VLOOKUP(Tabla1[[#This Row],[COD SE]],PF_OCTUBRE,14,0),"0")</f>
        <v>0</v>
      </c>
      <c r="DU160" s="76" t="str">
        <f>IFERROR(VLOOKUP(Tabla1[[#This Row],[COD SE]],PF_OCTUBRE,15,0),"0")</f>
        <v>0</v>
      </c>
      <c r="DV160" s="76" t="str">
        <f>IFERROR(VLOOKUP(Tabla1[[#This Row],[COD SE]],PF_OCTUBRE,16,0),"0")</f>
        <v>0</v>
      </c>
      <c r="DW160" s="76">
        <f>+SUM(Tabla1[[#This Row],[EJECUTADO 01]:[PF DICIEMBRE
]])</f>
        <v>0</v>
      </c>
      <c r="DX160" s="76" t="str">
        <f>IFERROR(VLOOKUP(Tabla1[[#This Row],[COD SE]],PF_OCTUBRE,18,0),"0")</f>
        <v>0</v>
      </c>
      <c r="DY160" s="76" t="str">
        <f>IFERROR(VLOOKUP(Tabla1[[#This Row],[COD SE]],PF_OCTUBRE,19,0),"0")</f>
        <v>0</v>
      </c>
      <c r="DZ160" s="76" t="str">
        <f>IFERROR(VLOOKUP(Tabla1[[#This Row],[COD SE]],PF_OCTUBRE,20,0),"0")</f>
        <v>0</v>
      </c>
      <c r="EA160" s="76">
        <f>+Tabla1[[#This Row],[TOTAL EJEC REAL]]+Tabla1[[#This Row],[SALDO FINAL]]</f>
        <v>0</v>
      </c>
      <c r="EB160" s="76" t="str">
        <f>IFERROR(VLOOKUP(Tabla1[[#This Row],[COD SE]],PF_OCTUBRE,22,0),"0")</f>
        <v>0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259</v>
      </c>
      <c r="EF160" s="76">
        <f>+Tabla1[[#This Row],[mto_pim]]-Tabla1[[#This Row],[TRANFS ESC 3 ]]</f>
        <v>259</v>
      </c>
      <c r="EG160" s="76">
        <f>+IFERROR(VLOOKUP(Tabla1[[#This Row],[COD SE]],HISTORICO,4,0),0)</f>
        <v>0</v>
      </c>
      <c r="EH160" s="76">
        <f>+IFERROR(VLOOKUP(Tabla1[[#This Row],[COD SE]],HISTORICO,5,0),0)</f>
        <v>0</v>
      </c>
      <c r="EI160" s="76">
        <f>+IFERROR(VLOOKUP(Tabla1[[#This Row],[COD SE]],HISTORICO,6,0),0)</f>
        <v>0</v>
      </c>
      <c r="EJ160" s="76">
        <f>+IFERROR(VLOOKUP(Tabla1[[#This Row],[COD SE]],HISTORICO,7,0),0)</f>
        <v>0</v>
      </c>
      <c r="EK160" s="76">
        <f>+IFERROR(VLOOKUP(Tabla1[[#This Row],[COD SE]],HISTORICO,8,0),0)</f>
        <v>0</v>
      </c>
      <c r="EL160" s="76">
        <f>+IFERROR(VLOOKUP(Tabla1[[#This Row],[COD SE]],HISTORICO,9,0),0)</f>
        <v>0</v>
      </c>
      <c r="EM160" s="76">
        <f>+IFERROR(VLOOKUP(Tabla1[[#This Row],[COD SE]],HISTORICO,10,0),0)</f>
        <v>0</v>
      </c>
      <c r="EN160" s="76">
        <f>+IFERROR(VLOOKUP(Tabla1[[#This Row],[COD SE]],HISTORICO,11,0),0)</f>
        <v>0</v>
      </c>
      <c r="EO160" s="76">
        <f>+IFERROR(VLOOKUP(Tabla1[[#This Row],[COD SE]],HISTORICO,12,0),0)</f>
        <v>0</v>
      </c>
      <c r="EP160" s="58">
        <f>+SUM(Tabla1[[#This Row],[EJECUTADO 01]:[EJECUTADO 03]])</f>
        <v>0</v>
      </c>
      <c r="EQ160" s="58">
        <f>+SUM(Tabla1[[#This Row],[EJECUTADO 04]:[EJECUTADO 06]])</f>
        <v>0</v>
      </c>
      <c r="ER160" s="58">
        <f>+SUM(Tabla1[[#This Row],[EJECUTADO 07]:[EJECUTADO 09]])</f>
        <v>0</v>
      </c>
      <c r="ES160" s="58">
        <f>+SUM(Tabla1[[#This Row],[PF OCTUBRE]:[PF DICIEMBRE
]])</f>
        <v>0</v>
      </c>
      <c r="ET160" s="58">
        <f>+SUM(Tabla1[[#This Row],[EJECUTADO 01]:[EJECUTADO 09]])</f>
        <v>0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1672</v>
      </c>
      <c r="AD161" s="369" t="s">
        <v>1684</v>
      </c>
      <c r="AE161" s="369" t="s">
        <v>1758</v>
      </c>
      <c r="AF161" s="369" t="s">
        <v>1759</v>
      </c>
      <c r="AG161" s="369" t="s">
        <v>2347</v>
      </c>
      <c r="AH161" s="369">
        <v>0</v>
      </c>
      <c r="AI161" s="369">
        <v>11</v>
      </c>
      <c r="AJ161" s="369">
        <v>11</v>
      </c>
      <c r="AK161" s="370">
        <v>0</v>
      </c>
      <c r="AL161" s="370">
        <v>0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0</v>
      </c>
      <c r="AS161" s="370">
        <v>0</v>
      </c>
      <c r="AT161" s="370">
        <v>0</v>
      </c>
      <c r="AU161" s="370">
        <v>0</v>
      </c>
      <c r="AV161" s="370">
        <v>0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0</v>
      </c>
      <c r="BQ161" s="370">
        <v>0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1991</v>
      </c>
      <c r="CK161" s="48" t="s">
        <v>1990</v>
      </c>
      <c r="CL161" s="48" t="s">
        <v>2021</v>
      </c>
      <c r="CM161" s="48" t="s">
        <v>1990</v>
      </c>
      <c r="CN161" s="48" t="s">
        <v>1988</v>
      </c>
      <c r="CO161" s="48" t="str">
        <f t="shared" si="40"/>
        <v>2.3.1.11.1.6</v>
      </c>
      <c r="CP161" s="48" t="str">
        <f>+VLOOKUP(Tabla1[[#This Row],[ESPECÍFICA]],CLASIFICADOR_,2,0)</f>
        <v>2.3.1.11.1.6 - MATERIALES DE  ACONDICIONAMIENTO</v>
      </c>
      <c r="CQ161" s="48" t="str">
        <f>+VLOOKUP(Tabla1[[#This Row],[ESPECÍFICA]],CLASIFICADOR_,3,0)</f>
        <v>2.3.1.11 - SUMINISTROS PARA MANTENIMIENTO Y REPARACION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Partidas restringidas</v>
      </c>
      <c r="CU161" s="48" t="str">
        <f>+VLOOKUP(Tabla1[[#This Row],[ESPECÍFICA]],CLASIFICADOR_,7,0)</f>
        <v>9.6 Hasta el 1er Semestre</v>
      </c>
      <c r="CV161" s="48">
        <f>+VLOOKUP(Tabla1[[#This Row],[ESPECÍFICA]],CLASIFICADOR_,8,0)</f>
        <v>2</v>
      </c>
      <c r="CW161" s="113" t="str">
        <f>+CONCATENATE("2.",Tabla1[[#This Row],[generica]])</f>
        <v>2.3.BIENES Y SERVICIOS</v>
      </c>
      <c r="CX161" s="48" t="str">
        <f t="shared" si="29"/>
        <v>0010-OA</v>
      </c>
      <c r="CY161" s="113" t="str">
        <f t="shared" si="30"/>
        <v>0010-OA</v>
      </c>
      <c r="CZ161" s="20" t="str">
        <f t="shared" si="31"/>
        <v>0010-OA</v>
      </c>
      <c r="DA161" s="113" t="str">
        <f>+CONCATENATE(Tabla1[[#This Row],[CC COMPLETO]],Tabla1[[#This Row],[ESPECÍFICA]])</f>
        <v>0010-OA2.3.1.11.1.6</v>
      </c>
      <c r="DB161" s="49">
        <f t="shared" si="32"/>
        <v>0</v>
      </c>
      <c r="DC161" s="49">
        <f t="shared" si="33"/>
        <v>0</v>
      </c>
      <c r="DD161" s="49">
        <f t="shared" si="34"/>
        <v>0</v>
      </c>
      <c r="DE161" s="49">
        <f t="shared" si="35"/>
        <v>11</v>
      </c>
      <c r="DF161" s="49">
        <f t="shared" si="36"/>
        <v>0</v>
      </c>
      <c r="DG161" s="49">
        <f t="shared" si="37"/>
        <v>0</v>
      </c>
      <c r="DH161" s="49">
        <f t="shared" si="38"/>
        <v>11</v>
      </c>
      <c r="DI161" s="50">
        <f t="shared" si="39"/>
        <v>0</v>
      </c>
      <c r="DJ161" s="78">
        <f>+SUM(Tabla1[[#This Row],[EJECUTADO 01]:[EJECUTADO 06]])</f>
        <v>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0</v>
      </c>
      <c r="DQ161" s="76">
        <f>+Tabla1[[#This Row],[mto_devenga_07]]</f>
        <v>0</v>
      </c>
      <c r="DR161" s="76">
        <f>+Tabla1[[#This Row],[mto_devenga_08]]</f>
        <v>0</v>
      </c>
      <c r="DS161" s="76">
        <f>+Tabla1[[#This Row],[mto_devenga_09]]</f>
        <v>0</v>
      </c>
      <c r="DT161" s="76" t="str">
        <f>IFERROR(VLOOKUP(Tabla1[[#This Row],[COD SE]],PF_OCTUBRE,14,0),"0")</f>
        <v>0</v>
      </c>
      <c r="DU161" s="76" t="str">
        <f>IFERROR(VLOOKUP(Tabla1[[#This Row],[COD SE]],PF_OCTUBRE,15,0),"0")</f>
        <v>0</v>
      </c>
      <c r="DV161" s="76" t="str">
        <f>IFERROR(VLOOKUP(Tabla1[[#This Row],[COD SE]],PF_OCTUBRE,16,0),"0")</f>
        <v>0</v>
      </c>
      <c r="DW161" s="76">
        <f>+SUM(Tabla1[[#This Row],[EJECUTADO 01]:[PF DICIEMBRE
]])</f>
        <v>0</v>
      </c>
      <c r="DX161" s="76" t="str">
        <f>IFERROR(VLOOKUP(Tabla1[[#This Row],[COD SE]],PF_OCTUBRE,18,0),"0")</f>
        <v>0</v>
      </c>
      <c r="DY161" s="76" t="str">
        <f>IFERROR(VLOOKUP(Tabla1[[#This Row],[COD SE]],PF_OCTUBRE,19,0),"0")</f>
        <v>0</v>
      </c>
      <c r="DZ161" s="76" t="str">
        <f>IFERROR(VLOOKUP(Tabla1[[#This Row],[COD SE]],PF_OCTUBRE,20,0),"0")</f>
        <v>0</v>
      </c>
      <c r="EA161" s="76">
        <f>+Tabla1[[#This Row],[TOTAL EJEC REAL]]+Tabla1[[#This Row],[SALDO FINAL]]</f>
        <v>0</v>
      </c>
      <c r="EB161" s="76" t="str">
        <f>IFERROR(VLOOKUP(Tabla1[[#This Row],[COD SE]],PF_OCTUBRE,22,0),"0")</f>
        <v>0</v>
      </c>
      <c r="EC161" s="76">
        <f>+IFERROR(VLOOKUP(Tabla1[[#This Row],[COD SE]],SALDO_ESC_2,7,0),0)</f>
        <v>0</v>
      </c>
      <c r="ED161" s="76">
        <f>+IFERROR(VLOOKUP(Tabla1[[#This Row],[COD SE]],SALDO_ESC_3,7,0),0)</f>
        <v>0</v>
      </c>
      <c r="EE161" s="76">
        <f>+Tabla1[[#This Row],[mto_pim]]-Tabla1[[#This Row],[TRANSF ESC2 ]]</f>
        <v>11</v>
      </c>
      <c r="EF161" s="76">
        <f>+Tabla1[[#This Row],[mto_pim]]-Tabla1[[#This Row],[TRANFS ESC 3 ]]</f>
        <v>11</v>
      </c>
      <c r="EG161" s="76">
        <f>+IFERROR(VLOOKUP(Tabla1[[#This Row],[COD SE]],HISTORICO,4,0),0)</f>
        <v>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0</v>
      </c>
      <c r="ER161" s="58">
        <f>+SUM(Tabla1[[#This Row],[EJECUTADO 07]:[EJECUTADO 09]])</f>
        <v>0</v>
      </c>
      <c r="ES161" s="58">
        <f>+SUM(Tabla1[[#This Row],[PF OCTUBRE]:[PF DICIEMBRE
]])</f>
        <v>0</v>
      </c>
      <c r="ET161" s="58">
        <f>+SUM(Tabla1[[#This Row],[EJECUTADO 01]:[EJECUTADO 09]])</f>
        <v>0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1656</v>
      </c>
      <c r="AD162" s="369" t="s">
        <v>1657</v>
      </c>
      <c r="AE162" s="369" t="s">
        <v>1664</v>
      </c>
      <c r="AF162" s="369" t="s">
        <v>1665</v>
      </c>
      <c r="AG162" s="369" t="s">
        <v>1667</v>
      </c>
      <c r="AH162" s="369">
        <v>27000</v>
      </c>
      <c r="AI162" s="369">
        <v>-1200</v>
      </c>
      <c r="AJ162" s="369">
        <v>25800</v>
      </c>
      <c r="AK162" s="370">
        <v>24600</v>
      </c>
      <c r="AL162" s="370">
        <v>23400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11453.34</v>
      </c>
      <c r="AT162" s="370">
        <v>0</v>
      </c>
      <c r="AU162" s="370">
        <v>0</v>
      </c>
      <c r="AV162" s="370">
        <v>0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11453.34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11453.34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11453.34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1990</v>
      </c>
      <c r="CK162" s="48" t="s">
        <v>1990</v>
      </c>
      <c r="CL162" s="48" t="s">
        <v>2005</v>
      </c>
      <c r="CM162" s="48" t="s">
        <v>1990</v>
      </c>
      <c r="CN162" s="48" t="s">
        <v>1993</v>
      </c>
      <c r="CO162" s="48" t="str">
        <f t="shared" si="40"/>
        <v>2.1.1.9.1.4</v>
      </c>
      <c r="CP162" s="48" t="str">
        <f>+VLOOKUP(Tabla1[[#This Row],[ESPECÍFICA]],CLASIFICADOR_,2,0)</f>
        <v>2.1.1.9.1.4 - AGUINALDOS DE CONTRATO ADMINISTRATIVO DE SERVICIOS</v>
      </c>
      <c r="CQ162" s="48" t="str">
        <f>+VLOOKUP(Tabla1[[#This Row],[ESPECÍFICA]],CLASIFICADOR_,3,0)</f>
        <v>01.CAS</v>
      </c>
      <c r="CR162" s="48" t="str">
        <f>+VLOOKUP(Tabla1[[#This Row],[ESPECÍFICA]],CLASIFICADOR_,4,0)</f>
        <v xml:space="preserve"> </v>
      </c>
      <c r="CS162" s="48">
        <f>+VLOOKUP(Tabla1[[#This Row],[ESPECÍFICA]],CLASIFICADOR_,5,0)</f>
        <v>0</v>
      </c>
      <c r="CT162" s="113" t="str">
        <f>+VLOOKUP(Tabla1[[#This Row],[ESPECÍFICA]],CLASIFICADOR_,6,0)</f>
        <v>N/R</v>
      </c>
      <c r="CU162" s="48" t="str">
        <f>+VLOOKUP(Tabla1[[#This Row],[ESPECÍFICA]],CLASIFICADOR_,7,0)</f>
        <v>N/R</v>
      </c>
      <c r="CV162" s="48">
        <f>+VLOOKUP(Tabla1[[#This Row],[ESPECÍFICA]],CLASIFICADOR_,8,0)</f>
        <v>0</v>
      </c>
      <c r="CW162" s="113" t="str">
        <f>+CONCATENATE("2.",Tabla1[[#This Row],[generica]])</f>
        <v>2.1.PERSONAL Y OBLIGACIONES SOCIALES</v>
      </c>
      <c r="CX162" s="48" t="str">
        <f t="shared" si="29"/>
        <v>0010-OA</v>
      </c>
      <c r="CY162" s="113" t="str">
        <f t="shared" si="30"/>
        <v>0010-OA</v>
      </c>
      <c r="CZ162" s="20" t="str">
        <f t="shared" si="31"/>
        <v>0010-OA</v>
      </c>
      <c r="DA162" s="113" t="str">
        <f>+CONCATENATE(Tabla1[[#This Row],[CC COMPLETO]],Tabla1[[#This Row],[ESPECÍFICA]])</f>
        <v>0010-OA2.1.1.9.1.4</v>
      </c>
      <c r="DB162" s="49">
        <f t="shared" si="32"/>
        <v>11453.34</v>
      </c>
      <c r="DC162" s="49">
        <f t="shared" si="33"/>
        <v>11453.34</v>
      </c>
      <c r="DD162" s="49">
        <f t="shared" si="34"/>
        <v>11453.34</v>
      </c>
      <c r="DE162" s="49">
        <f t="shared" si="35"/>
        <v>1200</v>
      </c>
      <c r="DF162" s="49">
        <f t="shared" si="36"/>
        <v>1200</v>
      </c>
      <c r="DG162" s="49">
        <f t="shared" si="37"/>
        <v>11946.66</v>
      </c>
      <c r="DH162" s="49">
        <f t="shared" si="38"/>
        <v>14346.66</v>
      </c>
      <c r="DI162" s="50">
        <f t="shared" si="39"/>
        <v>0.42419777777777778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11453.34</v>
      </c>
      <c r="DR162" s="76">
        <f>+Tabla1[[#This Row],[mto_devenga_08]]</f>
        <v>0</v>
      </c>
      <c r="DS162" s="76">
        <f>+Tabla1[[#This Row],[mto_devenga_09]]</f>
        <v>0</v>
      </c>
      <c r="DT162" s="76">
        <f>IFERROR(VLOOKUP(Tabla1[[#This Row],[COD SE]],PF_OCTUBRE,14,0),"0")</f>
        <v>0</v>
      </c>
      <c r="DU162" s="76">
        <f>IFERROR(VLOOKUP(Tabla1[[#This Row],[COD SE]],PF_OCTUBRE,15,0),"0")</f>
        <v>0</v>
      </c>
      <c r="DV162" s="76">
        <f>IFERROR(VLOOKUP(Tabla1[[#This Row],[COD SE]],PF_OCTUBRE,16,0),"0")</f>
        <v>12900</v>
      </c>
      <c r="DW162" s="76">
        <f>+SUM(Tabla1[[#This Row],[EJECUTADO 01]:[PF DICIEMBRE
]])</f>
        <v>24353.34</v>
      </c>
      <c r="DX162" s="76">
        <f>IFERROR(VLOOKUP(Tabla1[[#This Row],[COD SE]],PF_OCTUBRE,18,0),"0")</f>
        <v>0</v>
      </c>
      <c r="DY162" s="76">
        <f>IFERROR(VLOOKUP(Tabla1[[#This Row],[COD SE]],PF_OCTUBRE,19,0),"0")</f>
        <v>1446.6599999999999</v>
      </c>
      <c r="DZ162" s="76">
        <f>IFERROR(VLOOKUP(Tabla1[[#This Row],[COD SE]],PF_OCTUBRE,20,0),"0")</f>
        <v>1446.6599999999999</v>
      </c>
      <c r="EA162" s="76">
        <f>+Tabla1[[#This Row],[TOTAL EJEC REAL]]+Tabla1[[#This Row],[SALDO FINAL]]</f>
        <v>25800</v>
      </c>
      <c r="EB162" s="76">
        <f>IFERROR(VLOOKUP(Tabla1[[#This Row],[COD SE]],PF_OCTUBRE,22,0),"0")</f>
        <v>14346.66</v>
      </c>
      <c r="EC162" s="76">
        <f>+IFERROR(VLOOKUP(Tabla1[[#This Row],[COD SE]],SALDO_ESC_2,7,0),0)</f>
        <v>0</v>
      </c>
      <c r="ED162" s="76">
        <f>+IFERROR(VLOOKUP(Tabla1[[#This Row],[COD SE]],SALDO_ESC_3,7,0),0)</f>
        <v>1446.6599999999999</v>
      </c>
      <c r="EE162" s="76">
        <f>+Tabla1[[#This Row],[mto_pim]]-Tabla1[[#This Row],[TRANSF ESC2 ]]</f>
        <v>25800</v>
      </c>
      <c r="EF162" s="76">
        <f>+Tabla1[[#This Row],[mto_pim]]-Tabla1[[#This Row],[TRANFS ESC 3 ]]</f>
        <v>24353.34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0</v>
      </c>
      <c r="EJ162" s="76">
        <f>+IFERROR(VLOOKUP(Tabla1[[#This Row],[COD SE]],HISTORICO,7,0),0)</f>
        <v>0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11700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11453.34</v>
      </c>
      <c r="ES162" s="58">
        <f>+SUM(Tabla1[[#This Row],[PF OCTUBRE]:[PF DICIEMBRE
]])</f>
        <v>12900</v>
      </c>
      <c r="ET162" s="58">
        <f>+SUM(Tabla1[[#This Row],[EJECUTADO 01]:[EJECUTADO 09]])</f>
        <v>11453.34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1672</v>
      </c>
      <c r="AD163" s="369" t="s">
        <v>1673</v>
      </c>
      <c r="AE163" s="369" t="s">
        <v>1736</v>
      </c>
      <c r="AF163" s="369" t="s">
        <v>1783</v>
      </c>
      <c r="AG163" s="369" t="s">
        <v>1784</v>
      </c>
      <c r="AH163" s="369">
        <v>15000</v>
      </c>
      <c r="AI163" s="369">
        <v>-15000</v>
      </c>
      <c r="AJ163" s="369">
        <v>0</v>
      </c>
      <c r="AK163" s="370">
        <v>0</v>
      </c>
      <c r="AL163" s="370">
        <v>0</v>
      </c>
      <c r="AM163" s="370">
        <v>0</v>
      </c>
      <c r="AN163" s="370">
        <v>0</v>
      </c>
      <c r="AO163" s="370">
        <v>0</v>
      </c>
      <c r="AP163" s="370">
        <v>0</v>
      </c>
      <c r="AQ163" s="370">
        <v>0</v>
      </c>
      <c r="AR163" s="370">
        <v>0</v>
      </c>
      <c r="AS163" s="370">
        <v>0</v>
      </c>
      <c r="AT163" s="370">
        <v>0</v>
      </c>
      <c r="AU163" s="370">
        <v>0</v>
      </c>
      <c r="AV163" s="370">
        <v>0</v>
      </c>
      <c r="AW163" s="370">
        <v>0</v>
      </c>
      <c r="AX163" s="370">
        <v>0</v>
      </c>
      <c r="AY163" s="370">
        <v>0</v>
      </c>
      <c r="AZ163" s="370">
        <v>0</v>
      </c>
      <c r="BA163" s="370">
        <v>0</v>
      </c>
      <c r="BB163" s="370">
        <v>0</v>
      </c>
      <c r="BC163" s="370">
        <v>0</v>
      </c>
      <c r="BD163" s="370">
        <v>0</v>
      </c>
      <c r="BE163" s="370">
        <v>0</v>
      </c>
      <c r="BF163" s="370">
        <v>0</v>
      </c>
      <c r="BG163" s="370">
        <v>0</v>
      </c>
      <c r="BH163" s="370">
        <v>0</v>
      </c>
      <c r="BI163" s="370">
        <v>0</v>
      </c>
      <c r="BJ163" s="370">
        <v>0</v>
      </c>
      <c r="BK163" s="370">
        <v>0</v>
      </c>
      <c r="BL163" s="370">
        <v>0</v>
      </c>
      <c r="BM163" s="370">
        <v>0</v>
      </c>
      <c r="BN163" s="370">
        <v>0</v>
      </c>
      <c r="BO163" s="370">
        <v>0</v>
      </c>
      <c r="BP163" s="370">
        <v>0</v>
      </c>
      <c r="BQ163" s="370">
        <v>0</v>
      </c>
      <c r="BR163" s="370">
        <v>0</v>
      </c>
      <c r="BS163" s="370">
        <v>0</v>
      </c>
      <c r="BT163" s="370">
        <v>0</v>
      </c>
      <c r="BU163" s="370">
        <v>0</v>
      </c>
      <c r="BV163" s="370">
        <v>0</v>
      </c>
      <c r="BW163" s="370">
        <v>0</v>
      </c>
      <c r="BX163" s="370">
        <v>0</v>
      </c>
      <c r="BY163" s="370">
        <v>0</v>
      </c>
      <c r="BZ163" s="370">
        <v>0</v>
      </c>
      <c r="CA163" s="370">
        <v>0</v>
      </c>
      <c r="CB163" s="370">
        <v>0</v>
      </c>
      <c r="CC163" s="370">
        <v>0</v>
      </c>
      <c r="CD163" s="370">
        <v>0</v>
      </c>
      <c r="CE163" s="370">
        <v>0</v>
      </c>
      <c r="CF163" s="370">
        <v>0</v>
      </c>
      <c r="CG163" s="370">
        <v>0</v>
      </c>
      <c r="CH163" s="370">
        <v>0</v>
      </c>
      <c r="CI163" s="48" t="s">
        <v>1987</v>
      </c>
      <c r="CJ163" s="48" t="s">
        <v>1991</v>
      </c>
      <c r="CK163" s="48" t="s">
        <v>1987</v>
      </c>
      <c r="CL163" s="48" t="s">
        <v>1993</v>
      </c>
      <c r="CM163" s="48" t="s">
        <v>1988</v>
      </c>
      <c r="CN163" s="48" t="s">
        <v>1990</v>
      </c>
      <c r="CO163" s="48" t="str">
        <f t="shared" si="40"/>
        <v>2.3.2.4.6.1</v>
      </c>
      <c r="CP163" s="48" t="str">
        <f>+VLOOKUP(Tabla1[[#This Row],[ESPECÍFICA]],CLASIFICADOR_,2,0)</f>
        <v>2.3.2.4.6.1 - DE MOBILIARIO Y SIMILARES</v>
      </c>
      <c r="CQ163" s="48" t="str">
        <f>+VLOOKUP(Tabla1[[#This Row],[ESPECÍFICA]],CLASIFICADOR_,3,0)</f>
        <v>2.3.2.4 - SERVICIO DE MANTENIMIENTO, ACONDICIONAMIENTO Y  REPARACIONES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Partidas restringidas</v>
      </c>
      <c r="CU163" s="48" t="str">
        <f>+VLOOKUP(Tabla1[[#This Row],[ESPECÍFICA]],CLASIFICADOR_,7,0)</f>
        <v>9.6 Hasta el 1er Semestre</v>
      </c>
      <c r="CV163" s="48">
        <f>+VLOOKUP(Tabla1[[#This Row],[ESPECÍFICA]],CLASIFICADOR_,8,0)</f>
        <v>3</v>
      </c>
      <c r="CW163" s="113" t="str">
        <f>+CONCATENATE("2.",Tabla1[[#This Row],[generica]])</f>
        <v>2.3.BIENES Y SERVICIOS</v>
      </c>
      <c r="CX163" s="113" t="str">
        <f t="shared" si="29"/>
        <v>0010-OA</v>
      </c>
      <c r="CY163" s="113" t="str">
        <f t="shared" si="30"/>
        <v>0010-OA</v>
      </c>
      <c r="CZ163" s="20" t="str">
        <f t="shared" si="31"/>
        <v>0010-OA</v>
      </c>
      <c r="DA163" s="113" t="str">
        <f>+CONCATENATE(Tabla1[[#This Row],[CC COMPLETO]],Tabla1[[#This Row],[ESPECÍFICA]])</f>
        <v>0010-OA2.3.2.4.6.1</v>
      </c>
      <c r="DB163" s="49">
        <f t="shared" si="32"/>
        <v>0</v>
      </c>
      <c r="DC163" s="49">
        <f t="shared" si="33"/>
        <v>0</v>
      </c>
      <c r="DD163" s="49">
        <f t="shared" si="34"/>
        <v>0</v>
      </c>
      <c r="DE163" s="49">
        <f t="shared" si="35"/>
        <v>0</v>
      </c>
      <c r="DF163" s="49">
        <f t="shared" si="36"/>
        <v>0</v>
      </c>
      <c r="DG163" s="49">
        <f t="shared" si="37"/>
        <v>0</v>
      </c>
      <c r="DH163" s="49">
        <f t="shared" si="38"/>
        <v>0</v>
      </c>
      <c r="DI163" s="50">
        <f t="shared" si="39"/>
        <v>0</v>
      </c>
      <c r="DJ163" s="78">
        <f>+SUM(Tabla1[[#This Row],[EJECUTADO 01]:[EJECUTADO 06]])</f>
        <v>0</v>
      </c>
      <c r="DK163" s="78">
        <f>+Tabla1[[#This Row],[mto_devenga_01]]</f>
        <v>0</v>
      </c>
      <c r="DL163" s="78">
        <f>+Tabla1[[#This Row],[mto_devenga_02]]</f>
        <v>0</v>
      </c>
      <c r="DM163" s="78">
        <f>+Tabla1[[#This Row],[mto_devenga_03]]</f>
        <v>0</v>
      </c>
      <c r="DN163" s="78">
        <f>+Tabla1[[#This Row],[mto_devenga_04]]</f>
        <v>0</v>
      </c>
      <c r="DO163" s="78">
        <f>+Tabla1[[#This Row],[mto_devenga_05]]</f>
        <v>0</v>
      </c>
      <c r="DP163" s="76">
        <f>+Tabla1[[#This Row],[mto_devenga_06]]</f>
        <v>0</v>
      </c>
      <c r="DQ163" s="76">
        <f>+Tabla1[[#This Row],[mto_devenga_07]]</f>
        <v>0</v>
      </c>
      <c r="DR163" s="76">
        <f>+Tabla1[[#This Row],[mto_devenga_08]]</f>
        <v>0</v>
      </c>
      <c r="DS163" s="76">
        <f>+Tabla1[[#This Row],[mto_devenga_09]]</f>
        <v>0</v>
      </c>
      <c r="DT163" s="76">
        <f>IFERROR(VLOOKUP(Tabla1[[#This Row],[COD SE]],PF_OCTUBRE,14,0),"0")</f>
        <v>0</v>
      </c>
      <c r="DU163" s="76">
        <f>IFERROR(VLOOKUP(Tabla1[[#This Row],[COD SE]],PF_OCTUBRE,15,0),"0")</f>
        <v>6246</v>
      </c>
      <c r="DV163" s="76">
        <f>IFERROR(VLOOKUP(Tabla1[[#This Row],[COD SE]],PF_OCTUBRE,16,0),"0")</f>
        <v>0</v>
      </c>
      <c r="DW163" s="76">
        <f>+SUM(Tabla1[[#This Row],[EJECUTADO 01]:[PF DICIEMBRE
]])</f>
        <v>6246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6246</v>
      </c>
      <c r="EB163" s="76">
        <f>IFERROR(VLOOKUP(Tabla1[[#This Row],[COD SE]],PF_OCTUBRE,22,0),"0")</f>
        <v>0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0</v>
      </c>
      <c r="EF163" s="76">
        <f>+Tabla1[[#This Row],[mto_pim]]-Tabla1[[#This Row],[TRANFS ESC 3 ]]</f>
        <v>0</v>
      </c>
      <c r="EG163" s="76">
        <f>+IFERROR(VLOOKUP(Tabla1[[#This Row],[COD SE]],HISTORICO,4,0),0)</f>
        <v>0</v>
      </c>
      <c r="EH163" s="76">
        <f>+IFERROR(VLOOKUP(Tabla1[[#This Row],[COD SE]],HISTORICO,5,0),0)</f>
        <v>0</v>
      </c>
      <c r="EI163" s="76">
        <f>+IFERROR(VLOOKUP(Tabla1[[#This Row],[COD SE]],HISTORICO,6,0),0)</f>
        <v>5000</v>
      </c>
      <c r="EJ163" s="76">
        <f>+IFERROR(VLOOKUP(Tabla1[[#This Row],[COD SE]],HISTORICO,7,0),0)</f>
        <v>0</v>
      </c>
      <c r="EK163" s="76">
        <f>+IFERROR(VLOOKUP(Tabla1[[#This Row],[COD SE]],HISTORICO,8,0),0)</f>
        <v>0</v>
      </c>
      <c r="EL163" s="76">
        <f>+IFERROR(VLOOKUP(Tabla1[[#This Row],[COD SE]],HISTORICO,9,0),0)</f>
        <v>0</v>
      </c>
      <c r="EM163" s="76">
        <f>+IFERROR(VLOOKUP(Tabla1[[#This Row],[COD SE]],HISTORICO,10,0),0)</f>
        <v>0</v>
      </c>
      <c r="EN163" s="76">
        <f>+IFERROR(VLOOKUP(Tabla1[[#This Row],[COD SE]],HISTORICO,11,0),0)</f>
        <v>0</v>
      </c>
      <c r="EO163" s="76">
        <f>+IFERROR(VLOOKUP(Tabla1[[#This Row],[COD SE]],HISTORICO,12,0),0)</f>
        <v>0</v>
      </c>
      <c r="EP163" s="58">
        <f>+SUM(Tabla1[[#This Row],[EJECUTADO 01]:[EJECUTADO 03]])</f>
        <v>0</v>
      </c>
      <c r="EQ163" s="58">
        <f>+SUM(Tabla1[[#This Row],[EJECUTADO 04]:[EJECUTADO 06]])</f>
        <v>0</v>
      </c>
      <c r="ER163" s="58">
        <f>+SUM(Tabla1[[#This Row],[EJECUTADO 07]:[EJECUTADO 09]])</f>
        <v>0</v>
      </c>
      <c r="ES163" s="58">
        <f>+SUM(Tabla1[[#This Row],[PF OCTUBRE]:[PF DICIEMBRE
]])</f>
        <v>6246</v>
      </c>
      <c r="ET163" s="58">
        <f>+SUM(Tabla1[[#This Row],[EJECUTADO 01]:[EJECUTADO 09]])</f>
        <v>0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1672</v>
      </c>
      <c r="AD164" s="369" t="s">
        <v>1673</v>
      </c>
      <c r="AE164" s="369" t="s">
        <v>1786</v>
      </c>
      <c r="AF164" s="369" t="s">
        <v>1789</v>
      </c>
      <c r="AG164" s="369" t="s">
        <v>1790</v>
      </c>
      <c r="AH164" s="369">
        <v>86000</v>
      </c>
      <c r="AI164" s="369">
        <v>-47140</v>
      </c>
      <c r="AJ164" s="369">
        <v>38860</v>
      </c>
      <c r="AK164" s="370">
        <v>38860</v>
      </c>
      <c r="AL164" s="370">
        <v>38860</v>
      </c>
      <c r="AM164" s="370">
        <v>200</v>
      </c>
      <c r="AN164" s="370">
        <v>36460</v>
      </c>
      <c r="AO164" s="370">
        <v>192.69</v>
      </c>
      <c r="AP164" s="370">
        <v>516.29999999999995</v>
      </c>
      <c r="AQ164" s="370">
        <v>173</v>
      </c>
      <c r="AR164" s="370">
        <v>178.9</v>
      </c>
      <c r="AS164" s="370">
        <v>146.94999999999999</v>
      </c>
      <c r="AT164" s="370">
        <v>139.9</v>
      </c>
      <c r="AU164" s="370">
        <v>112.95</v>
      </c>
      <c r="AV164" s="370">
        <v>115.65</v>
      </c>
      <c r="AW164" s="370">
        <v>0</v>
      </c>
      <c r="AX164" s="370">
        <v>0</v>
      </c>
      <c r="AY164" s="370">
        <v>200</v>
      </c>
      <c r="AZ164" s="370">
        <v>3640.3</v>
      </c>
      <c r="BA164" s="370">
        <v>994.94</v>
      </c>
      <c r="BB164" s="370">
        <v>8410.82</v>
      </c>
      <c r="BC164" s="370">
        <v>720.75</v>
      </c>
      <c r="BD164" s="370">
        <v>2163.25</v>
      </c>
      <c r="BE164" s="370">
        <v>725.8</v>
      </c>
      <c r="BF164" s="370">
        <v>1152.8</v>
      </c>
      <c r="BG164" s="370">
        <v>985.55</v>
      </c>
      <c r="BH164" s="370">
        <v>4546.1000000000004</v>
      </c>
      <c r="BI164" s="370">
        <v>0</v>
      </c>
      <c r="BJ164" s="370">
        <v>0</v>
      </c>
      <c r="BK164" s="370">
        <v>200</v>
      </c>
      <c r="BL164" s="370">
        <v>3640.3</v>
      </c>
      <c r="BM164" s="370">
        <v>994.94</v>
      </c>
      <c r="BN164" s="370">
        <v>8410.82</v>
      </c>
      <c r="BO164" s="370">
        <v>720.75</v>
      </c>
      <c r="BP164" s="370">
        <v>2163.25</v>
      </c>
      <c r="BQ164" s="370">
        <v>725.8</v>
      </c>
      <c r="BR164" s="370">
        <v>1152.8</v>
      </c>
      <c r="BS164" s="370">
        <v>985.55</v>
      </c>
      <c r="BT164" s="370">
        <v>4546.1000000000004</v>
      </c>
      <c r="BU164" s="370">
        <v>0</v>
      </c>
      <c r="BV164" s="370">
        <v>0</v>
      </c>
      <c r="BW164" s="370">
        <v>200</v>
      </c>
      <c r="BX164" s="370">
        <v>21763.97</v>
      </c>
      <c r="BY164" s="370">
        <v>192.69</v>
      </c>
      <c r="BZ164" s="370">
        <v>516.29999999999995</v>
      </c>
      <c r="CA164" s="370">
        <v>173</v>
      </c>
      <c r="CB164" s="370">
        <v>178.9</v>
      </c>
      <c r="CC164" s="370">
        <v>146.94999999999999</v>
      </c>
      <c r="CD164" s="370">
        <v>139.9</v>
      </c>
      <c r="CE164" s="370">
        <v>112.95</v>
      </c>
      <c r="CF164" s="370">
        <v>115.65</v>
      </c>
      <c r="CG164" s="370">
        <v>0</v>
      </c>
      <c r="CH164" s="370">
        <v>0</v>
      </c>
      <c r="CI164" s="48" t="s">
        <v>1987</v>
      </c>
      <c r="CJ164" s="48" t="s">
        <v>1991</v>
      </c>
      <c r="CK164" s="48" t="s">
        <v>1987</v>
      </c>
      <c r="CL164" s="48" t="s">
        <v>1988</v>
      </c>
      <c r="CM164" s="48" t="s">
        <v>1987</v>
      </c>
      <c r="CN164" s="48" t="s">
        <v>1990</v>
      </c>
      <c r="CO164" s="48" t="str">
        <f t="shared" si="40"/>
        <v>2.3.2.6.2.1</v>
      </c>
      <c r="CP164" s="48" t="str">
        <f>+VLOOKUP(Tabla1[[#This Row],[ESPECÍFICA]],CLASIFICADOR_,2,0)</f>
        <v>2.3.2.6.2.1 - CARGOS BANCARIOS</v>
      </c>
      <c r="CQ164" s="48" t="str">
        <f>+VLOOKUP(Tabla1[[#This Row],[ESPECÍFICA]],CLASIFICADOR_,3,0)</f>
        <v>2.3.2.6 - SERVICIOS ADMINISTRATIVOS, FINANCIEROS Y DE SEGUROS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2.3.BIENES Y SERVICIOS</v>
      </c>
      <c r="CX164" s="48" t="str">
        <f t="shared" si="29"/>
        <v>0010-OA</v>
      </c>
      <c r="CY164" s="113" t="str">
        <f t="shared" si="30"/>
        <v>0010-OA</v>
      </c>
      <c r="CZ164" s="20" t="str">
        <f t="shared" si="31"/>
        <v>0010-OA</v>
      </c>
      <c r="DA164" s="113" t="str">
        <f>+CONCATENATE(Tabla1[[#This Row],[CC COMPLETO]],Tabla1[[#This Row],[ESPECÍFICA]])</f>
        <v>0010-OA2.3.2.6.2.1</v>
      </c>
      <c r="DB164" s="49">
        <f t="shared" si="32"/>
        <v>38236.340000000004</v>
      </c>
      <c r="DC164" s="49">
        <f t="shared" si="33"/>
        <v>23540.309999999998</v>
      </c>
      <c r="DD164" s="49">
        <f t="shared" si="34"/>
        <v>23540.309999999998</v>
      </c>
      <c r="DE164" s="49">
        <f t="shared" si="35"/>
        <v>0</v>
      </c>
      <c r="DF164" s="49">
        <f t="shared" si="36"/>
        <v>0</v>
      </c>
      <c r="DG164" s="49">
        <f t="shared" si="37"/>
        <v>15319.690000000002</v>
      </c>
      <c r="DH164" s="49">
        <f t="shared" si="38"/>
        <v>15319.690000000002</v>
      </c>
      <c r="DI164" s="50">
        <f t="shared" si="39"/>
        <v>0.27372453488372089</v>
      </c>
      <c r="DJ164" s="78">
        <f>+SUM(Tabla1[[#This Row],[EJECUTADO 01]:[EJECUTADO 06]])</f>
        <v>16130.06</v>
      </c>
      <c r="DK164" s="78">
        <f>+Tabla1[[#This Row],[mto_devenga_01]]</f>
        <v>200</v>
      </c>
      <c r="DL164" s="78">
        <f>+Tabla1[[#This Row],[mto_devenga_02]]</f>
        <v>3640.3</v>
      </c>
      <c r="DM164" s="78">
        <f>+Tabla1[[#This Row],[mto_devenga_03]]</f>
        <v>994.94</v>
      </c>
      <c r="DN164" s="78">
        <f>+Tabla1[[#This Row],[mto_devenga_04]]</f>
        <v>8410.82</v>
      </c>
      <c r="DO164" s="78">
        <f>+Tabla1[[#This Row],[mto_devenga_05]]</f>
        <v>720.75</v>
      </c>
      <c r="DP164" s="76">
        <f>+Tabla1[[#This Row],[mto_devenga_06]]</f>
        <v>2163.25</v>
      </c>
      <c r="DQ164" s="76">
        <f>+Tabla1[[#This Row],[mto_devenga_07]]</f>
        <v>725.8</v>
      </c>
      <c r="DR164" s="76">
        <f>+Tabla1[[#This Row],[mto_devenga_08]]</f>
        <v>1152.8</v>
      </c>
      <c r="DS164" s="76">
        <f>+Tabla1[[#This Row],[mto_devenga_09]]</f>
        <v>985.55</v>
      </c>
      <c r="DT164" s="76">
        <f>IFERROR(VLOOKUP(Tabla1[[#This Row],[COD SE]],PF_OCTUBRE,14,0),"0")</f>
        <v>5190</v>
      </c>
      <c r="DU164" s="76">
        <f>IFERROR(VLOOKUP(Tabla1[[#This Row],[COD SE]],PF_OCTUBRE,15,0),"0")</f>
        <v>5474</v>
      </c>
      <c r="DV164" s="76">
        <f>IFERROR(VLOOKUP(Tabla1[[#This Row],[COD SE]],PF_OCTUBRE,16,0),"0")</f>
        <v>15525.789999999999</v>
      </c>
      <c r="DW164" s="76">
        <f>+SUM(Tabla1[[#This Row],[EJECUTADO 01]:[PF DICIEMBRE
]])</f>
        <v>45184</v>
      </c>
      <c r="DX164" s="76">
        <f>IFERROR(VLOOKUP(Tabla1[[#This Row],[COD SE]],PF_OCTUBRE,18,0),"0")</f>
        <v>0</v>
      </c>
      <c r="DY164" s="76">
        <f>IFERROR(VLOOKUP(Tabla1[[#This Row],[COD SE]],PF_OCTUBRE,19,0),"0")</f>
        <v>0</v>
      </c>
      <c r="DZ164" s="76">
        <f>IFERROR(VLOOKUP(Tabla1[[#This Row],[COD SE]],PF_OCTUBRE,20,0),"0")</f>
        <v>0</v>
      </c>
      <c r="EA164" s="76">
        <f>+Tabla1[[#This Row],[TOTAL EJEC REAL]]+Tabla1[[#This Row],[SALDO FINAL]]</f>
        <v>45184</v>
      </c>
      <c r="EB164" s="76">
        <f>IFERROR(VLOOKUP(Tabla1[[#This Row],[COD SE]],PF_OCTUBRE,22,0),"0")</f>
        <v>15525.789999999999</v>
      </c>
      <c r="EC164" s="76">
        <f>+IFERROR(VLOOKUP(Tabla1[[#This Row],[COD SE]],SALDO_ESC_2,7,0),0)</f>
        <v>0</v>
      </c>
      <c r="ED164" s="76">
        <f>+IFERROR(VLOOKUP(Tabla1[[#This Row],[COD SE]],SALDO_ESC_3,7,0),0)</f>
        <v>0</v>
      </c>
      <c r="EE164" s="76">
        <f>+Tabla1[[#This Row],[mto_pim]]-Tabla1[[#This Row],[TRANSF ESC2 ]]</f>
        <v>38860</v>
      </c>
      <c r="EF164" s="76">
        <f>+Tabla1[[#This Row],[mto_pim]]-Tabla1[[#This Row],[TRANFS ESC 3 ]]</f>
        <v>38860</v>
      </c>
      <c r="EG164" s="76">
        <f>+IFERROR(VLOOKUP(Tabla1[[#This Row],[COD SE]],HISTORICO,4,0),0)</f>
        <v>0</v>
      </c>
      <c r="EH164" s="76">
        <f>+IFERROR(VLOOKUP(Tabla1[[#This Row],[COD SE]],HISTORICO,5,0),0)</f>
        <v>7409</v>
      </c>
      <c r="EI164" s="76">
        <f>+IFERROR(VLOOKUP(Tabla1[[#This Row],[COD SE]],HISTORICO,6,0),0)</f>
        <v>4500</v>
      </c>
      <c r="EJ164" s="76">
        <f>+IFERROR(VLOOKUP(Tabla1[[#This Row],[COD SE]],HISTORICO,7,0),0)</f>
        <v>8907.19</v>
      </c>
      <c r="EK164" s="76">
        <f>+IFERROR(VLOOKUP(Tabla1[[#This Row],[COD SE]],HISTORICO,8,0),0)</f>
        <v>5351.64</v>
      </c>
      <c r="EL164" s="76">
        <f>+IFERROR(VLOOKUP(Tabla1[[#This Row],[COD SE]],HISTORICO,9,0),0)</f>
        <v>5351.64</v>
      </c>
      <c r="EM164" s="76">
        <f>+IFERROR(VLOOKUP(Tabla1[[#This Row],[COD SE]],HISTORICO,10,0),0)</f>
        <v>4200.8</v>
      </c>
      <c r="EN164" s="76">
        <f>+IFERROR(VLOOKUP(Tabla1[[#This Row],[COD SE]],HISTORICO,11,0),0)</f>
        <v>1012.9</v>
      </c>
      <c r="EO164" s="76">
        <f>+IFERROR(VLOOKUP(Tabla1[[#This Row],[COD SE]],HISTORICO,12,0),0)</f>
        <v>7004</v>
      </c>
      <c r="EP164" s="58">
        <f>+SUM(Tabla1[[#This Row],[EJECUTADO 01]:[EJECUTADO 03]])</f>
        <v>4835.24</v>
      </c>
      <c r="EQ164" s="58">
        <f>+SUM(Tabla1[[#This Row],[EJECUTADO 04]:[EJECUTADO 06]])</f>
        <v>11294.82</v>
      </c>
      <c r="ER164" s="58">
        <f>+SUM(Tabla1[[#This Row],[EJECUTADO 07]:[EJECUTADO 09]])</f>
        <v>2864.1499999999996</v>
      </c>
      <c r="ES164" s="58">
        <f>+SUM(Tabla1[[#This Row],[PF OCTUBRE]:[PF DICIEMBRE
]])</f>
        <v>26189.79</v>
      </c>
      <c r="ET164" s="58">
        <f>+SUM(Tabla1[[#This Row],[EJECUTADO 01]:[EJECUTADO 09]])</f>
        <v>18994.21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1801</v>
      </c>
      <c r="AD165" s="369" t="s">
        <v>1802</v>
      </c>
      <c r="AE165" s="369" t="s">
        <v>1803</v>
      </c>
      <c r="AF165" s="369" t="s">
        <v>1804</v>
      </c>
      <c r="AG165" s="369" t="s">
        <v>1805</v>
      </c>
      <c r="AH165" s="369">
        <v>88315</v>
      </c>
      <c r="AI165" s="369">
        <v>1554</v>
      </c>
      <c r="AJ165" s="369">
        <v>89869</v>
      </c>
      <c r="AK165" s="370">
        <v>89869</v>
      </c>
      <c r="AL165" s="370">
        <v>89869</v>
      </c>
      <c r="AM165" s="370">
        <v>0</v>
      </c>
      <c r="AN165" s="370">
        <v>0</v>
      </c>
      <c r="AO165" s="370">
        <v>0</v>
      </c>
      <c r="AP165" s="370">
        <v>0</v>
      </c>
      <c r="AQ165" s="370">
        <v>0</v>
      </c>
      <c r="AR165" s="370">
        <v>89869</v>
      </c>
      <c r="AS165" s="370">
        <v>0</v>
      </c>
      <c r="AT165" s="370">
        <v>0</v>
      </c>
      <c r="AU165" s="370">
        <v>0</v>
      </c>
      <c r="AV165" s="370">
        <v>0</v>
      </c>
      <c r="AW165" s="370">
        <v>0</v>
      </c>
      <c r="AX165" s="370">
        <v>0</v>
      </c>
      <c r="AY165" s="370">
        <v>0</v>
      </c>
      <c r="AZ165" s="370">
        <v>0</v>
      </c>
      <c r="BA165" s="370">
        <v>0</v>
      </c>
      <c r="BB165" s="370">
        <v>0</v>
      </c>
      <c r="BC165" s="370">
        <v>0</v>
      </c>
      <c r="BD165" s="370">
        <v>89869</v>
      </c>
      <c r="BE165" s="370">
        <v>0</v>
      </c>
      <c r="BF165" s="370">
        <v>0</v>
      </c>
      <c r="BG165" s="370">
        <v>0</v>
      </c>
      <c r="BH165" s="370">
        <v>0</v>
      </c>
      <c r="BI165" s="370">
        <v>0</v>
      </c>
      <c r="BJ165" s="370">
        <v>0</v>
      </c>
      <c r="BK165" s="370">
        <v>0</v>
      </c>
      <c r="BL165" s="370">
        <v>0</v>
      </c>
      <c r="BM165" s="370">
        <v>0</v>
      </c>
      <c r="BN165" s="370">
        <v>0</v>
      </c>
      <c r="BO165" s="370">
        <v>0</v>
      </c>
      <c r="BP165" s="370">
        <v>89869</v>
      </c>
      <c r="BQ165" s="370">
        <v>0</v>
      </c>
      <c r="BR165" s="370">
        <v>0</v>
      </c>
      <c r="BS165" s="370">
        <v>0</v>
      </c>
      <c r="BT165" s="370">
        <v>0</v>
      </c>
      <c r="BU165" s="370">
        <v>0</v>
      </c>
      <c r="BV165" s="370">
        <v>0</v>
      </c>
      <c r="BW165" s="370">
        <v>0</v>
      </c>
      <c r="BX165" s="370">
        <v>0</v>
      </c>
      <c r="BY165" s="370">
        <v>0</v>
      </c>
      <c r="BZ165" s="370">
        <v>0</v>
      </c>
      <c r="CA165" s="370">
        <v>0</v>
      </c>
      <c r="CB165" s="370">
        <v>89869</v>
      </c>
      <c r="CC165" s="370">
        <v>0</v>
      </c>
      <c r="CD165" s="370">
        <v>0</v>
      </c>
      <c r="CE165" s="370">
        <v>0</v>
      </c>
      <c r="CF165" s="370">
        <v>0</v>
      </c>
      <c r="CG165" s="370">
        <v>0</v>
      </c>
      <c r="CH165" s="370">
        <v>0</v>
      </c>
      <c r="CI165" s="48" t="s">
        <v>1987</v>
      </c>
      <c r="CJ165" s="48" t="s">
        <v>1993</v>
      </c>
      <c r="CK165" s="48" t="s">
        <v>1990</v>
      </c>
      <c r="CL165" s="48" t="s">
        <v>1991</v>
      </c>
      <c r="CM165" s="48" t="s">
        <v>1990</v>
      </c>
      <c r="CN165" s="48" t="s">
        <v>1990</v>
      </c>
      <c r="CO165" s="48" t="str">
        <f t="shared" si="40"/>
        <v>2.4.1.3.1.1</v>
      </c>
      <c r="CP165" s="48" t="str">
        <f>+VLOOKUP(Tabla1[[#This Row],[ESPECÍFICA]],CLASIFICADOR_,2,0)</f>
        <v>2.4.1.3.1.1 - A OTRAS UNIDADES DEL GOBIERNO NACIONAL</v>
      </c>
      <c r="CQ165" s="48" t="str">
        <f>+VLOOKUP(Tabla1[[#This Row],[ESPECÍFICA]],CLASIFICADOR_,3,0)</f>
        <v>2.4.1.3 - A OTRAS UNIDADES DEL GOBIERNO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N/R</v>
      </c>
      <c r="CU165" s="48" t="str">
        <f>+VLOOKUP(Tabla1[[#This Row],[ESPECÍFICA]],CLASIFICADOR_,7,0)</f>
        <v>N/R</v>
      </c>
      <c r="CV165" s="48">
        <f>+VLOOKUP(Tabla1[[#This Row],[ESPECÍFICA]],CLASIFICADOR_,8,0)</f>
        <v>0</v>
      </c>
      <c r="CW165" s="113" t="str">
        <f>+CONCATENATE("2.",Tabla1[[#This Row],[generica]])</f>
        <v>2.4.DONACIONES Y TRANSFERENCIAS</v>
      </c>
      <c r="CX165" s="48" t="str">
        <f t="shared" si="29"/>
        <v>0010-OA</v>
      </c>
      <c r="CY165" s="113" t="str">
        <f t="shared" si="30"/>
        <v>0010-OA</v>
      </c>
      <c r="CZ165" s="20" t="str">
        <f t="shared" si="31"/>
        <v>0010-OA</v>
      </c>
      <c r="DA165" s="113" t="str">
        <f>+CONCATENATE(Tabla1[[#This Row],[CC COMPLETO]],Tabla1[[#This Row],[ESPECÍFICA]])</f>
        <v>0010-OA2.4.1.3.1.1</v>
      </c>
      <c r="DB165" s="49">
        <f t="shared" si="32"/>
        <v>89869</v>
      </c>
      <c r="DC165" s="49">
        <f t="shared" si="33"/>
        <v>89869</v>
      </c>
      <c r="DD165" s="49">
        <f t="shared" si="34"/>
        <v>89869</v>
      </c>
      <c r="DE165" s="49">
        <f t="shared" si="35"/>
        <v>0</v>
      </c>
      <c r="DF165" s="49">
        <f t="shared" si="36"/>
        <v>0</v>
      </c>
      <c r="DG165" s="49">
        <f t="shared" si="37"/>
        <v>0</v>
      </c>
      <c r="DH165" s="49">
        <f t="shared" si="38"/>
        <v>0</v>
      </c>
      <c r="DI165" s="50">
        <f t="shared" si="39"/>
        <v>1.0175961048519504</v>
      </c>
      <c r="DJ165" s="78">
        <f>+SUM(Tabla1[[#This Row],[EJECUTADO 01]:[EJECUTADO 06]])</f>
        <v>89869</v>
      </c>
      <c r="DK165" s="78">
        <f>+Tabla1[[#This Row],[mto_devenga_01]]</f>
        <v>0</v>
      </c>
      <c r="DL165" s="78">
        <f>+Tabla1[[#This Row],[mto_devenga_02]]</f>
        <v>0</v>
      </c>
      <c r="DM165" s="78">
        <f>+Tabla1[[#This Row],[mto_devenga_03]]</f>
        <v>0</v>
      </c>
      <c r="DN165" s="78">
        <f>+Tabla1[[#This Row],[mto_devenga_04]]</f>
        <v>0</v>
      </c>
      <c r="DO165" s="78">
        <f>+Tabla1[[#This Row],[mto_devenga_05]]</f>
        <v>0</v>
      </c>
      <c r="DP165" s="76">
        <f>+Tabla1[[#This Row],[mto_devenga_06]]</f>
        <v>89869</v>
      </c>
      <c r="DQ165" s="76">
        <f>+Tabla1[[#This Row],[mto_devenga_07]]</f>
        <v>0</v>
      </c>
      <c r="DR165" s="76">
        <f>+Tabla1[[#This Row],[mto_devenga_08]]</f>
        <v>0</v>
      </c>
      <c r="DS165" s="76">
        <f>+Tabla1[[#This Row],[mto_devenga_09]]</f>
        <v>0</v>
      </c>
      <c r="DT165" s="76">
        <f>IFERROR(VLOOKUP(Tabla1[[#This Row],[COD SE]],PF_OCTUBRE,14,0),"0")</f>
        <v>0</v>
      </c>
      <c r="DU165" s="76">
        <f>IFERROR(VLOOKUP(Tabla1[[#This Row],[COD SE]],PF_OCTUBRE,15,0),"0")</f>
        <v>0</v>
      </c>
      <c r="DV165" s="76">
        <f>IFERROR(VLOOKUP(Tabla1[[#This Row],[COD SE]],PF_OCTUBRE,16,0),"0")</f>
        <v>0</v>
      </c>
      <c r="DW165" s="76">
        <f>+SUM(Tabla1[[#This Row],[EJECUTADO 01]:[PF DICIEMBRE
]])</f>
        <v>89869</v>
      </c>
      <c r="DX165" s="76">
        <f>IFERROR(VLOOKUP(Tabla1[[#This Row],[COD SE]],PF_OCTUBRE,18,0),"0")</f>
        <v>0</v>
      </c>
      <c r="DY165" s="76">
        <f>IFERROR(VLOOKUP(Tabla1[[#This Row],[COD SE]],PF_OCTUBRE,19,0),"0")</f>
        <v>0</v>
      </c>
      <c r="DZ165" s="76">
        <f>IFERROR(VLOOKUP(Tabla1[[#This Row],[COD SE]],PF_OCTUBRE,20,0),"0")</f>
        <v>0</v>
      </c>
      <c r="EA165" s="76">
        <f>+Tabla1[[#This Row],[TOTAL EJEC REAL]]+Tabla1[[#This Row],[SALDO FINAL]]</f>
        <v>89869</v>
      </c>
      <c r="EB165" s="76">
        <f>IFERROR(VLOOKUP(Tabla1[[#This Row],[COD SE]],PF_OCTUBRE,22,0),"0")</f>
        <v>0</v>
      </c>
      <c r="EC165" s="76">
        <f>+IFERROR(VLOOKUP(Tabla1[[#This Row],[COD SE]],SALDO_ESC_2,7,0),0)</f>
        <v>0</v>
      </c>
      <c r="ED165" s="76">
        <f>+IFERROR(VLOOKUP(Tabla1[[#This Row],[COD SE]],SALDO_ESC_3,7,0),0)</f>
        <v>0</v>
      </c>
      <c r="EE165" s="76">
        <f>+Tabla1[[#This Row],[mto_pim]]-Tabla1[[#This Row],[TRANSF ESC2 ]]</f>
        <v>89869</v>
      </c>
      <c r="EF165" s="76">
        <f>+Tabla1[[#This Row],[mto_pim]]-Tabla1[[#This Row],[TRANFS ESC 3 ]]</f>
        <v>89869</v>
      </c>
      <c r="EG165" s="76">
        <f>+IFERROR(VLOOKUP(Tabla1[[#This Row],[COD SE]],HISTORICO,4,0),0)</f>
        <v>0</v>
      </c>
      <c r="EH165" s="76">
        <f>+IFERROR(VLOOKUP(Tabla1[[#This Row],[COD SE]],HISTORICO,5,0),0)</f>
        <v>0</v>
      </c>
      <c r="EI165" s="76">
        <f>+IFERROR(VLOOKUP(Tabla1[[#This Row],[COD SE]],HISTORICO,6,0),0)</f>
        <v>0</v>
      </c>
      <c r="EJ165" s="76">
        <f>+IFERROR(VLOOKUP(Tabla1[[#This Row],[COD SE]],HISTORICO,7,0),0)</f>
        <v>0</v>
      </c>
      <c r="EK165" s="76">
        <f>+IFERROR(VLOOKUP(Tabla1[[#This Row],[COD SE]],HISTORICO,8,0),0)</f>
        <v>0</v>
      </c>
      <c r="EL165" s="76">
        <f>+IFERROR(VLOOKUP(Tabla1[[#This Row],[COD SE]],HISTORICO,9,0),0)</f>
        <v>0</v>
      </c>
      <c r="EM165" s="76">
        <f>+IFERROR(VLOOKUP(Tabla1[[#This Row],[COD SE]],HISTORICO,10,0),0)</f>
        <v>0</v>
      </c>
      <c r="EN165" s="76">
        <f>+IFERROR(VLOOKUP(Tabla1[[#This Row],[COD SE]],HISTORICO,11,0),0)</f>
        <v>0</v>
      </c>
      <c r="EO165" s="76">
        <f>+IFERROR(VLOOKUP(Tabla1[[#This Row],[COD SE]],HISTORICO,12,0),0)</f>
        <v>0</v>
      </c>
      <c r="EP165" s="58">
        <f>+SUM(Tabla1[[#This Row],[EJECUTADO 01]:[EJECUTADO 03]])</f>
        <v>0</v>
      </c>
      <c r="EQ165" s="58">
        <f>+SUM(Tabla1[[#This Row],[EJECUTADO 04]:[EJECUTADO 06]])</f>
        <v>89869</v>
      </c>
      <c r="ER165" s="58">
        <f>+SUM(Tabla1[[#This Row],[EJECUTADO 07]:[EJECUTADO 09]])</f>
        <v>0</v>
      </c>
      <c r="ES165" s="58">
        <f>+SUM(Tabla1[[#This Row],[PF OCTUBRE]:[PF DICIEMBRE
]])</f>
        <v>0</v>
      </c>
      <c r="ET165" s="58">
        <f>+SUM(Tabla1[[#This Row],[EJECUTADO 01]:[EJECUTADO 09]])</f>
        <v>89869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1672</v>
      </c>
      <c r="AD166" s="369" t="s">
        <v>1673</v>
      </c>
      <c r="AE166" s="369" t="s">
        <v>1688</v>
      </c>
      <c r="AF166" s="369" t="s">
        <v>1773</v>
      </c>
      <c r="AG166" s="369" t="s">
        <v>1774</v>
      </c>
      <c r="AH166" s="369">
        <v>106000</v>
      </c>
      <c r="AI166" s="369">
        <v>63000</v>
      </c>
      <c r="AJ166" s="369">
        <v>169000</v>
      </c>
      <c r="AK166" s="370">
        <v>169000</v>
      </c>
      <c r="AL166" s="370">
        <v>169000</v>
      </c>
      <c r="AM166" s="370">
        <v>76252.78</v>
      </c>
      <c r="AN166" s="370">
        <v>13419</v>
      </c>
      <c r="AO166" s="370">
        <v>0</v>
      </c>
      <c r="AP166" s="370">
        <v>0</v>
      </c>
      <c r="AQ166" s="370">
        <v>0</v>
      </c>
      <c r="AR166" s="370">
        <v>0</v>
      </c>
      <c r="AS166" s="370">
        <v>79228.22</v>
      </c>
      <c r="AT166" s="370">
        <v>0</v>
      </c>
      <c r="AU166" s="370">
        <v>100</v>
      </c>
      <c r="AV166" s="370">
        <v>0</v>
      </c>
      <c r="AW166" s="370">
        <v>0</v>
      </c>
      <c r="AX166" s="370">
        <v>0</v>
      </c>
      <c r="AY166" s="370">
        <v>0</v>
      </c>
      <c r="AZ166" s="370">
        <v>26996.17</v>
      </c>
      <c r="BA166" s="370">
        <v>21420.32</v>
      </c>
      <c r="BB166" s="370">
        <v>15826.89</v>
      </c>
      <c r="BC166" s="370">
        <v>16006.13</v>
      </c>
      <c r="BD166" s="370">
        <v>9422.27</v>
      </c>
      <c r="BE166" s="370">
        <v>15795.6</v>
      </c>
      <c r="BF166" s="370">
        <v>8738.48</v>
      </c>
      <c r="BG166" s="370">
        <v>14293.71</v>
      </c>
      <c r="BH166" s="370">
        <v>7851.6</v>
      </c>
      <c r="BI166" s="370">
        <v>0</v>
      </c>
      <c r="BJ166" s="370">
        <v>0</v>
      </c>
      <c r="BK166" s="370">
        <v>0</v>
      </c>
      <c r="BL166" s="370">
        <v>26996.17</v>
      </c>
      <c r="BM166" s="370">
        <v>21420.32</v>
      </c>
      <c r="BN166" s="370">
        <v>12111.79</v>
      </c>
      <c r="BO166" s="370">
        <v>19721.23</v>
      </c>
      <c r="BP166" s="370">
        <v>9422.27</v>
      </c>
      <c r="BQ166" s="370">
        <v>15795.6</v>
      </c>
      <c r="BR166" s="370">
        <v>8738.48</v>
      </c>
      <c r="BS166" s="370">
        <v>14293.71</v>
      </c>
      <c r="BT166" s="370">
        <v>7851.6</v>
      </c>
      <c r="BU166" s="370">
        <v>0</v>
      </c>
      <c r="BV166" s="370">
        <v>0</v>
      </c>
      <c r="BW166" s="370">
        <v>76252.78</v>
      </c>
      <c r="BX166" s="370">
        <v>13419</v>
      </c>
      <c r="BY166" s="370">
        <v>0</v>
      </c>
      <c r="BZ166" s="370">
        <v>0</v>
      </c>
      <c r="CA166" s="370">
        <v>0</v>
      </c>
      <c r="CB166" s="370">
        <v>0</v>
      </c>
      <c r="CC166" s="370">
        <v>46679.39</v>
      </c>
      <c r="CD166" s="370">
        <v>0</v>
      </c>
      <c r="CE166" s="370">
        <v>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1991</v>
      </c>
      <c r="CK166" s="48" t="s">
        <v>1987</v>
      </c>
      <c r="CL166" s="48" t="s">
        <v>1987</v>
      </c>
      <c r="CM166" s="48" t="s">
        <v>1990</v>
      </c>
      <c r="CN166" s="48" t="s">
        <v>1990</v>
      </c>
      <c r="CO166" s="48" t="str">
        <f t="shared" si="40"/>
        <v>2.3.2.2.1.1</v>
      </c>
      <c r="CP166" s="48" t="str">
        <f>+VLOOKUP(Tabla1[[#This Row],[ESPECÍFICA]],CLASIFICADOR_,2,0)</f>
        <v>2.3.2.2.1.1 - SERVICIO DE SUMINISTRO DE ENERGIA ELECTRICA</v>
      </c>
      <c r="CQ166" s="48" t="str">
        <f>+VLOOKUP(Tabla1[[#This Row],[ESPECÍFICA]],CLASIFICADOR_,3,0)</f>
        <v>2.3.2.2 - SERVICIOS BASICOS, COMUNICACIONES, PUBLICIDAD Y DIFUSION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Partidas restringidas</v>
      </c>
      <c r="CU166" s="48">
        <f>+VLOOKUP(Tabla1[[#This Row],[ESPECÍFICA]],CLASIFICADOR_,7,0)</f>
        <v>9.6999999999999993</v>
      </c>
      <c r="CV166" s="48">
        <f>+VLOOKUP(Tabla1[[#This Row],[ESPECÍFICA]],CLASIFICADOR_,8,0)</f>
        <v>4</v>
      </c>
      <c r="CW166" s="113" t="str">
        <f>+CONCATENATE("2.",Tabla1[[#This Row],[generica]])</f>
        <v>2.3.BIENES Y SERVICIOS</v>
      </c>
      <c r="CX166" s="48" t="str">
        <f t="shared" si="29"/>
        <v>0010-OA</v>
      </c>
      <c r="CY166" s="113" t="str">
        <f t="shared" si="30"/>
        <v>0010-OA</v>
      </c>
      <c r="CZ166" s="20" t="str">
        <f t="shared" si="31"/>
        <v>0010-OA</v>
      </c>
      <c r="DA166" s="113" t="str">
        <f>+CONCATENATE(Tabla1[[#This Row],[CC COMPLETO]],Tabla1[[#This Row],[ESPECÍFICA]])</f>
        <v>0010-OA2.3.2.2.1.1</v>
      </c>
      <c r="DB166" s="49">
        <f t="shared" si="32"/>
        <v>169000</v>
      </c>
      <c r="DC166" s="49">
        <f t="shared" si="33"/>
        <v>136351.17000000001</v>
      </c>
      <c r="DD166" s="49">
        <f t="shared" si="34"/>
        <v>136351.17000000001</v>
      </c>
      <c r="DE166" s="49">
        <f t="shared" si="35"/>
        <v>0</v>
      </c>
      <c r="DF166" s="49">
        <f t="shared" si="36"/>
        <v>0</v>
      </c>
      <c r="DG166" s="49">
        <f t="shared" si="37"/>
        <v>32648.829999999987</v>
      </c>
      <c r="DH166" s="49">
        <f t="shared" si="38"/>
        <v>32648.829999999987</v>
      </c>
      <c r="DI166" s="50">
        <f t="shared" si="39"/>
        <v>1.2863317924528304</v>
      </c>
      <c r="DJ166" s="78">
        <f>+SUM(Tabla1[[#This Row],[EJECUTADO 01]:[EJECUTADO 06]])</f>
        <v>89671.78</v>
      </c>
      <c r="DK166" s="78">
        <f>+Tabla1[[#This Row],[mto_devenga_01]]</f>
        <v>0</v>
      </c>
      <c r="DL166" s="78">
        <f>+Tabla1[[#This Row],[mto_devenga_02]]</f>
        <v>26996.17</v>
      </c>
      <c r="DM166" s="78">
        <f>+Tabla1[[#This Row],[mto_devenga_03]]</f>
        <v>21420.32</v>
      </c>
      <c r="DN166" s="78">
        <f>+Tabla1[[#This Row],[mto_devenga_04]]</f>
        <v>15826.89</v>
      </c>
      <c r="DO166" s="78">
        <f>+Tabla1[[#This Row],[mto_devenga_05]]</f>
        <v>16006.13</v>
      </c>
      <c r="DP166" s="76">
        <f>+Tabla1[[#This Row],[mto_devenga_06]]</f>
        <v>9422.27</v>
      </c>
      <c r="DQ166" s="76">
        <f>+Tabla1[[#This Row],[mto_devenga_07]]</f>
        <v>15795.6</v>
      </c>
      <c r="DR166" s="76">
        <f>+Tabla1[[#This Row],[mto_devenga_08]]</f>
        <v>8738.48</v>
      </c>
      <c r="DS166" s="76">
        <f>+Tabla1[[#This Row],[mto_devenga_09]]</f>
        <v>14293.71</v>
      </c>
      <c r="DT166" s="76">
        <f>IFERROR(VLOOKUP(Tabla1[[#This Row],[COD SE]],PF_OCTUBRE,14,0),"0")</f>
        <v>12431.03</v>
      </c>
      <c r="DU166" s="76">
        <f>IFERROR(VLOOKUP(Tabla1[[#This Row],[COD SE]],PF_OCTUBRE,15,0),"0")</f>
        <v>12230</v>
      </c>
      <c r="DV166" s="76">
        <f>IFERROR(VLOOKUP(Tabla1[[#This Row],[COD SE]],PF_OCTUBRE,16,0),"0")</f>
        <v>15839.399999999994</v>
      </c>
      <c r="DW166" s="76">
        <f>+SUM(Tabla1[[#This Row],[EJECUTADO 01]:[PF DICIEMBRE
]])</f>
        <v>169000</v>
      </c>
      <c r="DX166" s="76">
        <f>IFERROR(VLOOKUP(Tabla1[[#This Row],[COD SE]],PF_OCTUBRE,18,0),"0")</f>
        <v>0</v>
      </c>
      <c r="DY166" s="76">
        <f>IFERROR(VLOOKUP(Tabla1[[#This Row],[COD SE]],PF_OCTUBRE,19,0),"0")</f>
        <v>0</v>
      </c>
      <c r="DZ166" s="76">
        <f>IFERROR(VLOOKUP(Tabla1[[#This Row],[COD SE]],PF_OCTUBRE,20,0),"0")</f>
        <v>0</v>
      </c>
      <c r="EA166" s="76">
        <f>+Tabla1[[#This Row],[TOTAL EJEC REAL]]+Tabla1[[#This Row],[SALDO FINAL]]</f>
        <v>169000</v>
      </c>
      <c r="EB166" s="76">
        <f>IFERROR(VLOOKUP(Tabla1[[#This Row],[COD SE]],PF_OCTUBRE,22,0),"0")</f>
        <v>15839.399999999994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169000</v>
      </c>
      <c r="EF166" s="76">
        <f>+Tabla1[[#This Row],[mto_pim]]-Tabla1[[#This Row],[TRANFS ESC 3 ]]</f>
        <v>169000</v>
      </c>
      <c r="EG166" s="76">
        <f>+IFERROR(VLOOKUP(Tabla1[[#This Row],[COD SE]],HISTORICO,4,0),0)</f>
        <v>0</v>
      </c>
      <c r="EH166" s="76">
        <f>+IFERROR(VLOOKUP(Tabla1[[#This Row],[COD SE]],HISTORICO,5,0),0)</f>
        <v>9000</v>
      </c>
      <c r="EI166" s="76">
        <f>+IFERROR(VLOOKUP(Tabla1[[#This Row],[COD SE]],HISTORICO,6,0),0)</f>
        <v>7900.38</v>
      </c>
      <c r="EJ166" s="76">
        <f>+IFERROR(VLOOKUP(Tabla1[[#This Row],[COD SE]],HISTORICO,7,0),0)</f>
        <v>24208.25</v>
      </c>
      <c r="EK166" s="76">
        <f>+IFERROR(VLOOKUP(Tabla1[[#This Row],[COD SE]],HISTORICO,8,0),0)</f>
        <v>16852.36</v>
      </c>
      <c r="EL166" s="76">
        <f>+IFERROR(VLOOKUP(Tabla1[[#This Row],[COD SE]],HISTORICO,9,0),0)</f>
        <v>9943.9</v>
      </c>
      <c r="EM166" s="76">
        <f>+IFERROR(VLOOKUP(Tabla1[[#This Row],[COD SE]],HISTORICO,10,0),0)</f>
        <v>12434.3</v>
      </c>
      <c r="EN166" s="76">
        <f>+IFERROR(VLOOKUP(Tabla1[[#This Row],[COD SE]],HISTORICO,11,0),0)</f>
        <v>12720</v>
      </c>
      <c r="EO166" s="76">
        <f>+IFERROR(VLOOKUP(Tabla1[[#This Row],[COD SE]],HISTORICO,12,0),0)</f>
        <v>11318.22</v>
      </c>
      <c r="EP166" s="58">
        <f>+SUM(Tabla1[[#This Row],[EJECUTADO 01]:[EJECUTADO 03]])</f>
        <v>48416.49</v>
      </c>
      <c r="EQ166" s="58">
        <f>+SUM(Tabla1[[#This Row],[EJECUTADO 04]:[EJECUTADO 06]])</f>
        <v>41255.289999999994</v>
      </c>
      <c r="ER166" s="58">
        <f>+SUM(Tabla1[[#This Row],[EJECUTADO 07]:[EJECUTADO 09]])</f>
        <v>38827.79</v>
      </c>
      <c r="ES166" s="58">
        <f>+SUM(Tabla1[[#This Row],[PF OCTUBRE]:[PF DICIEMBRE
]])</f>
        <v>40500.429999999993</v>
      </c>
      <c r="ET166" s="58">
        <f>+SUM(Tabla1[[#This Row],[EJECUTADO 01]:[EJECUTADO 09]])</f>
        <v>128499.57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1672</v>
      </c>
      <c r="AD167" s="369" t="s">
        <v>1673</v>
      </c>
      <c r="AE167" s="369" t="s">
        <v>1681</v>
      </c>
      <c r="AF167" s="369" t="s">
        <v>1682</v>
      </c>
      <c r="AG167" s="369" t="s">
        <v>1682</v>
      </c>
      <c r="AH167" s="369">
        <v>308000</v>
      </c>
      <c r="AI167" s="369">
        <v>475876</v>
      </c>
      <c r="AJ167" s="369">
        <v>783876</v>
      </c>
      <c r="AK167" s="370">
        <v>762934</v>
      </c>
      <c r="AL167" s="370">
        <v>749200</v>
      </c>
      <c r="AM167" s="370">
        <v>193000</v>
      </c>
      <c r="AN167" s="370">
        <v>34400</v>
      </c>
      <c r="AO167" s="370">
        <v>57500</v>
      </c>
      <c r="AP167" s="370">
        <v>86500</v>
      </c>
      <c r="AQ167" s="370">
        <v>62000</v>
      </c>
      <c r="AR167" s="370">
        <v>41800</v>
      </c>
      <c r="AS167" s="370">
        <v>51000</v>
      </c>
      <c r="AT167" s="370">
        <v>73500</v>
      </c>
      <c r="AU167" s="370">
        <v>51500</v>
      </c>
      <c r="AV167" s="370">
        <v>98000</v>
      </c>
      <c r="AW167" s="370">
        <v>0</v>
      </c>
      <c r="AX167" s="370">
        <v>0</v>
      </c>
      <c r="AY167" s="370">
        <v>45000</v>
      </c>
      <c r="AZ167" s="370">
        <v>91200</v>
      </c>
      <c r="BA167" s="370">
        <v>60200</v>
      </c>
      <c r="BB167" s="370">
        <v>53000</v>
      </c>
      <c r="BC167" s="370">
        <v>76000</v>
      </c>
      <c r="BD167" s="370">
        <v>63500</v>
      </c>
      <c r="BE167" s="370">
        <v>84300</v>
      </c>
      <c r="BF167" s="370">
        <v>48800</v>
      </c>
      <c r="BG167" s="370">
        <v>58300</v>
      </c>
      <c r="BH167" s="370">
        <v>50300</v>
      </c>
      <c r="BI167" s="370">
        <v>0</v>
      </c>
      <c r="BJ167" s="370">
        <v>0</v>
      </c>
      <c r="BK167" s="370">
        <v>45000</v>
      </c>
      <c r="BL167" s="370">
        <v>91200</v>
      </c>
      <c r="BM167" s="370">
        <v>52200</v>
      </c>
      <c r="BN167" s="370">
        <v>52500</v>
      </c>
      <c r="BO167" s="370">
        <v>74500</v>
      </c>
      <c r="BP167" s="370">
        <v>73500</v>
      </c>
      <c r="BQ167" s="370">
        <v>84300</v>
      </c>
      <c r="BR167" s="370">
        <v>48800</v>
      </c>
      <c r="BS167" s="370">
        <v>48300</v>
      </c>
      <c r="BT167" s="370">
        <v>44800</v>
      </c>
      <c r="BU167" s="370">
        <v>0</v>
      </c>
      <c r="BV167" s="370">
        <v>0</v>
      </c>
      <c r="BW167" s="370">
        <v>193000</v>
      </c>
      <c r="BX167" s="370">
        <v>34400</v>
      </c>
      <c r="BY167" s="370">
        <v>57500</v>
      </c>
      <c r="BZ167" s="370">
        <v>86500</v>
      </c>
      <c r="CA167" s="370">
        <v>62000</v>
      </c>
      <c r="CB167" s="370">
        <v>38200</v>
      </c>
      <c r="CC167" s="370">
        <v>51000</v>
      </c>
      <c r="CD167" s="370">
        <v>73500</v>
      </c>
      <c r="CE167" s="370">
        <v>19000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1991</v>
      </c>
      <c r="CK167" s="48" t="s">
        <v>1987</v>
      </c>
      <c r="CL167" s="48" t="s">
        <v>2005</v>
      </c>
      <c r="CM167" s="48" t="s">
        <v>1990</v>
      </c>
      <c r="CN167" s="48" t="s">
        <v>1990</v>
      </c>
      <c r="CO167" s="48" t="str">
        <f t="shared" si="40"/>
        <v>2.3.2.9.1.1</v>
      </c>
      <c r="CP167" s="48" t="str">
        <f>+VLOOKUP(Tabla1[[#This Row],[ESPECÍFICA]],CLASIFICADOR_,2,0)</f>
        <v>2.3.2.9.1.1 - LOCACIÓN DE SERVICIOS REALIZADOS POR PERSONA NATURAL</v>
      </c>
      <c r="CQ167" s="48" t="str">
        <f>+VLOOKUP(Tabla1[[#This Row],[ESPECÍFICA]],CLASIFICADOR_,3,0)</f>
        <v>2.3.2.9 - LOCACIÓN DE SERVICIOS REALIZADOS POR PERSONA NATURAL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2.3.BIENES Y SERVICIOS</v>
      </c>
      <c r="CX167" s="48" t="str">
        <f t="shared" si="29"/>
        <v>0010-OA</v>
      </c>
      <c r="CY167" s="113" t="str">
        <f t="shared" si="30"/>
        <v>0010-OA</v>
      </c>
      <c r="CZ167" s="20" t="str">
        <f t="shared" si="31"/>
        <v>0010-OA</v>
      </c>
      <c r="DA167" s="113" t="str">
        <f>+CONCATENATE(Tabla1[[#This Row],[CC COMPLETO]],Tabla1[[#This Row],[ESPECÍFICA]])</f>
        <v>0010-OA2.3.2.9.1.1</v>
      </c>
      <c r="DB167" s="49">
        <f t="shared" si="32"/>
        <v>749200</v>
      </c>
      <c r="DC167" s="49">
        <f t="shared" si="33"/>
        <v>630600</v>
      </c>
      <c r="DD167" s="49">
        <f t="shared" si="34"/>
        <v>615100</v>
      </c>
      <c r="DE167" s="49">
        <f t="shared" si="35"/>
        <v>20942</v>
      </c>
      <c r="DF167" s="49">
        <f t="shared" si="36"/>
        <v>13734</v>
      </c>
      <c r="DG167" s="49">
        <f t="shared" si="37"/>
        <v>118600</v>
      </c>
      <c r="DH167" s="49">
        <f t="shared" si="38"/>
        <v>153276</v>
      </c>
      <c r="DI167" s="50">
        <f t="shared" si="39"/>
        <v>2.0474025974025976</v>
      </c>
      <c r="DJ167" s="78">
        <f>+SUM(Tabla1[[#This Row],[EJECUTADO 01]:[EJECUTADO 06]])</f>
        <v>388900</v>
      </c>
      <c r="DK167" s="78">
        <f>+Tabla1[[#This Row],[mto_devenga_01]]</f>
        <v>45000</v>
      </c>
      <c r="DL167" s="78">
        <f>+Tabla1[[#This Row],[mto_devenga_02]]</f>
        <v>91200</v>
      </c>
      <c r="DM167" s="78">
        <f>+Tabla1[[#This Row],[mto_devenga_03]]</f>
        <v>60200</v>
      </c>
      <c r="DN167" s="78">
        <f>+Tabla1[[#This Row],[mto_devenga_04]]</f>
        <v>53000</v>
      </c>
      <c r="DO167" s="78">
        <f>+Tabla1[[#This Row],[mto_devenga_05]]</f>
        <v>76000</v>
      </c>
      <c r="DP167" s="76">
        <f>+Tabla1[[#This Row],[mto_devenga_06]]</f>
        <v>63500</v>
      </c>
      <c r="DQ167" s="76">
        <f>+Tabla1[[#This Row],[mto_devenga_07]]</f>
        <v>84300</v>
      </c>
      <c r="DR167" s="76">
        <f>+Tabla1[[#This Row],[mto_devenga_08]]</f>
        <v>48800</v>
      </c>
      <c r="DS167" s="76">
        <f>+Tabla1[[#This Row],[mto_devenga_09]]</f>
        <v>58300</v>
      </c>
      <c r="DT167" s="76">
        <f>IFERROR(VLOOKUP(Tabla1[[#This Row],[COD SE]],PF_OCTUBRE,14,0),"0")</f>
        <v>24800</v>
      </c>
      <c r="DU167" s="76">
        <f>IFERROR(VLOOKUP(Tabla1[[#This Row],[COD SE]],PF_OCTUBRE,15,0),"0")</f>
        <v>39300</v>
      </c>
      <c r="DV167" s="76">
        <f>IFERROR(VLOOKUP(Tabla1[[#This Row],[COD SE]],PF_OCTUBRE,16,0),"0")</f>
        <v>21299.039999999997</v>
      </c>
      <c r="DW167" s="76">
        <f>+SUM(Tabla1[[#This Row],[EJECUTADO 01]:[PF DICIEMBRE
]])</f>
        <v>665699.04</v>
      </c>
      <c r="DX167" s="76">
        <f>IFERROR(VLOOKUP(Tabla1[[#This Row],[COD SE]],PF_OCTUBRE,18,0),"0")</f>
        <v>0</v>
      </c>
      <c r="DY167" s="76">
        <f>IFERROR(VLOOKUP(Tabla1[[#This Row],[COD SE]],PF_OCTUBRE,19,0),"0")</f>
        <v>0.96000000000003638</v>
      </c>
      <c r="DZ167" s="76">
        <f>IFERROR(VLOOKUP(Tabla1[[#This Row],[COD SE]],PF_OCTUBRE,20,0),"0")</f>
        <v>0.96000000000003638</v>
      </c>
      <c r="EA167" s="76">
        <f>+Tabla1[[#This Row],[TOTAL EJEC REAL]]+Tabla1[[#This Row],[SALDO FINAL]]</f>
        <v>665700</v>
      </c>
      <c r="EB167" s="76">
        <f>IFERROR(VLOOKUP(Tabla1[[#This Row],[COD SE]],PF_OCTUBRE,22,0),"0")</f>
        <v>21300</v>
      </c>
      <c r="EC167" s="76">
        <f>+IFERROR(VLOOKUP(Tabla1[[#This Row],[COD SE]],SALDO_ESC_2,7,0),0)</f>
        <v>0</v>
      </c>
      <c r="ED167" s="76">
        <f>+IFERROR(VLOOKUP(Tabla1[[#This Row],[COD SE]],SALDO_ESC_3,7,0),0)</f>
        <v>0</v>
      </c>
      <c r="EE167" s="76">
        <f>+Tabla1[[#This Row],[mto_pim]]-Tabla1[[#This Row],[TRANSF ESC2 ]]</f>
        <v>783876</v>
      </c>
      <c r="EF167" s="76">
        <f>+Tabla1[[#This Row],[mto_pim]]-Tabla1[[#This Row],[TRANFS ESC 3 ]]</f>
        <v>783876</v>
      </c>
      <c r="EG167" s="76">
        <f>+IFERROR(VLOOKUP(Tabla1[[#This Row],[COD SE]],HISTORICO,4,0),0)</f>
        <v>45400</v>
      </c>
      <c r="EH167" s="76">
        <f>+IFERROR(VLOOKUP(Tabla1[[#This Row],[COD SE]],HISTORICO,5,0),0)</f>
        <v>118500</v>
      </c>
      <c r="EI167" s="76">
        <f>+IFERROR(VLOOKUP(Tabla1[[#This Row],[COD SE]],HISTORICO,6,0),0)</f>
        <v>69700</v>
      </c>
      <c r="EJ167" s="76">
        <f>+IFERROR(VLOOKUP(Tabla1[[#This Row],[COD SE]],HISTORICO,7,0),0)</f>
        <v>59500</v>
      </c>
      <c r="EK167" s="76">
        <f>+IFERROR(VLOOKUP(Tabla1[[#This Row],[COD SE]],HISTORICO,8,0),0)</f>
        <v>62500</v>
      </c>
      <c r="EL167" s="76">
        <f>+IFERROR(VLOOKUP(Tabla1[[#This Row],[COD SE]],HISTORICO,9,0),0)</f>
        <v>63500</v>
      </c>
      <c r="EM167" s="76">
        <f>+IFERROR(VLOOKUP(Tabla1[[#This Row],[COD SE]],HISTORICO,10,0),0)</f>
        <v>61800</v>
      </c>
      <c r="EN167" s="76">
        <f>+IFERROR(VLOOKUP(Tabla1[[#This Row],[COD SE]],HISTORICO,11,0),0)</f>
        <v>17300</v>
      </c>
      <c r="EO167" s="76">
        <f>+IFERROR(VLOOKUP(Tabla1[[#This Row],[COD SE]],HISTORICO,12,0),0)</f>
        <v>25800</v>
      </c>
      <c r="EP167" s="58">
        <f>+SUM(Tabla1[[#This Row],[EJECUTADO 01]:[EJECUTADO 03]])</f>
        <v>196400</v>
      </c>
      <c r="EQ167" s="58">
        <f>+SUM(Tabla1[[#This Row],[EJECUTADO 04]:[EJECUTADO 06]])</f>
        <v>192500</v>
      </c>
      <c r="ER167" s="58">
        <f>+SUM(Tabla1[[#This Row],[EJECUTADO 07]:[EJECUTADO 09]])</f>
        <v>191400</v>
      </c>
      <c r="ES167" s="58">
        <f>+SUM(Tabla1[[#This Row],[PF OCTUBRE]:[PF DICIEMBRE
]])</f>
        <v>85399.039999999994</v>
      </c>
      <c r="ET167" s="58">
        <f>+SUM(Tabla1[[#This Row],[EJECUTADO 01]:[EJECUTADO 09]])</f>
        <v>580300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1776</v>
      </c>
      <c r="AF168" s="369" t="s">
        <v>1777</v>
      </c>
      <c r="AG168" s="369" t="s">
        <v>1779</v>
      </c>
      <c r="AH168" s="369">
        <v>357996</v>
      </c>
      <c r="AI168" s="369">
        <v>-86886</v>
      </c>
      <c r="AJ168" s="369">
        <v>271110</v>
      </c>
      <c r="AK168" s="370">
        <v>271109.09000000003</v>
      </c>
      <c r="AL168" s="370">
        <v>271109.09000000003</v>
      </c>
      <c r="AM168" s="370">
        <v>104164.6</v>
      </c>
      <c r="AN168" s="370">
        <v>0</v>
      </c>
      <c r="AO168" s="370">
        <v>0</v>
      </c>
      <c r="AP168" s="370">
        <v>0</v>
      </c>
      <c r="AQ168" s="370">
        <v>166944.49</v>
      </c>
      <c r="AR168" s="370">
        <v>0</v>
      </c>
      <c r="AS168" s="370">
        <v>0</v>
      </c>
      <c r="AT168" s="370">
        <v>0</v>
      </c>
      <c r="AU168" s="370">
        <v>0</v>
      </c>
      <c r="AV168" s="370">
        <v>0</v>
      </c>
      <c r="AW168" s="370">
        <v>0</v>
      </c>
      <c r="AX168" s="370">
        <v>0</v>
      </c>
      <c r="AY168" s="370">
        <v>0</v>
      </c>
      <c r="AZ168" s="370">
        <v>0</v>
      </c>
      <c r="BA168" s="370">
        <v>41665.839999999997</v>
      </c>
      <c r="BB168" s="370">
        <v>41665.839999999997</v>
      </c>
      <c r="BC168" s="370">
        <v>20832.919999999998</v>
      </c>
      <c r="BD168" s="370">
        <v>30465.01</v>
      </c>
      <c r="BE168" s="370">
        <v>0</v>
      </c>
      <c r="BF168" s="370">
        <v>45493.16</v>
      </c>
      <c r="BG168" s="370">
        <v>22746.58</v>
      </c>
      <c r="BH168" s="370">
        <v>22746.58</v>
      </c>
      <c r="BI168" s="370">
        <v>0</v>
      </c>
      <c r="BJ168" s="370">
        <v>0</v>
      </c>
      <c r="BK168" s="370">
        <v>0</v>
      </c>
      <c r="BL168" s="370">
        <v>0</v>
      </c>
      <c r="BM168" s="370">
        <v>41665.839999999997</v>
      </c>
      <c r="BN168" s="370">
        <v>0</v>
      </c>
      <c r="BO168" s="370">
        <v>41665.839999999997</v>
      </c>
      <c r="BP168" s="370">
        <v>51297.93</v>
      </c>
      <c r="BQ168" s="370">
        <v>0</v>
      </c>
      <c r="BR168" s="370">
        <v>45493.16</v>
      </c>
      <c r="BS168" s="370">
        <v>22746.58</v>
      </c>
      <c r="BT168" s="370">
        <v>22746.58</v>
      </c>
      <c r="BU168" s="370">
        <v>0</v>
      </c>
      <c r="BV168" s="370">
        <v>0</v>
      </c>
      <c r="BW168" s="370">
        <v>87498.2</v>
      </c>
      <c r="BX168" s="370">
        <v>0</v>
      </c>
      <c r="BY168" s="370">
        <v>0</v>
      </c>
      <c r="BZ168" s="370">
        <v>0</v>
      </c>
      <c r="CA168" s="370">
        <v>118765.82</v>
      </c>
      <c r="CB168" s="370">
        <v>0</v>
      </c>
      <c r="CC168" s="370">
        <v>0</v>
      </c>
      <c r="CD168" s="370">
        <v>0</v>
      </c>
      <c r="CE168" s="370">
        <v>0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1991</v>
      </c>
      <c r="CM168" s="48" t="s">
        <v>1990</v>
      </c>
      <c r="CN168" s="48" t="s">
        <v>1987</v>
      </c>
      <c r="CO168" s="48" t="str">
        <f t="shared" si="40"/>
        <v>2.3.2.3.1.2</v>
      </c>
      <c r="CP168" s="48" t="str">
        <f>+VLOOKUP(Tabla1[[#This Row],[ESPECÍFICA]],CLASIFICADOR_,2,0)</f>
        <v>2.3.2.3.1.2 - SERVICIOS DE SEGURIDAD Y VIGILANCIA</v>
      </c>
      <c r="CQ168" s="48" t="str">
        <f>+VLOOKUP(Tabla1[[#This Row],[ESPECÍFICA]],CLASIFICADOR_,3,0)</f>
        <v>2.3.2.3 - SERVICIOS DE LIMPIEZA, SEGURIDAD Y VIGILANCIA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9"/>
        <v>0010-OA</v>
      </c>
      <c r="CY168" s="113" t="str">
        <f t="shared" si="30"/>
        <v>0010-OA</v>
      </c>
      <c r="CZ168" s="20" t="str">
        <f t="shared" si="31"/>
        <v>0010-OA</v>
      </c>
      <c r="DA168" s="113" t="str">
        <f>+CONCATENATE(Tabla1[[#This Row],[CC COMPLETO]],Tabla1[[#This Row],[ESPECÍFICA]])</f>
        <v>0010-OA2.3.2.3.1.2</v>
      </c>
      <c r="DB168" s="49">
        <f t="shared" si="32"/>
        <v>271109.08999999997</v>
      </c>
      <c r="DC168" s="49">
        <f t="shared" si="33"/>
        <v>225615.93</v>
      </c>
      <c r="DD168" s="49">
        <f t="shared" si="34"/>
        <v>225615.93</v>
      </c>
      <c r="DE168" s="49">
        <f t="shared" si="35"/>
        <v>0.90999999997438863</v>
      </c>
      <c r="DF168" s="49">
        <f t="shared" si="36"/>
        <v>0</v>
      </c>
      <c r="DG168" s="49">
        <f t="shared" si="37"/>
        <v>45493.160000000033</v>
      </c>
      <c r="DH168" s="49">
        <f t="shared" si="38"/>
        <v>45494.070000000007</v>
      </c>
      <c r="DI168" s="50">
        <f t="shared" si="39"/>
        <v>0.63021913652666506</v>
      </c>
      <c r="DJ168" s="78">
        <f>+SUM(Tabla1[[#This Row],[EJECUTADO 01]:[EJECUTADO 06]])</f>
        <v>134629.60999999999</v>
      </c>
      <c r="DK168" s="78">
        <f>+Tabla1[[#This Row],[mto_devenga_01]]</f>
        <v>0</v>
      </c>
      <c r="DL168" s="78">
        <f>+Tabla1[[#This Row],[mto_devenga_02]]</f>
        <v>0</v>
      </c>
      <c r="DM168" s="78">
        <f>+Tabla1[[#This Row],[mto_devenga_03]]</f>
        <v>41665.839999999997</v>
      </c>
      <c r="DN168" s="78">
        <f>+Tabla1[[#This Row],[mto_devenga_04]]</f>
        <v>41665.839999999997</v>
      </c>
      <c r="DO168" s="78">
        <f>+Tabla1[[#This Row],[mto_devenga_05]]</f>
        <v>20832.919999999998</v>
      </c>
      <c r="DP168" s="76">
        <f>+Tabla1[[#This Row],[mto_devenga_06]]</f>
        <v>30465.01</v>
      </c>
      <c r="DQ168" s="76">
        <f>+Tabla1[[#This Row],[mto_devenga_07]]</f>
        <v>0</v>
      </c>
      <c r="DR168" s="76">
        <f>+Tabla1[[#This Row],[mto_devenga_08]]</f>
        <v>45493.16</v>
      </c>
      <c r="DS168" s="76">
        <f>+Tabla1[[#This Row],[mto_devenga_09]]</f>
        <v>22746.58</v>
      </c>
      <c r="DT168" s="76">
        <f>IFERROR(VLOOKUP(Tabla1[[#This Row],[COD SE]],PF_OCTUBRE,14,0),"0")</f>
        <v>22746.58</v>
      </c>
      <c r="DU168" s="76">
        <f>IFERROR(VLOOKUP(Tabla1[[#This Row],[COD SE]],PF_OCTUBRE,15,0),"0")</f>
        <v>22746.58</v>
      </c>
      <c r="DV168" s="76">
        <f>IFERROR(VLOOKUP(Tabla1[[#This Row],[COD SE]],PF_OCTUBRE,16,0),"0")</f>
        <v>22747.49</v>
      </c>
      <c r="DW168" s="76">
        <f>+SUM(Tabla1[[#This Row],[EJECUTADO 01]:[PF DICIEMBRE
]])</f>
        <v>271110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271110</v>
      </c>
      <c r="EB168" s="76">
        <f>IFERROR(VLOOKUP(Tabla1[[#This Row],[COD SE]],PF_OCTUBRE,22,0),"0")</f>
        <v>22747.49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271110</v>
      </c>
      <c r="EF168" s="76">
        <f>+Tabla1[[#This Row],[mto_pim]]-Tabla1[[#This Row],[TRANFS ESC 3 ]]</f>
        <v>271110</v>
      </c>
      <c r="EG168" s="76">
        <f>+IFERROR(VLOOKUP(Tabla1[[#This Row],[COD SE]],HISTORICO,4,0),0)</f>
        <v>20833</v>
      </c>
      <c r="EH168" s="76">
        <f>+IFERROR(VLOOKUP(Tabla1[[#This Row],[COD SE]],HISTORICO,5,0),0)</f>
        <v>50666</v>
      </c>
      <c r="EI168" s="76">
        <f>+IFERROR(VLOOKUP(Tabla1[[#This Row],[COD SE]],HISTORICO,6,0),0)</f>
        <v>89499</v>
      </c>
      <c r="EJ168" s="76">
        <f>+IFERROR(VLOOKUP(Tabla1[[#This Row],[COD SE]],HISTORICO,7,0),0)</f>
        <v>20832.919999999998</v>
      </c>
      <c r="EK168" s="76">
        <f>+IFERROR(VLOOKUP(Tabla1[[#This Row],[COD SE]],HISTORICO,8,0),0)</f>
        <v>28551.35</v>
      </c>
      <c r="EL168" s="76">
        <f>+IFERROR(VLOOKUP(Tabla1[[#This Row],[COD SE]],HISTORICO,9,0),0)</f>
        <v>30465.01</v>
      </c>
      <c r="EM168" s="76">
        <f>+IFERROR(VLOOKUP(Tabla1[[#This Row],[COD SE]],HISTORICO,10,0),0)</f>
        <v>22746.58</v>
      </c>
      <c r="EN168" s="76">
        <f>+IFERROR(VLOOKUP(Tabla1[[#This Row],[COD SE]],HISTORICO,11,0),0)</f>
        <v>22746.58</v>
      </c>
      <c r="EO168" s="76">
        <f>+IFERROR(VLOOKUP(Tabla1[[#This Row],[COD SE]],HISTORICO,12,0),0)</f>
        <v>22746.58</v>
      </c>
      <c r="EP168" s="58">
        <f>+SUM(Tabla1[[#This Row],[EJECUTADO 01]:[EJECUTADO 03]])</f>
        <v>41665.839999999997</v>
      </c>
      <c r="EQ168" s="58">
        <f>+SUM(Tabla1[[#This Row],[EJECUTADO 04]:[EJECUTADO 06]])</f>
        <v>92963.76999999999</v>
      </c>
      <c r="ER168" s="58">
        <f>+SUM(Tabla1[[#This Row],[EJECUTADO 07]:[EJECUTADO 09]])</f>
        <v>68239.740000000005</v>
      </c>
      <c r="ES168" s="58">
        <f>+SUM(Tabla1[[#This Row],[PF OCTUBRE]:[PF DICIEMBRE
]])</f>
        <v>68240.650000000009</v>
      </c>
      <c r="ET168" s="58">
        <f>+SUM(Tabla1[[#This Row],[EJECUTADO 01]:[EJECUTADO 09]])</f>
        <v>202869.34999999998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1672</v>
      </c>
      <c r="AD169" s="369" t="s">
        <v>1673</v>
      </c>
      <c r="AE169" s="369" t="s">
        <v>1786</v>
      </c>
      <c r="AF169" s="369" t="s">
        <v>1787</v>
      </c>
      <c r="AG169" s="369" t="s">
        <v>1788</v>
      </c>
      <c r="AH169" s="369">
        <v>3500</v>
      </c>
      <c r="AI169" s="369">
        <v>-1700</v>
      </c>
      <c r="AJ169" s="369">
        <v>1800</v>
      </c>
      <c r="AK169" s="370">
        <v>1800</v>
      </c>
      <c r="AL169" s="370">
        <v>1800</v>
      </c>
      <c r="AM169" s="370">
        <v>200</v>
      </c>
      <c r="AN169" s="370">
        <v>0</v>
      </c>
      <c r="AO169" s="370">
        <v>295</v>
      </c>
      <c r="AP169" s="370">
        <v>30</v>
      </c>
      <c r="AQ169" s="370">
        <v>0</v>
      </c>
      <c r="AR169" s="370">
        <v>0</v>
      </c>
      <c r="AS169" s="370">
        <v>0</v>
      </c>
      <c r="AT169" s="370">
        <v>345</v>
      </c>
      <c r="AU169" s="370">
        <v>70</v>
      </c>
      <c r="AV169" s="370">
        <v>0</v>
      </c>
      <c r="AW169" s="370">
        <v>0</v>
      </c>
      <c r="AX169" s="370">
        <v>0</v>
      </c>
      <c r="AY169" s="370">
        <v>200</v>
      </c>
      <c r="AZ169" s="370">
        <v>0</v>
      </c>
      <c r="BA169" s="370">
        <v>295</v>
      </c>
      <c r="BB169" s="370">
        <v>30</v>
      </c>
      <c r="BC169" s="370">
        <v>0</v>
      </c>
      <c r="BD169" s="370">
        <v>0</v>
      </c>
      <c r="BE169" s="370">
        <v>0</v>
      </c>
      <c r="BF169" s="370">
        <v>345</v>
      </c>
      <c r="BG169" s="370">
        <v>70</v>
      </c>
      <c r="BH169" s="370">
        <v>0</v>
      </c>
      <c r="BI169" s="370">
        <v>0</v>
      </c>
      <c r="BJ169" s="370">
        <v>0</v>
      </c>
      <c r="BK169" s="370">
        <v>200</v>
      </c>
      <c r="BL169" s="370">
        <v>0</v>
      </c>
      <c r="BM169" s="370">
        <v>295</v>
      </c>
      <c r="BN169" s="370">
        <v>30</v>
      </c>
      <c r="BO169" s="370">
        <v>0</v>
      </c>
      <c r="BP169" s="370">
        <v>0</v>
      </c>
      <c r="BQ169" s="370">
        <v>0</v>
      </c>
      <c r="BR169" s="370">
        <v>345</v>
      </c>
      <c r="BS169" s="370">
        <v>70</v>
      </c>
      <c r="BT169" s="370">
        <v>0</v>
      </c>
      <c r="BU169" s="370">
        <v>0</v>
      </c>
      <c r="BV169" s="370">
        <v>0</v>
      </c>
      <c r="BW169" s="370">
        <v>200</v>
      </c>
      <c r="BX169" s="370">
        <v>0</v>
      </c>
      <c r="BY169" s="370">
        <v>295</v>
      </c>
      <c r="BZ169" s="370">
        <v>30</v>
      </c>
      <c r="CA169" s="370">
        <v>0</v>
      </c>
      <c r="CB169" s="370">
        <v>0</v>
      </c>
      <c r="CC169" s="370">
        <v>0</v>
      </c>
      <c r="CD169" s="370">
        <v>345</v>
      </c>
      <c r="CE169" s="370">
        <v>70</v>
      </c>
      <c r="CF169" s="370">
        <v>0</v>
      </c>
      <c r="CG169" s="370">
        <v>0</v>
      </c>
      <c r="CH169" s="370">
        <v>0</v>
      </c>
      <c r="CI169" s="48" t="s">
        <v>1987</v>
      </c>
      <c r="CJ169" s="48" t="s">
        <v>1991</v>
      </c>
      <c r="CK169" s="48" t="s">
        <v>1987</v>
      </c>
      <c r="CL169" s="48" t="s">
        <v>1988</v>
      </c>
      <c r="CM169" s="48" t="s">
        <v>1990</v>
      </c>
      <c r="CN169" s="48" t="s">
        <v>1987</v>
      </c>
      <c r="CO169" s="48" t="str">
        <f t="shared" si="40"/>
        <v>2.3.2.6.1.2</v>
      </c>
      <c r="CP169" s="48" t="str">
        <f>+VLOOKUP(Tabla1[[#This Row],[ESPECÍFICA]],CLASIFICADOR_,2,0)</f>
        <v>2.3.2.6.1.2 - GASTOS NOTARIALES</v>
      </c>
      <c r="CQ169" s="48" t="str">
        <f>+VLOOKUP(Tabla1[[#This Row],[ESPECÍFICA]],CLASIFICADOR_,3,0)</f>
        <v>2.3.2.6 - SERVICIOS ADMINISTRATIVOS, FINANCIEROS Y DE SEGUROS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2.3.BIENES Y SERVICIOS</v>
      </c>
      <c r="CX169" s="48" t="str">
        <f t="shared" si="29"/>
        <v>0010-OA</v>
      </c>
      <c r="CY169" s="113" t="str">
        <f t="shared" si="30"/>
        <v>0010-OA</v>
      </c>
      <c r="CZ169" s="20" t="str">
        <f t="shared" si="31"/>
        <v>0010-OA</v>
      </c>
      <c r="DA169" s="113" t="str">
        <f>+CONCATENATE(Tabla1[[#This Row],[CC COMPLETO]],Tabla1[[#This Row],[ESPECÍFICA]])</f>
        <v>0010-OA2.3.2.6.1.2</v>
      </c>
      <c r="DB169" s="49">
        <f t="shared" si="32"/>
        <v>940</v>
      </c>
      <c r="DC169" s="49">
        <f t="shared" si="33"/>
        <v>940</v>
      </c>
      <c r="DD169" s="49">
        <f t="shared" si="34"/>
        <v>940</v>
      </c>
      <c r="DE169" s="49">
        <f t="shared" si="35"/>
        <v>0</v>
      </c>
      <c r="DF169" s="49">
        <f t="shared" si="36"/>
        <v>0</v>
      </c>
      <c r="DG169" s="49">
        <f t="shared" si="37"/>
        <v>860</v>
      </c>
      <c r="DH169" s="49">
        <f t="shared" si="38"/>
        <v>860</v>
      </c>
      <c r="DI169" s="50">
        <f t="shared" si="39"/>
        <v>0.26857142857142857</v>
      </c>
      <c r="DJ169" s="78">
        <f>+SUM(Tabla1[[#This Row],[EJECUTADO 01]:[EJECUTADO 06]])</f>
        <v>525</v>
      </c>
      <c r="DK169" s="78">
        <f>+Tabla1[[#This Row],[mto_devenga_01]]</f>
        <v>200</v>
      </c>
      <c r="DL169" s="78">
        <f>+Tabla1[[#This Row],[mto_devenga_02]]</f>
        <v>0</v>
      </c>
      <c r="DM169" s="78">
        <f>+Tabla1[[#This Row],[mto_devenga_03]]</f>
        <v>295</v>
      </c>
      <c r="DN169" s="78">
        <f>+Tabla1[[#This Row],[mto_devenga_04]]</f>
        <v>30</v>
      </c>
      <c r="DO169" s="78">
        <f>+Tabla1[[#This Row],[mto_devenga_05]]</f>
        <v>0</v>
      </c>
      <c r="DP169" s="76">
        <f>+Tabla1[[#This Row],[mto_devenga_06]]</f>
        <v>0</v>
      </c>
      <c r="DQ169" s="76">
        <f>+Tabla1[[#This Row],[mto_devenga_07]]</f>
        <v>0</v>
      </c>
      <c r="DR169" s="76">
        <f>+Tabla1[[#This Row],[mto_devenga_08]]</f>
        <v>345</v>
      </c>
      <c r="DS169" s="76">
        <f>+Tabla1[[#This Row],[mto_devenga_09]]</f>
        <v>70</v>
      </c>
      <c r="DT169" s="76">
        <f>IFERROR(VLOOKUP(Tabla1[[#This Row],[COD SE]],PF_OCTUBRE,14,0),"0")</f>
        <v>160</v>
      </c>
      <c r="DU169" s="76">
        <f>IFERROR(VLOOKUP(Tabla1[[#This Row],[COD SE]],PF_OCTUBRE,15,0),"0")</f>
        <v>160</v>
      </c>
      <c r="DV169" s="76">
        <f>IFERROR(VLOOKUP(Tabla1[[#This Row],[COD SE]],PF_OCTUBRE,16,0),"0")</f>
        <v>540</v>
      </c>
      <c r="DW169" s="76">
        <f>+SUM(Tabla1[[#This Row],[EJECUTADO 01]:[PF DICIEMBRE
]])</f>
        <v>1800</v>
      </c>
      <c r="DX169" s="76">
        <f>IFERROR(VLOOKUP(Tabla1[[#This Row],[COD SE]],PF_OCTUBRE,18,0),"0")</f>
        <v>0</v>
      </c>
      <c r="DY169" s="76">
        <f>IFERROR(VLOOKUP(Tabla1[[#This Row],[COD SE]],PF_OCTUBRE,19,0),"0")</f>
        <v>0</v>
      </c>
      <c r="DZ169" s="76">
        <f>IFERROR(VLOOKUP(Tabla1[[#This Row],[COD SE]],PF_OCTUBRE,20,0),"0")</f>
        <v>0</v>
      </c>
      <c r="EA169" s="76">
        <f>+Tabla1[[#This Row],[TOTAL EJEC REAL]]+Tabla1[[#This Row],[SALDO FINAL]]</f>
        <v>1800</v>
      </c>
      <c r="EB169" s="76">
        <f>IFERROR(VLOOKUP(Tabla1[[#This Row],[COD SE]],PF_OCTUBRE,22,0),"0")</f>
        <v>540</v>
      </c>
      <c r="EC169" s="76">
        <f>+IFERROR(VLOOKUP(Tabla1[[#This Row],[COD SE]],SALDO_ESC_2,7,0),0)</f>
        <v>0</v>
      </c>
      <c r="ED169" s="76">
        <f>+IFERROR(VLOOKUP(Tabla1[[#This Row],[COD SE]],SALDO_ESC_3,7,0),0)</f>
        <v>0</v>
      </c>
      <c r="EE169" s="76">
        <f>+Tabla1[[#This Row],[mto_pim]]-Tabla1[[#This Row],[TRANSF ESC2 ]]</f>
        <v>1800</v>
      </c>
      <c r="EF169" s="76">
        <f>+Tabla1[[#This Row],[mto_pim]]-Tabla1[[#This Row],[TRANFS ESC 3 ]]</f>
        <v>1800</v>
      </c>
      <c r="EG169" s="76">
        <f>+IFERROR(VLOOKUP(Tabla1[[#This Row],[COD SE]],HISTORICO,4,0),0)</f>
        <v>0</v>
      </c>
      <c r="EH169" s="76">
        <f>+IFERROR(VLOOKUP(Tabla1[[#This Row],[COD SE]],HISTORICO,5,0),0)</f>
        <v>291</v>
      </c>
      <c r="EI169" s="76">
        <f>+IFERROR(VLOOKUP(Tabla1[[#This Row],[COD SE]],HISTORICO,6,0),0)</f>
        <v>350</v>
      </c>
      <c r="EJ169" s="76">
        <f>+IFERROR(VLOOKUP(Tabla1[[#This Row],[COD SE]],HISTORICO,7,0),0)</f>
        <v>333</v>
      </c>
      <c r="EK169" s="76">
        <f>+IFERROR(VLOOKUP(Tabla1[[#This Row],[COD SE]],HISTORICO,8,0),0)</f>
        <v>333</v>
      </c>
      <c r="EL169" s="76">
        <f>+IFERROR(VLOOKUP(Tabla1[[#This Row],[COD SE]],HISTORICO,9,0),0)</f>
        <v>333</v>
      </c>
      <c r="EM169" s="76">
        <f>+IFERROR(VLOOKUP(Tabla1[[#This Row],[COD SE]],HISTORICO,10,0),0)</f>
        <v>0</v>
      </c>
      <c r="EN169" s="76">
        <f>+IFERROR(VLOOKUP(Tabla1[[#This Row],[COD SE]],HISTORICO,11,0),0)</f>
        <v>155</v>
      </c>
      <c r="EO169" s="76">
        <f>+IFERROR(VLOOKUP(Tabla1[[#This Row],[COD SE]],HISTORICO,12,0),0)</f>
        <v>607.5</v>
      </c>
      <c r="EP169" s="58">
        <f>+SUM(Tabla1[[#This Row],[EJECUTADO 01]:[EJECUTADO 03]])</f>
        <v>495</v>
      </c>
      <c r="EQ169" s="58">
        <f>+SUM(Tabla1[[#This Row],[EJECUTADO 04]:[EJECUTADO 06]])</f>
        <v>30</v>
      </c>
      <c r="ER169" s="58">
        <f>+SUM(Tabla1[[#This Row],[EJECUTADO 07]:[EJECUTADO 09]])</f>
        <v>415</v>
      </c>
      <c r="ES169" s="58">
        <f>+SUM(Tabla1[[#This Row],[PF OCTUBRE]:[PF DICIEMBRE
]])</f>
        <v>860</v>
      </c>
      <c r="ET169" s="58">
        <f>+SUM(Tabla1[[#This Row],[EJECUTADO 01]:[EJECUTADO 09]])</f>
        <v>940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1745</v>
      </c>
      <c r="AD170" s="369" t="s">
        <v>1746</v>
      </c>
      <c r="AE170" s="369" t="s">
        <v>1747</v>
      </c>
      <c r="AF170" s="369" t="s">
        <v>1748</v>
      </c>
      <c r="AG170" s="369" t="s">
        <v>1749</v>
      </c>
      <c r="AH170" s="369">
        <v>9200</v>
      </c>
      <c r="AI170" s="369">
        <v>-60</v>
      </c>
      <c r="AJ170" s="369">
        <v>9140</v>
      </c>
      <c r="AK170" s="370">
        <v>9140</v>
      </c>
      <c r="AL170" s="370">
        <v>9140</v>
      </c>
      <c r="AM170" s="370">
        <v>0</v>
      </c>
      <c r="AN170" s="370">
        <v>0</v>
      </c>
      <c r="AO170" s="370">
        <v>0</v>
      </c>
      <c r="AP170" s="370">
        <v>0</v>
      </c>
      <c r="AQ170" s="370">
        <v>0</v>
      </c>
      <c r="AR170" s="370">
        <v>9140</v>
      </c>
      <c r="AS170" s="370">
        <v>0</v>
      </c>
      <c r="AT170" s="370">
        <v>0</v>
      </c>
      <c r="AU170" s="370">
        <v>0</v>
      </c>
      <c r="AV170" s="370">
        <v>0</v>
      </c>
      <c r="AW170" s="370">
        <v>0</v>
      </c>
      <c r="AX170" s="370">
        <v>0</v>
      </c>
      <c r="AY170" s="370">
        <v>0</v>
      </c>
      <c r="AZ170" s="370">
        <v>0</v>
      </c>
      <c r="BA170" s="370">
        <v>0</v>
      </c>
      <c r="BB170" s="370">
        <v>0</v>
      </c>
      <c r="BC170" s="370">
        <v>0</v>
      </c>
      <c r="BD170" s="370">
        <v>9140</v>
      </c>
      <c r="BE170" s="370">
        <v>0</v>
      </c>
      <c r="BF170" s="370">
        <v>0</v>
      </c>
      <c r="BG170" s="370">
        <v>0</v>
      </c>
      <c r="BH170" s="370">
        <v>0</v>
      </c>
      <c r="BI170" s="370">
        <v>0</v>
      </c>
      <c r="BJ170" s="370">
        <v>0</v>
      </c>
      <c r="BK170" s="370">
        <v>0</v>
      </c>
      <c r="BL170" s="370">
        <v>0</v>
      </c>
      <c r="BM170" s="370">
        <v>0</v>
      </c>
      <c r="BN170" s="370">
        <v>0</v>
      </c>
      <c r="BO170" s="370">
        <v>0</v>
      </c>
      <c r="BP170" s="370">
        <v>9140</v>
      </c>
      <c r="BQ170" s="370">
        <v>0</v>
      </c>
      <c r="BR170" s="370">
        <v>0</v>
      </c>
      <c r="BS170" s="370">
        <v>0</v>
      </c>
      <c r="BT170" s="370">
        <v>0</v>
      </c>
      <c r="BU170" s="370">
        <v>0</v>
      </c>
      <c r="BV170" s="370">
        <v>0</v>
      </c>
      <c r="BW170" s="370">
        <v>0</v>
      </c>
      <c r="BX170" s="370">
        <v>0</v>
      </c>
      <c r="BY170" s="370">
        <v>0</v>
      </c>
      <c r="BZ170" s="370">
        <v>0</v>
      </c>
      <c r="CA170" s="370">
        <v>0</v>
      </c>
      <c r="CB170" s="370">
        <v>9140</v>
      </c>
      <c r="CC170" s="370">
        <v>0</v>
      </c>
      <c r="CD170" s="370">
        <v>0</v>
      </c>
      <c r="CE170" s="370">
        <v>0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2011</v>
      </c>
      <c r="CK170" s="48" t="s">
        <v>1993</v>
      </c>
      <c r="CL170" s="48" t="s">
        <v>1990</v>
      </c>
      <c r="CM170" s="48" t="s">
        <v>1987</v>
      </c>
      <c r="CN170" s="48" t="s">
        <v>1990</v>
      </c>
      <c r="CO170" s="48" t="str">
        <f t="shared" si="40"/>
        <v>2.5.4.1.2.1</v>
      </c>
      <c r="CP170" s="48" t="str">
        <f>+VLOOKUP(Tabla1[[#This Row],[ESPECÍFICA]],CLASIFICADOR_,2,0)</f>
        <v>2.5.4.1.2.1 - DERECHOS ADMINISTRATIVOS</v>
      </c>
      <c r="CQ170" s="48" t="str">
        <f>+VLOOKUP(Tabla1[[#This Row],[ESPECÍFICA]],CLASIFICADOR_,3,0)</f>
        <v>2.5.4.1 - AL GOBIERNO NACIONAL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N/R</v>
      </c>
      <c r="CU170" s="48" t="str">
        <f>+VLOOKUP(Tabla1[[#This Row],[ESPECÍFICA]],CLASIFICADOR_,7,0)</f>
        <v>N/R</v>
      </c>
      <c r="CV170" s="48">
        <f>+VLOOKUP(Tabla1[[#This Row],[ESPECÍFICA]],CLASIFICADOR_,8,0)</f>
        <v>0</v>
      </c>
      <c r="CW170" s="113" t="str">
        <f>+CONCATENATE("2.",Tabla1[[#This Row],[generica]])</f>
        <v>2.5.OTROS GASTOS</v>
      </c>
      <c r="CX170" s="48" t="str">
        <f t="shared" si="29"/>
        <v>0010-OA</v>
      </c>
      <c r="CY170" s="113" t="str">
        <f t="shared" si="30"/>
        <v>0010-OA</v>
      </c>
      <c r="CZ170" s="20" t="str">
        <f t="shared" si="31"/>
        <v>0010-OA</v>
      </c>
      <c r="DA170" s="113" t="str">
        <f>+CONCATENATE(Tabla1[[#This Row],[CC COMPLETO]],Tabla1[[#This Row],[ESPECÍFICA]])</f>
        <v>0010-OA2.5.4.1.2.1</v>
      </c>
      <c r="DB170" s="49">
        <f t="shared" si="32"/>
        <v>9140</v>
      </c>
      <c r="DC170" s="49">
        <f t="shared" si="33"/>
        <v>9140</v>
      </c>
      <c r="DD170" s="49">
        <f t="shared" si="34"/>
        <v>9140</v>
      </c>
      <c r="DE170" s="49">
        <f t="shared" si="35"/>
        <v>0</v>
      </c>
      <c r="DF170" s="49">
        <f t="shared" si="36"/>
        <v>0</v>
      </c>
      <c r="DG170" s="49">
        <f t="shared" si="37"/>
        <v>0</v>
      </c>
      <c r="DH170" s="49">
        <f t="shared" si="38"/>
        <v>0</v>
      </c>
      <c r="DI170" s="50">
        <f t="shared" si="39"/>
        <v>0.99347826086956526</v>
      </c>
      <c r="DJ170" s="78">
        <f>+SUM(Tabla1[[#This Row],[EJECUTADO 01]:[EJECUTADO 06]])</f>
        <v>9140</v>
      </c>
      <c r="DK170" s="78">
        <f>+Tabla1[[#This Row],[mto_devenga_01]]</f>
        <v>0</v>
      </c>
      <c r="DL170" s="78">
        <f>+Tabla1[[#This Row],[mto_devenga_02]]</f>
        <v>0</v>
      </c>
      <c r="DM170" s="78">
        <f>+Tabla1[[#This Row],[mto_devenga_03]]</f>
        <v>0</v>
      </c>
      <c r="DN170" s="78">
        <f>+Tabla1[[#This Row],[mto_devenga_04]]</f>
        <v>0</v>
      </c>
      <c r="DO170" s="78">
        <f>+Tabla1[[#This Row],[mto_devenga_05]]</f>
        <v>0</v>
      </c>
      <c r="DP170" s="76">
        <f>+Tabla1[[#This Row],[mto_devenga_06]]</f>
        <v>9140</v>
      </c>
      <c r="DQ170" s="76">
        <f>+Tabla1[[#This Row],[mto_devenga_07]]</f>
        <v>0</v>
      </c>
      <c r="DR170" s="76">
        <f>+Tabla1[[#This Row],[mto_devenga_08]]</f>
        <v>0</v>
      </c>
      <c r="DS170" s="76">
        <f>+Tabla1[[#This Row],[mto_devenga_09]]</f>
        <v>0</v>
      </c>
      <c r="DT170" s="76">
        <f>IFERROR(VLOOKUP(Tabla1[[#This Row],[COD SE]],PF_OCTUBRE,14,0),"0")</f>
        <v>0</v>
      </c>
      <c r="DU170" s="76">
        <f>IFERROR(VLOOKUP(Tabla1[[#This Row],[COD SE]],PF_OCTUBRE,15,0),"0")</f>
        <v>0</v>
      </c>
      <c r="DV170" s="76">
        <f>IFERROR(VLOOKUP(Tabla1[[#This Row],[COD SE]],PF_OCTUBRE,16,0),"0")</f>
        <v>0</v>
      </c>
      <c r="DW170" s="76">
        <f>+SUM(Tabla1[[#This Row],[EJECUTADO 01]:[PF DICIEMBRE
]])</f>
        <v>9140</v>
      </c>
      <c r="DX170" s="76">
        <f>IFERROR(VLOOKUP(Tabla1[[#This Row],[COD SE]],PF_OCTUBRE,18,0),"0")</f>
        <v>0</v>
      </c>
      <c r="DY170" s="76">
        <f>IFERROR(VLOOKUP(Tabla1[[#This Row],[COD SE]],PF_OCTUBRE,19,0),"0")</f>
        <v>0</v>
      </c>
      <c r="DZ170" s="76">
        <f>IFERROR(VLOOKUP(Tabla1[[#This Row],[COD SE]],PF_OCTUBRE,20,0),"0")</f>
        <v>0</v>
      </c>
      <c r="EA170" s="76">
        <f>+Tabla1[[#This Row],[TOTAL EJEC REAL]]+Tabla1[[#This Row],[SALDO FINAL]]</f>
        <v>9140</v>
      </c>
      <c r="EB170" s="76">
        <f>IFERROR(VLOOKUP(Tabla1[[#This Row],[COD SE]],PF_OCTUBRE,22,0),"0")</f>
        <v>0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9140</v>
      </c>
      <c r="EF170" s="76">
        <f>+Tabla1[[#This Row],[mto_pim]]-Tabla1[[#This Row],[TRANFS ESC 3 ]]</f>
        <v>9140</v>
      </c>
      <c r="EG170" s="76">
        <f>+IFERROR(VLOOKUP(Tabla1[[#This Row],[COD SE]],HISTORICO,4,0),0)</f>
        <v>0</v>
      </c>
      <c r="EH170" s="76">
        <f>+IFERROR(VLOOKUP(Tabla1[[#This Row],[COD SE]],HISTORICO,5,0),0)</f>
        <v>0</v>
      </c>
      <c r="EI170" s="76">
        <f>+IFERROR(VLOOKUP(Tabla1[[#This Row],[COD SE]],HISTORICO,6,0),0)</f>
        <v>0</v>
      </c>
      <c r="EJ170" s="76">
        <f>+IFERROR(VLOOKUP(Tabla1[[#This Row],[COD SE]],HISTORICO,7,0),0)</f>
        <v>0</v>
      </c>
      <c r="EK170" s="76">
        <f>+IFERROR(VLOOKUP(Tabla1[[#This Row],[COD SE]],HISTORICO,8,0),0)</f>
        <v>0</v>
      </c>
      <c r="EL170" s="76">
        <f>+IFERROR(VLOOKUP(Tabla1[[#This Row],[COD SE]],HISTORICO,9,0),0)</f>
        <v>0</v>
      </c>
      <c r="EM170" s="76">
        <f>+IFERROR(VLOOKUP(Tabla1[[#This Row],[COD SE]],HISTORICO,10,0),0)</f>
        <v>0</v>
      </c>
      <c r="EN170" s="76">
        <f>+IFERROR(VLOOKUP(Tabla1[[#This Row],[COD SE]],HISTORICO,11,0),0)</f>
        <v>0</v>
      </c>
      <c r="EO170" s="76">
        <f>+IFERROR(VLOOKUP(Tabla1[[#This Row],[COD SE]],HISTORICO,12,0),0)</f>
        <v>0</v>
      </c>
      <c r="EP170" s="58">
        <f>+SUM(Tabla1[[#This Row],[EJECUTADO 01]:[EJECUTADO 03]])</f>
        <v>0</v>
      </c>
      <c r="EQ170" s="58">
        <f>+SUM(Tabla1[[#This Row],[EJECUTADO 04]:[EJECUTADO 06]])</f>
        <v>9140</v>
      </c>
      <c r="ER170" s="58">
        <f>+SUM(Tabla1[[#This Row],[EJECUTADO 07]:[EJECUTADO 09]])</f>
        <v>0</v>
      </c>
      <c r="ES170" s="58">
        <f>+SUM(Tabla1[[#This Row],[PF OCTUBRE]:[PF DICIEMBRE
]])</f>
        <v>0</v>
      </c>
      <c r="ET170" s="58">
        <f>+SUM(Tabla1[[#This Row],[EJECUTADO 01]:[EJECUTADO 09]])</f>
        <v>9140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2004</v>
      </c>
      <c r="AB171" s="369" t="s">
        <v>1986</v>
      </c>
      <c r="AC171" s="369" t="s">
        <v>1745</v>
      </c>
      <c r="AD171" s="369" t="s">
        <v>1746</v>
      </c>
      <c r="AE171" s="369" t="s">
        <v>1808</v>
      </c>
      <c r="AF171" s="369" t="s">
        <v>1748</v>
      </c>
      <c r="AG171" s="369" t="s">
        <v>1749</v>
      </c>
      <c r="AH171" s="369">
        <v>82704</v>
      </c>
      <c r="AI171" s="369">
        <v>27539</v>
      </c>
      <c r="AJ171" s="369">
        <v>110243</v>
      </c>
      <c r="AK171" s="370">
        <v>110242.44</v>
      </c>
      <c r="AL171" s="370">
        <v>110242.44</v>
      </c>
      <c r="AM171" s="370">
        <v>0</v>
      </c>
      <c r="AN171" s="370">
        <v>110242.44</v>
      </c>
      <c r="AO171" s="370">
        <v>0</v>
      </c>
      <c r="AP171" s="370">
        <v>0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110242.44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110242.44</v>
      </c>
      <c r="BM171" s="370">
        <v>0</v>
      </c>
      <c r="BN171" s="370">
        <v>0</v>
      </c>
      <c r="BO171" s="370">
        <v>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110242.44</v>
      </c>
      <c r="BY171" s="370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2011</v>
      </c>
      <c r="CK171" s="48" t="s">
        <v>1993</v>
      </c>
      <c r="CL171" s="48" t="s">
        <v>1991</v>
      </c>
      <c r="CM171" s="48" t="s">
        <v>1987</v>
      </c>
      <c r="CN171" s="48" t="s">
        <v>1990</v>
      </c>
      <c r="CO171" s="48" t="str">
        <f t="shared" si="40"/>
        <v>2.5.4.3.2.1</v>
      </c>
      <c r="CP171" s="48" t="str">
        <f>+VLOOKUP(Tabla1[[#This Row],[ESPECÍFICA]],CLASIFICADOR_,2,0)</f>
        <v>2.5.4.3.2.1 - DERECHOS ADMINISTRATIVOS</v>
      </c>
      <c r="CQ171" s="48" t="str">
        <f>+VLOOKUP(Tabla1[[#This Row],[ESPECÍFICA]],CLASIFICADOR_,3,0)</f>
        <v>2.5.4.3 - AL GOBIERNO LOCAL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2.5.OTROS GASTOS</v>
      </c>
      <c r="CX171" s="48" t="str">
        <f t="shared" si="29"/>
        <v>0010-OA</v>
      </c>
      <c r="CY171" s="113" t="str">
        <f t="shared" si="30"/>
        <v>0010-OA</v>
      </c>
      <c r="CZ171" s="20" t="str">
        <f t="shared" si="31"/>
        <v>0010-OA</v>
      </c>
      <c r="DA171" s="113" t="str">
        <f>+CONCATENATE(Tabla1[[#This Row],[CC COMPLETO]],Tabla1[[#This Row],[ESPECÍFICA]])</f>
        <v>0010-OA2.5.4.3.2.1</v>
      </c>
      <c r="DB171" s="49">
        <f t="shared" si="32"/>
        <v>110242.44</v>
      </c>
      <c r="DC171" s="49">
        <f t="shared" si="33"/>
        <v>110242.44</v>
      </c>
      <c r="DD171" s="49">
        <f t="shared" si="34"/>
        <v>110242.44</v>
      </c>
      <c r="DE171" s="49">
        <f t="shared" si="35"/>
        <v>0.55999999999767169</v>
      </c>
      <c r="DF171" s="49">
        <f t="shared" si="36"/>
        <v>0</v>
      </c>
      <c r="DG171" s="49">
        <f t="shared" si="37"/>
        <v>0</v>
      </c>
      <c r="DH171" s="49">
        <f t="shared" si="38"/>
        <v>0.55999999999767169</v>
      </c>
      <c r="DI171" s="50">
        <f t="shared" si="39"/>
        <v>1.3329759141033082</v>
      </c>
      <c r="DJ171" s="78">
        <f>+SUM(Tabla1[[#This Row],[EJECUTADO 01]:[EJECUTADO 06]])</f>
        <v>110242.44</v>
      </c>
      <c r="DK171" s="78">
        <f>+Tabla1[[#This Row],[mto_devenga_01]]</f>
        <v>0</v>
      </c>
      <c r="DL171" s="78">
        <f>+Tabla1[[#This Row],[mto_devenga_02]]</f>
        <v>110242.44</v>
      </c>
      <c r="DM171" s="78">
        <f>+Tabla1[[#This Row],[mto_devenga_03]]</f>
        <v>0</v>
      </c>
      <c r="DN171" s="78">
        <f>+Tabla1[[#This Row],[mto_devenga_04]]</f>
        <v>0</v>
      </c>
      <c r="DO171" s="78">
        <f>+Tabla1[[#This Row],[mto_devenga_05]]</f>
        <v>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2.3283597272438783E-12</v>
      </c>
      <c r="DW171" s="76">
        <f>+SUM(Tabla1[[#This Row],[EJECUTADO 01]:[PF DICIEMBRE
]])</f>
        <v>110242.44</v>
      </c>
      <c r="DX171" s="76">
        <f>IFERROR(VLOOKUP(Tabla1[[#This Row],[COD SE]],PF_OCTUBRE,18,0),"0")</f>
        <v>0</v>
      </c>
      <c r="DY171" s="76">
        <f>IFERROR(VLOOKUP(Tabla1[[#This Row],[COD SE]],PF_OCTUBRE,19,0),"0")</f>
        <v>0.55999999999767169</v>
      </c>
      <c r="DZ171" s="76">
        <f>IFERROR(VLOOKUP(Tabla1[[#This Row],[COD SE]],PF_OCTUBRE,20,0),"0")</f>
        <v>0.55999999999767169</v>
      </c>
      <c r="EA171" s="76">
        <f>+Tabla1[[#This Row],[TOTAL EJEC REAL]]+Tabla1[[#This Row],[SALDO FINAL]]</f>
        <v>110243</v>
      </c>
      <c r="EB171" s="76">
        <f>IFERROR(VLOOKUP(Tabla1[[#This Row],[COD SE]],PF_OCTUBRE,22,0),"0")</f>
        <v>0.56000000000000005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110243</v>
      </c>
      <c r="EF171" s="76">
        <f>+Tabla1[[#This Row],[mto_pim]]-Tabla1[[#This Row],[TRANFS ESC 3 ]]</f>
        <v>110243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0</v>
      </c>
      <c r="EJ171" s="76">
        <f>+IFERROR(VLOOKUP(Tabla1[[#This Row],[COD SE]],HISTORICO,7,0),0)</f>
        <v>0</v>
      </c>
      <c r="EK171" s="76">
        <f>+IFERROR(VLOOKUP(Tabla1[[#This Row],[COD SE]],HISTORICO,8,0),0)</f>
        <v>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110242.44</v>
      </c>
      <c r="EQ171" s="58">
        <f>+SUM(Tabla1[[#This Row],[EJECUTADO 04]:[EJECUTADO 06]])</f>
        <v>0</v>
      </c>
      <c r="ER171" s="58">
        <f>+SUM(Tabla1[[#This Row],[EJECUTADO 07]:[EJECUTADO 09]])</f>
        <v>0</v>
      </c>
      <c r="ES171" s="58">
        <f>+SUM(Tabla1[[#This Row],[PF OCTUBRE]:[PF DICIEMBRE
]])</f>
        <v>2.3283597272438783E-12</v>
      </c>
      <c r="ET171" s="58">
        <f>+SUM(Tabla1[[#This Row],[EJECUTADO 01]:[EJECUTADO 09]])</f>
        <v>110242.44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1672</v>
      </c>
      <c r="AD172" s="369" t="s">
        <v>1673</v>
      </c>
      <c r="AE172" s="369" t="s">
        <v>1678</v>
      </c>
      <c r="AF172" s="369" t="s">
        <v>1740</v>
      </c>
      <c r="AG172" s="369" t="s">
        <v>1741</v>
      </c>
      <c r="AH172" s="369">
        <v>30000</v>
      </c>
      <c r="AI172" s="369">
        <v>-30000</v>
      </c>
      <c r="AJ172" s="369">
        <v>0</v>
      </c>
      <c r="AK172" s="370">
        <v>0</v>
      </c>
      <c r="AL172" s="370">
        <v>0</v>
      </c>
      <c r="AM172" s="370">
        <v>0</v>
      </c>
      <c r="AN172" s="370">
        <v>0</v>
      </c>
      <c r="AO172" s="370">
        <v>0</v>
      </c>
      <c r="AP172" s="370">
        <v>0</v>
      </c>
      <c r="AQ172" s="370">
        <v>0</v>
      </c>
      <c r="AR172" s="370">
        <v>0</v>
      </c>
      <c r="AS172" s="370">
        <v>0</v>
      </c>
      <c r="AT172" s="370">
        <v>0</v>
      </c>
      <c r="AU172" s="370">
        <v>0</v>
      </c>
      <c r="AV172" s="370">
        <v>0</v>
      </c>
      <c r="AW172" s="370">
        <v>0</v>
      </c>
      <c r="AX172" s="370">
        <v>0</v>
      </c>
      <c r="AY172" s="370">
        <v>0</v>
      </c>
      <c r="AZ172" s="370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0">
        <v>0</v>
      </c>
      <c r="BG172" s="370">
        <v>0</v>
      </c>
      <c r="BH172" s="370">
        <v>0</v>
      </c>
      <c r="BI172" s="370">
        <v>0</v>
      </c>
      <c r="BJ172" s="370">
        <v>0</v>
      </c>
      <c r="BK172" s="370">
        <v>0</v>
      </c>
      <c r="BL172" s="370">
        <v>0</v>
      </c>
      <c r="BM172" s="370">
        <v>0</v>
      </c>
      <c r="BN172" s="370">
        <v>0</v>
      </c>
      <c r="BO172" s="370">
        <v>0</v>
      </c>
      <c r="BP172" s="370">
        <v>0</v>
      </c>
      <c r="BQ172" s="370">
        <v>0</v>
      </c>
      <c r="BR172" s="370">
        <v>0</v>
      </c>
      <c r="BS172" s="370">
        <v>0</v>
      </c>
      <c r="BT172" s="370">
        <v>0</v>
      </c>
      <c r="BU172" s="370">
        <v>0</v>
      </c>
      <c r="BV172" s="370">
        <v>0</v>
      </c>
      <c r="BW172" s="370">
        <v>0</v>
      </c>
      <c r="BX172" s="370">
        <v>0</v>
      </c>
      <c r="BY172" s="370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0">
        <v>0</v>
      </c>
      <c r="CF172" s="370">
        <v>0</v>
      </c>
      <c r="CG172" s="370">
        <v>0</v>
      </c>
      <c r="CH172" s="370">
        <v>0</v>
      </c>
      <c r="CI172" s="48" t="s">
        <v>1987</v>
      </c>
      <c r="CJ172" s="48" t="s">
        <v>1991</v>
      </c>
      <c r="CK172" s="48" t="s">
        <v>1987</v>
      </c>
      <c r="CL172" s="48" t="s">
        <v>1989</v>
      </c>
      <c r="CM172" s="48" t="s">
        <v>1993</v>
      </c>
      <c r="CN172" s="48" t="s">
        <v>1990</v>
      </c>
      <c r="CO172" s="48" t="str">
        <f t="shared" si="40"/>
        <v>2.3.2.7.4.1</v>
      </c>
      <c r="CP172" s="48" t="str">
        <f>+VLOOKUP(Tabla1[[#This Row],[ESPECÍFICA]],CLASIFICADOR_,2,0)</f>
        <v>2.3.2.7.4.1 - ELABORACION DE PROGRAMAS INFORMATICOS</v>
      </c>
      <c r="CQ172" s="48" t="str">
        <f>+VLOOKUP(Tabla1[[#This Row],[ESPECÍFICA]],CLASIFICADOR_,3,0)</f>
        <v>2.3.2.7 - SERVICIOS PROFESIONALES Y TECNICOS</v>
      </c>
      <c r="CR172" s="48" t="str">
        <f>+VLOOKUP(Tabla1[[#This Row],[ESPECÍFICA]],CLASIFICADOR_,4,0)</f>
        <v xml:space="preserve"> </v>
      </c>
      <c r="CS172" s="48">
        <f>+VLOOKUP(Tabla1[[#This Row],[ESPECÍFICA]],CLASIFICADOR_,5,0)</f>
        <v>0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2.3.BIENES Y SERVICIOS</v>
      </c>
      <c r="CX172" s="48" t="str">
        <f t="shared" si="29"/>
        <v>0010-OA</v>
      </c>
      <c r="CY172" s="113" t="str">
        <f t="shared" si="30"/>
        <v>0010-OA</v>
      </c>
      <c r="CZ172" s="20" t="str">
        <f t="shared" si="31"/>
        <v>0010-OA</v>
      </c>
      <c r="DA172" s="113" t="str">
        <f>+CONCATENATE(Tabla1[[#This Row],[CC COMPLETO]],Tabla1[[#This Row],[ESPECÍFICA]])</f>
        <v>0010-OA2.3.2.7.4.1</v>
      </c>
      <c r="DB172" s="49">
        <f t="shared" si="32"/>
        <v>0</v>
      </c>
      <c r="DC172" s="49">
        <f t="shared" si="33"/>
        <v>0</v>
      </c>
      <c r="DD172" s="49">
        <f t="shared" si="34"/>
        <v>0</v>
      </c>
      <c r="DE172" s="49">
        <f t="shared" si="35"/>
        <v>0</v>
      </c>
      <c r="DF172" s="49">
        <f t="shared" si="36"/>
        <v>0</v>
      </c>
      <c r="DG172" s="49">
        <f t="shared" si="37"/>
        <v>0</v>
      </c>
      <c r="DH172" s="49">
        <f t="shared" si="38"/>
        <v>0</v>
      </c>
      <c r="DI172" s="50">
        <f t="shared" si="39"/>
        <v>0</v>
      </c>
      <c r="DJ172" s="78">
        <f>+SUM(Tabla1[[#This Row],[EJECUTADO 01]:[EJECUTADO 06]])</f>
        <v>0</v>
      </c>
      <c r="DK172" s="78">
        <f>+Tabla1[[#This Row],[mto_devenga_01]]</f>
        <v>0</v>
      </c>
      <c r="DL172" s="78">
        <f>+Tabla1[[#This Row],[mto_devenga_02]]</f>
        <v>0</v>
      </c>
      <c r="DM172" s="78">
        <f>+Tabla1[[#This Row],[mto_devenga_03]]</f>
        <v>0</v>
      </c>
      <c r="DN172" s="78">
        <f>+Tabla1[[#This Row],[mto_devenga_04]]</f>
        <v>0</v>
      </c>
      <c r="DO172" s="78">
        <f>+Tabla1[[#This Row],[mto_devenga_05]]</f>
        <v>0</v>
      </c>
      <c r="DP172" s="76">
        <f>+Tabla1[[#This Row],[mto_devenga_06]]</f>
        <v>0</v>
      </c>
      <c r="DQ172" s="76">
        <f>+Tabla1[[#This Row],[mto_devenga_07]]</f>
        <v>0</v>
      </c>
      <c r="DR172" s="76">
        <f>+Tabla1[[#This Row],[mto_devenga_08]]</f>
        <v>0</v>
      </c>
      <c r="DS172" s="76">
        <f>+Tabla1[[#This Row],[mto_devenga_09]]</f>
        <v>0</v>
      </c>
      <c r="DT172" s="76">
        <f>IFERROR(VLOOKUP(Tabla1[[#This Row],[COD SE]],PF_OCTUBRE,14,0),"0")</f>
        <v>0</v>
      </c>
      <c r="DU172" s="76">
        <f>IFERROR(VLOOKUP(Tabla1[[#This Row],[COD SE]],PF_OCTUBRE,15,0),"0")</f>
        <v>0</v>
      </c>
      <c r="DV172" s="76">
        <f>IFERROR(VLOOKUP(Tabla1[[#This Row],[COD SE]],PF_OCTUBRE,16,0),"0")</f>
        <v>0</v>
      </c>
      <c r="DW172" s="76">
        <f>+SUM(Tabla1[[#This Row],[EJECUTADO 01]:[PF DICIEMBRE
]])</f>
        <v>0</v>
      </c>
      <c r="DX172" s="76">
        <f>IFERROR(VLOOKUP(Tabla1[[#This Row],[COD SE]],PF_OCTUBRE,18,0),"0")</f>
        <v>0</v>
      </c>
      <c r="DY172" s="76">
        <f>IFERROR(VLOOKUP(Tabla1[[#This Row],[COD SE]],PF_OCTUBRE,19,0),"0")</f>
        <v>0</v>
      </c>
      <c r="DZ172" s="76">
        <f>IFERROR(VLOOKUP(Tabla1[[#This Row],[COD SE]],PF_OCTUBRE,20,0),"0")</f>
        <v>0</v>
      </c>
      <c r="EA172" s="76">
        <f>+Tabla1[[#This Row],[TOTAL EJEC REAL]]+Tabla1[[#This Row],[SALDO FINAL]]</f>
        <v>0</v>
      </c>
      <c r="EB172" s="76">
        <f>IFERROR(VLOOKUP(Tabla1[[#This Row],[COD SE]],PF_OCTUBRE,22,0),"0")</f>
        <v>0</v>
      </c>
      <c r="EC172" s="76">
        <f>+IFERROR(VLOOKUP(Tabla1[[#This Row],[COD SE]],SALDO_ESC_2,7,0),0)</f>
        <v>0</v>
      </c>
      <c r="ED172" s="76">
        <f>+IFERROR(VLOOKUP(Tabla1[[#This Row],[COD SE]],SALDO_ESC_3,7,0),0)</f>
        <v>0</v>
      </c>
      <c r="EE172" s="76">
        <f>+Tabla1[[#This Row],[mto_pim]]-Tabla1[[#This Row],[TRANSF ESC2 ]]</f>
        <v>0</v>
      </c>
      <c r="EF172" s="76">
        <f>+Tabla1[[#This Row],[mto_pim]]-Tabla1[[#This Row],[TRANFS ESC 3 ]]</f>
        <v>0</v>
      </c>
      <c r="EG172" s="76">
        <f>+IFERROR(VLOOKUP(Tabla1[[#This Row],[COD SE]],HISTORICO,4,0),0)</f>
        <v>0</v>
      </c>
      <c r="EH172" s="76">
        <f>+IFERROR(VLOOKUP(Tabla1[[#This Row],[COD SE]],HISTORICO,5,0),0)</f>
        <v>0</v>
      </c>
      <c r="EI172" s="76">
        <f>+IFERROR(VLOOKUP(Tabla1[[#This Row],[COD SE]],HISTORICO,6,0),0)</f>
        <v>0</v>
      </c>
      <c r="EJ172" s="76">
        <f>+IFERROR(VLOOKUP(Tabla1[[#This Row],[COD SE]],HISTORICO,7,0),0)</f>
        <v>0</v>
      </c>
      <c r="EK172" s="76">
        <f>+IFERROR(VLOOKUP(Tabla1[[#This Row],[COD SE]],HISTORICO,8,0),0)</f>
        <v>0</v>
      </c>
      <c r="EL172" s="76">
        <f>+IFERROR(VLOOKUP(Tabla1[[#This Row],[COD SE]],HISTORICO,9,0),0)</f>
        <v>0</v>
      </c>
      <c r="EM172" s="76">
        <f>+IFERROR(VLOOKUP(Tabla1[[#This Row],[COD SE]],HISTORICO,10,0),0)</f>
        <v>0</v>
      </c>
      <c r="EN172" s="76">
        <f>+IFERROR(VLOOKUP(Tabla1[[#This Row],[COD SE]],HISTORICO,11,0),0)</f>
        <v>0</v>
      </c>
      <c r="EO172" s="76">
        <f>+IFERROR(VLOOKUP(Tabla1[[#This Row],[COD SE]],HISTORICO,12,0),0)</f>
        <v>0</v>
      </c>
      <c r="EP172" s="58">
        <f>+SUM(Tabla1[[#This Row],[EJECUTADO 01]:[EJECUTADO 03]])</f>
        <v>0</v>
      </c>
      <c r="EQ172" s="58">
        <f>+SUM(Tabla1[[#This Row],[EJECUTADO 04]:[EJECUTADO 06]])</f>
        <v>0</v>
      </c>
      <c r="ER172" s="58">
        <f>+SUM(Tabla1[[#This Row],[EJECUTADO 07]:[EJECUTADO 09]])</f>
        <v>0</v>
      </c>
      <c r="ES172" s="58">
        <f>+SUM(Tabla1[[#This Row],[PF OCTUBRE]:[PF DICIEMBRE
]])</f>
        <v>0</v>
      </c>
      <c r="ET172" s="58">
        <f>+SUM(Tabla1[[#This Row],[EJECUTADO 01]:[EJECUTADO 09]])</f>
        <v>0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1672</v>
      </c>
      <c r="AD173" s="369" t="s">
        <v>1684</v>
      </c>
      <c r="AE173" s="369" t="s">
        <v>1713</v>
      </c>
      <c r="AF173" s="369" t="s">
        <v>1714</v>
      </c>
      <c r="AG173" s="369" t="s">
        <v>2349</v>
      </c>
      <c r="AH173" s="369">
        <v>0</v>
      </c>
      <c r="AI173" s="369">
        <v>2024</v>
      </c>
      <c r="AJ173" s="369">
        <v>2024</v>
      </c>
      <c r="AK173" s="370">
        <v>2023.88</v>
      </c>
      <c r="AL173" s="370">
        <v>2023.88</v>
      </c>
      <c r="AM173" s="370">
        <v>0</v>
      </c>
      <c r="AN173" s="370">
        <v>0</v>
      </c>
      <c r="AO173" s="370">
        <v>0</v>
      </c>
      <c r="AP173" s="370">
        <v>0</v>
      </c>
      <c r="AQ173" s="370">
        <v>0</v>
      </c>
      <c r="AR173" s="370">
        <v>0</v>
      </c>
      <c r="AS173" s="370">
        <v>0</v>
      </c>
      <c r="AT173" s="370">
        <v>0</v>
      </c>
      <c r="AU173" s="370">
        <v>0</v>
      </c>
      <c r="AV173" s="370">
        <v>2023.88</v>
      </c>
      <c r="AW173" s="370">
        <v>0</v>
      </c>
      <c r="AX173" s="370">
        <v>0</v>
      </c>
      <c r="AY173" s="370">
        <v>0</v>
      </c>
      <c r="AZ173" s="370">
        <v>0</v>
      </c>
      <c r="BA173" s="370">
        <v>0</v>
      </c>
      <c r="BB173" s="370">
        <v>0</v>
      </c>
      <c r="BC173" s="370">
        <v>0</v>
      </c>
      <c r="BD173" s="370">
        <v>0</v>
      </c>
      <c r="BE173" s="370">
        <v>0</v>
      </c>
      <c r="BF173" s="370">
        <v>0</v>
      </c>
      <c r="BG173" s="370">
        <v>0</v>
      </c>
      <c r="BH173" s="370">
        <v>0</v>
      </c>
      <c r="BI173" s="370">
        <v>0</v>
      </c>
      <c r="BJ173" s="370">
        <v>0</v>
      </c>
      <c r="BK173" s="370">
        <v>0</v>
      </c>
      <c r="BL173" s="370">
        <v>0</v>
      </c>
      <c r="BM173" s="370">
        <v>0</v>
      </c>
      <c r="BN173" s="370">
        <v>0</v>
      </c>
      <c r="BO173" s="370">
        <v>0</v>
      </c>
      <c r="BP173" s="370">
        <v>0</v>
      </c>
      <c r="BQ173" s="370">
        <v>0</v>
      </c>
      <c r="BR173" s="370">
        <v>0</v>
      </c>
      <c r="BS173" s="370">
        <v>0</v>
      </c>
      <c r="BT173" s="370">
        <v>0</v>
      </c>
      <c r="BU173" s="370">
        <v>0</v>
      </c>
      <c r="BV173" s="370">
        <v>0</v>
      </c>
      <c r="BW173" s="370">
        <v>0</v>
      </c>
      <c r="BX173" s="370">
        <v>0</v>
      </c>
      <c r="BY173" s="370">
        <v>0</v>
      </c>
      <c r="BZ173" s="370">
        <v>0</v>
      </c>
      <c r="CA173" s="370">
        <v>0</v>
      </c>
      <c r="CB173" s="370">
        <v>0</v>
      </c>
      <c r="CC173" s="370">
        <v>0</v>
      </c>
      <c r="CD173" s="370">
        <v>0</v>
      </c>
      <c r="CE173" s="370">
        <v>0</v>
      </c>
      <c r="CF173" s="370">
        <v>0</v>
      </c>
      <c r="CG173" s="370">
        <v>0</v>
      </c>
      <c r="CH173" s="370">
        <v>0</v>
      </c>
      <c r="CI173" s="48" t="s">
        <v>1987</v>
      </c>
      <c r="CJ173" s="48" t="s">
        <v>1991</v>
      </c>
      <c r="CK173" s="48" t="s">
        <v>1990</v>
      </c>
      <c r="CL173" s="48" t="s">
        <v>1987</v>
      </c>
      <c r="CM173" s="48" t="s">
        <v>1990</v>
      </c>
      <c r="CN173" s="48" t="s">
        <v>1987</v>
      </c>
      <c r="CO173" s="48" t="str">
        <f t="shared" si="40"/>
        <v>2.3.1.2.1.2</v>
      </c>
      <c r="CP173" s="48" t="str">
        <f>+VLOOKUP(Tabla1[[#This Row],[ESPECÍFICA]],CLASIFICADOR_,2,0)</f>
        <v>2.3.1.2.1.2 - TEXTILES Y ACABADOS TEXTILES</v>
      </c>
      <c r="CQ173" s="48" t="str">
        <f>+VLOOKUP(Tabla1[[#This Row],[ESPECÍFICA]],CLASIFICADOR_,3,0)</f>
        <v>2.3.1.2 - VESTUARIOS Y TEXTILES</v>
      </c>
      <c r="CR173" s="48" t="str">
        <f>+VLOOKUP(Tabla1[[#This Row],[ESPECÍFICA]],CLASIFICADOR_,4,0)</f>
        <v>Límite de Gasto</v>
      </c>
      <c r="CS173" s="48" t="str">
        <f>+VLOOKUP(Tabla1[[#This Row],[ESPECÍFICA]],CLASIFICADOR_,5,0)</f>
        <v>10.6 c)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2.3.BIENES Y SERVICIOS</v>
      </c>
      <c r="CX173" s="113" t="str">
        <f t="shared" si="29"/>
        <v>0010-OA</v>
      </c>
      <c r="CY173" s="113" t="str">
        <f t="shared" si="30"/>
        <v>0010-OA</v>
      </c>
      <c r="CZ173" s="20" t="str">
        <f t="shared" si="31"/>
        <v>0010-OA</v>
      </c>
      <c r="DA173" s="113" t="str">
        <f>+CONCATENATE(Tabla1[[#This Row],[CC COMPLETO]],Tabla1[[#This Row],[ESPECÍFICA]])</f>
        <v>0010-OA2.3.1.2.1.2</v>
      </c>
      <c r="DB173" s="49">
        <f t="shared" si="32"/>
        <v>2023.88</v>
      </c>
      <c r="DC173" s="49">
        <f t="shared" si="33"/>
        <v>0</v>
      </c>
      <c r="DD173" s="49">
        <f t="shared" si="34"/>
        <v>0</v>
      </c>
      <c r="DE173" s="49">
        <f t="shared" si="35"/>
        <v>0.11999999999989086</v>
      </c>
      <c r="DF173" s="49">
        <f t="shared" si="36"/>
        <v>0</v>
      </c>
      <c r="DG173" s="49">
        <f t="shared" si="37"/>
        <v>2023.88</v>
      </c>
      <c r="DH173" s="49">
        <f t="shared" si="38"/>
        <v>2024</v>
      </c>
      <c r="DI173" s="50">
        <f t="shared" si="39"/>
        <v>0</v>
      </c>
      <c r="DJ173" s="78">
        <f>+SUM(Tabla1[[#This Row],[EJECUTADO 01]:[EJECUTADO 06]])</f>
        <v>0</v>
      </c>
      <c r="DK173" s="78">
        <f>+Tabla1[[#This Row],[mto_devenga_01]]</f>
        <v>0</v>
      </c>
      <c r="DL173" s="78">
        <f>+Tabla1[[#This Row],[mto_devenga_02]]</f>
        <v>0</v>
      </c>
      <c r="DM173" s="78">
        <f>+Tabla1[[#This Row],[mto_devenga_03]]</f>
        <v>0</v>
      </c>
      <c r="DN173" s="78">
        <f>+Tabla1[[#This Row],[mto_devenga_04]]</f>
        <v>0</v>
      </c>
      <c r="DO173" s="78">
        <f>+Tabla1[[#This Row],[mto_devenga_05]]</f>
        <v>0</v>
      </c>
      <c r="DP173" s="76">
        <f>+Tabla1[[#This Row],[mto_devenga_06]]</f>
        <v>0</v>
      </c>
      <c r="DQ173" s="76">
        <f>+Tabla1[[#This Row],[mto_devenga_07]]</f>
        <v>0</v>
      </c>
      <c r="DR173" s="76">
        <f>+Tabla1[[#This Row],[mto_devenga_08]]</f>
        <v>0</v>
      </c>
      <c r="DS173" s="76">
        <f>+Tabla1[[#This Row],[mto_devenga_09]]</f>
        <v>0</v>
      </c>
      <c r="DT173" s="76" t="str">
        <f>IFERROR(VLOOKUP(Tabla1[[#This Row],[COD SE]],PF_OCTUBRE,14,0),"0")</f>
        <v>0</v>
      </c>
      <c r="DU173" s="76" t="str">
        <f>IFERROR(VLOOKUP(Tabla1[[#This Row],[COD SE]],PF_OCTUBRE,15,0),"0")</f>
        <v>0</v>
      </c>
      <c r="DV173" s="76" t="str">
        <f>IFERROR(VLOOKUP(Tabla1[[#This Row],[COD SE]],PF_OCTUBRE,16,0),"0")</f>
        <v>0</v>
      </c>
      <c r="DW173" s="76">
        <f>+SUM(Tabla1[[#This Row],[EJECUTADO 01]:[PF DICIEMBRE
]])</f>
        <v>0</v>
      </c>
      <c r="DX173" s="76" t="str">
        <f>IFERROR(VLOOKUP(Tabla1[[#This Row],[COD SE]],PF_OCTUBRE,18,0),"0")</f>
        <v>0</v>
      </c>
      <c r="DY173" s="76" t="str">
        <f>IFERROR(VLOOKUP(Tabla1[[#This Row],[COD SE]],PF_OCTUBRE,19,0),"0")</f>
        <v>0</v>
      </c>
      <c r="DZ173" s="76" t="str">
        <f>IFERROR(VLOOKUP(Tabla1[[#This Row],[COD SE]],PF_OCTUBRE,20,0),"0")</f>
        <v>0</v>
      </c>
      <c r="EA173" s="76">
        <f>+Tabla1[[#This Row],[TOTAL EJEC REAL]]+Tabla1[[#This Row],[SALDO FINAL]]</f>
        <v>0</v>
      </c>
      <c r="EB173" s="76" t="str">
        <f>IFERROR(VLOOKUP(Tabla1[[#This Row],[COD SE]],PF_OCTUBRE,22,0),"0")</f>
        <v>0</v>
      </c>
      <c r="EC173" s="76">
        <f>+IFERROR(VLOOKUP(Tabla1[[#This Row],[COD SE]],SALDO_ESC_2,7,0),0)</f>
        <v>0</v>
      </c>
      <c r="ED173" s="76">
        <f>+IFERROR(VLOOKUP(Tabla1[[#This Row],[COD SE]],SALDO_ESC_3,7,0),0)</f>
        <v>0</v>
      </c>
      <c r="EE173" s="76">
        <f>+Tabla1[[#This Row],[mto_pim]]-Tabla1[[#This Row],[TRANSF ESC2 ]]</f>
        <v>2024</v>
      </c>
      <c r="EF173" s="76">
        <f>+Tabla1[[#This Row],[mto_pim]]-Tabla1[[#This Row],[TRANFS ESC 3 ]]</f>
        <v>2024</v>
      </c>
      <c r="EG173" s="76">
        <f>+IFERROR(VLOOKUP(Tabla1[[#This Row],[COD SE]],HISTORICO,4,0),0)</f>
        <v>0</v>
      </c>
      <c r="EH173" s="76">
        <f>+IFERROR(VLOOKUP(Tabla1[[#This Row],[COD SE]],HISTORICO,5,0),0)</f>
        <v>0</v>
      </c>
      <c r="EI173" s="76">
        <f>+IFERROR(VLOOKUP(Tabla1[[#This Row],[COD SE]],HISTORICO,6,0),0)</f>
        <v>0</v>
      </c>
      <c r="EJ173" s="76">
        <f>+IFERROR(VLOOKUP(Tabla1[[#This Row],[COD SE]],HISTORICO,7,0),0)</f>
        <v>0</v>
      </c>
      <c r="EK173" s="76">
        <f>+IFERROR(VLOOKUP(Tabla1[[#This Row],[COD SE]],HISTORICO,8,0),0)</f>
        <v>0</v>
      </c>
      <c r="EL173" s="76">
        <f>+IFERROR(VLOOKUP(Tabla1[[#This Row],[COD SE]],HISTORICO,9,0),0)</f>
        <v>0</v>
      </c>
      <c r="EM173" s="76">
        <f>+IFERROR(VLOOKUP(Tabla1[[#This Row],[COD SE]],HISTORICO,10,0),0)</f>
        <v>0</v>
      </c>
      <c r="EN173" s="76">
        <f>+IFERROR(VLOOKUP(Tabla1[[#This Row],[COD SE]],HISTORICO,11,0),0)</f>
        <v>0</v>
      </c>
      <c r="EO173" s="76">
        <f>+IFERROR(VLOOKUP(Tabla1[[#This Row],[COD SE]],HISTORICO,12,0),0)</f>
        <v>0</v>
      </c>
      <c r="EP173" s="58">
        <f>+SUM(Tabla1[[#This Row],[EJECUTADO 01]:[EJECUTADO 03]])</f>
        <v>0</v>
      </c>
      <c r="EQ173" s="58">
        <f>+SUM(Tabla1[[#This Row],[EJECUTADO 04]:[EJECUTADO 06]])</f>
        <v>0</v>
      </c>
      <c r="ER173" s="58">
        <f>+SUM(Tabla1[[#This Row],[EJECUTADO 07]:[EJECUTADO 09]])</f>
        <v>0</v>
      </c>
      <c r="ES173" s="58">
        <f>+SUM(Tabla1[[#This Row],[PF OCTUBRE]:[PF DICIEMBRE
]])</f>
        <v>0</v>
      </c>
      <c r="ET173" s="58">
        <f>+SUM(Tabla1[[#This Row],[EJECUTADO 01]:[EJECUTADO 09]])</f>
        <v>0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1656</v>
      </c>
      <c r="AD174" s="369" t="s">
        <v>1657</v>
      </c>
      <c r="AE174" s="369" t="s">
        <v>1660</v>
      </c>
      <c r="AF174" s="369" t="s">
        <v>1661</v>
      </c>
      <c r="AG174" s="369" t="s">
        <v>1663</v>
      </c>
      <c r="AH174" s="369">
        <v>763792</v>
      </c>
      <c r="AI174" s="369">
        <v>-195294</v>
      </c>
      <c r="AJ174" s="369">
        <v>568498</v>
      </c>
      <c r="AK174" s="370">
        <v>392310.56</v>
      </c>
      <c r="AL174" s="370">
        <v>360315.91</v>
      </c>
      <c r="AM174" s="370">
        <v>13317.5</v>
      </c>
      <c r="AN174" s="370">
        <v>13329.83</v>
      </c>
      <c r="AO174" s="370">
        <v>13850</v>
      </c>
      <c r="AP174" s="370">
        <v>20683.330000000002</v>
      </c>
      <c r="AQ174" s="370">
        <v>23683.33</v>
      </c>
      <c r="AR174" s="370">
        <v>25850</v>
      </c>
      <c r="AS174" s="370">
        <v>40145.83</v>
      </c>
      <c r="AT174" s="370">
        <v>46310.94</v>
      </c>
      <c r="AU174" s="370">
        <v>41301.49</v>
      </c>
      <c r="AV174" s="370">
        <v>41261.599999999999</v>
      </c>
      <c r="AW174" s="370">
        <v>0</v>
      </c>
      <c r="AX174" s="370">
        <v>0</v>
      </c>
      <c r="AY174" s="370">
        <v>13317.5</v>
      </c>
      <c r="AZ174" s="370">
        <v>13329.83</v>
      </c>
      <c r="BA174" s="370">
        <v>13850</v>
      </c>
      <c r="BB174" s="370">
        <v>20683.330000000002</v>
      </c>
      <c r="BC174" s="370">
        <v>23683.33</v>
      </c>
      <c r="BD174" s="370">
        <v>25850</v>
      </c>
      <c r="BE174" s="370">
        <v>40145.83</v>
      </c>
      <c r="BF174" s="370">
        <v>46335.59</v>
      </c>
      <c r="BG174" s="370">
        <v>41301.49</v>
      </c>
      <c r="BH174" s="370">
        <v>41236.949999999997</v>
      </c>
      <c r="BI174" s="370">
        <v>0</v>
      </c>
      <c r="BJ174" s="370">
        <v>0</v>
      </c>
      <c r="BK174" s="370">
        <v>13317.5</v>
      </c>
      <c r="BL174" s="370">
        <v>13329.83</v>
      </c>
      <c r="BM174" s="370">
        <v>13850</v>
      </c>
      <c r="BN174" s="370">
        <v>19030.189999999999</v>
      </c>
      <c r="BO174" s="370">
        <v>25336.47</v>
      </c>
      <c r="BP174" s="370">
        <v>25850</v>
      </c>
      <c r="BQ174" s="370">
        <v>40145.83</v>
      </c>
      <c r="BR174" s="370">
        <v>46335.59</v>
      </c>
      <c r="BS174" s="370">
        <v>41301.49</v>
      </c>
      <c r="BT174" s="370">
        <v>36696.379999999997</v>
      </c>
      <c r="BU174" s="370">
        <v>0</v>
      </c>
      <c r="BV174" s="370">
        <v>0</v>
      </c>
      <c r="BW174" s="370">
        <v>13317.5</v>
      </c>
      <c r="BX174" s="370">
        <v>13329.83</v>
      </c>
      <c r="BY174" s="370">
        <v>13850</v>
      </c>
      <c r="BZ174" s="370">
        <v>20683.330000000002</v>
      </c>
      <c r="CA174" s="370">
        <v>23683.33</v>
      </c>
      <c r="CB174" s="370">
        <v>25850</v>
      </c>
      <c r="CC174" s="370">
        <v>40145.83</v>
      </c>
      <c r="CD174" s="370">
        <v>46335.59</v>
      </c>
      <c r="CE174" s="370">
        <v>41301.49</v>
      </c>
      <c r="CF174" s="370">
        <v>36721.03</v>
      </c>
      <c r="CG174" s="370">
        <v>0</v>
      </c>
      <c r="CH174" s="370">
        <v>0</v>
      </c>
      <c r="CI174" s="48" t="s">
        <v>1987</v>
      </c>
      <c r="CJ174" s="48" t="s">
        <v>1990</v>
      </c>
      <c r="CK174" s="48" t="s">
        <v>1990</v>
      </c>
      <c r="CL174" s="48" t="s">
        <v>2010</v>
      </c>
      <c r="CM174" s="48" t="s">
        <v>1990</v>
      </c>
      <c r="CN174" s="48" t="s">
        <v>1987</v>
      </c>
      <c r="CO174" s="48" t="str">
        <f t="shared" si="40"/>
        <v>2.1.1.13.1.2</v>
      </c>
      <c r="CP174" s="48" t="str">
        <f>+VLOOKUP(Tabla1[[#This Row],[ESPECÍFICA]],CLASIFICADOR_,2,0)</f>
        <v>2.1.1.13.1.2 - CONTRATO ADMINISTRATIVO DE SERVICIOS - TRANSITORIO</v>
      </c>
      <c r="CQ174" s="48" t="str">
        <f>+VLOOKUP(Tabla1[[#This Row],[ESPECÍFICA]],CLASIFICADOR_,3,0)</f>
        <v>01.CAS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2.1.PERSONAL Y OBLIGACIONES SOCIALES</v>
      </c>
      <c r="CX174" s="48" t="str">
        <f t="shared" si="29"/>
        <v>0010-OA</v>
      </c>
      <c r="CY174" s="113" t="str">
        <f t="shared" si="30"/>
        <v>0010-OA</v>
      </c>
      <c r="CZ174" s="20" t="str">
        <f t="shared" si="31"/>
        <v>0010-OA</v>
      </c>
      <c r="DA174" s="113" t="str">
        <f>+CONCATENATE(Tabla1[[#This Row],[CC COMPLETO]],Tabla1[[#This Row],[ESPECÍFICA]])</f>
        <v>0010-OA2.1.1.13.1.2</v>
      </c>
      <c r="DB174" s="49">
        <f t="shared" si="32"/>
        <v>279733.84999999998</v>
      </c>
      <c r="DC174" s="49">
        <f t="shared" si="33"/>
        <v>279733.84999999998</v>
      </c>
      <c r="DD174" s="49">
        <f t="shared" si="34"/>
        <v>275193.27999999997</v>
      </c>
      <c r="DE174" s="49">
        <f t="shared" si="35"/>
        <v>176187.44</v>
      </c>
      <c r="DF174" s="49">
        <f t="shared" si="36"/>
        <v>31994.650000000023</v>
      </c>
      <c r="DG174" s="49">
        <f t="shared" si="37"/>
        <v>80582.06</v>
      </c>
      <c r="DH174" s="49">
        <f t="shared" si="38"/>
        <v>288764.15000000002</v>
      </c>
      <c r="DI174" s="50">
        <f t="shared" si="39"/>
        <v>0.36624349299285669</v>
      </c>
      <c r="DJ174" s="78">
        <f>+SUM(Tabla1[[#This Row],[EJECUTADO 01]:[EJECUTADO 06]])</f>
        <v>110713.99</v>
      </c>
      <c r="DK174" s="78">
        <f>+Tabla1[[#This Row],[mto_devenga_01]]</f>
        <v>13317.5</v>
      </c>
      <c r="DL174" s="78">
        <f>+Tabla1[[#This Row],[mto_devenga_02]]</f>
        <v>13329.83</v>
      </c>
      <c r="DM174" s="78">
        <f>+Tabla1[[#This Row],[mto_devenga_03]]</f>
        <v>13850</v>
      </c>
      <c r="DN174" s="78">
        <f>+Tabla1[[#This Row],[mto_devenga_04]]</f>
        <v>20683.330000000002</v>
      </c>
      <c r="DO174" s="78">
        <f>+Tabla1[[#This Row],[mto_devenga_05]]</f>
        <v>23683.33</v>
      </c>
      <c r="DP174" s="76">
        <f>+Tabla1[[#This Row],[mto_devenga_06]]</f>
        <v>25850</v>
      </c>
      <c r="DQ174" s="76">
        <f>+Tabla1[[#This Row],[mto_devenga_07]]</f>
        <v>40145.83</v>
      </c>
      <c r="DR174" s="76">
        <f>+Tabla1[[#This Row],[mto_devenga_08]]</f>
        <v>46335.59</v>
      </c>
      <c r="DS174" s="76">
        <f>+Tabla1[[#This Row],[mto_devenga_09]]</f>
        <v>41301.49</v>
      </c>
      <c r="DT174" s="76">
        <f>IFERROR(VLOOKUP(Tabla1[[#This Row],[COD SE]],PF_OCTUBRE,14,0),"0")</f>
        <v>47220.950000000004</v>
      </c>
      <c r="DU174" s="76">
        <f>IFERROR(VLOOKUP(Tabla1[[#This Row],[COD SE]],PF_OCTUBRE,15,0),"0")</f>
        <v>47220.950000000004</v>
      </c>
      <c r="DV174" s="76">
        <f>IFERROR(VLOOKUP(Tabla1[[#This Row],[COD SE]],PF_OCTUBRE,16,0),"0")</f>
        <v>197220.95</v>
      </c>
      <c r="DW174" s="76">
        <f>+SUM(Tabla1[[#This Row],[EJECUTADO 01]:[PF DICIEMBRE
]])</f>
        <v>530159.75</v>
      </c>
      <c r="DX174" s="76">
        <f>IFERROR(VLOOKUP(Tabla1[[#This Row],[COD SE]],PF_OCTUBRE,18,0),"0")</f>
        <v>0</v>
      </c>
      <c r="DY174" s="76">
        <f>IFERROR(VLOOKUP(Tabla1[[#This Row],[COD SE]],PF_OCTUBRE,19,0),"0")</f>
        <v>38338.25</v>
      </c>
      <c r="DZ174" s="76">
        <f>IFERROR(VLOOKUP(Tabla1[[#This Row],[COD SE]],PF_OCTUBRE,20,0),"0")</f>
        <v>38338.25</v>
      </c>
      <c r="EA174" s="76">
        <f>+Tabla1[[#This Row],[TOTAL EJEC REAL]]+Tabla1[[#This Row],[SALDO FINAL]]</f>
        <v>568498</v>
      </c>
      <c r="EB174" s="76">
        <f>IFERROR(VLOOKUP(Tabla1[[#This Row],[COD SE]],PF_OCTUBRE,22,0),"0")</f>
        <v>235559.19999999998</v>
      </c>
      <c r="EC174" s="76">
        <f>+IFERROR(VLOOKUP(Tabla1[[#This Row],[COD SE]],SALDO_ESC_2,7,0),0)</f>
        <v>0</v>
      </c>
      <c r="ED174" s="76">
        <f>+IFERROR(VLOOKUP(Tabla1[[#This Row],[COD SE]],SALDO_ESC_3,7,0),0)</f>
        <v>38338.25</v>
      </c>
      <c r="EE174" s="76">
        <f>+Tabla1[[#This Row],[mto_pim]]-Tabla1[[#This Row],[TRANSF ESC2 ]]</f>
        <v>568498</v>
      </c>
      <c r="EF174" s="76">
        <f>+Tabla1[[#This Row],[mto_pim]]-Tabla1[[#This Row],[TRANFS ESC 3 ]]</f>
        <v>530159.75</v>
      </c>
      <c r="EG174" s="76">
        <f>+IFERROR(VLOOKUP(Tabla1[[#This Row],[COD SE]],HISTORICO,4,0),0)</f>
        <v>34520.949999999997</v>
      </c>
      <c r="EH174" s="76">
        <f>+IFERROR(VLOOKUP(Tabla1[[#This Row],[COD SE]],HISTORICO,5,0),0)</f>
        <v>13528.380000000001</v>
      </c>
      <c r="EI174" s="76">
        <f>+IFERROR(VLOOKUP(Tabla1[[#This Row],[COD SE]],HISTORICO,6,0),0)</f>
        <v>34520.949999999997</v>
      </c>
      <c r="EJ174" s="76">
        <f>+IFERROR(VLOOKUP(Tabla1[[#This Row],[COD SE]],HISTORICO,7,0),0)</f>
        <v>44276.090000000004</v>
      </c>
      <c r="EK174" s="76">
        <f>+IFERROR(VLOOKUP(Tabla1[[#This Row],[COD SE]],HISTORICO,8,0),0)</f>
        <v>21556.76</v>
      </c>
      <c r="EL174" s="76">
        <f>+IFERROR(VLOOKUP(Tabla1[[#This Row],[COD SE]],HISTORICO,9,0),0)</f>
        <v>26720.949999999997</v>
      </c>
      <c r="EM174" s="76">
        <f>+IFERROR(VLOOKUP(Tabla1[[#This Row],[COD SE]],HISTORICO,10,0),0)</f>
        <v>44456.76</v>
      </c>
      <c r="EN174" s="76">
        <f>+IFERROR(VLOOKUP(Tabla1[[#This Row],[COD SE]],HISTORICO,11,0),0)</f>
        <v>46956.76</v>
      </c>
      <c r="EO174" s="76">
        <f>+IFERROR(VLOOKUP(Tabla1[[#This Row],[COD SE]],HISTORICO,12,0),0)</f>
        <v>47220.950000000004</v>
      </c>
      <c r="EP174" s="58">
        <f>+SUM(Tabla1[[#This Row],[EJECUTADO 01]:[EJECUTADO 03]])</f>
        <v>40497.33</v>
      </c>
      <c r="EQ174" s="58">
        <f>+SUM(Tabla1[[#This Row],[EJECUTADO 04]:[EJECUTADO 06]])</f>
        <v>70216.66</v>
      </c>
      <c r="ER174" s="58">
        <f>+SUM(Tabla1[[#This Row],[EJECUTADO 07]:[EJECUTADO 09]])</f>
        <v>127782.91</v>
      </c>
      <c r="ES174" s="58">
        <f>+SUM(Tabla1[[#This Row],[PF OCTUBRE]:[PF DICIEMBRE
]])</f>
        <v>291662.85000000003</v>
      </c>
      <c r="ET174" s="58">
        <f>+SUM(Tabla1[[#This Row],[EJECUTADO 01]:[EJECUTADO 09]])</f>
        <v>238496.9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1656</v>
      </c>
      <c r="AD175" s="369" t="s">
        <v>2006</v>
      </c>
      <c r="AE175" s="369" t="s">
        <v>2007</v>
      </c>
      <c r="AF175" s="369" t="s">
        <v>2007</v>
      </c>
      <c r="AG175" s="369" t="s">
        <v>2009</v>
      </c>
      <c r="AH175" s="369">
        <v>0</v>
      </c>
      <c r="AI175" s="369">
        <v>13614</v>
      </c>
      <c r="AJ175" s="369">
        <v>13614</v>
      </c>
      <c r="AK175" s="370">
        <v>12138</v>
      </c>
      <c r="AL175" s="370">
        <v>12138</v>
      </c>
      <c r="AM175" s="370">
        <v>0</v>
      </c>
      <c r="AN175" s="370">
        <v>0</v>
      </c>
      <c r="AO175" s="370">
        <v>0</v>
      </c>
      <c r="AP175" s="370">
        <v>4542.34</v>
      </c>
      <c r="AQ175" s="370">
        <v>1333.76</v>
      </c>
      <c r="AR175" s="370">
        <v>0</v>
      </c>
      <c r="AS175" s="370">
        <v>0</v>
      </c>
      <c r="AT175" s="370">
        <v>0</v>
      </c>
      <c r="AU175" s="370">
        <v>3419.83</v>
      </c>
      <c r="AV175" s="370">
        <v>0</v>
      </c>
      <c r="AW175" s="370">
        <v>0</v>
      </c>
      <c r="AX175" s="370">
        <v>0</v>
      </c>
      <c r="AY175" s="370">
        <v>0</v>
      </c>
      <c r="AZ175" s="370">
        <v>0</v>
      </c>
      <c r="BA175" s="370">
        <v>0</v>
      </c>
      <c r="BB175" s="370">
        <v>4542.34</v>
      </c>
      <c r="BC175" s="370">
        <v>1333.76</v>
      </c>
      <c r="BD175" s="370">
        <v>0</v>
      </c>
      <c r="BE175" s="370">
        <v>0</v>
      </c>
      <c r="BF175" s="370">
        <v>0</v>
      </c>
      <c r="BG175" s="370">
        <v>3419.83</v>
      </c>
      <c r="BH175" s="370">
        <v>0</v>
      </c>
      <c r="BI175" s="370">
        <v>0</v>
      </c>
      <c r="BJ175" s="370">
        <v>0</v>
      </c>
      <c r="BK175" s="370">
        <v>0</v>
      </c>
      <c r="BL175" s="370">
        <v>0</v>
      </c>
      <c r="BM175" s="370">
        <v>0</v>
      </c>
      <c r="BN175" s="370">
        <v>4542.34</v>
      </c>
      <c r="BO175" s="370">
        <v>1333.76</v>
      </c>
      <c r="BP175" s="370">
        <v>0</v>
      </c>
      <c r="BQ175" s="370">
        <v>0</v>
      </c>
      <c r="BR175" s="370">
        <v>0</v>
      </c>
      <c r="BS175" s="370">
        <v>3419.83</v>
      </c>
      <c r="BT175" s="370">
        <v>0</v>
      </c>
      <c r="BU175" s="370">
        <v>0</v>
      </c>
      <c r="BV175" s="370">
        <v>0</v>
      </c>
      <c r="BW175" s="370">
        <v>0</v>
      </c>
      <c r="BX175" s="370">
        <v>0</v>
      </c>
      <c r="BY175" s="370">
        <v>0</v>
      </c>
      <c r="BZ175" s="370">
        <v>4542.34</v>
      </c>
      <c r="CA175" s="370">
        <v>1333.76</v>
      </c>
      <c r="CB175" s="370">
        <v>0</v>
      </c>
      <c r="CC175" s="370">
        <v>0</v>
      </c>
      <c r="CD175" s="370">
        <v>0</v>
      </c>
      <c r="CE175" s="370">
        <v>3419.83</v>
      </c>
      <c r="CF175" s="370">
        <v>0</v>
      </c>
      <c r="CG175" s="370">
        <v>0</v>
      </c>
      <c r="CH175" s="370">
        <v>0</v>
      </c>
      <c r="CI175" s="48" t="s">
        <v>1987</v>
      </c>
      <c r="CJ175" s="48" t="s">
        <v>1990</v>
      </c>
      <c r="CK175" s="48" t="s">
        <v>1993</v>
      </c>
      <c r="CL175" s="48" t="s">
        <v>1990</v>
      </c>
      <c r="CM175" s="48" t="s">
        <v>1990</v>
      </c>
      <c r="CN175" s="48" t="s">
        <v>1990</v>
      </c>
      <c r="CO175" s="48" t="str">
        <f t="shared" si="40"/>
        <v>2.1.4.1.1.1</v>
      </c>
      <c r="CP175" s="48" t="str">
        <f>+VLOOKUP(Tabla1[[#This Row],[ESPECÍFICA]],CLASIFICADOR_,2,0)</f>
        <v>2.1.4.1.1.1 - COMPENSACION POR TIEMPO DE SERVICIOS DEL REGIMEN LABORAL PRIVADO Y REGIMEN DEL SERVICIO CIVIL</v>
      </c>
      <c r="CQ175" s="48" t="str">
        <f>+VLOOKUP(Tabla1[[#This Row],[ESPECÍFICA]],CLASIFICADOR_,3,0)</f>
        <v>02.SERVIR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2.1.PERSONAL Y OBLIGACIONES SOCIALES</v>
      </c>
      <c r="CX175" s="48" t="str">
        <f t="shared" si="29"/>
        <v>0010-OA</v>
      </c>
      <c r="CY175" s="113" t="str">
        <f t="shared" si="30"/>
        <v>0010-OA</v>
      </c>
      <c r="CZ175" s="20" t="str">
        <f t="shared" si="31"/>
        <v>0010-OA</v>
      </c>
      <c r="DA175" s="113" t="str">
        <f>+CONCATENATE(Tabla1[[#This Row],[CC COMPLETO]],Tabla1[[#This Row],[ESPECÍFICA]])</f>
        <v>0010-OA2.1.4.1.1.1</v>
      </c>
      <c r="DB175" s="49">
        <f t="shared" si="32"/>
        <v>9295.93</v>
      </c>
      <c r="DC175" s="49">
        <f t="shared" si="33"/>
        <v>9295.93</v>
      </c>
      <c r="DD175" s="49">
        <f t="shared" si="34"/>
        <v>9295.93</v>
      </c>
      <c r="DE175" s="49">
        <f t="shared" si="35"/>
        <v>1476</v>
      </c>
      <c r="DF175" s="49">
        <f t="shared" si="36"/>
        <v>0</v>
      </c>
      <c r="DG175" s="49">
        <f t="shared" si="37"/>
        <v>2842.0699999999997</v>
      </c>
      <c r="DH175" s="49">
        <f t="shared" si="38"/>
        <v>4318.07</v>
      </c>
      <c r="DI175" s="50">
        <f t="shared" si="39"/>
        <v>0</v>
      </c>
      <c r="DJ175" s="78">
        <f>+SUM(Tabla1[[#This Row],[EJECUTADO 01]:[EJECUTADO 06]])</f>
        <v>5876.1</v>
      </c>
      <c r="DK175" s="78">
        <f>+Tabla1[[#This Row],[mto_devenga_01]]</f>
        <v>0</v>
      </c>
      <c r="DL175" s="78">
        <f>+Tabla1[[#This Row],[mto_devenga_02]]</f>
        <v>0</v>
      </c>
      <c r="DM175" s="78">
        <f>+Tabla1[[#This Row],[mto_devenga_03]]</f>
        <v>0</v>
      </c>
      <c r="DN175" s="78">
        <f>+Tabla1[[#This Row],[mto_devenga_04]]</f>
        <v>4542.34</v>
      </c>
      <c r="DO175" s="78">
        <f>+Tabla1[[#This Row],[mto_devenga_05]]</f>
        <v>1333.76</v>
      </c>
      <c r="DP175" s="76">
        <f>+Tabla1[[#This Row],[mto_devenga_06]]</f>
        <v>0</v>
      </c>
      <c r="DQ175" s="76">
        <f>+Tabla1[[#This Row],[mto_devenga_07]]</f>
        <v>0</v>
      </c>
      <c r="DR175" s="76">
        <f>+Tabla1[[#This Row],[mto_devenga_08]]</f>
        <v>0</v>
      </c>
      <c r="DS175" s="76">
        <f>+Tabla1[[#This Row],[mto_devenga_09]]</f>
        <v>3419.83</v>
      </c>
      <c r="DT175" s="76">
        <f>IFERROR(VLOOKUP(Tabla1[[#This Row],[COD SE]],PF_OCTUBRE,14,0),"0")</f>
        <v>0</v>
      </c>
      <c r="DU175" s="76">
        <f>IFERROR(VLOOKUP(Tabla1[[#This Row],[COD SE]],PF_OCTUBRE,15,0),"0")</f>
        <v>4318.07</v>
      </c>
      <c r="DV175" s="76">
        <f>IFERROR(VLOOKUP(Tabla1[[#This Row],[COD SE]],PF_OCTUBRE,16,0),"0")</f>
        <v>0</v>
      </c>
      <c r="DW175" s="76">
        <f>+SUM(Tabla1[[#This Row],[EJECUTADO 01]:[PF DICIEMBRE
]])</f>
        <v>13614</v>
      </c>
      <c r="DX175" s="76">
        <f>IFERROR(VLOOKUP(Tabla1[[#This Row],[COD SE]],PF_OCTUBRE,18,0),"0")</f>
        <v>0</v>
      </c>
      <c r="DY175" s="76">
        <f>IFERROR(VLOOKUP(Tabla1[[#This Row],[COD SE]],PF_OCTUBRE,19,0),"0")</f>
        <v>0</v>
      </c>
      <c r="DZ175" s="76">
        <f>IFERROR(VLOOKUP(Tabla1[[#This Row],[COD SE]],PF_OCTUBRE,20,0),"0")</f>
        <v>0</v>
      </c>
      <c r="EA175" s="76">
        <f>+Tabla1[[#This Row],[TOTAL EJEC REAL]]+Tabla1[[#This Row],[SALDO FINAL]]</f>
        <v>13614</v>
      </c>
      <c r="EB175" s="76">
        <f>IFERROR(VLOOKUP(Tabla1[[#This Row],[COD SE]],PF_OCTUBRE,22,0),"0")</f>
        <v>0</v>
      </c>
      <c r="EC175" s="76">
        <f>+IFERROR(VLOOKUP(Tabla1[[#This Row],[COD SE]],SALDO_ESC_2,7,0),0)</f>
        <v>0</v>
      </c>
      <c r="ED175" s="76">
        <f>+IFERROR(VLOOKUP(Tabla1[[#This Row],[COD SE]],SALDO_ESC_3,7,0),0)</f>
        <v>0</v>
      </c>
      <c r="EE175" s="76">
        <f>+Tabla1[[#This Row],[mto_pim]]-Tabla1[[#This Row],[TRANSF ESC2 ]]</f>
        <v>13614</v>
      </c>
      <c r="EF175" s="76">
        <f>+Tabla1[[#This Row],[mto_pim]]-Tabla1[[#This Row],[TRANFS ESC 3 ]]</f>
        <v>13614</v>
      </c>
      <c r="EG175" s="76">
        <f>+IFERROR(VLOOKUP(Tabla1[[#This Row],[COD SE]],HISTORICO,4,0),0)</f>
        <v>0</v>
      </c>
      <c r="EH175" s="76">
        <f>+IFERROR(VLOOKUP(Tabla1[[#This Row],[COD SE]],HISTORICO,5,0),0)</f>
        <v>0</v>
      </c>
      <c r="EI175" s="76">
        <f>+IFERROR(VLOOKUP(Tabla1[[#This Row],[COD SE]],HISTORICO,6,0),0)</f>
        <v>0</v>
      </c>
      <c r="EJ175" s="76">
        <f>+IFERROR(VLOOKUP(Tabla1[[#This Row],[COD SE]],HISTORICO,7,0),0)</f>
        <v>0</v>
      </c>
      <c r="EK175" s="76">
        <f>+IFERROR(VLOOKUP(Tabla1[[#This Row],[COD SE]],HISTORICO,8,0),0)</f>
        <v>7595</v>
      </c>
      <c r="EL175" s="76">
        <f>+IFERROR(VLOOKUP(Tabla1[[#This Row],[COD SE]],HISTORICO,9,0),0)</f>
        <v>0</v>
      </c>
      <c r="EM175" s="76">
        <f>+IFERROR(VLOOKUP(Tabla1[[#This Row],[COD SE]],HISTORICO,10,0),0)</f>
        <v>0</v>
      </c>
      <c r="EN175" s="76">
        <f>+IFERROR(VLOOKUP(Tabla1[[#This Row],[COD SE]],HISTORICO,11,0),0)</f>
        <v>0</v>
      </c>
      <c r="EO175" s="76">
        <f>+IFERROR(VLOOKUP(Tabla1[[#This Row],[COD SE]],HISTORICO,12,0),0)</f>
        <v>0</v>
      </c>
      <c r="EP175" s="58">
        <f>+SUM(Tabla1[[#This Row],[EJECUTADO 01]:[EJECUTADO 03]])</f>
        <v>0</v>
      </c>
      <c r="EQ175" s="58">
        <f>+SUM(Tabla1[[#This Row],[EJECUTADO 04]:[EJECUTADO 06]])</f>
        <v>5876.1</v>
      </c>
      <c r="ER175" s="58">
        <f>+SUM(Tabla1[[#This Row],[EJECUTADO 07]:[EJECUTADO 09]])</f>
        <v>3419.83</v>
      </c>
      <c r="ES175" s="58">
        <f>+SUM(Tabla1[[#This Row],[PF OCTUBRE]:[PF DICIEMBRE
]])</f>
        <v>4318.07</v>
      </c>
      <c r="ET175" s="58">
        <f>+SUM(Tabla1[[#This Row],[EJECUTADO 01]:[EJECUTADO 09]])</f>
        <v>9295.93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1656</v>
      </c>
      <c r="AD176" s="369" t="s">
        <v>2006</v>
      </c>
      <c r="AE176" s="369" t="s">
        <v>2007</v>
      </c>
      <c r="AF176" s="369" t="s">
        <v>2007</v>
      </c>
      <c r="AG176" s="369" t="s">
        <v>2015</v>
      </c>
      <c r="AH176" s="369">
        <v>0</v>
      </c>
      <c r="AI176" s="369">
        <v>2070</v>
      </c>
      <c r="AJ176" s="369">
        <v>2070</v>
      </c>
      <c r="AK176" s="370">
        <v>2070</v>
      </c>
      <c r="AL176" s="370">
        <v>2070</v>
      </c>
      <c r="AM176" s="370">
        <v>0</v>
      </c>
      <c r="AN176" s="370">
        <v>0</v>
      </c>
      <c r="AO176" s="370">
        <v>0</v>
      </c>
      <c r="AP176" s="370">
        <v>0</v>
      </c>
      <c r="AQ176" s="370">
        <v>0</v>
      </c>
      <c r="AR176" s="370">
        <v>0</v>
      </c>
      <c r="AS176" s="370">
        <v>0</v>
      </c>
      <c r="AT176" s="370">
        <v>0</v>
      </c>
      <c r="AU176" s="370">
        <v>2069.4899999999998</v>
      </c>
      <c r="AV176" s="370">
        <v>0</v>
      </c>
      <c r="AW176" s="370">
        <v>0</v>
      </c>
      <c r="AX176" s="370">
        <v>0</v>
      </c>
      <c r="AY176" s="370">
        <v>0</v>
      </c>
      <c r="AZ176" s="370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0">
        <v>0</v>
      </c>
      <c r="BG176" s="370">
        <v>2069.4899999999998</v>
      </c>
      <c r="BH176" s="370">
        <v>0</v>
      </c>
      <c r="BI176" s="370">
        <v>0</v>
      </c>
      <c r="BJ176" s="370">
        <v>0</v>
      </c>
      <c r="BK176" s="370">
        <v>0</v>
      </c>
      <c r="BL176" s="370">
        <v>0</v>
      </c>
      <c r="BM176" s="370">
        <v>0</v>
      </c>
      <c r="BN176" s="370">
        <v>0</v>
      </c>
      <c r="BO176" s="370">
        <v>0</v>
      </c>
      <c r="BP176" s="370">
        <v>0</v>
      </c>
      <c r="BQ176" s="370">
        <v>0</v>
      </c>
      <c r="BR176" s="370">
        <v>0</v>
      </c>
      <c r="BS176" s="370">
        <v>0</v>
      </c>
      <c r="BT176" s="370">
        <v>2069.4899999999998</v>
      </c>
      <c r="BU176" s="370">
        <v>0</v>
      </c>
      <c r="BV176" s="370">
        <v>0</v>
      </c>
      <c r="BW176" s="370">
        <v>0</v>
      </c>
      <c r="BX176" s="370">
        <v>0</v>
      </c>
      <c r="BY176" s="370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0">
        <v>2044.84</v>
      </c>
      <c r="CF176" s="370">
        <v>0</v>
      </c>
      <c r="CG176" s="370">
        <v>0</v>
      </c>
      <c r="CH176" s="370">
        <v>0</v>
      </c>
      <c r="CI176" s="48" t="s">
        <v>1987</v>
      </c>
      <c r="CJ176" s="48" t="s">
        <v>1990</v>
      </c>
      <c r="CK176" s="48" t="s">
        <v>1993</v>
      </c>
      <c r="CL176" s="48" t="s">
        <v>1990</v>
      </c>
      <c r="CM176" s="48" t="s">
        <v>1990</v>
      </c>
      <c r="CN176" s="48" t="s">
        <v>1989</v>
      </c>
      <c r="CO176" s="48" t="str">
        <f t="shared" si="40"/>
        <v>2.1.4.1.1.7</v>
      </c>
      <c r="CP176" s="48" t="str">
        <f>+VLOOKUP(Tabla1[[#This Row],[ESPECÍFICA]],CLASIFICADOR_,2,0)</f>
        <v>2.1.4.1.1.7 - VACACIONES TRUNCAS PERSONAL CAS</v>
      </c>
      <c r="CQ176" s="48" t="str">
        <f>+VLOOKUP(Tabla1[[#This Row],[ESPECÍFICA]],CLASIFICADOR_,3,0)</f>
        <v>01.CAS</v>
      </c>
      <c r="CR176" s="48" t="str">
        <f>+VLOOKUP(Tabla1[[#This Row],[ESPECÍFICA]],CLASIFICADOR_,4,0)</f>
        <v xml:space="preserve"> </v>
      </c>
      <c r="CS176" s="48">
        <f>+VLOOKUP(Tabla1[[#This Row],[ESPECÍFICA]],CLASIFICADOR_,5,0)</f>
        <v>0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2.1.PERSONAL Y OBLIGACIONES SOCIALES</v>
      </c>
      <c r="CX176" s="48" t="str">
        <f t="shared" si="29"/>
        <v>0010-OA</v>
      </c>
      <c r="CY176" s="113" t="str">
        <f t="shared" si="30"/>
        <v>0010-OA</v>
      </c>
      <c r="CZ176" s="20" t="str">
        <f t="shared" si="31"/>
        <v>0010-OA</v>
      </c>
      <c r="DA176" s="113" t="str">
        <f>+CONCATENATE(Tabla1[[#This Row],[CC COMPLETO]],Tabla1[[#This Row],[ESPECÍFICA]])</f>
        <v>0010-OA2.1.4.1.1.7</v>
      </c>
      <c r="DB176" s="49">
        <f t="shared" si="32"/>
        <v>2069.4899999999998</v>
      </c>
      <c r="DC176" s="49">
        <f t="shared" si="33"/>
        <v>2069.4899999999998</v>
      </c>
      <c r="DD176" s="49">
        <f t="shared" si="34"/>
        <v>2069.4899999999998</v>
      </c>
      <c r="DE176" s="49">
        <f t="shared" si="35"/>
        <v>0</v>
      </c>
      <c r="DF176" s="49">
        <f t="shared" si="36"/>
        <v>0</v>
      </c>
      <c r="DG176" s="49">
        <f t="shared" si="37"/>
        <v>0.51000000000021828</v>
      </c>
      <c r="DH176" s="49">
        <f t="shared" si="38"/>
        <v>0.51000000000021828</v>
      </c>
      <c r="DI176" s="50">
        <f t="shared" si="39"/>
        <v>0</v>
      </c>
      <c r="DJ176" s="78">
        <f>+SUM(Tabla1[[#This Row],[EJECUTADO 01]:[EJECUTADO 06]])</f>
        <v>0</v>
      </c>
      <c r="DK176" s="78">
        <f>+Tabla1[[#This Row],[mto_devenga_01]]</f>
        <v>0</v>
      </c>
      <c r="DL176" s="78">
        <f>+Tabla1[[#This Row],[mto_devenga_02]]</f>
        <v>0</v>
      </c>
      <c r="DM176" s="78">
        <f>+Tabla1[[#This Row],[mto_devenga_03]]</f>
        <v>0</v>
      </c>
      <c r="DN176" s="78">
        <f>+Tabla1[[#This Row],[mto_devenga_04]]</f>
        <v>0</v>
      </c>
      <c r="DO176" s="78">
        <f>+Tabla1[[#This Row],[mto_devenga_05]]</f>
        <v>0</v>
      </c>
      <c r="DP176" s="76">
        <f>+Tabla1[[#This Row],[mto_devenga_06]]</f>
        <v>0</v>
      </c>
      <c r="DQ176" s="76">
        <f>+Tabla1[[#This Row],[mto_devenga_07]]</f>
        <v>0</v>
      </c>
      <c r="DR176" s="76">
        <f>+Tabla1[[#This Row],[mto_devenga_08]]</f>
        <v>0</v>
      </c>
      <c r="DS176" s="76">
        <f>+Tabla1[[#This Row],[mto_devenga_09]]</f>
        <v>2069.4899999999998</v>
      </c>
      <c r="DT176" s="76">
        <f>IFERROR(VLOOKUP(Tabla1[[#This Row],[COD SE]],PF_OCTUBRE,14,0),"0")</f>
        <v>0</v>
      </c>
      <c r="DU176" s="76">
        <f>IFERROR(VLOOKUP(Tabla1[[#This Row],[COD SE]],PF_OCTUBRE,15,0),"0")</f>
        <v>0</v>
      </c>
      <c r="DV176" s="76">
        <f>IFERROR(VLOOKUP(Tabla1[[#This Row],[COD SE]],PF_OCTUBRE,16,0),"0")</f>
        <v>0</v>
      </c>
      <c r="DW176" s="76">
        <f>+SUM(Tabla1[[#This Row],[EJECUTADO 01]:[PF DICIEMBRE
]])</f>
        <v>2069.4899999999998</v>
      </c>
      <c r="DX176" s="76">
        <f>IFERROR(VLOOKUP(Tabla1[[#This Row],[COD SE]],PF_OCTUBRE,18,0),"0")</f>
        <v>0</v>
      </c>
      <c r="DY176" s="76">
        <f>IFERROR(VLOOKUP(Tabla1[[#This Row],[COD SE]],PF_OCTUBRE,19,0),"0")</f>
        <v>0.51</v>
      </c>
      <c r="DZ176" s="76">
        <f>IFERROR(VLOOKUP(Tabla1[[#This Row],[COD SE]],PF_OCTUBRE,20,0),"0")</f>
        <v>0.51</v>
      </c>
      <c r="EA176" s="76">
        <f>+Tabla1[[#This Row],[TOTAL EJEC REAL]]+Tabla1[[#This Row],[SALDO FINAL]]</f>
        <v>2070</v>
      </c>
      <c r="EB176" s="76">
        <f>IFERROR(VLOOKUP(Tabla1[[#This Row],[COD SE]],PF_OCTUBRE,22,0),"0")</f>
        <v>0.51</v>
      </c>
      <c r="EC176" s="76">
        <f>+IFERROR(VLOOKUP(Tabla1[[#This Row],[COD SE]],SALDO_ESC_2,7,0),0)</f>
        <v>0</v>
      </c>
      <c r="ED176" s="76">
        <f>+IFERROR(VLOOKUP(Tabla1[[#This Row],[COD SE]],SALDO_ESC_3,7,0),0)</f>
        <v>0.51</v>
      </c>
      <c r="EE176" s="76">
        <f>+Tabla1[[#This Row],[mto_pim]]-Tabla1[[#This Row],[TRANSF ESC2 ]]</f>
        <v>2070</v>
      </c>
      <c r="EF176" s="76">
        <f>+Tabla1[[#This Row],[mto_pim]]-Tabla1[[#This Row],[TRANFS ESC 3 ]]</f>
        <v>2069.4899999999998</v>
      </c>
      <c r="EG176" s="76">
        <f>+IFERROR(VLOOKUP(Tabla1[[#This Row],[COD SE]],HISTORICO,4,0),0)</f>
        <v>0</v>
      </c>
      <c r="EH176" s="76">
        <f>+IFERROR(VLOOKUP(Tabla1[[#This Row],[COD SE]],HISTORICO,5,0),0)</f>
        <v>0</v>
      </c>
      <c r="EI176" s="76">
        <f>+IFERROR(VLOOKUP(Tabla1[[#This Row],[COD SE]],HISTORICO,6,0),0)</f>
        <v>0</v>
      </c>
      <c r="EJ176" s="76">
        <f>+IFERROR(VLOOKUP(Tabla1[[#This Row],[COD SE]],HISTORICO,7,0),0)</f>
        <v>0</v>
      </c>
      <c r="EK176" s="76">
        <f>+IFERROR(VLOOKUP(Tabla1[[#This Row],[COD SE]],HISTORICO,8,0),0)</f>
        <v>0</v>
      </c>
      <c r="EL176" s="76">
        <f>+IFERROR(VLOOKUP(Tabla1[[#This Row],[COD SE]],HISTORICO,9,0),0)</f>
        <v>0</v>
      </c>
      <c r="EM176" s="76">
        <f>+IFERROR(VLOOKUP(Tabla1[[#This Row],[COD SE]],HISTORICO,10,0),0)</f>
        <v>0</v>
      </c>
      <c r="EN176" s="76">
        <f>+IFERROR(VLOOKUP(Tabla1[[#This Row],[COD SE]],HISTORICO,11,0),0)</f>
        <v>0</v>
      </c>
      <c r="EO176" s="76">
        <f>+IFERROR(VLOOKUP(Tabla1[[#This Row],[COD SE]],HISTORICO,12,0),0)</f>
        <v>0</v>
      </c>
      <c r="EP176" s="58">
        <f>+SUM(Tabla1[[#This Row],[EJECUTADO 01]:[EJECUTADO 03]])</f>
        <v>0</v>
      </c>
      <c r="EQ176" s="58">
        <f>+SUM(Tabla1[[#This Row],[EJECUTADO 04]:[EJECUTADO 06]])</f>
        <v>0</v>
      </c>
      <c r="ER176" s="58">
        <f>+SUM(Tabla1[[#This Row],[EJECUTADO 07]:[EJECUTADO 09]])</f>
        <v>2069.4899999999998</v>
      </c>
      <c r="ES176" s="58">
        <f>+SUM(Tabla1[[#This Row],[PF OCTUBRE]:[PF DICIEMBRE
]])</f>
        <v>0</v>
      </c>
      <c r="ET176" s="58">
        <f>+SUM(Tabla1[[#This Row],[EJECUTADO 01]:[EJECUTADO 09]])</f>
        <v>2069.4899999999998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1656</v>
      </c>
      <c r="AD177" s="369" t="s">
        <v>1657</v>
      </c>
      <c r="AE177" s="369" t="s">
        <v>1658</v>
      </c>
      <c r="AF177" s="369" t="s">
        <v>1658</v>
      </c>
      <c r="AG177" s="369" t="s">
        <v>1659</v>
      </c>
      <c r="AH177" s="369">
        <v>0</v>
      </c>
      <c r="AI177" s="369">
        <v>182277</v>
      </c>
      <c r="AJ177" s="369">
        <v>182277</v>
      </c>
      <c r="AK177" s="370">
        <v>177734</v>
      </c>
      <c r="AL177" s="370">
        <v>177734</v>
      </c>
      <c r="AM177" s="370">
        <v>15087.5</v>
      </c>
      <c r="AN177" s="370">
        <v>15087.5</v>
      </c>
      <c r="AO177" s="370">
        <v>11567.08</v>
      </c>
      <c r="AP177" s="370">
        <v>15087.5</v>
      </c>
      <c r="AQ177" s="370">
        <v>15087.5</v>
      </c>
      <c r="AR177" s="370">
        <v>15087.5</v>
      </c>
      <c r="AS177" s="370">
        <v>15087.5</v>
      </c>
      <c r="AT177" s="370">
        <v>24140</v>
      </c>
      <c r="AU177" s="370">
        <v>15087.5</v>
      </c>
      <c r="AV177" s="370">
        <v>15087.5</v>
      </c>
      <c r="AW177" s="370">
        <v>0</v>
      </c>
      <c r="AX177" s="370">
        <v>0</v>
      </c>
      <c r="AY177" s="370">
        <v>15087.5</v>
      </c>
      <c r="AZ177" s="370">
        <v>15087.5</v>
      </c>
      <c r="BA177" s="370">
        <v>11567.08</v>
      </c>
      <c r="BB177" s="370">
        <v>15087.5</v>
      </c>
      <c r="BC177" s="370">
        <v>15087.5</v>
      </c>
      <c r="BD177" s="370">
        <v>15087.5</v>
      </c>
      <c r="BE177" s="370">
        <v>15087.5</v>
      </c>
      <c r="BF177" s="370">
        <v>24140</v>
      </c>
      <c r="BG177" s="370">
        <v>6035</v>
      </c>
      <c r="BH177" s="370">
        <v>15087.5</v>
      </c>
      <c r="BI177" s="370">
        <v>0</v>
      </c>
      <c r="BJ177" s="370">
        <v>0</v>
      </c>
      <c r="BK177" s="370">
        <v>15087.5</v>
      </c>
      <c r="BL177" s="370">
        <v>15087.5</v>
      </c>
      <c r="BM177" s="370">
        <v>11567.08</v>
      </c>
      <c r="BN177" s="370">
        <v>13178.61</v>
      </c>
      <c r="BO177" s="370">
        <v>16996.39</v>
      </c>
      <c r="BP177" s="370">
        <v>15087.5</v>
      </c>
      <c r="BQ177" s="370">
        <v>15087.5</v>
      </c>
      <c r="BR177" s="370">
        <v>15087.5</v>
      </c>
      <c r="BS177" s="370">
        <v>15087.5</v>
      </c>
      <c r="BT177" s="370">
        <v>15087.5</v>
      </c>
      <c r="BU177" s="370">
        <v>0</v>
      </c>
      <c r="BV177" s="370">
        <v>0</v>
      </c>
      <c r="BW177" s="370">
        <v>15087.5</v>
      </c>
      <c r="BX177" s="370">
        <v>15087.5</v>
      </c>
      <c r="BY177" s="370">
        <v>11567.08</v>
      </c>
      <c r="BZ177" s="370">
        <v>15087.5</v>
      </c>
      <c r="CA177" s="370">
        <v>15087.5</v>
      </c>
      <c r="CB177" s="370">
        <v>15087.5</v>
      </c>
      <c r="CC177" s="370">
        <v>15087.5</v>
      </c>
      <c r="CD177" s="370">
        <v>15087.5</v>
      </c>
      <c r="CE177" s="370">
        <v>15087.5</v>
      </c>
      <c r="CF177" s="370">
        <v>15087.5</v>
      </c>
      <c r="CG177" s="370">
        <v>0</v>
      </c>
      <c r="CH177" s="370">
        <v>0</v>
      </c>
      <c r="CI177" s="48" t="s">
        <v>1987</v>
      </c>
      <c r="CJ177" s="48" t="s">
        <v>1990</v>
      </c>
      <c r="CK177" s="48" t="s">
        <v>1990</v>
      </c>
      <c r="CL177" s="48" t="s">
        <v>1990</v>
      </c>
      <c r="CM177" s="48" t="s">
        <v>1990</v>
      </c>
      <c r="CN177" s="48" t="s">
        <v>1992</v>
      </c>
      <c r="CO177" s="48" t="str">
        <f t="shared" si="40"/>
        <v>2.1.1.1.1.8</v>
      </c>
      <c r="CP177" s="48" t="str">
        <f>+VLOOKUP(Tabla1[[#This Row],[ESPECÍFICA]],CLASIFICADOR_,2,0)</f>
        <v>2.1.1.1.1.8 - PERSONAL DE LA LEY SERVIR (RÉGIMEN DEL SERVICIO CIVIL)</v>
      </c>
      <c r="CQ177" s="48" t="str">
        <f>+VLOOKUP(Tabla1[[#This Row],[ESPECÍFICA]],CLASIFICADOR_,3,0)</f>
        <v>02.SERVIR</v>
      </c>
      <c r="CR177" s="48" t="str">
        <f>+VLOOKUP(Tabla1[[#This Row],[ESPECÍFICA]],CLASIFICADOR_,4,0)</f>
        <v xml:space="preserve"> </v>
      </c>
      <c r="CS177" s="48">
        <f>+VLOOKUP(Tabla1[[#This Row],[ESPECÍFICA]],CLASIFICADOR_,5,0)</f>
        <v>0</v>
      </c>
      <c r="CT177" s="113" t="str">
        <f>+VLOOKUP(Tabla1[[#This Row],[ESPECÍFICA]],CLASIFICADOR_,6,0)</f>
        <v>N/R</v>
      </c>
      <c r="CU177" s="48" t="str">
        <f>+VLOOKUP(Tabla1[[#This Row],[ESPECÍFICA]],CLASIFICADOR_,7,0)</f>
        <v>N/R</v>
      </c>
      <c r="CV177" s="48">
        <f>+VLOOKUP(Tabla1[[#This Row],[ESPECÍFICA]],CLASIFICADOR_,8,0)</f>
        <v>0</v>
      </c>
      <c r="CW177" s="113" t="str">
        <f>+CONCATENATE("2.",Tabla1[[#This Row],[generica]])</f>
        <v>2.1.PERSONAL Y OBLIGACIONES SOCIALES</v>
      </c>
      <c r="CX177" s="48" t="str">
        <f t="shared" si="29"/>
        <v>0010-OA</v>
      </c>
      <c r="CY177" s="113" t="str">
        <f t="shared" si="30"/>
        <v>0010-OA</v>
      </c>
      <c r="CZ177" s="20" t="str">
        <f t="shared" si="31"/>
        <v>0010-OA</v>
      </c>
      <c r="DA177" s="113" t="str">
        <f>+CONCATENATE(Tabla1[[#This Row],[CC COMPLETO]],Tabla1[[#This Row],[ESPECÍFICA]])</f>
        <v>0010-OA2.1.1.1.1.8</v>
      </c>
      <c r="DB177" s="49">
        <f t="shared" si="32"/>
        <v>156407.08000000002</v>
      </c>
      <c r="DC177" s="49">
        <f t="shared" si="33"/>
        <v>147354.58000000002</v>
      </c>
      <c r="DD177" s="49">
        <f t="shared" si="34"/>
        <v>147354.58000000002</v>
      </c>
      <c r="DE177" s="49">
        <f t="shared" si="35"/>
        <v>4543</v>
      </c>
      <c r="DF177" s="49">
        <f t="shared" si="36"/>
        <v>0</v>
      </c>
      <c r="DG177" s="49">
        <f t="shared" si="37"/>
        <v>30379.419999999984</v>
      </c>
      <c r="DH177" s="49">
        <f t="shared" si="38"/>
        <v>34922.419999999984</v>
      </c>
      <c r="DI177" s="50">
        <f t="shared" si="39"/>
        <v>0</v>
      </c>
      <c r="DJ177" s="78">
        <f>+SUM(Tabla1[[#This Row],[EJECUTADO 01]:[EJECUTADO 06]])</f>
        <v>87004.58</v>
      </c>
      <c r="DK177" s="78">
        <f>+Tabla1[[#This Row],[mto_devenga_01]]</f>
        <v>15087.5</v>
      </c>
      <c r="DL177" s="78">
        <f>+Tabla1[[#This Row],[mto_devenga_02]]</f>
        <v>15087.5</v>
      </c>
      <c r="DM177" s="78">
        <f>+Tabla1[[#This Row],[mto_devenga_03]]</f>
        <v>11567.08</v>
      </c>
      <c r="DN177" s="78">
        <f>+Tabla1[[#This Row],[mto_devenga_04]]</f>
        <v>15087.5</v>
      </c>
      <c r="DO177" s="78">
        <f>+Tabla1[[#This Row],[mto_devenga_05]]</f>
        <v>15087.5</v>
      </c>
      <c r="DP177" s="76">
        <f>+Tabla1[[#This Row],[mto_devenga_06]]</f>
        <v>15087.5</v>
      </c>
      <c r="DQ177" s="76">
        <f>+Tabla1[[#This Row],[mto_devenga_07]]</f>
        <v>15087.5</v>
      </c>
      <c r="DR177" s="76">
        <f>+Tabla1[[#This Row],[mto_devenga_08]]</f>
        <v>24140</v>
      </c>
      <c r="DS177" s="76">
        <f>+Tabla1[[#This Row],[mto_devenga_09]]</f>
        <v>6035</v>
      </c>
      <c r="DT177" s="76">
        <f>IFERROR(VLOOKUP(Tabla1[[#This Row],[COD SE]],PF_OCTUBRE,14,0),"0")</f>
        <v>15189.709999999994</v>
      </c>
      <c r="DU177" s="76">
        <f>IFERROR(VLOOKUP(Tabla1[[#This Row],[COD SE]],PF_OCTUBRE,15,0),"0")</f>
        <v>15189.709999999994</v>
      </c>
      <c r="DV177" s="76">
        <f>IFERROR(VLOOKUP(Tabla1[[#This Row],[COD SE]],PF_OCTUBRE,16,0),"0")</f>
        <v>15189.709999999994</v>
      </c>
      <c r="DW177" s="76">
        <f>+SUM(Tabla1[[#This Row],[EJECUTADO 01]:[PF DICIEMBRE
]])</f>
        <v>177836.21</v>
      </c>
      <c r="DX177" s="76">
        <f>IFERROR(VLOOKUP(Tabla1[[#This Row],[COD SE]],PF_OCTUBRE,18,0),"0")</f>
        <v>0</v>
      </c>
      <c r="DY177" s="76">
        <f>IFERROR(VLOOKUP(Tabla1[[#This Row],[COD SE]],PF_OCTUBRE,19,0),"0")</f>
        <v>4440.7900000000063</v>
      </c>
      <c r="DZ177" s="76">
        <f>IFERROR(VLOOKUP(Tabla1[[#This Row],[COD SE]],PF_OCTUBRE,20,0),"0")</f>
        <v>4440.7900000000063</v>
      </c>
      <c r="EA177" s="76">
        <f>+Tabla1[[#This Row],[TOTAL EJEC REAL]]+Tabla1[[#This Row],[SALDO FINAL]]</f>
        <v>182277</v>
      </c>
      <c r="EB177" s="76">
        <f>IFERROR(VLOOKUP(Tabla1[[#This Row],[COD SE]],PF_OCTUBRE,22,0),"0")</f>
        <v>19630.5</v>
      </c>
      <c r="EC177" s="76">
        <f>+IFERROR(VLOOKUP(Tabla1[[#This Row],[COD SE]],SALDO_ESC_2,7,0),0)</f>
        <v>0</v>
      </c>
      <c r="ED177" s="76">
        <f>+IFERROR(VLOOKUP(Tabla1[[#This Row],[COD SE]],SALDO_ESC_3,7,0),0)</f>
        <v>4440.7900000000063</v>
      </c>
      <c r="EE177" s="76">
        <f>+Tabla1[[#This Row],[mto_pim]]-Tabla1[[#This Row],[TRANSF ESC2 ]]</f>
        <v>182277</v>
      </c>
      <c r="EF177" s="76">
        <f>+Tabla1[[#This Row],[mto_pim]]-Tabla1[[#This Row],[TRANFS ESC 3 ]]</f>
        <v>177836.21</v>
      </c>
      <c r="EG177" s="76">
        <f>+IFERROR(VLOOKUP(Tabla1[[#This Row],[COD SE]],HISTORICO,4,0),0)</f>
        <v>15189.709999999994</v>
      </c>
      <c r="EH177" s="76">
        <f>+IFERROR(VLOOKUP(Tabla1[[#This Row],[COD SE]],HISTORICO,5,0),0)</f>
        <v>15189.709999999994</v>
      </c>
      <c r="EI177" s="76">
        <f>+IFERROR(VLOOKUP(Tabla1[[#This Row],[COD SE]],HISTORICO,6,0),0)</f>
        <v>15189.709999999994</v>
      </c>
      <c r="EJ177" s="76">
        <f>+IFERROR(VLOOKUP(Tabla1[[#This Row],[COD SE]],HISTORICO,7,0),0)</f>
        <v>15189.709999999994</v>
      </c>
      <c r="EK177" s="76">
        <f>+IFERROR(VLOOKUP(Tabla1[[#This Row],[COD SE]],HISTORICO,8,0),0)</f>
        <v>15189.709999999994</v>
      </c>
      <c r="EL177" s="76">
        <f>+IFERROR(VLOOKUP(Tabla1[[#This Row],[COD SE]],HISTORICO,9,0),0)</f>
        <v>15189.709999999994</v>
      </c>
      <c r="EM177" s="76">
        <f>+IFERROR(VLOOKUP(Tabla1[[#This Row],[COD SE]],HISTORICO,10,0),0)</f>
        <v>15189.709999999994</v>
      </c>
      <c r="EN177" s="76">
        <f>+IFERROR(VLOOKUP(Tabla1[[#This Row],[COD SE]],HISTORICO,11,0),0)</f>
        <v>15189.709999999994</v>
      </c>
      <c r="EO177" s="76">
        <f>+IFERROR(VLOOKUP(Tabla1[[#This Row],[COD SE]],HISTORICO,12,0),0)</f>
        <v>15189.709999999994</v>
      </c>
      <c r="EP177" s="58">
        <f>+SUM(Tabla1[[#This Row],[EJECUTADO 01]:[EJECUTADO 03]])</f>
        <v>41742.080000000002</v>
      </c>
      <c r="EQ177" s="58">
        <f>+SUM(Tabla1[[#This Row],[EJECUTADO 04]:[EJECUTADO 06]])</f>
        <v>45262.5</v>
      </c>
      <c r="ER177" s="58">
        <f>+SUM(Tabla1[[#This Row],[EJECUTADO 07]:[EJECUTADO 09]])</f>
        <v>45262.5</v>
      </c>
      <c r="ES177" s="58">
        <f>+SUM(Tabla1[[#This Row],[PF OCTUBRE]:[PF DICIEMBRE
]])</f>
        <v>45569.129999999983</v>
      </c>
      <c r="ET177" s="58">
        <f>+SUM(Tabla1[[#This Row],[EJECUTADO 01]:[EJECUTADO 09]])</f>
        <v>132267.08000000002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1656</v>
      </c>
      <c r="AD178" s="369" t="s">
        <v>1657</v>
      </c>
      <c r="AE178" s="369" t="s">
        <v>1664</v>
      </c>
      <c r="AF178" s="369" t="s">
        <v>1753</v>
      </c>
      <c r="AG178" s="369" t="s">
        <v>2051</v>
      </c>
      <c r="AH178" s="369">
        <v>0</v>
      </c>
      <c r="AI178" s="369">
        <v>49000</v>
      </c>
      <c r="AJ178" s="369">
        <v>49000</v>
      </c>
      <c r="AK178" s="370">
        <v>49000</v>
      </c>
      <c r="AL178" s="370">
        <v>49000</v>
      </c>
      <c r="AM178" s="370">
        <v>49000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0</v>
      </c>
      <c r="AS178" s="370">
        <v>0</v>
      </c>
      <c r="AT178" s="370">
        <v>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49000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49000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0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49000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1990</v>
      </c>
      <c r="CK178" s="48" t="s">
        <v>1990</v>
      </c>
      <c r="CL178" s="48" t="s">
        <v>2005</v>
      </c>
      <c r="CM178" s="48" t="s">
        <v>1991</v>
      </c>
      <c r="CN178" s="48" t="s">
        <v>2020</v>
      </c>
      <c r="CO178" s="48" t="str">
        <f t="shared" si="40"/>
        <v>2.1.1.9.3.14</v>
      </c>
      <c r="CP178" s="48" t="str">
        <f>+VLOOKUP(Tabla1[[#This Row],[ESPECÍFICA]],CLASIFICADOR_,2,0)</f>
        <v>2.1.1.9.3.14 - OTROS BONOS EXTRAORDINARIOS PERSONAL CAS</v>
      </c>
      <c r="CQ178" s="48" t="str">
        <f>+VLOOKUP(Tabla1[[#This Row],[ESPECÍFICA]],CLASIFICADOR_,3,0)</f>
        <v>01.CAS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N/R</v>
      </c>
      <c r="CU178" s="48" t="str">
        <f>+VLOOKUP(Tabla1[[#This Row],[ESPECÍFICA]],CLASIFICADOR_,7,0)</f>
        <v>N/R</v>
      </c>
      <c r="CV178" s="48">
        <f>+VLOOKUP(Tabla1[[#This Row],[ESPECÍFICA]],CLASIFICADOR_,8,0)</f>
        <v>0</v>
      </c>
      <c r="CW178" s="113" t="str">
        <f>+CONCATENATE("2.",Tabla1[[#This Row],[generica]])</f>
        <v>2.1.PERSONAL Y OBLIGACIONES SOCIALES</v>
      </c>
      <c r="CX178" s="48" t="str">
        <f t="shared" si="29"/>
        <v>0010-OA</v>
      </c>
      <c r="CY178" s="113" t="str">
        <f t="shared" si="30"/>
        <v>0010-OA</v>
      </c>
      <c r="CZ178" s="20" t="str">
        <f t="shared" si="31"/>
        <v>0010-OA</v>
      </c>
      <c r="DA178" s="113" t="str">
        <f>+CONCATENATE(Tabla1[[#This Row],[CC COMPLETO]],Tabla1[[#This Row],[ESPECÍFICA]])</f>
        <v>0010-OA2.1.1.9.3.14</v>
      </c>
      <c r="DB178" s="49">
        <f t="shared" si="32"/>
        <v>49000</v>
      </c>
      <c r="DC178" s="49">
        <f t="shared" si="33"/>
        <v>49000</v>
      </c>
      <c r="DD178" s="49">
        <f t="shared" si="34"/>
        <v>49000</v>
      </c>
      <c r="DE178" s="49">
        <f t="shared" si="35"/>
        <v>0</v>
      </c>
      <c r="DF178" s="49">
        <f t="shared" si="36"/>
        <v>0</v>
      </c>
      <c r="DG178" s="49">
        <f t="shared" si="37"/>
        <v>0</v>
      </c>
      <c r="DH178" s="49">
        <f t="shared" si="38"/>
        <v>0</v>
      </c>
      <c r="DI178" s="50">
        <f t="shared" si="39"/>
        <v>0</v>
      </c>
      <c r="DJ178" s="78">
        <f>+SUM(Tabla1[[#This Row],[EJECUTADO 01]:[EJECUTADO 06]])</f>
        <v>49000</v>
      </c>
      <c r="DK178" s="78">
        <f>+Tabla1[[#This Row],[mto_devenga_01]]</f>
        <v>49000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0</v>
      </c>
      <c r="DR178" s="76">
        <f>+Tabla1[[#This Row],[mto_devenga_08]]</f>
        <v>0</v>
      </c>
      <c r="DS178" s="76">
        <f>+Tabla1[[#This Row],[mto_devenga_09]]</f>
        <v>0</v>
      </c>
      <c r="DT178" s="76">
        <f>IFERROR(VLOOKUP(Tabla1[[#This Row],[COD SE]],PF_OCTUBRE,14,0),"0")</f>
        <v>0</v>
      </c>
      <c r="DU178" s="76">
        <f>IFERROR(VLOOKUP(Tabla1[[#This Row],[COD SE]],PF_OCTUBRE,15,0),"0")</f>
        <v>0</v>
      </c>
      <c r="DV178" s="76">
        <f>IFERROR(VLOOKUP(Tabla1[[#This Row],[COD SE]],PF_OCTUBRE,16,0),"0")</f>
        <v>0</v>
      </c>
      <c r="DW178" s="76">
        <f>+SUM(Tabla1[[#This Row],[EJECUTADO 01]:[PF DICIEMBRE
]])</f>
        <v>49000</v>
      </c>
      <c r="DX178" s="76">
        <f>IFERROR(VLOOKUP(Tabla1[[#This Row],[COD SE]],PF_OCTUBRE,18,0),"0")</f>
        <v>0</v>
      </c>
      <c r="DY178" s="76">
        <f>IFERROR(VLOOKUP(Tabla1[[#This Row],[COD SE]],PF_OCTUBRE,19,0),"0")</f>
        <v>0</v>
      </c>
      <c r="DZ178" s="76">
        <f>IFERROR(VLOOKUP(Tabla1[[#This Row],[COD SE]],PF_OCTUBRE,20,0),"0")</f>
        <v>0</v>
      </c>
      <c r="EA178" s="76">
        <f>+Tabla1[[#This Row],[TOTAL EJEC REAL]]+Tabla1[[#This Row],[SALDO FINAL]]</f>
        <v>49000</v>
      </c>
      <c r="EB178" s="76">
        <f>IFERROR(VLOOKUP(Tabla1[[#This Row],[COD SE]],PF_OCTUBRE,22,0),"0")</f>
        <v>0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49000</v>
      </c>
      <c r="EF178" s="76">
        <f>+Tabla1[[#This Row],[mto_pim]]-Tabla1[[#This Row],[TRANFS ESC 3 ]]</f>
        <v>49000</v>
      </c>
      <c r="EG178" s="76">
        <f>+IFERROR(VLOOKUP(Tabla1[[#This Row],[COD SE]],HISTORICO,4,0),0)</f>
        <v>55200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0</v>
      </c>
      <c r="EN178" s="76">
        <f>+IFERROR(VLOOKUP(Tabla1[[#This Row],[COD SE]],HISTORICO,11,0),0)</f>
        <v>0</v>
      </c>
      <c r="EO178" s="76">
        <f>+IFERROR(VLOOKUP(Tabla1[[#This Row],[COD SE]],HISTORICO,12,0),0)</f>
        <v>0</v>
      </c>
      <c r="EP178" s="58">
        <f>+SUM(Tabla1[[#This Row],[EJECUTADO 01]:[EJECUTADO 03]])</f>
        <v>49000</v>
      </c>
      <c r="EQ178" s="58">
        <f>+SUM(Tabla1[[#This Row],[EJECUTADO 04]:[EJECUTADO 06]])</f>
        <v>0</v>
      </c>
      <c r="ER178" s="58">
        <f>+SUM(Tabla1[[#This Row],[EJECUTADO 07]:[EJECUTADO 09]])</f>
        <v>0</v>
      </c>
      <c r="ES178" s="58">
        <f>+SUM(Tabla1[[#This Row],[PF OCTUBRE]:[PF DICIEMBRE
]])</f>
        <v>0</v>
      </c>
      <c r="ET178" s="58">
        <f>+SUM(Tabla1[[#This Row],[EJECUTADO 01]:[EJECUTADO 09]])</f>
        <v>49000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1672</v>
      </c>
      <c r="AD179" s="369" t="s">
        <v>1673</v>
      </c>
      <c r="AE179" s="369" t="s">
        <v>1786</v>
      </c>
      <c r="AF179" s="369" t="s">
        <v>1791</v>
      </c>
      <c r="AG179" s="369" t="s">
        <v>1792</v>
      </c>
      <c r="AH179" s="369">
        <v>23000</v>
      </c>
      <c r="AI179" s="369">
        <v>-10475</v>
      </c>
      <c r="AJ179" s="369">
        <v>12525</v>
      </c>
      <c r="AK179" s="370">
        <v>12356.24</v>
      </c>
      <c r="AL179" s="370">
        <v>12356.24</v>
      </c>
      <c r="AM179" s="370">
        <v>0</v>
      </c>
      <c r="AN179" s="370">
        <v>0</v>
      </c>
      <c r="AO179" s="370">
        <v>0</v>
      </c>
      <c r="AP179" s="370">
        <v>0</v>
      </c>
      <c r="AQ179" s="370">
        <v>0</v>
      </c>
      <c r="AR179" s="370">
        <v>12356.24</v>
      </c>
      <c r="AS179" s="370">
        <v>0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12356.24</v>
      </c>
      <c r="BF179" s="370">
        <v>0</v>
      </c>
      <c r="BG179" s="370">
        <v>0</v>
      </c>
      <c r="BH179" s="370">
        <v>0</v>
      </c>
      <c r="BI179" s="370">
        <v>0</v>
      </c>
      <c r="BJ179" s="370">
        <v>0</v>
      </c>
      <c r="BK179" s="370">
        <v>0</v>
      </c>
      <c r="BL179" s="370">
        <v>0</v>
      </c>
      <c r="BM179" s="370">
        <v>0</v>
      </c>
      <c r="BN179" s="370">
        <v>0</v>
      </c>
      <c r="BO179" s="370">
        <v>0</v>
      </c>
      <c r="BP179" s="370">
        <v>0</v>
      </c>
      <c r="BQ179" s="370">
        <v>12356.24</v>
      </c>
      <c r="BR179" s="370">
        <v>0</v>
      </c>
      <c r="BS179" s="370">
        <v>0</v>
      </c>
      <c r="BT179" s="370">
        <v>0</v>
      </c>
      <c r="BU179" s="370">
        <v>0</v>
      </c>
      <c r="BV179" s="370">
        <v>0</v>
      </c>
      <c r="BW179" s="370">
        <v>0</v>
      </c>
      <c r="BX179" s="370">
        <v>0</v>
      </c>
      <c r="BY179" s="370">
        <v>0</v>
      </c>
      <c r="BZ179" s="370">
        <v>0</v>
      </c>
      <c r="CA179" s="370">
        <v>0</v>
      </c>
      <c r="CB179" s="370">
        <v>12356.24</v>
      </c>
      <c r="CC179" s="370">
        <v>0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1991</v>
      </c>
      <c r="CK179" s="48" t="s">
        <v>1987</v>
      </c>
      <c r="CL179" s="48" t="s">
        <v>1988</v>
      </c>
      <c r="CM179" s="48" t="s">
        <v>1991</v>
      </c>
      <c r="CN179" s="48" t="s">
        <v>1987</v>
      </c>
      <c r="CO179" s="48" t="str">
        <f t="shared" si="40"/>
        <v>2.3.2.6.3.2</v>
      </c>
      <c r="CP179" s="48" t="str">
        <f>+VLOOKUP(Tabla1[[#This Row],[ESPECÍFICA]],CLASIFICADOR_,2,0)</f>
        <v>2.3.2.6.3.2 - SEGURO DE VEHICULOS</v>
      </c>
      <c r="CQ179" s="48" t="str">
        <f>+VLOOKUP(Tabla1[[#This Row],[ESPECÍFICA]],CLASIFICADOR_,3,0)</f>
        <v>2.3.2.6 - SERVICIOS ADMINISTRATIVOS, FINANCIEROS Y DE SEGUROS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2.3.BIENES Y SERVICIOS</v>
      </c>
      <c r="CX179" s="48" t="str">
        <f t="shared" si="29"/>
        <v>0010-OA</v>
      </c>
      <c r="CY179" s="113" t="str">
        <f t="shared" si="30"/>
        <v>0010-OA</v>
      </c>
      <c r="CZ179" s="20" t="str">
        <f t="shared" si="31"/>
        <v>0010-OA</v>
      </c>
      <c r="DA179" s="113" t="str">
        <f>+CONCATENATE(Tabla1[[#This Row],[CC COMPLETO]],Tabla1[[#This Row],[ESPECÍFICA]])</f>
        <v>0010-OA2.3.2.6.3.2</v>
      </c>
      <c r="DB179" s="49">
        <f t="shared" si="32"/>
        <v>12356.24</v>
      </c>
      <c r="DC179" s="49">
        <f t="shared" si="33"/>
        <v>12356.24</v>
      </c>
      <c r="DD179" s="49">
        <f t="shared" si="34"/>
        <v>12356.24</v>
      </c>
      <c r="DE179" s="49">
        <f t="shared" si="35"/>
        <v>168.76000000000022</v>
      </c>
      <c r="DF179" s="49">
        <f t="shared" si="36"/>
        <v>0</v>
      </c>
      <c r="DG179" s="49">
        <f t="shared" si="37"/>
        <v>0</v>
      </c>
      <c r="DH179" s="49">
        <f t="shared" si="38"/>
        <v>168.76000000000022</v>
      </c>
      <c r="DI179" s="50">
        <f t="shared" si="39"/>
        <v>0.53722782608695652</v>
      </c>
      <c r="DJ179" s="78">
        <f>+SUM(Tabla1[[#This Row],[EJECUTADO 01]:[EJECUTADO 06]])</f>
        <v>0</v>
      </c>
      <c r="DK179" s="78">
        <f>+Tabla1[[#This Row],[mto_devenga_01]]</f>
        <v>0</v>
      </c>
      <c r="DL179" s="78">
        <f>+Tabla1[[#This Row],[mto_devenga_02]]</f>
        <v>0</v>
      </c>
      <c r="DM179" s="78">
        <f>+Tabla1[[#This Row],[mto_devenga_03]]</f>
        <v>0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12356.24</v>
      </c>
      <c r="DR179" s="76">
        <f>+Tabla1[[#This Row],[mto_devenga_08]]</f>
        <v>0</v>
      </c>
      <c r="DS179" s="76">
        <f>+Tabla1[[#This Row],[mto_devenga_09]]</f>
        <v>0</v>
      </c>
      <c r="DT179" s="76">
        <f>IFERROR(VLOOKUP(Tabla1[[#This Row],[COD SE]],PF_OCTUBRE,14,0),"0")</f>
        <v>0</v>
      </c>
      <c r="DU179" s="76">
        <f>IFERROR(VLOOKUP(Tabla1[[#This Row],[COD SE]],PF_OCTUBRE,15,0),"0")</f>
        <v>0</v>
      </c>
      <c r="DV179" s="76">
        <f>IFERROR(VLOOKUP(Tabla1[[#This Row],[COD SE]],PF_OCTUBRE,16,0),"0")</f>
        <v>187.76</v>
      </c>
      <c r="DW179" s="76">
        <f>+SUM(Tabla1[[#This Row],[EJECUTADO 01]:[PF DICIEMBRE
]])</f>
        <v>12544</v>
      </c>
      <c r="DX179" s="76">
        <f>IFERROR(VLOOKUP(Tabla1[[#This Row],[COD SE]],PF_OCTUBRE,18,0),"0")</f>
        <v>0</v>
      </c>
      <c r="DY179" s="76">
        <f>IFERROR(VLOOKUP(Tabla1[[#This Row],[COD SE]],PF_OCTUBRE,19,0),"0")</f>
        <v>0</v>
      </c>
      <c r="DZ179" s="76">
        <f>IFERROR(VLOOKUP(Tabla1[[#This Row],[COD SE]],PF_OCTUBRE,20,0),"0")</f>
        <v>0</v>
      </c>
      <c r="EA179" s="76">
        <f>+Tabla1[[#This Row],[TOTAL EJEC REAL]]+Tabla1[[#This Row],[SALDO FINAL]]</f>
        <v>12544</v>
      </c>
      <c r="EB179" s="76">
        <f>IFERROR(VLOOKUP(Tabla1[[#This Row],[COD SE]],PF_OCTUBRE,22,0),"0")</f>
        <v>187.76</v>
      </c>
      <c r="EC179" s="76">
        <f>+IFERROR(VLOOKUP(Tabla1[[#This Row],[COD SE]],SALDO_ESC_2,7,0),0)</f>
        <v>0</v>
      </c>
      <c r="ED179" s="76">
        <f>+IFERROR(VLOOKUP(Tabla1[[#This Row],[COD SE]],SALDO_ESC_3,7,0),0)</f>
        <v>0</v>
      </c>
      <c r="EE179" s="76">
        <f>+Tabla1[[#This Row],[mto_pim]]-Tabla1[[#This Row],[TRANSF ESC2 ]]</f>
        <v>12525</v>
      </c>
      <c r="EF179" s="76">
        <f>+Tabla1[[#This Row],[mto_pim]]-Tabla1[[#This Row],[TRANFS ESC 3 ]]</f>
        <v>12525</v>
      </c>
      <c r="EG179" s="76">
        <f>+IFERROR(VLOOKUP(Tabla1[[#This Row],[COD SE]],HISTORICO,4,0),0)</f>
        <v>0</v>
      </c>
      <c r="EH179" s="76">
        <f>+IFERROR(VLOOKUP(Tabla1[[#This Row],[COD SE]],HISTORICO,5,0),0)</f>
        <v>0</v>
      </c>
      <c r="EI179" s="76">
        <f>+IFERROR(VLOOKUP(Tabla1[[#This Row],[COD SE]],HISTORICO,6,0),0)</f>
        <v>0</v>
      </c>
      <c r="EJ179" s="76">
        <f>+IFERROR(VLOOKUP(Tabla1[[#This Row],[COD SE]],HISTORICO,7,0),0)</f>
        <v>0</v>
      </c>
      <c r="EK179" s="76">
        <f>+IFERROR(VLOOKUP(Tabla1[[#This Row],[COD SE]],HISTORICO,8,0),0)</f>
        <v>0</v>
      </c>
      <c r="EL179" s="76">
        <f>+IFERROR(VLOOKUP(Tabla1[[#This Row],[COD SE]],HISTORICO,9,0),0)</f>
        <v>0</v>
      </c>
      <c r="EM179" s="76">
        <f>+IFERROR(VLOOKUP(Tabla1[[#This Row],[COD SE]],HISTORICO,10,0),0)</f>
        <v>12544</v>
      </c>
      <c r="EN179" s="76">
        <f>+IFERROR(VLOOKUP(Tabla1[[#This Row],[COD SE]],HISTORICO,11,0),0)</f>
        <v>0</v>
      </c>
      <c r="EO179" s="76">
        <f>+IFERROR(VLOOKUP(Tabla1[[#This Row],[COD SE]],HISTORICO,12,0),0)</f>
        <v>0</v>
      </c>
      <c r="EP179" s="58">
        <f>+SUM(Tabla1[[#This Row],[EJECUTADO 01]:[EJECUTADO 03]])</f>
        <v>0</v>
      </c>
      <c r="EQ179" s="58">
        <f>+SUM(Tabla1[[#This Row],[EJECUTADO 04]:[EJECUTADO 06]])</f>
        <v>0</v>
      </c>
      <c r="ER179" s="58">
        <f>+SUM(Tabla1[[#This Row],[EJECUTADO 07]:[EJECUTADO 09]])</f>
        <v>12356.24</v>
      </c>
      <c r="ES179" s="58">
        <f>+SUM(Tabla1[[#This Row],[PF OCTUBRE]:[PF DICIEMBRE
]])</f>
        <v>187.76</v>
      </c>
      <c r="ET179" s="58">
        <f>+SUM(Tabla1[[#This Row],[EJECUTADO 01]:[EJECUTADO 09]])</f>
        <v>12356.24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1672</v>
      </c>
      <c r="AD180" s="369" t="s">
        <v>1673</v>
      </c>
      <c r="AE180" s="369" t="s">
        <v>1786</v>
      </c>
      <c r="AF180" s="369" t="s">
        <v>1791</v>
      </c>
      <c r="AG180" s="369" t="s">
        <v>1794</v>
      </c>
      <c r="AH180" s="369">
        <v>10585</v>
      </c>
      <c r="AI180" s="369">
        <v>4432</v>
      </c>
      <c r="AJ180" s="369">
        <v>15017</v>
      </c>
      <c r="AK180" s="370">
        <v>15015.01</v>
      </c>
      <c r="AL180" s="370">
        <v>15015.01</v>
      </c>
      <c r="AM180" s="370">
        <v>5612.89</v>
      </c>
      <c r="AN180" s="370">
        <v>0</v>
      </c>
      <c r="AO180" s="370">
        <v>0</v>
      </c>
      <c r="AP180" s="370">
        <v>4722.2700000000004</v>
      </c>
      <c r="AQ180" s="370">
        <v>0</v>
      </c>
      <c r="AR180" s="370">
        <v>4426.74</v>
      </c>
      <c r="AS180" s="370">
        <v>253.11</v>
      </c>
      <c r="AT180" s="370">
        <v>0</v>
      </c>
      <c r="AU180" s="370">
        <v>0</v>
      </c>
      <c r="AV180" s="370">
        <v>0</v>
      </c>
      <c r="AW180" s="370">
        <v>0</v>
      </c>
      <c r="AX180" s="370">
        <v>0</v>
      </c>
      <c r="AY180" s="370">
        <v>0</v>
      </c>
      <c r="AZ180" s="370">
        <v>1779.67</v>
      </c>
      <c r="BA180" s="370">
        <v>305.02999999999997</v>
      </c>
      <c r="BB180" s="370">
        <v>0</v>
      </c>
      <c r="BC180" s="370">
        <v>0</v>
      </c>
      <c r="BD180" s="370">
        <v>0</v>
      </c>
      <c r="BE180" s="370">
        <v>830.72</v>
      </c>
      <c r="BF180" s="370">
        <v>1445.12</v>
      </c>
      <c r="BG180" s="370">
        <v>1095.8800000000001</v>
      </c>
      <c r="BH180" s="370">
        <v>0</v>
      </c>
      <c r="BI180" s="370">
        <v>0</v>
      </c>
      <c r="BJ180" s="370">
        <v>0</v>
      </c>
      <c r="BK180" s="370">
        <v>0</v>
      </c>
      <c r="BL180" s="370">
        <v>1779.67</v>
      </c>
      <c r="BM180" s="370">
        <v>305.02999999999997</v>
      </c>
      <c r="BN180" s="370">
        <v>0</v>
      </c>
      <c r="BO180" s="370">
        <v>0</v>
      </c>
      <c r="BP180" s="370">
        <v>0</v>
      </c>
      <c r="BQ180" s="370">
        <v>830.72</v>
      </c>
      <c r="BR180" s="370">
        <v>1445.12</v>
      </c>
      <c r="BS180" s="370">
        <v>1095.8800000000001</v>
      </c>
      <c r="BT180" s="370">
        <v>0</v>
      </c>
      <c r="BU180" s="370">
        <v>0</v>
      </c>
      <c r="BV180" s="370">
        <v>0</v>
      </c>
      <c r="BW180" s="370">
        <v>2084.6999999999998</v>
      </c>
      <c r="BX180" s="370">
        <v>0</v>
      </c>
      <c r="BY180" s="370">
        <v>0</v>
      </c>
      <c r="BZ180" s="370">
        <v>3118.61</v>
      </c>
      <c r="CA180" s="370">
        <v>0</v>
      </c>
      <c r="CB180" s="370">
        <v>0</v>
      </c>
      <c r="CC180" s="370">
        <v>253.11</v>
      </c>
      <c r="CD180" s="370">
        <v>0</v>
      </c>
      <c r="CE180" s="370">
        <v>0</v>
      </c>
      <c r="CF180" s="370">
        <v>0</v>
      </c>
      <c r="CG180" s="370">
        <v>0</v>
      </c>
      <c r="CH180" s="370">
        <v>0</v>
      </c>
      <c r="CI180" s="48" t="s">
        <v>1987</v>
      </c>
      <c r="CJ180" s="48" t="s">
        <v>1991</v>
      </c>
      <c r="CK180" s="48" t="s">
        <v>1987</v>
      </c>
      <c r="CL180" s="48" t="s">
        <v>1988</v>
      </c>
      <c r="CM180" s="48" t="s">
        <v>1991</v>
      </c>
      <c r="CN180" s="48" t="s">
        <v>1993</v>
      </c>
      <c r="CO180" s="48" t="str">
        <f t="shared" si="40"/>
        <v>2.3.2.6.3.4</v>
      </c>
      <c r="CP180" s="48" t="str">
        <f>+VLOOKUP(Tabla1[[#This Row],[ESPECÍFICA]],CLASIFICADOR_,2,0)</f>
        <v>2.3.2.6.3.4 - OTROS SEGUROS PERSONALES</v>
      </c>
      <c r="CQ180" s="48" t="str">
        <f>+VLOOKUP(Tabla1[[#This Row],[ESPECÍFICA]],CLASIFICADOR_,3,0)</f>
        <v>2.3.2.6 - SERVICIOS ADMINISTRATIVOS, FINANCIEROS Y DE SEGUROS</v>
      </c>
      <c r="CR180" s="48" t="str">
        <f>+VLOOKUP(Tabla1[[#This Row],[ESPECÍFICA]],CLASIFICADOR_,4,0)</f>
        <v xml:space="preserve"> </v>
      </c>
      <c r="CS180" s="48">
        <f>+VLOOKUP(Tabla1[[#This Row],[ESPECÍFICA]],CLASIFICADOR_,5,0)</f>
        <v>0</v>
      </c>
      <c r="CT180" s="113" t="str">
        <f>+VLOOKUP(Tabla1[[#This Row],[ESPECÍFICA]],CLASIFICADOR_,6,0)</f>
        <v>N/R</v>
      </c>
      <c r="CU180" s="48" t="str">
        <f>+VLOOKUP(Tabla1[[#This Row],[ESPECÍFICA]],CLASIFICADOR_,7,0)</f>
        <v>N/R</v>
      </c>
      <c r="CV180" s="48">
        <f>+VLOOKUP(Tabla1[[#This Row],[ESPECÍFICA]],CLASIFICADOR_,8,0)</f>
        <v>0</v>
      </c>
      <c r="CW180" s="113" t="str">
        <f>+CONCATENATE("2.",Tabla1[[#This Row],[generica]])</f>
        <v>2.3.BIENES Y SERVICIOS</v>
      </c>
      <c r="CX180" s="48" t="str">
        <f t="shared" si="29"/>
        <v>0010-OA</v>
      </c>
      <c r="CY180" s="113" t="str">
        <f t="shared" si="30"/>
        <v>0010-OA</v>
      </c>
      <c r="CZ180" s="20" t="str">
        <f t="shared" si="31"/>
        <v>0010-OA</v>
      </c>
      <c r="DA180" s="113" t="str">
        <f>+CONCATENATE(Tabla1[[#This Row],[CC COMPLETO]],Tabla1[[#This Row],[ESPECÍFICA]])</f>
        <v>0010-OA2.3.2.6.3.4</v>
      </c>
      <c r="DB180" s="49">
        <f t="shared" si="32"/>
        <v>15015.01</v>
      </c>
      <c r="DC180" s="49">
        <f t="shared" si="33"/>
        <v>5456.42</v>
      </c>
      <c r="DD180" s="49">
        <f t="shared" si="34"/>
        <v>5456.42</v>
      </c>
      <c r="DE180" s="49">
        <f t="shared" si="35"/>
        <v>1.9899999999997817</v>
      </c>
      <c r="DF180" s="49">
        <f t="shared" si="36"/>
        <v>0</v>
      </c>
      <c r="DG180" s="49">
        <f t="shared" si="37"/>
        <v>9558.59</v>
      </c>
      <c r="DH180" s="49">
        <f t="shared" si="38"/>
        <v>9560.58</v>
      </c>
      <c r="DI180" s="50">
        <f t="shared" si="39"/>
        <v>0.5154860651865848</v>
      </c>
      <c r="DJ180" s="78">
        <f>+SUM(Tabla1[[#This Row],[EJECUTADO 01]:[EJECUTADO 06]])</f>
        <v>2084.6999999999998</v>
      </c>
      <c r="DK180" s="78">
        <f>+Tabla1[[#This Row],[mto_devenga_01]]</f>
        <v>0</v>
      </c>
      <c r="DL180" s="78">
        <f>+Tabla1[[#This Row],[mto_devenga_02]]</f>
        <v>1779.67</v>
      </c>
      <c r="DM180" s="78">
        <f>+Tabla1[[#This Row],[mto_devenga_03]]</f>
        <v>305.02999999999997</v>
      </c>
      <c r="DN180" s="78">
        <f>+Tabla1[[#This Row],[mto_devenga_04]]</f>
        <v>0</v>
      </c>
      <c r="DO180" s="78">
        <f>+Tabla1[[#This Row],[mto_devenga_05]]</f>
        <v>0</v>
      </c>
      <c r="DP180" s="76">
        <f>+Tabla1[[#This Row],[mto_devenga_06]]</f>
        <v>0</v>
      </c>
      <c r="DQ180" s="76">
        <f>+Tabla1[[#This Row],[mto_devenga_07]]</f>
        <v>830.72</v>
      </c>
      <c r="DR180" s="76">
        <f>+Tabla1[[#This Row],[mto_devenga_08]]</f>
        <v>1445.12</v>
      </c>
      <c r="DS180" s="76">
        <f>+Tabla1[[#This Row],[mto_devenga_09]]</f>
        <v>1095.8800000000001</v>
      </c>
      <c r="DT180" s="76">
        <f>IFERROR(VLOOKUP(Tabla1[[#This Row],[COD SE]],PF_OCTUBRE,14,0),"0")</f>
        <v>590.28</v>
      </c>
      <c r="DU180" s="76">
        <f>IFERROR(VLOOKUP(Tabla1[[#This Row],[COD SE]],PF_OCTUBRE,15,0),"0")</f>
        <v>8545.2099999999991</v>
      </c>
      <c r="DV180" s="76">
        <f>IFERROR(VLOOKUP(Tabla1[[#This Row],[COD SE]],PF_OCTUBRE,16,0),"0")</f>
        <v>843.08999999999992</v>
      </c>
      <c r="DW180" s="76">
        <f>+SUM(Tabla1[[#This Row],[EJECUTADO 01]:[PF DICIEMBRE
]])</f>
        <v>15435</v>
      </c>
      <c r="DX180" s="76">
        <f>IFERROR(VLOOKUP(Tabla1[[#This Row],[COD SE]],PF_OCTUBRE,18,0),"0")</f>
        <v>0</v>
      </c>
      <c r="DY180" s="76">
        <f>IFERROR(VLOOKUP(Tabla1[[#This Row],[COD SE]],PF_OCTUBRE,19,0),"0")</f>
        <v>0</v>
      </c>
      <c r="DZ180" s="76">
        <f>IFERROR(VLOOKUP(Tabla1[[#This Row],[COD SE]],PF_OCTUBRE,20,0),"0")</f>
        <v>0</v>
      </c>
      <c r="EA180" s="76">
        <f>+Tabla1[[#This Row],[TOTAL EJEC REAL]]+Tabla1[[#This Row],[SALDO FINAL]]</f>
        <v>15435</v>
      </c>
      <c r="EB180" s="76">
        <f>IFERROR(VLOOKUP(Tabla1[[#This Row],[COD SE]],PF_OCTUBRE,22,0),"0")</f>
        <v>843.08999999999992</v>
      </c>
      <c r="EC180" s="76">
        <f>+IFERROR(VLOOKUP(Tabla1[[#This Row],[COD SE]],SALDO_ESC_2,7,0),0)</f>
        <v>0</v>
      </c>
      <c r="ED180" s="76">
        <f>+IFERROR(VLOOKUP(Tabla1[[#This Row],[COD SE]],SALDO_ESC_3,7,0),0)</f>
        <v>0</v>
      </c>
      <c r="EE180" s="76">
        <f>+Tabla1[[#This Row],[mto_pim]]-Tabla1[[#This Row],[TRANSF ESC2 ]]</f>
        <v>15017</v>
      </c>
      <c r="EF180" s="76">
        <f>+Tabla1[[#This Row],[mto_pim]]-Tabla1[[#This Row],[TRANFS ESC 3 ]]</f>
        <v>15017</v>
      </c>
      <c r="EG180" s="76">
        <f>+IFERROR(VLOOKUP(Tabla1[[#This Row],[COD SE]],HISTORICO,4,0),0)</f>
        <v>13004</v>
      </c>
      <c r="EH180" s="76">
        <f>+IFERROR(VLOOKUP(Tabla1[[#This Row],[COD SE]],HISTORICO,5,0),0)</f>
        <v>13004</v>
      </c>
      <c r="EI180" s="76">
        <f>+IFERROR(VLOOKUP(Tabla1[[#This Row],[COD SE]],HISTORICO,6,0),0)</f>
        <v>0</v>
      </c>
      <c r="EJ180" s="76">
        <f>+IFERROR(VLOOKUP(Tabla1[[#This Row],[COD SE]],HISTORICO,7,0),0)</f>
        <v>21357.3</v>
      </c>
      <c r="EK180" s="76">
        <f>+IFERROR(VLOOKUP(Tabla1[[#This Row],[COD SE]],HISTORICO,8,0),0)</f>
        <v>3780.9900000000002</v>
      </c>
      <c r="EL180" s="76">
        <f>+IFERROR(VLOOKUP(Tabla1[[#This Row],[COD SE]],HISTORICO,9,0),0)</f>
        <v>590.28</v>
      </c>
      <c r="EM180" s="76">
        <f>+IFERROR(VLOOKUP(Tabla1[[#This Row],[COD SE]],HISTORICO,10,0),0)</f>
        <v>2420.08</v>
      </c>
      <c r="EN180" s="76">
        <f>+IFERROR(VLOOKUP(Tabla1[[#This Row],[COD SE]],HISTORICO,11,0),0)</f>
        <v>1107.6400000000001</v>
      </c>
      <c r="EO180" s="76">
        <f>+IFERROR(VLOOKUP(Tabla1[[#This Row],[COD SE]],HISTORICO,12,0),0)</f>
        <v>0</v>
      </c>
      <c r="EP180" s="58">
        <f>+SUM(Tabla1[[#This Row],[EJECUTADO 01]:[EJECUTADO 03]])</f>
        <v>2084.6999999999998</v>
      </c>
      <c r="EQ180" s="58">
        <f>+SUM(Tabla1[[#This Row],[EJECUTADO 04]:[EJECUTADO 06]])</f>
        <v>0</v>
      </c>
      <c r="ER180" s="58">
        <f>+SUM(Tabla1[[#This Row],[EJECUTADO 07]:[EJECUTADO 09]])</f>
        <v>3371.7200000000003</v>
      </c>
      <c r="ES180" s="58">
        <f>+SUM(Tabla1[[#This Row],[PF OCTUBRE]:[PF DICIEMBRE
]])</f>
        <v>9978.58</v>
      </c>
      <c r="ET180" s="58">
        <f>+SUM(Tabla1[[#This Row],[EJECUTADO 01]:[EJECUTADO 09]])</f>
        <v>5456.42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1678</v>
      </c>
      <c r="AF181" s="369" t="s">
        <v>1679</v>
      </c>
      <c r="AG181" s="369" t="s">
        <v>1680</v>
      </c>
      <c r="AH181" s="369">
        <v>19000</v>
      </c>
      <c r="AI181" s="369">
        <v>-19000</v>
      </c>
      <c r="AJ181" s="369">
        <v>0</v>
      </c>
      <c r="AK181" s="370">
        <v>0</v>
      </c>
      <c r="AL181" s="370">
        <v>0</v>
      </c>
      <c r="AM181" s="370">
        <v>0</v>
      </c>
      <c r="AN181" s="370">
        <v>0</v>
      </c>
      <c r="AO181" s="370">
        <v>0</v>
      </c>
      <c r="AP181" s="370">
        <v>0</v>
      </c>
      <c r="AQ181" s="370">
        <v>0</v>
      </c>
      <c r="AR181" s="370">
        <v>0</v>
      </c>
      <c r="AS181" s="370">
        <v>0</v>
      </c>
      <c r="AT181" s="370">
        <v>0</v>
      </c>
      <c r="AU181" s="370">
        <v>0</v>
      </c>
      <c r="AV181" s="370">
        <v>0</v>
      </c>
      <c r="AW181" s="370">
        <v>0</v>
      </c>
      <c r="AX181" s="370">
        <v>0</v>
      </c>
      <c r="AY181" s="370">
        <v>0</v>
      </c>
      <c r="AZ181" s="370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0">
        <v>0</v>
      </c>
      <c r="BG181" s="370">
        <v>0</v>
      </c>
      <c r="BH181" s="370">
        <v>0</v>
      </c>
      <c r="BI181" s="370">
        <v>0</v>
      </c>
      <c r="BJ181" s="370">
        <v>0</v>
      </c>
      <c r="BK181" s="370">
        <v>0</v>
      </c>
      <c r="BL181" s="370">
        <v>0</v>
      </c>
      <c r="BM181" s="370">
        <v>0</v>
      </c>
      <c r="BN181" s="370">
        <v>0</v>
      </c>
      <c r="BO181" s="370">
        <v>0</v>
      </c>
      <c r="BP181" s="370">
        <v>0</v>
      </c>
      <c r="BQ181" s="370">
        <v>0</v>
      </c>
      <c r="BR181" s="370">
        <v>0</v>
      </c>
      <c r="BS181" s="370">
        <v>0</v>
      </c>
      <c r="BT181" s="370">
        <v>0</v>
      </c>
      <c r="BU181" s="370">
        <v>0</v>
      </c>
      <c r="BV181" s="370">
        <v>0</v>
      </c>
      <c r="BW181" s="370">
        <v>0</v>
      </c>
      <c r="BX181" s="370">
        <v>0</v>
      </c>
      <c r="BY181" s="370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0">
        <v>0</v>
      </c>
      <c r="CF181" s="370">
        <v>0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1989</v>
      </c>
      <c r="CM181" s="48" t="s">
        <v>2013</v>
      </c>
      <c r="CN181" s="48" t="s">
        <v>1998</v>
      </c>
      <c r="CO181" s="48" t="str">
        <f t="shared" si="40"/>
        <v>2.3.2.7.10.99</v>
      </c>
      <c r="CP181" s="48" t="str">
        <f>+VLOOKUP(Tabla1[[#This Row],[ESPECÍFICA]],CLASIFICADOR_,2,0)</f>
        <v>2.3.2.7.10.99 - OTRAS ATENCIONES Y CELEBRACIONES</v>
      </c>
      <c r="CQ181" s="48" t="str">
        <f>+VLOOKUP(Tabla1[[#This Row],[ESPECÍFICA]],CLASIFICADOR_,3,0)</f>
        <v>2.3.2.7 - SERVICIOS PROFESIONALES Y TECNICOS</v>
      </c>
      <c r="CR181" s="48" t="str">
        <f>+VLOOKUP(Tabla1[[#This Row],[ESPECÍFICA]],CLASIFICADOR_,4,0)</f>
        <v>Límite de Gasto</v>
      </c>
      <c r="CS181" s="48" t="str">
        <f>+VLOOKUP(Tabla1[[#This Row],[ESPECÍFICA]],CLASIFICADOR_,5,0)</f>
        <v>10.6 f)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9"/>
        <v>0010-OA</v>
      </c>
      <c r="CY181" s="113" t="str">
        <f t="shared" si="30"/>
        <v>0010-OA</v>
      </c>
      <c r="CZ181" s="20" t="str">
        <f t="shared" si="31"/>
        <v>0010-OA</v>
      </c>
      <c r="DA181" s="113" t="str">
        <f>+CONCATENATE(Tabla1[[#This Row],[CC COMPLETO]],Tabla1[[#This Row],[ESPECÍFICA]])</f>
        <v>0010-OA2.3.2.7.10.99</v>
      </c>
      <c r="DB181" s="49">
        <f t="shared" si="32"/>
        <v>0</v>
      </c>
      <c r="DC181" s="49">
        <f t="shared" si="33"/>
        <v>0</v>
      </c>
      <c r="DD181" s="49">
        <f t="shared" si="34"/>
        <v>0</v>
      </c>
      <c r="DE181" s="49">
        <f t="shared" si="35"/>
        <v>0</v>
      </c>
      <c r="DF181" s="49">
        <f t="shared" si="36"/>
        <v>0</v>
      </c>
      <c r="DG181" s="49">
        <f t="shared" si="37"/>
        <v>0</v>
      </c>
      <c r="DH181" s="49">
        <f t="shared" si="38"/>
        <v>0</v>
      </c>
      <c r="DI181" s="50">
        <f t="shared" si="39"/>
        <v>0</v>
      </c>
      <c r="DJ181" s="78">
        <f>+SUM(Tabla1[[#This Row],[EJECUTADO 01]:[EJECUTADO 06]])</f>
        <v>0</v>
      </c>
      <c r="DK181" s="78">
        <f>+Tabla1[[#This Row],[mto_devenga_01]]</f>
        <v>0</v>
      </c>
      <c r="DL181" s="78">
        <f>+Tabla1[[#This Row],[mto_devenga_02]]</f>
        <v>0</v>
      </c>
      <c r="DM181" s="78">
        <f>+Tabla1[[#This Row],[mto_devenga_03]]</f>
        <v>0</v>
      </c>
      <c r="DN181" s="78">
        <f>+Tabla1[[#This Row],[mto_devenga_04]]</f>
        <v>0</v>
      </c>
      <c r="DO181" s="78">
        <f>+Tabla1[[#This Row],[mto_devenga_05]]</f>
        <v>0</v>
      </c>
      <c r="DP181" s="76">
        <f>+Tabla1[[#This Row],[mto_devenga_06]]</f>
        <v>0</v>
      </c>
      <c r="DQ181" s="76">
        <f>+Tabla1[[#This Row],[mto_devenga_07]]</f>
        <v>0</v>
      </c>
      <c r="DR181" s="76">
        <f>+Tabla1[[#This Row],[mto_devenga_08]]</f>
        <v>0</v>
      </c>
      <c r="DS181" s="76">
        <f>+Tabla1[[#This Row],[mto_devenga_09]]</f>
        <v>0</v>
      </c>
      <c r="DT181" s="76">
        <f>IFERROR(VLOOKUP(Tabla1[[#This Row],[COD SE]],PF_OCTUBRE,14,0),"0")</f>
        <v>0</v>
      </c>
      <c r="DU181" s="76">
        <f>IFERROR(VLOOKUP(Tabla1[[#This Row],[COD SE]],PF_OCTUBRE,15,0),"0")</f>
        <v>0</v>
      </c>
      <c r="DV181" s="76">
        <f>IFERROR(VLOOKUP(Tabla1[[#This Row],[COD SE]],PF_OCTUBRE,16,0),"0")</f>
        <v>0</v>
      </c>
      <c r="DW181" s="76">
        <f>+SUM(Tabla1[[#This Row],[EJECUTADO 01]:[PF DICIEMBRE
]])</f>
        <v>0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0</v>
      </c>
      <c r="EB181" s="76">
        <f>IFERROR(VLOOKUP(Tabla1[[#This Row],[COD SE]],PF_OCTUBRE,22,0),"0")</f>
        <v>0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0</v>
      </c>
      <c r="EF181" s="76">
        <f>+Tabla1[[#This Row],[mto_pim]]-Tabla1[[#This Row],[TRANFS ESC 3 ]]</f>
        <v>0</v>
      </c>
      <c r="EG181" s="76">
        <f>+IFERROR(VLOOKUP(Tabla1[[#This Row],[COD SE]],HISTORICO,4,0),0)</f>
        <v>0</v>
      </c>
      <c r="EH181" s="76">
        <f>+IFERROR(VLOOKUP(Tabla1[[#This Row],[COD SE]],HISTORICO,5,0),0)</f>
        <v>2000</v>
      </c>
      <c r="EI181" s="76">
        <f>+IFERROR(VLOOKUP(Tabla1[[#This Row],[COD SE]],HISTORICO,6,0),0)</f>
        <v>0</v>
      </c>
      <c r="EJ181" s="76">
        <f>+IFERROR(VLOOKUP(Tabla1[[#This Row],[COD SE]],HISTORICO,7,0),0)</f>
        <v>0</v>
      </c>
      <c r="EK181" s="76">
        <f>+IFERROR(VLOOKUP(Tabla1[[#This Row],[COD SE]],HISTORICO,8,0),0)</f>
        <v>0</v>
      </c>
      <c r="EL181" s="76">
        <f>+IFERROR(VLOOKUP(Tabla1[[#This Row],[COD SE]],HISTORICO,9,0),0)</f>
        <v>0</v>
      </c>
      <c r="EM181" s="76">
        <f>+IFERROR(VLOOKUP(Tabla1[[#This Row],[COD SE]],HISTORICO,10,0),0)</f>
        <v>0</v>
      </c>
      <c r="EN181" s="76">
        <f>+IFERROR(VLOOKUP(Tabla1[[#This Row],[COD SE]],HISTORICO,11,0),0)</f>
        <v>0</v>
      </c>
      <c r="EO181" s="76">
        <f>+IFERROR(VLOOKUP(Tabla1[[#This Row],[COD SE]],HISTORICO,12,0),0)</f>
        <v>0</v>
      </c>
      <c r="EP181" s="58">
        <f>+SUM(Tabla1[[#This Row],[EJECUTADO 01]:[EJECUTADO 03]])</f>
        <v>0</v>
      </c>
      <c r="EQ181" s="58">
        <f>+SUM(Tabla1[[#This Row],[EJECUTADO 04]:[EJECUTADO 06]])</f>
        <v>0</v>
      </c>
      <c r="ER181" s="58">
        <f>+SUM(Tabla1[[#This Row],[EJECUTADO 07]:[EJECUTADO 09]])</f>
        <v>0</v>
      </c>
      <c r="ES181" s="58">
        <f>+SUM(Tabla1[[#This Row],[PF OCTUBRE]:[PF DICIEMBRE
]])</f>
        <v>0</v>
      </c>
      <c r="ET181" s="58">
        <f>+SUM(Tabla1[[#This Row],[EJECUTADO 01]:[EJECUTADO 09]])</f>
        <v>0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2004</v>
      </c>
      <c r="AB182" s="369" t="s">
        <v>1986</v>
      </c>
      <c r="AC182" s="369" t="s">
        <v>1672</v>
      </c>
      <c r="AD182" s="369" t="s">
        <v>1673</v>
      </c>
      <c r="AE182" s="369" t="s">
        <v>1678</v>
      </c>
      <c r="AF182" s="369" t="s">
        <v>1798</v>
      </c>
      <c r="AG182" s="369" t="s">
        <v>1800</v>
      </c>
      <c r="AH182" s="369">
        <v>14500</v>
      </c>
      <c r="AI182" s="369">
        <v>-14500</v>
      </c>
      <c r="AJ182" s="369">
        <v>0</v>
      </c>
      <c r="AK182" s="370">
        <v>0</v>
      </c>
      <c r="AL182" s="370">
        <v>0</v>
      </c>
      <c r="AM182" s="370">
        <v>0</v>
      </c>
      <c r="AN182" s="370">
        <v>0</v>
      </c>
      <c r="AO182" s="370">
        <v>0</v>
      </c>
      <c r="AP182" s="370">
        <v>0</v>
      </c>
      <c r="AQ182" s="370">
        <v>0</v>
      </c>
      <c r="AR182" s="370">
        <v>0</v>
      </c>
      <c r="AS182" s="370">
        <v>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0</v>
      </c>
      <c r="BC182" s="370">
        <v>0</v>
      </c>
      <c r="BD182" s="370">
        <v>0</v>
      </c>
      <c r="BE182" s="370">
        <v>0</v>
      </c>
      <c r="BF182" s="370">
        <v>0</v>
      </c>
      <c r="BG182" s="370">
        <v>0</v>
      </c>
      <c r="BH182" s="370">
        <v>0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0</v>
      </c>
      <c r="BP182" s="370">
        <v>0</v>
      </c>
      <c r="BQ182" s="370">
        <v>0</v>
      </c>
      <c r="BR182" s="370">
        <v>0</v>
      </c>
      <c r="BS182" s="370">
        <v>0</v>
      </c>
      <c r="BT182" s="370">
        <v>0</v>
      </c>
      <c r="BU182" s="370">
        <v>0</v>
      </c>
      <c r="BV182" s="370">
        <v>0</v>
      </c>
      <c r="BW182" s="370">
        <v>0</v>
      </c>
      <c r="BX182" s="370">
        <v>0</v>
      </c>
      <c r="BY182" s="370">
        <v>0</v>
      </c>
      <c r="BZ182" s="370">
        <v>0</v>
      </c>
      <c r="CA182" s="370">
        <v>0</v>
      </c>
      <c r="CB182" s="370">
        <v>0</v>
      </c>
      <c r="CC182" s="370">
        <v>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1991</v>
      </c>
      <c r="CK182" s="48" t="s">
        <v>1987</v>
      </c>
      <c r="CL182" s="48" t="s">
        <v>1989</v>
      </c>
      <c r="CM182" s="48" t="s">
        <v>1991</v>
      </c>
      <c r="CN182" s="48" t="s">
        <v>1987</v>
      </c>
      <c r="CO182" s="48" t="str">
        <f t="shared" si="40"/>
        <v>2.3.2.7.3.2</v>
      </c>
      <c r="CP182" s="48" t="str">
        <f>+VLOOKUP(Tabla1[[#This Row],[ESPECÍFICA]],CLASIFICADOR_,2,0)</f>
        <v>2.3.2.7.3.2 - REALIZADO POR PERSONAS NATURALES</v>
      </c>
      <c r="CQ182" s="48" t="str">
        <f>+VLOOKUP(Tabla1[[#This Row],[ESPECÍFICA]],CLASIFICADOR_,3,0)</f>
        <v>2.3.2.7 - SERVICIOS PROFESIONALES Y TECNICOS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2.3.BIENES Y SERVICIOS</v>
      </c>
      <c r="CX182" s="48" t="str">
        <f t="shared" si="29"/>
        <v>0010-OA</v>
      </c>
      <c r="CY182" s="113" t="str">
        <f t="shared" si="30"/>
        <v>0010-OA</v>
      </c>
      <c r="CZ182" s="20" t="str">
        <f t="shared" si="31"/>
        <v>0010-OA</v>
      </c>
      <c r="DA182" s="113" t="str">
        <f>+CONCATENATE(Tabla1[[#This Row],[CC COMPLETO]],Tabla1[[#This Row],[ESPECÍFICA]])</f>
        <v>0010-OA2.3.2.7.3.2</v>
      </c>
      <c r="DB182" s="49">
        <f t="shared" si="32"/>
        <v>0</v>
      </c>
      <c r="DC182" s="49">
        <f t="shared" si="33"/>
        <v>0</v>
      </c>
      <c r="DD182" s="49">
        <f t="shared" si="34"/>
        <v>0</v>
      </c>
      <c r="DE182" s="49">
        <f t="shared" si="35"/>
        <v>0</v>
      </c>
      <c r="DF182" s="49">
        <f t="shared" si="36"/>
        <v>0</v>
      </c>
      <c r="DG182" s="49">
        <f t="shared" si="37"/>
        <v>0</v>
      </c>
      <c r="DH182" s="49">
        <f t="shared" si="38"/>
        <v>0</v>
      </c>
      <c r="DI182" s="50">
        <f t="shared" si="39"/>
        <v>0</v>
      </c>
      <c r="DJ182" s="78">
        <f>+SUM(Tabla1[[#This Row],[EJECUTADO 01]:[EJECUTADO 06]])</f>
        <v>0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0</v>
      </c>
      <c r="DO182" s="78">
        <f>+Tabla1[[#This Row],[mto_devenga_05]]</f>
        <v>0</v>
      </c>
      <c r="DP182" s="76">
        <f>+Tabla1[[#This Row],[mto_devenga_06]]</f>
        <v>0</v>
      </c>
      <c r="DQ182" s="76">
        <f>+Tabla1[[#This Row],[mto_devenga_07]]</f>
        <v>0</v>
      </c>
      <c r="DR182" s="76">
        <f>+Tabla1[[#This Row],[mto_devenga_08]]</f>
        <v>0</v>
      </c>
      <c r="DS182" s="76">
        <f>+Tabla1[[#This Row],[mto_devenga_09]]</f>
        <v>0</v>
      </c>
      <c r="DT182" s="76">
        <f>IFERROR(VLOOKUP(Tabla1[[#This Row],[COD SE]],PF_OCTUBRE,14,0),"0")</f>
        <v>0</v>
      </c>
      <c r="DU182" s="76">
        <f>IFERROR(VLOOKUP(Tabla1[[#This Row],[COD SE]],PF_OCTUBRE,15,0),"0")</f>
        <v>0</v>
      </c>
      <c r="DV182" s="76">
        <f>IFERROR(VLOOKUP(Tabla1[[#This Row],[COD SE]],PF_OCTUBRE,16,0),"0")</f>
        <v>0</v>
      </c>
      <c r="DW182" s="76">
        <f>+SUM(Tabla1[[#This Row],[EJECUTADO 01]:[PF DICIEMBRE
]])</f>
        <v>0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0</v>
      </c>
      <c r="EB182" s="76">
        <f>IFERROR(VLOOKUP(Tabla1[[#This Row],[COD SE]],PF_OCTUBRE,22,0),"0")</f>
        <v>0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0</v>
      </c>
      <c r="EF182" s="76">
        <f>+Tabla1[[#This Row],[mto_pim]]-Tabla1[[#This Row],[TRANFS ESC 3 ]]</f>
        <v>0</v>
      </c>
      <c r="EG182" s="76">
        <f>+IFERROR(VLOOKUP(Tabla1[[#This Row],[COD SE]],HISTORICO,4,0),0)</f>
        <v>0</v>
      </c>
      <c r="EH182" s="76">
        <f>+IFERROR(VLOOKUP(Tabla1[[#This Row],[COD SE]],HISTORICO,5,0),0)</f>
        <v>0</v>
      </c>
      <c r="EI182" s="76">
        <f>+IFERROR(VLOOKUP(Tabla1[[#This Row],[COD SE]],HISTORICO,6,0),0)</f>
        <v>0</v>
      </c>
      <c r="EJ182" s="76">
        <f>+IFERROR(VLOOKUP(Tabla1[[#This Row],[COD SE]],HISTORICO,7,0),0)</f>
        <v>0</v>
      </c>
      <c r="EK182" s="76">
        <f>+IFERROR(VLOOKUP(Tabla1[[#This Row],[COD SE]],HISTORICO,8,0),0)</f>
        <v>0</v>
      </c>
      <c r="EL182" s="76">
        <f>+IFERROR(VLOOKUP(Tabla1[[#This Row],[COD SE]],HISTORICO,9,0),0)</f>
        <v>0</v>
      </c>
      <c r="EM182" s="76">
        <f>+IFERROR(VLOOKUP(Tabla1[[#This Row],[COD SE]],HISTORICO,10,0),0)</f>
        <v>0</v>
      </c>
      <c r="EN182" s="76">
        <f>+IFERROR(VLOOKUP(Tabla1[[#This Row],[COD SE]],HISTORICO,11,0),0)</f>
        <v>0</v>
      </c>
      <c r="EO182" s="76">
        <f>+IFERROR(VLOOKUP(Tabla1[[#This Row],[COD SE]],HISTORICO,12,0),0)</f>
        <v>0</v>
      </c>
      <c r="EP182" s="58">
        <f>+SUM(Tabla1[[#This Row],[EJECUTADO 01]:[EJECUTADO 03]])</f>
        <v>0</v>
      </c>
      <c r="EQ182" s="58">
        <f>+SUM(Tabla1[[#This Row],[EJECUTADO 04]:[EJECUTADO 06]])</f>
        <v>0</v>
      </c>
      <c r="ER182" s="58">
        <f>+SUM(Tabla1[[#This Row],[EJECUTADO 07]:[EJECUTADO 09]])</f>
        <v>0</v>
      </c>
      <c r="ES182" s="58">
        <f>+SUM(Tabla1[[#This Row],[PF OCTUBRE]:[PF DICIEMBRE
]])</f>
        <v>0</v>
      </c>
      <c r="ET182" s="58">
        <f>+SUM(Tabla1[[#This Row],[EJECUTADO 01]:[EJECUTADO 09]])</f>
        <v>0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1985</v>
      </c>
      <c r="AB183" s="369" t="s">
        <v>1986</v>
      </c>
      <c r="AC183" s="369" t="s">
        <v>1643</v>
      </c>
      <c r="AD183" s="369" t="s">
        <v>1702</v>
      </c>
      <c r="AE183" s="369" t="s">
        <v>1703</v>
      </c>
      <c r="AF183" s="369" t="s">
        <v>1704</v>
      </c>
      <c r="AG183" s="369" t="s">
        <v>1705</v>
      </c>
      <c r="AH183" s="369">
        <v>0</v>
      </c>
      <c r="AI183" s="369">
        <v>4700</v>
      </c>
      <c r="AJ183" s="369">
        <v>4700</v>
      </c>
      <c r="AK183" s="370">
        <v>4700</v>
      </c>
      <c r="AL183" s="370">
        <v>4700</v>
      </c>
      <c r="AM183" s="370">
        <v>0</v>
      </c>
      <c r="AN183" s="370">
        <v>0</v>
      </c>
      <c r="AO183" s="370">
        <v>0</v>
      </c>
      <c r="AP183" s="370">
        <v>4700</v>
      </c>
      <c r="AQ183" s="370">
        <v>0</v>
      </c>
      <c r="AR183" s="370">
        <v>0</v>
      </c>
      <c r="AS183" s="370">
        <v>0</v>
      </c>
      <c r="AT183" s="370">
        <v>0</v>
      </c>
      <c r="AU183" s="370">
        <v>0</v>
      </c>
      <c r="AV183" s="370">
        <v>0</v>
      </c>
      <c r="AW183" s="370">
        <v>0</v>
      </c>
      <c r="AX183" s="370">
        <v>0</v>
      </c>
      <c r="AY183" s="370">
        <v>0</v>
      </c>
      <c r="AZ183" s="370">
        <v>0</v>
      </c>
      <c r="BA183" s="370">
        <v>0</v>
      </c>
      <c r="BB183" s="370">
        <v>0</v>
      </c>
      <c r="BC183" s="370">
        <v>4700</v>
      </c>
      <c r="BD183" s="370">
        <v>0</v>
      </c>
      <c r="BE183" s="370">
        <v>0</v>
      </c>
      <c r="BF183" s="370">
        <v>0</v>
      </c>
      <c r="BG183" s="370">
        <v>0</v>
      </c>
      <c r="BH183" s="370">
        <v>0</v>
      </c>
      <c r="BI183" s="370">
        <v>0</v>
      </c>
      <c r="BJ183" s="370">
        <v>0</v>
      </c>
      <c r="BK183" s="370">
        <v>0</v>
      </c>
      <c r="BL183" s="370">
        <v>0</v>
      </c>
      <c r="BM183" s="370">
        <v>0</v>
      </c>
      <c r="BN183" s="370">
        <v>0</v>
      </c>
      <c r="BO183" s="370">
        <v>4700</v>
      </c>
      <c r="BP183" s="370">
        <v>0</v>
      </c>
      <c r="BQ183" s="370">
        <v>0</v>
      </c>
      <c r="BR183" s="370">
        <v>0</v>
      </c>
      <c r="BS183" s="370">
        <v>0</v>
      </c>
      <c r="BT183" s="370">
        <v>0</v>
      </c>
      <c r="BU183" s="370">
        <v>0</v>
      </c>
      <c r="BV183" s="370">
        <v>0</v>
      </c>
      <c r="BW183" s="370">
        <v>0</v>
      </c>
      <c r="BX183" s="370">
        <v>0</v>
      </c>
      <c r="BY183" s="370">
        <v>0</v>
      </c>
      <c r="BZ183" s="370">
        <v>4700</v>
      </c>
      <c r="CA183" s="370">
        <v>0</v>
      </c>
      <c r="CB183" s="370">
        <v>0</v>
      </c>
      <c r="CC183" s="370">
        <v>0</v>
      </c>
      <c r="CD183" s="370">
        <v>0</v>
      </c>
      <c r="CE183" s="370">
        <v>0</v>
      </c>
      <c r="CF183" s="370">
        <v>0</v>
      </c>
      <c r="CG183" s="370">
        <v>0</v>
      </c>
      <c r="CH183" s="370">
        <v>0</v>
      </c>
      <c r="CI183" s="48" t="s">
        <v>1987</v>
      </c>
      <c r="CJ183" s="48" t="s">
        <v>1988</v>
      </c>
      <c r="CK183" s="48" t="s">
        <v>1991</v>
      </c>
      <c r="CL183" s="48" t="s">
        <v>1987</v>
      </c>
      <c r="CM183" s="48" t="s">
        <v>1991</v>
      </c>
      <c r="CN183" s="48" t="s">
        <v>1990</v>
      </c>
      <c r="CO183" s="48" t="str">
        <f t="shared" si="40"/>
        <v>2.6.3.2.3.1</v>
      </c>
      <c r="CP183" s="48" t="str">
        <f>+VLOOKUP(Tabla1[[#This Row],[ESPECÍFICA]],CLASIFICADOR_,2,0)</f>
        <v>2.6.3.2.3.1 - EQUIPOS COMPUTACIONALES Y PERIFERICOS</v>
      </c>
      <c r="CQ183" s="48" t="str">
        <f>+VLOOKUP(Tabla1[[#This Row],[ESPECÍFICA]],CLASIFICADOR_,3,0)</f>
        <v>2.6.3.2 - ADQUISICION DE MAQUINARIAS, EQUIPO Y MOBILIARIO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N/R</v>
      </c>
      <c r="CU183" s="48" t="str">
        <f>+VLOOKUP(Tabla1[[#This Row],[ESPECÍFICA]],CLASIFICADOR_,7,0)</f>
        <v>N/R</v>
      </c>
      <c r="CV183" s="48">
        <f>+VLOOKUP(Tabla1[[#This Row],[ESPECÍFICA]],CLASIFICADOR_,8,0)</f>
        <v>0</v>
      </c>
      <c r="CW183" s="113" t="str">
        <f>+CONCATENATE("2.",Tabla1[[#This Row],[generica]])</f>
        <v>2.6.ADQUISICION DE ACTIVOS NO FINANCIEROS</v>
      </c>
      <c r="CX183" s="48" t="str">
        <f t="shared" si="29"/>
        <v>0010-OA</v>
      </c>
      <c r="CY183" s="113" t="str">
        <f t="shared" si="30"/>
        <v>0010-OA</v>
      </c>
      <c r="CZ183" s="20" t="str">
        <f t="shared" si="31"/>
        <v>0010-OA</v>
      </c>
      <c r="DA183" s="113" t="str">
        <f>+CONCATENATE(Tabla1[[#This Row],[CC COMPLETO]],Tabla1[[#This Row],[ESPECÍFICA]])</f>
        <v>0010-OA2.6.3.2.3.1</v>
      </c>
      <c r="DB183" s="49">
        <f t="shared" si="32"/>
        <v>4700</v>
      </c>
      <c r="DC183" s="49">
        <f t="shared" si="33"/>
        <v>4700</v>
      </c>
      <c r="DD183" s="49">
        <f t="shared" si="34"/>
        <v>4700</v>
      </c>
      <c r="DE183" s="49">
        <f t="shared" si="35"/>
        <v>0</v>
      </c>
      <c r="DF183" s="49">
        <f t="shared" si="36"/>
        <v>0</v>
      </c>
      <c r="DG183" s="49">
        <f t="shared" si="37"/>
        <v>0</v>
      </c>
      <c r="DH183" s="49">
        <f t="shared" si="38"/>
        <v>0</v>
      </c>
      <c r="DI183" s="50">
        <f t="shared" si="39"/>
        <v>0</v>
      </c>
      <c r="DJ183" s="78">
        <f>+SUM(Tabla1[[#This Row],[EJECUTADO 01]:[EJECUTADO 06]])</f>
        <v>4700</v>
      </c>
      <c r="DK183" s="78">
        <f>+Tabla1[[#This Row],[mto_devenga_01]]</f>
        <v>0</v>
      </c>
      <c r="DL183" s="78">
        <f>+Tabla1[[#This Row],[mto_devenga_02]]</f>
        <v>0</v>
      </c>
      <c r="DM183" s="78">
        <f>+Tabla1[[#This Row],[mto_devenga_03]]</f>
        <v>0</v>
      </c>
      <c r="DN183" s="78">
        <f>+Tabla1[[#This Row],[mto_devenga_04]]</f>
        <v>0</v>
      </c>
      <c r="DO183" s="78">
        <f>+Tabla1[[#This Row],[mto_devenga_05]]</f>
        <v>4700</v>
      </c>
      <c r="DP183" s="76">
        <f>+Tabla1[[#This Row],[mto_devenga_06]]</f>
        <v>0</v>
      </c>
      <c r="DQ183" s="76">
        <f>+Tabla1[[#This Row],[mto_devenga_07]]</f>
        <v>0</v>
      </c>
      <c r="DR183" s="76">
        <f>+Tabla1[[#This Row],[mto_devenga_08]]</f>
        <v>0</v>
      </c>
      <c r="DS183" s="76">
        <f>+Tabla1[[#This Row],[mto_devenga_09]]</f>
        <v>0</v>
      </c>
      <c r="DT183" s="76">
        <f>IFERROR(VLOOKUP(Tabla1[[#This Row],[COD SE]],PF_OCTUBRE,14,0),"0")</f>
        <v>0</v>
      </c>
      <c r="DU183" s="76">
        <f>IFERROR(VLOOKUP(Tabla1[[#This Row],[COD SE]],PF_OCTUBRE,15,0),"0")</f>
        <v>0</v>
      </c>
      <c r="DV183" s="76">
        <f>IFERROR(VLOOKUP(Tabla1[[#This Row],[COD SE]],PF_OCTUBRE,16,0),"0")</f>
        <v>0</v>
      </c>
      <c r="DW183" s="76">
        <f>+SUM(Tabla1[[#This Row],[EJECUTADO 01]:[PF DICIEMBRE
]])</f>
        <v>4700</v>
      </c>
      <c r="DX183" s="76">
        <f>IFERROR(VLOOKUP(Tabla1[[#This Row],[COD SE]],PF_OCTUBRE,18,0),"0")</f>
        <v>0</v>
      </c>
      <c r="DY183" s="76">
        <f>IFERROR(VLOOKUP(Tabla1[[#This Row],[COD SE]],PF_OCTUBRE,19,0),"0")</f>
        <v>0</v>
      </c>
      <c r="DZ183" s="76">
        <f>IFERROR(VLOOKUP(Tabla1[[#This Row],[COD SE]],PF_OCTUBRE,20,0),"0")</f>
        <v>0</v>
      </c>
      <c r="EA183" s="76">
        <f>+Tabla1[[#This Row],[TOTAL EJEC REAL]]+Tabla1[[#This Row],[SALDO FINAL]]</f>
        <v>4700</v>
      </c>
      <c r="EB183" s="76">
        <f>IFERROR(VLOOKUP(Tabla1[[#This Row],[COD SE]],PF_OCTUBRE,22,0),"0")</f>
        <v>0</v>
      </c>
      <c r="EC183" s="76">
        <f>+IFERROR(VLOOKUP(Tabla1[[#This Row],[COD SE]],SALDO_ESC_2,7,0),0)</f>
        <v>0</v>
      </c>
      <c r="ED183" s="76">
        <f>+IFERROR(VLOOKUP(Tabla1[[#This Row],[COD SE]],SALDO_ESC_3,7,0),0)</f>
        <v>0</v>
      </c>
      <c r="EE183" s="76">
        <f>+Tabla1[[#This Row],[mto_pim]]-Tabla1[[#This Row],[TRANSF ESC2 ]]</f>
        <v>4700</v>
      </c>
      <c r="EF183" s="76">
        <f>+Tabla1[[#This Row],[mto_pim]]-Tabla1[[#This Row],[TRANFS ESC 3 ]]</f>
        <v>4700</v>
      </c>
      <c r="EG183" s="76">
        <f>+IFERROR(VLOOKUP(Tabla1[[#This Row],[COD SE]],HISTORICO,4,0),0)</f>
        <v>0</v>
      </c>
      <c r="EH183" s="76">
        <f>+IFERROR(VLOOKUP(Tabla1[[#This Row],[COD SE]],HISTORICO,5,0),0)</f>
        <v>0</v>
      </c>
      <c r="EI183" s="76">
        <f>+IFERROR(VLOOKUP(Tabla1[[#This Row],[COD SE]],HISTORICO,6,0),0)</f>
        <v>5824</v>
      </c>
      <c r="EJ183" s="76">
        <f>+IFERROR(VLOOKUP(Tabla1[[#This Row],[COD SE]],HISTORICO,7,0),0)</f>
        <v>0</v>
      </c>
      <c r="EK183" s="76">
        <f>+IFERROR(VLOOKUP(Tabla1[[#This Row],[COD SE]],HISTORICO,8,0),0)</f>
        <v>4700</v>
      </c>
      <c r="EL183" s="76">
        <f>+IFERROR(VLOOKUP(Tabla1[[#This Row],[COD SE]],HISTORICO,9,0),0)</f>
        <v>0</v>
      </c>
      <c r="EM183" s="76">
        <f>+IFERROR(VLOOKUP(Tabla1[[#This Row],[COD SE]],HISTORICO,10,0),0)</f>
        <v>0</v>
      </c>
      <c r="EN183" s="76">
        <f>+IFERROR(VLOOKUP(Tabla1[[#This Row],[COD SE]],HISTORICO,11,0),0)</f>
        <v>0</v>
      </c>
      <c r="EO183" s="76">
        <f>+IFERROR(VLOOKUP(Tabla1[[#This Row],[COD SE]],HISTORICO,12,0),0)</f>
        <v>0</v>
      </c>
      <c r="EP183" s="58">
        <f>+SUM(Tabla1[[#This Row],[EJECUTADO 01]:[EJECUTADO 03]])</f>
        <v>0</v>
      </c>
      <c r="EQ183" s="58">
        <f>+SUM(Tabla1[[#This Row],[EJECUTADO 04]:[EJECUTADO 06]])</f>
        <v>4700</v>
      </c>
      <c r="ER183" s="58">
        <f>+SUM(Tabla1[[#This Row],[EJECUTADO 07]:[EJECUTADO 09]])</f>
        <v>0</v>
      </c>
      <c r="ES183" s="58">
        <f>+SUM(Tabla1[[#This Row],[PF OCTUBRE]:[PF DICIEMBRE
]])</f>
        <v>0</v>
      </c>
      <c r="ET183" s="58">
        <f>+SUM(Tabla1[[#This Row],[EJECUTADO 01]:[EJECUTADO 09]])</f>
        <v>4700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2004</v>
      </c>
      <c r="AB184" s="369" t="s">
        <v>1986</v>
      </c>
      <c r="AC184" s="369" t="s">
        <v>1656</v>
      </c>
      <c r="AD184" s="369" t="s">
        <v>1657</v>
      </c>
      <c r="AE184" s="369" t="s">
        <v>1660</v>
      </c>
      <c r="AF184" s="369" t="s">
        <v>1661</v>
      </c>
      <c r="AG184" s="369" t="s">
        <v>1662</v>
      </c>
      <c r="AH184" s="369">
        <v>3116871</v>
      </c>
      <c r="AI184" s="369">
        <v>-108646</v>
      </c>
      <c r="AJ184" s="369">
        <v>3008225</v>
      </c>
      <c r="AK184" s="370">
        <v>2962512</v>
      </c>
      <c r="AL184" s="370">
        <v>2802119.72</v>
      </c>
      <c r="AM184" s="370">
        <v>247630.4</v>
      </c>
      <c r="AN184" s="370">
        <v>243353.71</v>
      </c>
      <c r="AO184" s="370">
        <v>238460.83</v>
      </c>
      <c r="AP184" s="370">
        <v>239119.8</v>
      </c>
      <c r="AQ184" s="370">
        <v>243441.71</v>
      </c>
      <c r="AR184" s="370">
        <v>242685.68</v>
      </c>
      <c r="AS184" s="370">
        <v>241468.85</v>
      </c>
      <c r="AT184" s="370">
        <v>247738.25</v>
      </c>
      <c r="AU184" s="370">
        <v>254243.69</v>
      </c>
      <c r="AV184" s="370">
        <v>253371.91</v>
      </c>
      <c r="AW184" s="370">
        <v>0</v>
      </c>
      <c r="AX184" s="370">
        <v>0</v>
      </c>
      <c r="AY184" s="370">
        <v>247707.65</v>
      </c>
      <c r="AZ184" s="370">
        <v>246163.96</v>
      </c>
      <c r="BA184" s="370">
        <v>235573.33</v>
      </c>
      <c r="BB184" s="370">
        <v>239664.97</v>
      </c>
      <c r="BC184" s="370">
        <v>242946.66</v>
      </c>
      <c r="BD184" s="370">
        <v>242685.68</v>
      </c>
      <c r="BE184" s="370">
        <v>241337.48</v>
      </c>
      <c r="BF184" s="370">
        <v>247738.25</v>
      </c>
      <c r="BG184" s="370">
        <v>254243.69</v>
      </c>
      <c r="BH184" s="370">
        <v>253371.91</v>
      </c>
      <c r="BI184" s="370">
        <v>0</v>
      </c>
      <c r="BJ184" s="370">
        <v>0</v>
      </c>
      <c r="BK184" s="370">
        <v>247124.03</v>
      </c>
      <c r="BL184" s="370">
        <v>246747.58</v>
      </c>
      <c r="BM184" s="370">
        <v>235573.33</v>
      </c>
      <c r="BN184" s="370">
        <v>216261.85</v>
      </c>
      <c r="BO184" s="370">
        <v>266268.53000000003</v>
      </c>
      <c r="BP184" s="370">
        <v>242685.68</v>
      </c>
      <c r="BQ184" s="370">
        <v>241418.73</v>
      </c>
      <c r="BR184" s="370">
        <v>247738.25</v>
      </c>
      <c r="BS184" s="370">
        <v>254243.69</v>
      </c>
      <c r="BT184" s="370">
        <v>228311.18</v>
      </c>
      <c r="BU184" s="370">
        <v>0</v>
      </c>
      <c r="BV184" s="370">
        <v>0</v>
      </c>
      <c r="BW184" s="370">
        <v>247707.65</v>
      </c>
      <c r="BX184" s="370">
        <v>246163.96</v>
      </c>
      <c r="BY184" s="370">
        <v>238460.83</v>
      </c>
      <c r="BZ184" s="370">
        <v>239583.72</v>
      </c>
      <c r="CA184" s="370">
        <v>243441.71</v>
      </c>
      <c r="CB184" s="370">
        <v>242685.68</v>
      </c>
      <c r="CC184" s="370">
        <v>241468.85</v>
      </c>
      <c r="CD184" s="370">
        <v>247738.25</v>
      </c>
      <c r="CE184" s="370">
        <v>254243.69</v>
      </c>
      <c r="CF184" s="370">
        <v>227518.68</v>
      </c>
      <c r="CG184" s="370">
        <v>0</v>
      </c>
      <c r="CH184" s="370">
        <v>0</v>
      </c>
      <c r="CI184" s="48" t="s">
        <v>1987</v>
      </c>
      <c r="CJ184" s="48" t="s">
        <v>1990</v>
      </c>
      <c r="CK184" s="48" t="s">
        <v>1990</v>
      </c>
      <c r="CL184" s="48" t="s">
        <v>2010</v>
      </c>
      <c r="CM184" s="48" t="s">
        <v>1990</v>
      </c>
      <c r="CN184" s="48" t="s">
        <v>1990</v>
      </c>
      <c r="CO184" s="48" t="str">
        <f t="shared" si="40"/>
        <v>2.1.1.13.1.1</v>
      </c>
      <c r="CP184" s="48" t="str">
        <f>+VLOOKUP(Tabla1[[#This Row],[ESPECÍFICA]],CLASIFICADOR_,2,0)</f>
        <v>2.1.1.13.1.1 - CONTRATO ADMINISTRATIVO DE SERVICIOS - INDETERMINADO</v>
      </c>
      <c r="CQ184" s="48" t="str">
        <f>+VLOOKUP(Tabla1[[#This Row],[ESPECÍFICA]],CLASIFICADOR_,3,0)</f>
        <v>01.CAS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2.1.PERSONAL Y OBLIGACIONES SOCIALES</v>
      </c>
      <c r="CX184" s="113" t="str">
        <f t="shared" si="29"/>
        <v>0010-OA</v>
      </c>
      <c r="CY184" s="113" t="str">
        <f t="shared" si="30"/>
        <v>0010-OA</v>
      </c>
      <c r="CZ184" s="20" t="str">
        <f t="shared" si="31"/>
        <v>0010-OA</v>
      </c>
      <c r="DA184" s="113" t="str">
        <f>+CONCATENATE(Tabla1[[#This Row],[CC COMPLETO]],Tabla1[[#This Row],[ESPECÍFICA]])</f>
        <v>0010-OA2.1.1.13.1.1</v>
      </c>
      <c r="DB184" s="49">
        <f t="shared" si="32"/>
        <v>2451514.83</v>
      </c>
      <c r="DC184" s="49">
        <f t="shared" si="33"/>
        <v>2451433.58</v>
      </c>
      <c r="DD184" s="49">
        <f t="shared" si="34"/>
        <v>2426372.85</v>
      </c>
      <c r="DE184" s="49">
        <f t="shared" si="35"/>
        <v>45713</v>
      </c>
      <c r="DF184" s="49">
        <f t="shared" si="36"/>
        <v>160392.2799999998</v>
      </c>
      <c r="DG184" s="49">
        <f t="shared" si="37"/>
        <v>350686.14000000013</v>
      </c>
      <c r="DH184" s="49">
        <f t="shared" si="38"/>
        <v>556791.41999999993</v>
      </c>
      <c r="DI184" s="50">
        <f t="shared" si="39"/>
        <v>0.78650466445354972</v>
      </c>
      <c r="DJ184" s="78">
        <f>+SUM(Tabla1[[#This Row],[EJECUTADO 01]:[EJECUTADO 06]])</f>
        <v>1454742.2499999998</v>
      </c>
      <c r="DK184" s="78">
        <f>+Tabla1[[#This Row],[mto_devenga_01]]</f>
        <v>247707.65</v>
      </c>
      <c r="DL184" s="78">
        <f>+Tabla1[[#This Row],[mto_devenga_02]]</f>
        <v>246163.96</v>
      </c>
      <c r="DM184" s="78">
        <f>+Tabla1[[#This Row],[mto_devenga_03]]</f>
        <v>235573.33</v>
      </c>
      <c r="DN184" s="78">
        <f>+Tabla1[[#This Row],[mto_devenga_04]]</f>
        <v>239664.97</v>
      </c>
      <c r="DO184" s="78">
        <f>+Tabla1[[#This Row],[mto_devenga_05]]</f>
        <v>242946.66</v>
      </c>
      <c r="DP184" s="76">
        <f>+Tabla1[[#This Row],[mto_devenga_06]]</f>
        <v>242685.68</v>
      </c>
      <c r="DQ184" s="76">
        <f>+Tabla1[[#This Row],[mto_devenga_07]]</f>
        <v>241337.48</v>
      </c>
      <c r="DR184" s="76">
        <f>+Tabla1[[#This Row],[mto_devenga_08]]</f>
        <v>247738.25</v>
      </c>
      <c r="DS184" s="76">
        <f>+Tabla1[[#This Row],[mto_devenga_09]]</f>
        <v>254243.69</v>
      </c>
      <c r="DT184" s="76">
        <f>IFERROR(VLOOKUP(Tabla1[[#This Row],[COD SE]],PF_OCTUBRE,14,0),"0")</f>
        <v>250246.65000000005</v>
      </c>
      <c r="DU184" s="76">
        <f>IFERROR(VLOOKUP(Tabla1[[#This Row],[COD SE]],PF_OCTUBRE,15,0),"0")</f>
        <v>250246.65000000005</v>
      </c>
      <c r="DV184" s="76">
        <f>IFERROR(VLOOKUP(Tabla1[[#This Row],[COD SE]],PF_OCTUBRE,16,0),"0")</f>
        <v>250246.65000000005</v>
      </c>
      <c r="DW184" s="76">
        <f>+SUM(Tabla1[[#This Row],[EJECUTADO 01]:[PF DICIEMBRE
]])</f>
        <v>2948801.6199999996</v>
      </c>
      <c r="DX184" s="76">
        <f>IFERROR(VLOOKUP(Tabla1[[#This Row],[COD SE]],PF_OCTUBRE,18,0),"0")</f>
        <v>0</v>
      </c>
      <c r="DY184" s="76">
        <f>IFERROR(VLOOKUP(Tabla1[[#This Row],[COD SE]],PF_OCTUBRE,19,0),"0")</f>
        <v>59423.37999999999</v>
      </c>
      <c r="DZ184" s="76">
        <f>IFERROR(VLOOKUP(Tabla1[[#This Row],[COD SE]],PF_OCTUBRE,20,0),"0")</f>
        <v>59423.37999999999</v>
      </c>
      <c r="EA184" s="76">
        <f>+Tabla1[[#This Row],[TOTAL EJEC REAL]]+Tabla1[[#This Row],[SALDO FINAL]]</f>
        <v>3008224.9999999995</v>
      </c>
      <c r="EB184" s="76">
        <f>IFERROR(VLOOKUP(Tabla1[[#This Row],[COD SE]],PF_OCTUBRE,22,0),"0")</f>
        <v>309670.03000000003</v>
      </c>
      <c r="EC184" s="76">
        <f>+IFERROR(VLOOKUP(Tabla1[[#This Row],[COD SE]],SALDO_ESC_2,7,0),0)</f>
        <v>0</v>
      </c>
      <c r="ED184" s="76">
        <f>+IFERROR(VLOOKUP(Tabla1[[#This Row],[COD SE]],SALDO_ESC_3,7,0),0)</f>
        <v>59423.37999999999</v>
      </c>
      <c r="EE184" s="76">
        <f>+Tabla1[[#This Row],[mto_pim]]-Tabla1[[#This Row],[TRANSF ESC2 ]]</f>
        <v>3008225</v>
      </c>
      <c r="EF184" s="76">
        <f>+Tabla1[[#This Row],[mto_pim]]-Tabla1[[#This Row],[TRANFS ESC 3 ]]</f>
        <v>2948801.62</v>
      </c>
      <c r="EG184" s="76">
        <f>+IFERROR(VLOOKUP(Tabla1[[#This Row],[COD SE]],HISTORICO,4,0),0)</f>
        <v>263339.22000000003</v>
      </c>
      <c r="EH184" s="76">
        <f>+IFERROR(VLOOKUP(Tabla1[[#This Row],[COD SE]],HISTORICO,5,0),0)</f>
        <v>255510.84000000005</v>
      </c>
      <c r="EI184" s="76">
        <f>+IFERROR(VLOOKUP(Tabla1[[#This Row],[COD SE]],HISTORICO,6,0),0)</f>
        <v>263339.22000000003</v>
      </c>
      <c r="EJ184" s="76">
        <f>+IFERROR(VLOOKUP(Tabla1[[#This Row],[COD SE]],HISTORICO,7,0),0)</f>
        <v>266073.95000000007</v>
      </c>
      <c r="EK184" s="76">
        <f>+IFERROR(VLOOKUP(Tabla1[[#This Row],[COD SE]],HISTORICO,8,0),0)</f>
        <v>249146.65000000005</v>
      </c>
      <c r="EL184" s="76">
        <f>+IFERROR(VLOOKUP(Tabla1[[#This Row],[COD SE]],HISTORICO,9,0),0)</f>
        <v>244009.43000000005</v>
      </c>
      <c r="EM184" s="76">
        <f>+IFERROR(VLOOKUP(Tabla1[[#This Row],[COD SE]],HISTORICO,10,0),0)</f>
        <v>243982.46000000005</v>
      </c>
      <c r="EN184" s="76">
        <f>+IFERROR(VLOOKUP(Tabla1[[#This Row],[COD SE]],HISTORICO,11,0),0)</f>
        <v>250246.65000000005</v>
      </c>
      <c r="EO184" s="76">
        <f>+IFERROR(VLOOKUP(Tabla1[[#This Row],[COD SE]],HISTORICO,12,0),0)</f>
        <v>250246.65000000005</v>
      </c>
      <c r="EP184" s="58">
        <f>+SUM(Tabla1[[#This Row],[EJECUTADO 01]:[EJECUTADO 03]])</f>
        <v>729444.94</v>
      </c>
      <c r="EQ184" s="58">
        <f>+SUM(Tabla1[[#This Row],[EJECUTADO 04]:[EJECUTADO 06]])</f>
        <v>725297.31</v>
      </c>
      <c r="ER184" s="58">
        <f>+SUM(Tabla1[[#This Row],[EJECUTADO 07]:[EJECUTADO 09]])</f>
        <v>743319.41999999993</v>
      </c>
      <c r="ES184" s="58">
        <f>+SUM(Tabla1[[#This Row],[PF OCTUBRE]:[PF DICIEMBRE
]])</f>
        <v>750739.95000000019</v>
      </c>
      <c r="ET184" s="58">
        <f>+SUM(Tabla1[[#This Row],[EJECUTADO 01]:[EJECUTADO 09]])</f>
        <v>2198061.67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1684</v>
      </c>
      <c r="AE185" s="369" t="s">
        <v>1722</v>
      </c>
      <c r="AF185" s="369" t="s">
        <v>1723</v>
      </c>
      <c r="AG185" s="369" t="s">
        <v>1724</v>
      </c>
      <c r="AH185" s="369">
        <v>3000</v>
      </c>
      <c r="AI185" s="369">
        <v>-2641</v>
      </c>
      <c r="AJ185" s="369">
        <v>359</v>
      </c>
      <c r="AK185" s="370">
        <v>359</v>
      </c>
      <c r="AL185" s="370">
        <v>359</v>
      </c>
      <c r="AM185" s="370">
        <v>0</v>
      </c>
      <c r="AN185" s="370">
        <v>0</v>
      </c>
      <c r="AO185" s="370">
        <v>0</v>
      </c>
      <c r="AP185" s="370">
        <v>0</v>
      </c>
      <c r="AQ185" s="370">
        <v>0</v>
      </c>
      <c r="AR185" s="370">
        <v>0</v>
      </c>
      <c r="AS185" s="370">
        <v>0</v>
      </c>
      <c r="AT185" s="370">
        <v>0</v>
      </c>
      <c r="AU185" s="370">
        <v>359</v>
      </c>
      <c r="AV185" s="370">
        <v>0</v>
      </c>
      <c r="AW185" s="370">
        <v>0</v>
      </c>
      <c r="AX185" s="370">
        <v>0</v>
      </c>
      <c r="AY185" s="370">
        <v>0</v>
      </c>
      <c r="AZ185" s="370">
        <v>0</v>
      </c>
      <c r="BA185" s="370">
        <v>0</v>
      </c>
      <c r="BB185" s="370">
        <v>0</v>
      </c>
      <c r="BC185" s="370">
        <v>0</v>
      </c>
      <c r="BD185" s="370">
        <v>0</v>
      </c>
      <c r="BE185" s="370">
        <v>0</v>
      </c>
      <c r="BF185" s="370">
        <v>0</v>
      </c>
      <c r="BG185" s="370">
        <v>0</v>
      </c>
      <c r="BH185" s="370">
        <v>0</v>
      </c>
      <c r="BI185" s="370">
        <v>0</v>
      </c>
      <c r="BJ185" s="370">
        <v>0</v>
      </c>
      <c r="BK185" s="370">
        <v>0</v>
      </c>
      <c r="BL185" s="370">
        <v>0</v>
      </c>
      <c r="BM185" s="370">
        <v>0</v>
      </c>
      <c r="BN185" s="370">
        <v>0</v>
      </c>
      <c r="BO185" s="370">
        <v>0</v>
      </c>
      <c r="BP185" s="370">
        <v>0</v>
      </c>
      <c r="BQ185" s="370">
        <v>0</v>
      </c>
      <c r="BR185" s="370">
        <v>0</v>
      </c>
      <c r="BS185" s="370">
        <v>0</v>
      </c>
      <c r="BT185" s="370">
        <v>0</v>
      </c>
      <c r="BU185" s="370">
        <v>0</v>
      </c>
      <c r="BV185" s="370">
        <v>0</v>
      </c>
      <c r="BW185" s="370">
        <v>0</v>
      </c>
      <c r="BX185" s="370">
        <v>0</v>
      </c>
      <c r="BY185" s="370">
        <v>0</v>
      </c>
      <c r="BZ185" s="370">
        <v>0</v>
      </c>
      <c r="CA185" s="370">
        <v>0</v>
      </c>
      <c r="CB185" s="370">
        <v>0</v>
      </c>
      <c r="CC185" s="370">
        <v>0</v>
      </c>
      <c r="CD185" s="370">
        <v>0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1990</v>
      </c>
      <c r="CL185" s="48" t="s">
        <v>1992</v>
      </c>
      <c r="CM185" s="48" t="s">
        <v>1987</v>
      </c>
      <c r="CN185" s="48" t="s">
        <v>1990</v>
      </c>
      <c r="CO185" s="10" t="str">
        <f t="shared" ref="CO185:CO197" si="41">+CONCATENATE(CI185,".",CJ185,".",CK185,".",CL185,".",CM185,".",CN185)</f>
        <v>2.3.1.8.2.1</v>
      </c>
      <c r="CP185" s="10" t="str">
        <f>+VLOOKUP(Tabla1[[#This Row],[ESPECÍFICA]],CLASIFICADOR_,2,0)</f>
        <v>2.3.1.8.2.1 - MATERIAL, INSUMOS, INSTRUMENTAL Y ACCESORIOS  MEDICOS, QUIRURGICOS, ODONTOLOGICOS Y DE LABORATORIO</v>
      </c>
      <c r="CQ185" s="10" t="str">
        <f>+VLOOKUP(Tabla1[[#This Row],[ESPECÍFICA]],CLASIFICADOR_,3,0)</f>
        <v>2.3.1.8 - SUMINISTROS MEDICOS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9"/>
        <v>0010-OA</v>
      </c>
      <c r="CY185" s="5" t="str">
        <f t="shared" si="30"/>
        <v>0010-OA</v>
      </c>
      <c r="CZ185" t="str">
        <f t="shared" si="31"/>
        <v>0010-OA</v>
      </c>
      <c r="DA185" s="113" t="str">
        <f>+CONCATENATE(Tabla1[[#This Row],[CC COMPLETO]],Tabla1[[#This Row],[ESPECÍFICA]])</f>
        <v>0010-OA2.3.1.8.2.1</v>
      </c>
      <c r="DB185" s="11">
        <f t="shared" si="32"/>
        <v>359</v>
      </c>
      <c r="DC185" s="11">
        <f t="shared" si="33"/>
        <v>0</v>
      </c>
      <c r="DD185" s="11">
        <f t="shared" si="34"/>
        <v>0</v>
      </c>
      <c r="DE185" s="11">
        <f t="shared" si="35"/>
        <v>0</v>
      </c>
      <c r="DF185" s="11">
        <f t="shared" si="36"/>
        <v>0</v>
      </c>
      <c r="DG185" s="11">
        <f t="shared" si="37"/>
        <v>359</v>
      </c>
      <c r="DH185" s="11">
        <f t="shared" si="38"/>
        <v>359</v>
      </c>
      <c r="DI185" s="12">
        <f t="shared" si="39"/>
        <v>0</v>
      </c>
      <c r="DJ185" s="77">
        <f>+SUM(Tabla1[[#This Row],[EJECUTADO 01]:[EJECUTADO 06]])</f>
        <v>0</v>
      </c>
      <c r="DK185" s="78">
        <f>+Tabla1[[#This Row],[mto_devenga_01]]</f>
        <v>0</v>
      </c>
      <c r="DL185" s="78">
        <f>+Tabla1[[#This Row],[mto_devenga_02]]</f>
        <v>0</v>
      </c>
      <c r="DM185" s="78">
        <f>+Tabla1[[#This Row],[mto_devenga_03]]</f>
        <v>0</v>
      </c>
      <c r="DN185" s="78">
        <f>+Tabla1[[#This Row],[mto_devenga_04]]</f>
        <v>0</v>
      </c>
      <c r="DO185" s="78">
        <f>+Tabla1[[#This Row],[mto_devenga_05]]</f>
        <v>0</v>
      </c>
      <c r="DP185" s="76">
        <f>+Tabla1[[#This Row],[mto_devenga_06]]</f>
        <v>0</v>
      </c>
      <c r="DQ185" s="76">
        <f>+Tabla1[[#This Row],[mto_devenga_07]]</f>
        <v>0</v>
      </c>
      <c r="DR185" s="76">
        <f>+Tabla1[[#This Row],[mto_devenga_08]]</f>
        <v>0</v>
      </c>
      <c r="DS185" s="76">
        <f>+Tabla1[[#This Row],[mto_devenga_09]]</f>
        <v>0</v>
      </c>
      <c r="DT185" s="76">
        <f>IFERROR(VLOOKUP(Tabla1[[#This Row],[COD SE]],PF_OCTUBRE,14,0),"0")</f>
        <v>0</v>
      </c>
      <c r="DU185" s="76">
        <f>IFERROR(VLOOKUP(Tabla1[[#This Row],[COD SE]],PF_OCTUBRE,15,0),"0")</f>
        <v>359</v>
      </c>
      <c r="DV185" s="76">
        <f>IFERROR(VLOOKUP(Tabla1[[#This Row],[COD SE]],PF_OCTUBRE,16,0),"0")</f>
        <v>29</v>
      </c>
      <c r="DW185" s="76">
        <f>+SUM(Tabla1[[#This Row],[EJECUTADO 01]:[PF DICIEMBRE
]])</f>
        <v>388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388</v>
      </c>
      <c r="EB185" s="76">
        <f>IFERROR(VLOOKUP(Tabla1[[#This Row],[COD SE]],PF_OCTUBRE,22,0),"0")</f>
        <v>29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359</v>
      </c>
      <c r="EF185" s="76">
        <f>+Tabla1[[#This Row],[mto_pim]]-Tabla1[[#This Row],[TRANFS ESC 3 ]]</f>
        <v>359</v>
      </c>
      <c r="EG185" s="76">
        <f>+IFERROR(VLOOKUP(Tabla1[[#This Row],[COD SE]],HISTORICO,4,0),0)</f>
        <v>0</v>
      </c>
      <c r="EH185" s="76">
        <f>+IFERROR(VLOOKUP(Tabla1[[#This Row],[COD SE]],HISTORICO,5,0),0)</f>
        <v>0</v>
      </c>
      <c r="EI185" s="76">
        <f>+IFERROR(VLOOKUP(Tabla1[[#This Row],[COD SE]],HISTORICO,6,0),0)</f>
        <v>0</v>
      </c>
      <c r="EJ185" s="76">
        <f>+IFERROR(VLOOKUP(Tabla1[[#This Row],[COD SE]],HISTORICO,7,0),0)</f>
        <v>1000</v>
      </c>
      <c r="EK185" s="76">
        <f>+IFERROR(VLOOKUP(Tabla1[[#This Row],[COD SE]],HISTORICO,8,0),0)</f>
        <v>1000</v>
      </c>
      <c r="EL185" s="76">
        <f>+IFERROR(VLOOKUP(Tabla1[[#This Row],[COD SE]],HISTORICO,9,0),0)</f>
        <v>0</v>
      </c>
      <c r="EM185" s="76">
        <f>+IFERROR(VLOOKUP(Tabla1[[#This Row],[COD SE]],HISTORICO,10,0),0)</f>
        <v>0</v>
      </c>
      <c r="EN185" s="76">
        <f>+IFERROR(VLOOKUP(Tabla1[[#This Row],[COD SE]],HISTORICO,11,0),0)</f>
        <v>0</v>
      </c>
      <c r="EO185" s="76">
        <f>+IFERROR(VLOOKUP(Tabla1[[#This Row],[COD SE]],HISTORICO,12,0),0)</f>
        <v>0</v>
      </c>
      <c r="EP185" s="58">
        <f>+SUM(Tabla1[[#This Row],[EJECUTADO 01]:[EJECUTADO 03]])</f>
        <v>0</v>
      </c>
      <c r="EQ185" s="58">
        <f>+SUM(Tabla1[[#This Row],[EJECUTADO 04]:[EJECUTADO 06]])</f>
        <v>0</v>
      </c>
      <c r="ER185" s="58">
        <f>+SUM(Tabla1[[#This Row],[EJECUTADO 07]:[EJECUTADO 09]])</f>
        <v>0</v>
      </c>
      <c r="ES185" s="58">
        <f>+SUM(Tabla1[[#This Row],[PF OCTUBRE]:[PF DICIEMBRE
]])</f>
        <v>388</v>
      </c>
      <c r="ET185" s="58">
        <f>+SUM(Tabla1[[#This Row],[EJECUTADO 01]:[EJECUTADO 09]])</f>
        <v>0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1673</v>
      </c>
      <c r="AE186" s="369" t="s">
        <v>1688</v>
      </c>
      <c r="AF186" s="369" t="s">
        <v>1725</v>
      </c>
      <c r="AG186" s="369" t="s">
        <v>1735</v>
      </c>
      <c r="AH186" s="369">
        <v>9640</v>
      </c>
      <c r="AI186" s="369">
        <v>-3515</v>
      </c>
      <c r="AJ186" s="369">
        <v>6125</v>
      </c>
      <c r="AK186" s="370">
        <v>5375</v>
      </c>
      <c r="AL186" s="370">
        <v>5375</v>
      </c>
      <c r="AM186" s="370">
        <v>3500</v>
      </c>
      <c r="AN186" s="370">
        <v>0</v>
      </c>
      <c r="AO186" s="370">
        <v>0</v>
      </c>
      <c r="AP186" s="370">
        <v>1875</v>
      </c>
      <c r="AQ186" s="370">
        <v>0</v>
      </c>
      <c r="AR186" s="370">
        <v>0</v>
      </c>
      <c r="AS186" s="370">
        <v>0</v>
      </c>
      <c r="AT186" s="370">
        <v>0</v>
      </c>
      <c r="AU186" s="370">
        <v>0</v>
      </c>
      <c r="AV186" s="370">
        <v>0</v>
      </c>
      <c r="AW186" s="370">
        <v>0</v>
      </c>
      <c r="AX186" s="370">
        <v>0</v>
      </c>
      <c r="AY186" s="370">
        <v>0</v>
      </c>
      <c r="AZ186" s="370">
        <v>700</v>
      </c>
      <c r="BA186" s="370">
        <v>1400</v>
      </c>
      <c r="BB186" s="370">
        <v>0</v>
      </c>
      <c r="BC186" s="370">
        <v>1400</v>
      </c>
      <c r="BD186" s="370">
        <v>0</v>
      </c>
      <c r="BE186" s="370">
        <v>0</v>
      </c>
      <c r="BF186" s="370">
        <v>0</v>
      </c>
      <c r="BG186" s="370">
        <v>375</v>
      </c>
      <c r="BH186" s="370">
        <v>375</v>
      </c>
      <c r="BI186" s="370">
        <v>0</v>
      </c>
      <c r="BJ186" s="370">
        <v>0</v>
      </c>
      <c r="BK186" s="370">
        <v>0</v>
      </c>
      <c r="BL186" s="370">
        <v>700</v>
      </c>
      <c r="BM186" s="370">
        <v>1400</v>
      </c>
      <c r="BN186" s="370">
        <v>0</v>
      </c>
      <c r="BO186" s="370">
        <v>1400</v>
      </c>
      <c r="BP186" s="370">
        <v>0</v>
      </c>
      <c r="BQ186" s="370">
        <v>0</v>
      </c>
      <c r="BR186" s="370">
        <v>0</v>
      </c>
      <c r="BS186" s="370">
        <v>375</v>
      </c>
      <c r="BT186" s="370">
        <v>375</v>
      </c>
      <c r="BU186" s="370">
        <v>0</v>
      </c>
      <c r="BV186" s="370">
        <v>0</v>
      </c>
      <c r="BW186" s="370">
        <v>3500</v>
      </c>
      <c r="BX186" s="370">
        <v>0</v>
      </c>
      <c r="BY186" s="370">
        <v>0</v>
      </c>
      <c r="BZ186" s="370">
        <v>750</v>
      </c>
      <c r="CA186" s="370">
        <v>0</v>
      </c>
      <c r="CB186" s="370">
        <v>0</v>
      </c>
      <c r="CC186" s="370">
        <v>0</v>
      </c>
      <c r="CD186" s="370">
        <v>0</v>
      </c>
      <c r="CE186" s="370">
        <v>0</v>
      </c>
      <c r="CF186" s="370">
        <v>0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1987</v>
      </c>
      <c r="CL186" s="48" t="s">
        <v>1987</v>
      </c>
      <c r="CM186" s="48" t="s">
        <v>1991</v>
      </c>
      <c r="CN186" s="48" t="s">
        <v>1998</v>
      </c>
      <c r="CO186" s="10" t="str">
        <f t="shared" si="41"/>
        <v>2.3.2.2.3.99</v>
      </c>
      <c r="CP186" s="10" t="str">
        <f>+VLOOKUP(Tabla1[[#This Row],[ESPECÍFICA]],CLASIFICADOR_,2,0)</f>
        <v>2.3.2.2.3.99 - OTROS SERVICIOS DE COMUNICACION</v>
      </c>
      <c r="CQ186" s="10" t="str">
        <f>+VLOOKUP(Tabla1[[#This Row],[ESPECÍFICA]],CLASIFICADOR_,3,0)</f>
        <v>2.3.2.2 - SERVICIOS BASICOS, COMUNICACIONES, PUBLICIDAD Y DIFUSION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N/R</v>
      </c>
      <c r="CU186" s="10" t="str">
        <f>+VLOOKUP(Tabla1[[#This Row],[ESPECÍFICA]],CLASIFICADOR_,7,0)</f>
        <v>N/R</v>
      </c>
      <c r="CV186" s="10">
        <f>+VLOOKUP(Tabla1[[#This Row],[ESPECÍFICA]],CLASIFICADOR_,8,0)</f>
        <v>0</v>
      </c>
      <c r="CW186" s="113" t="str">
        <f>+CONCATENATE("2.",Tabla1[[#This Row],[generica]])</f>
        <v>2.3.BIENES Y SERVICIOS</v>
      </c>
      <c r="CX186" s="10" t="str">
        <f t="shared" si="29"/>
        <v>0010-OA</v>
      </c>
      <c r="CY186" s="5" t="str">
        <f t="shared" si="30"/>
        <v>0010-OA</v>
      </c>
      <c r="CZ186" t="str">
        <f t="shared" si="31"/>
        <v>0010-OA</v>
      </c>
      <c r="DA186" s="113" t="str">
        <f>+CONCATENATE(Tabla1[[#This Row],[CC COMPLETO]],Tabla1[[#This Row],[ESPECÍFICA]])</f>
        <v>0010-OA2.3.2.2.3.99</v>
      </c>
      <c r="DB186" s="11">
        <f t="shared" si="32"/>
        <v>5375</v>
      </c>
      <c r="DC186" s="11">
        <f t="shared" si="33"/>
        <v>4250</v>
      </c>
      <c r="DD186" s="11">
        <f t="shared" si="34"/>
        <v>4250</v>
      </c>
      <c r="DE186" s="11">
        <f t="shared" si="35"/>
        <v>750</v>
      </c>
      <c r="DF186" s="11">
        <f t="shared" si="36"/>
        <v>0</v>
      </c>
      <c r="DG186" s="11">
        <f t="shared" si="37"/>
        <v>1125</v>
      </c>
      <c r="DH186" s="11">
        <f t="shared" si="38"/>
        <v>1875</v>
      </c>
      <c r="DI186" s="12">
        <f t="shared" si="39"/>
        <v>0.4408713692946058</v>
      </c>
      <c r="DJ186" s="77">
        <f>+SUM(Tabla1[[#This Row],[EJECUTADO 01]:[EJECUTADO 06]])</f>
        <v>3500</v>
      </c>
      <c r="DK186" s="78">
        <f>+Tabla1[[#This Row],[mto_devenga_01]]</f>
        <v>0</v>
      </c>
      <c r="DL186" s="78">
        <f>+Tabla1[[#This Row],[mto_devenga_02]]</f>
        <v>700</v>
      </c>
      <c r="DM186" s="78">
        <f>+Tabla1[[#This Row],[mto_devenga_03]]</f>
        <v>1400</v>
      </c>
      <c r="DN186" s="78">
        <f>+Tabla1[[#This Row],[mto_devenga_04]]</f>
        <v>0</v>
      </c>
      <c r="DO186" s="78">
        <f>+Tabla1[[#This Row],[mto_devenga_05]]</f>
        <v>1400</v>
      </c>
      <c r="DP186" s="76">
        <f>+Tabla1[[#This Row],[mto_devenga_06]]</f>
        <v>0</v>
      </c>
      <c r="DQ186" s="76">
        <f>+Tabla1[[#This Row],[mto_devenga_07]]</f>
        <v>0</v>
      </c>
      <c r="DR186" s="76">
        <f>+Tabla1[[#This Row],[mto_devenga_08]]</f>
        <v>0</v>
      </c>
      <c r="DS186" s="76">
        <f>+Tabla1[[#This Row],[mto_devenga_09]]</f>
        <v>375</v>
      </c>
      <c r="DT186" s="76">
        <f>IFERROR(VLOOKUP(Tabla1[[#This Row],[COD SE]],PF_OCTUBRE,14,0),"0")</f>
        <v>375</v>
      </c>
      <c r="DU186" s="76">
        <f>IFERROR(VLOOKUP(Tabla1[[#This Row],[COD SE]],PF_OCTUBRE,15,0),"0")</f>
        <v>375</v>
      </c>
      <c r="DV186" s="76">
        <f>IFERROR(VLOOKUP(Tabla1[[#This Row],[COD SE]],PF_OCTUBRE,16,0),"0")</f>
        <v>1500</v>
      </c>
      <c r="DW186" s="76">
        <f>+SUM(Tabla1[[#This Row],[EJECUTADO 01]:[PF DICIEMBRE
]])</f>
        <v>6125</v>
      </c>
      <c r="DX186" s="76">
        <f>IFERROR(VLOOKUP(Tabla1[[#This Row],[COD SE]],PF_OCTUBRE,18,0),"0")</f>
        <v>0</v>
      </c>
      <c r="DY186" s="76">
        <f>IFERROR(VLOOKUP(Tabla1[[#This Row],[COD SE]],PF_OCTUBRE,19,0),"0")</f>
        <v>0</v>
      </c>
      <c r="DZ186" s="76">
        <f>IFERROR(VLOOKUP(Tabla1[[#This Row],[COD SE]],PF_OCTUBRE,20,0),"0")</f>
        <v>0</v>
      </c>
      <c r="EA186" s="76">
        <f>+Tabla1[[#This Row],[TOTAL EJEC REAL]]+Tabla1[[#This Row],[SALDO FINAL]]</f>
        <v>6125</v>
      </c>
      <c r="EB186" s="76">
        <f>IFERROR(VLOOKUP(Tabla1[[#This Row],[COD SE]],PF_OCTUBRE,22,0),"0")</f>
        <v>1500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6125</v>
      </c>
      <c r="EF186" s="76">
        <f>+Tabla1[[#This Row],[mto_pim]]-Tabla1[[#This Row],[TRANFS ESC 3 ]]</f>
        <v>6125</v>
      </c>
      <c r="EG186" s="76">
        <f>+IFERROR(VLOOKUP(Tabla1[[#This Row],[COD SE]],HISTORICO,4,0),0)</f>
        <v>700</v>
      </c>
      <c r="EH186" s="76">
        <f>+IFERROR(VLOOKUP(Tabla1[[#This Row],[COD SE]],HISTORICO,5,0),0)</f>
        <v>1400</v>
      </c>
      <c r="EI186" s="76">
        <f>+IFERROR(VLOOKUP(Tabla1[[#This Row],[COD SE]],HISTORICO,6,0),0)</f>
        <v>700</v>
      </c>
      <c r="EJ186" s="76">
        <f>+IFERROR(VLOOKUP(Tabla1[[#This Row],[COD SE]],HISTORICO,7,0),0)</f>
        <v>700</v>
      </c>
      <c r="EK186" s="76">
        <f>+IFERROR(VLOOKUP(Tabla1[[#This Row],[COD SE]],HISTORICO,8,0),0)</f>
        <v>1400</v>
      </c>
      <c r="EL186" s="76">
        <f>+IFERROR(VLOOKUP(Tabla1[[#This Row],[COD SE]],HISTORICO,9,0),0)</f>
        <v>0</v>
      </c>
      <c r="EM186" s="76">
        <f>+IFERROR(VLOOKUP(Tabla1[[#This Row],[COD SE]],HISTORICO,10,0),0)</f>
        <v>0</v>
      </c>
      <c r="EN186" s="76">
        <f>+IFERROR(VLOOKUP(Tabla1[[#This Row],[COD SE]],HISTORICO,11,0),0)</f>
        <v>0</v>
      </c>
      <c r="EO186" s="76">
        <f>+IFERROR(VLOOKUP(Tabla1[[#This Row],[COD SE]],HISTORICO,12,0),0)</f>
        <v>375</v>
      </c>
      <c r="EP186" s="58">
        <f>+SUM(Tabla1[[#This Row],[EJECUTADO 01]:[EJECUTADO 03]])</f>
        <v>2100</v>
      </c>
      <c r="EQ186" s="58">
        <f>+SUM(Tabla1[[#This Row],[EJECUTADO 04]:[EJECUTADO 06]])</f>
        <v>1400</v>
      </c>
      <c r="ER186" s="58">
        <f>+SUM(Tabla1[[#This Row],[EJECUTADO 07]:[EJECUTADO 09]])</f>
        <v>375</v>
      </c>
      <c r="ES186" s="58">
        <f>+SUM(Tabla1[[#This Row],[PF OCTUBRE]:[PF DICIEMBRE
]])</f>
        <v>2250</v>
      </c>
      <c r="ET186" s="58">
        <f>+SUM(Tabla1[[#This Row],[EJECUTADO 01]:[EJECUTADO 09]])</f>
        <v>3875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1672</v>
      </c>
      <c r="AD187" s="369" t="s">
        <v>1684</v>
      </c>
      <c r="AE187" s="369" t="s">
        <v>1716</v>
      </c>
      <c r="AF187" s="369" t="s">
        <v>1717</v>
      </c>
      <c r="AG187" s="369" t="s">
        <v>1718</v>
      </c>
      <c r="AH187" s="369">
        <v>38300</v>
      </c>
      <c r="AI187" s="369">
        <v>-8805</v>
      </c>
      <c r="AJ187" s="369">
        <v>29495</v>
      </c>
      <c r="AK187" s="370">
        <v>24723.71</v>
      </c>
      <c r="AL187" s="370">
        <v>24723.71</v>
      </c>
      <c r="AM187" s="370">
        <v>150</v>
      </c>
      <c r="AN187" s="370">
        <v>0</v>
      </c>
      <c r="AO187" s="370">
        <v>3440</v>
      </c>
      <c r="AP187" s="370">
        <v>0</v>
      </c>
      <c r="AQ187" s="370">
        <v>594.4</v>
      </c>
      <c r="AR187" s="370">
        <v>16131.11</v>
      </c>
      <c r="AS187" s="370">
        <v>28.9</v>
      </c>
      <c r="AT187" s="370">
        <v>218.9</v>
      </c>
      <c r="AU187" s="370">
        <v>3750</v>
      </c>
      <c r="AV187" s="370">
        <v>32.200000000000003</v>
      </c>
      <c r="AW187" s="370">
        <v>0</v>
      </c>
      <c r="AX187" s="370">
        <v>0</v>
      </c>
      <c r="AY187" s="370">
        <v>150</v>
      </c>
      <c r="AZ187" s="370">
        <v>0</v>
      </c>
      <c r="BA187" s="370">
        <v>3440</v>
      </c>
      <c r="BB187" s="370">
        <v>0</v>
      </c>
      <c r="BC187" s="370">
        <v>594.4</v>
      </c>
      <c r="BD187" s="370">
        <v>1327.4</v>
      </c>
      <c r="BE187" s="370">
        <v>14832.61</v>
      </c>
      <c r="BF187" s="370">
        <v>218.9</v>
      </c>
      <c r="BG187" s="370">
        <v>3750</v>
      </c>
      <c r="BH187" s="370">
        <v>32.200000000000003</v>
      </c>
      <c r="BI187" s="370">
        <v>0</v>
      </c>
      <c r="BJ187" s="370">
        <v>0</v>
      </c>
      <c r="BK187" s="370">
        <v>150</v>
      </c>
      <c r="BL187" s="370">
        <v>0</v>
      </c>
      <c r="BM187" s="370">
        <v>0</v>
      </c>
      <c r="BN187" s="370">
        <v>3440</v>
      </c>
      <c r="BO187" s="370">
        <v>594.4</v>
      </c>
      <c r="BP187" s="370">
        <v>1327.4</v>
      </c>
      <c r="BQ187" s="370">
        <v>14832.61</v>
      </c>
      <c r="BR187" s="370">
        <v>218.9</v>
      </c>
      <c r="BS187" s="370">
        <v>3750</v>
      </c>
      <c r="BT187" s="370">
        <v>32.200000000000003</v>
      </c>
      <c r="BU187" s="370">
        <v>0</v>
      </c>
      <c r="BV187" s="370">
        <v>0</v>
      </c>
      <c r="BW187" s="370">
        <v>150</v>
      </c>
      <c r="BX187" s="370">
        <v>0</v>
      </c>
      <c r="BY187" s="370">
        <v>3440</v>
      </c>
      <c r="BZ187" s="370">
        <v>0</v>
      </c>
      <c r="CA187" s="370">
        <v>594.4</v>
      </c>
      <c r="CB187" s="370">
        <v>16131.11</v>
      </c>
      <c r="CC187" s="370">
        <v>28.9</v>
      </c>
      <c r="CD187" s="370">
        <v>218.9</v>
      </c>
      <c r="CE187" s="370">
        <v>3750</v>
      </c>
      <c r="CF187" s="370">
        <v>32.200000000000003</v>
      </c>
      <c r="CG187" s="370">
        <v>0</v>
      </c>
      <c r="CH187" s="370">
        <v>0</v>
      </c>
      <c r="CI187" s="48" t="s">
        <v>1987</v>
      </c>
      <c r="CJ187" s="48" t="s">
        <v>1991</v>
      </c>
      <c r="CK187" s="48" t="s">
        <v>1990</v>
      </c>
      <c r="CL187" s="48" t="s">
        <v>2011</v>
      </c>
      <c r="CM187" s="48" t="s">
        <v>1990</v>
      </c>
      <c r="CN187" s="48" t="s">
        <v>1987</v>
      </c>
      <c r="CO187" s="10" t="str">
        <f t="shared" si="41"/>
        <v>2.3.1.5.1.2</v>
      </c>
      <c r="CP187" s="10" t="str">
        <f>+VLOOKUP(Tabla1[[#This Row],[ESPECÍFICA]],CLASIFICADOR_,2,0)</f>
        <v>2.3.1.5.1.2 - PAPELERIA EN GENERAL, UTILES Y MATERIALES DE OFICINA</v>
      </c>
      <c r="CQ187" s="10" t="str">
        <f>+VLOOKUP(Tabla1[[#This Row],[ESPECÍFICA]],CLASIFICADOR_,3,0)</f>
        <v>2.3.1.5 - MATERIALES Y  UTILES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2.3.BIENES Y SERVICIOS</v>
      </c>
      <c r="CX187" s="10" t="str">
        <f t="shared" si="29"/>
        <v>0010-OA</v>
      </c>
      <c r="CY187" s="5" t="str">
        <f t="shared" si="30"/>
        <v>0010-OA</v>
      </c>
      <c r="CZ187" t="str">
        <f t="shared" si="31"/>
        <v>0010-OA</v>
      </c>
      <c r="DA187" s="113" t="str">
        <f>+CONCATENATE(Tabla1[[#This Row],[CC COMPLETO]],Tabla1[[#This Row],[ESPECÍFICA]])</f>
        <v>0010-OA2.3.1.5.1.2</v>
      </c>
      <c r="DB187" s="11">
        <f t="shared" si="32"/>
        <v>24345.510000000006</v>
      </c>
      <c r="DC187" s="11">
        <f t="shared" si="33"/>
        <v>24345.510000000002</v>
      </c>
      <c r="DD187" s="11">
        <f t="shared" si="34"/>
        <v>24345.510000000002</v>
      </c>
      <c r="DE187" s="11">
        <f t="shared" si="35"/>
        <v>4771.2900000000009</v>
      </c>
      <c r="DF187" s="11">
        <f t="shared" si="36"/>
        <v>0</v>
      </c>
      <c r="DG187" s="11">
        <f t="shared" si="37"/>
        <v>378.19999999999709</v>
      </c>
      <c r="DH187" s="11">
        <f t="shared" si="38"/>
        <v>5149.489999999998</v>
      </c>
      <c r="DI187" s="12">
        <f t="shared" si="39"/>
        <v>0.63565300261096613</v>
      </c>
      <c r="DJ187" s="77">
        <f>+SUM(Tabla1[[#This Row],[EJECUTADO 01]:[EJECUTADO 06]])</f>
        <v>5511.7999999999993</v>
      </c>
      <c r="DK187" s="78">
        <f>+Tabla1[[#This Row],[mto_devenga_01]]</f>
        <v>150</v>
      </c>
      <c r="DL187" s="78">
        <f>+Tabla1[[#This Row],[mto_devenga_02]]</f>
        <v>0</v>
      </c>
      <c r="DM187" s="78">
        <f>+Tabla1[[#This Row],[mto_devenga_03]]</f>
        <v>3440</v>
      </c>
      <c r="DN187" s="78">
        <f>+Tabla1[[#This Row],[mto_devenga_04]]</f>
        <v>0</v>
      </c>
      <c r="DO187" s="78">
        <f>+Tabla1[[#This Row],[mto_devenga_05]]</f>
        <v>594.4</v>
      </c>
      <c r="DP187" s="76">
        <f>+Tabla1[[#This Row],[mto_devenga_06]]</f>
        <v>1327.4</v>
      </c>
      <c r="DQ187" s="76">
        <f>+Tabla1[[#This Row],[mto_devenga_07]]</f>
        <v>14832.61</v>
      </c>
      <c r="DR187" s="76">
        <f>+Tabla1[[#This Row],[mto_devenga_08]]</f>
        <v>218.9</v>
      </c>
      <c r="DS187" s="76">
        <f>+Tabla1[[#This Row],[mto_devenga_09]]</f>
        <v>3750</v>
      </c>
      <c r="DT187" s="76">
        <f>IFERROR(VLOOKUP(Tabla1[[#This Row],[COD SE]],PF_OCTUBRE,14,0),"0")</f>
        <v>80</v>
      </c>
      <c r="DU187" s="76">
        <f>IFERROR(VLOOKUP(Tabla1[[#This Row],[COD SE]],PF_OCTUBRE,15,0),"0")</f>
        <v>80</v>
      </c>
      <c r="DV187" s="76">
        <f>IFERROR(VLOOKUP(Tabla1[[#This Row],[COD SE]],PF_OCTUBRE,16,0),"0")</f>
        <v>5234.6899999999996</v>
      </c>
      <c r="DW187" s="76">
        <f>+SUM(Tabla1[[#This Row],[EJECUTADO 01]:[PF DICIEMBRE
]])</f>
        <v>29708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29708</v>
      </c>
      <c r="EB187" s="76">
        <f>IFERROR(VLOOKUP(Tabla1[[#This Row],[COD SE]],PF_OCTUBRE,22,0),"0")</f>
        <v>5234.6899999999996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29495</v>
      </c>
      <c r="EF187" s="76">
        <f>+Tabla1[[#This Row],[mto_pim]]-Tabla1[[#This Row],[TRANFS ESC 3 ]]</f>
        <v>29495</v>
      </c>
      <c r="EG187" s="76">
        <f>+IFERROR(VLOOKUP(Tabla1[[#This Row],[COD SE]],HISTORICO,4,0),0)</f>
        <v>0</v>
      </c>
      <c r="EH187" s="76">
        <f>+IFERROR(VLOOKUP(Tabla1[[#This Row],[COD SE]],HISTORICO,5,0),0)</f>
        <v>120</v>
      </c>
      <c r="EI187" s="76">
        <f>+IFERROR(VLOOKUP(Tabla1[[#This Row],[COD SE]],HISTORICO,6,0),0)</f>
        <v>17616</v>
      </c>
      <c r="EJ187" s="76">
        <f>+IFERROR(VLOOKUP(Tabla1[[#This Row],[COD SE]],HISTORICO,7,0),0)</f>
        <v>150</v>
      </c>
      <c r="EK187" s="76">
        <f>+IFERROR(VLOOKUP(Tabla1[[#This Row],[COD SE]],HISTORICO,8,0),0)</f>
        <v>150</v>
      </c>
      <c r="EL187" s="76">
        <f>+IFERROR(VLOOKUP(Tabla1[[#This Row],[COD SE]],HISTORICO,9,0),0)</f>
        <v>150</v>
      </c>
      <c r="EM187" s="76">
        <f>+IFERROR(VLOOKUP(Tabla1[[#This Row],[COD SE]],HISTORICO,10,0),0)</f>
        <v>15662.609999999999</v>
      </c>
      <c r="EN187" s="76">
        <f>+IFERROR(VLOOKUP(Tabla1[[#This Row],[COD SE]],HISTORICO,11,0),0)</f>
        <v>2384.5</v>
      </c>
      <c r="EO187" s="76">
        <f>+IFERROR(VLOOKUP(Tabla1[[#This Row],[COD SE]],HISTORICO,12,0),0)</f>
        <v>4410.3999999999996</v>
      </c>
      <c r="EP187" s="58">
        <f>+SUM(Tabla1[[#This Row],[EJECUTADO 01]:[EJECUTADO 03]])</f>
        <v>3590</v>
      </c>
      <c r="EQ187" s="58">
        <f>+SUM(Tabla1[[#This Row],[EJECUTADO 04]:[EJECUTADO 06]])</f>
        <v>1921.8000000000002</v>
      </c>
      <c r="ER187" s="58">
        <f>+SUM(Tabla1[[#This Row],[EJECUTADO 07]:[EJECUTADO 09]])</f>
        <v>18801.510000000002</v>
      </c>
      <c r="ES187" s="58">
        <f>+SUM(Tabla1[[#This Row],[PF OCTUBRE]:[PF DICIEMBRE
]])</f>
        <v>5394.69</v>
      </c>
      <c r="ET187" s="58">
        <f>+SUM(Tabla1[[#This Row],[EJECUTADO 01]:[EJECUTADO 09]])</f>
        <v>24313.31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1672</v>
      </c>
      <c r="AD188" s="369" t="s">
        <v>1684</v>
      </c>
      <c r="AE188" s="369" t="s">
        <v>2052</v>
      </c>
      <c r="AF188" s="369" t="s">
        <v>2053</v>
      </c>
      <c r="AG188" s="369" t="s">
        <v>2053</v>
      </c>
      <c r="AH188" s="369">
        <v>0</v>
      </c>
      <c r="AI188" s="369">
        <v>4745</v>
      </c>
      <c r="AJ188" s="369">
        <v>4745</v>
      </c>
      <c r="AK188" s="370">
        <v>4745</v>
      </c>
      <c r="AL188" s="370">
        <v>4745</v>
      </c>
      <c r="AM188" s="370">
        <v>0</v>
      </c>
      <c r="AN188" s="370">
        <v>0</v>
      </c>
      <c r="AO188" s="370">
        <v>500</v>
      </c>
      <c r="AP188" s="370">
        <v>0</v>
      </c>
      <c r="AQ188" s="370">
        <v>4245</v>
      </c>
      <c r="AR188" s="370">
        <v>0</v>
      </c>
      <c r="AS188" s="370">
        <v>0</v>
      </c>
      <c r="AT188" s="370">
        <v>0</v>
      </c>
      <c r="AU188" s="370">
        <v>0</v>
      </c>
      <c r="AV188" s="370">
        <v>0</v>
      </c>
      <c r="AW188" s="370">
        <v>0</v>
      </c>
      <c r="AX188" s="370">
        <v>0</v>
      </c>
      <c r="AY188" s="370">
        <v>0</v>
      </c>
      <c r="AZ188" s="370">
        <v>0</v>
      </c>
      <c r="BA188" s="370">
        <v>500</v>
      </c>
      <c r="BB188" s="370">
        <v>0</v>
      </c>
      <c r="BC188" s="370">
        <v>4245</v>
      </c>
      <c r="BD188" s="370">
        <v>0</v>
      </c>
      <c r="BE188" s="370">
        <v>0</v>
      </c>
      <c r="BF188" s="370">
        <v>0</v>
      </c>
      <c r="BG188" s="370">
        <v>0</v>
      </c>
      <c r="BH188" s="370">
        <v>0</v>
      </c>
      <c r="BI188" s="370">
        <v>0</v>
      </c>
      <c r="BJ188" s="370">
        <v>0</v>
      </c>
      <c r="BK188" s="370">
        <v>0</v>
      </c>
      <c r="BL188" s="370">
        <v>0</v>
      </c>
      <c r="BM188" s="370">
        <v>500</v>
      </c>
      <c r="BN188" s="370">
        <v>0</v>
      </c>
      <c r="BO188" s="370">
        <v>4245</v>
      </c>
      <c r="BP188" s="370">
        <v>0</v>
      </c>
      <c r="BQ188" s="370">
        <v>0</v>
      </c>
      <c r="BR188" s="370">
        <v>0</v>
      </c>
      <c r="BS188" s="370">
        <v>0</v>
      </c>
      <c r="BT188" s="370">
        <v>0</v>
      </c>
      <c r="BU188" s="370">
        <v>0</v>
      </c>
      <c r="BV188" s="370">
        <v>0</v>
      </c>
      <c r="BW188" s="370">
        <v>0</v>
      </c>
      <c r="BX188" s="370">
        <v>0</v>
      </c>
      <c r="BY188" s="370">
        <v>500</v>
      </c>
      <c r="BZ188" s="370">
        <v>0</v>
      </c>
      <c r="CA188" s="370">
        <v>4245</v>
      </c>
      <c r="CB188" s="370">
        <v>0</v>
      </c>
      <c r="CC188" s="370">
        <v>0</v>
      </c>
      <c r="CD188" s="370">
        <v>0</v>
      </c>
      <c r="CE188" s="370">
        <v>0</v>
      </c>
      <c r="CF188" s="370">
        <v>0</v>
      </c>
      <c r="CG188" s="370">
        <v>0</v>
      </c>
      <c r="CH188" s="370">
        <v>0</v>
      </c>
      <c r="CI188" s="48" t="s">
        <v>1987</v>
      </c>
      <c r="CJ188" s="48" t="s">
        <v>1991</v>
      </c>
      <c r="CK188" s="48" t="s">
        <v>1990</v>
      </c>
      <c r="CL188" s="48" t="s">
        <v>1989</v>
      </c>
      <c r="CM188" s="48" t="s">
        <v>1990</v>
      </c>
      <c r="CN188" s="48" t="s">
        <v>1990</v>
      </c>
      <c r="CO188" s="10" t="str">
        <f t="shared" si="41"/>
        <v>2.3.1.7.1.1</v>
      </c>
      <c r="CP188" s="10" t="str">
        <f>+VLOOKUP(Tabla1[[#This Row],[ESPECÍFICA]],CLASIFICADOR_,2,0)</f>
        <v>2.3.1.7.1.1 - ENSERES</v>
      </c>
      <c r="CQ188" s="10" t="str">
        <f>+VLOOKUP(Tabla1[[#This Row],[ESPECÍFICA]],CLASIFICADOR_,3,0)</f>
        <v>2.3.1.7 - ENSERES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2.3.BIENES Y SERVICIOS</v>
      </c>
      <c r="CX188" s="10" t="str">
        <f t="shared" si="29"/>
        <v>0010-OA</v>
      </c>
      <c r="CY188" s="5" t="str">
        <f t="shared" si="30"/>
        <v>0010-OA</v>
      </c>
      <c r="CZ188" t="str">
        <f t="shared" si="31"/>
        <v>0010-OA</v>
      </c>
      <c r="DA188" s="113" t="str">
        <f>+CONCATENATE(Tabla1[[#This Row],[CC COMPLETO]],Tabla1[[#This Row],[ESPECÍFICA]])</f>
        <v>0010-OA2.3.1.7.1.1</v>
      </c>
      <c r="DB188" s="11">
        <f t="shared" si="32"/>
        <v>4745</v>
      </c>
      <c r="DC188" s="11">
        <f t="shared" si="33"/>
        <v>4745</v>
      </c>
      <c r="DD188" s="11">
        <f t="shared" si="34"/>
        <v>4745</v>
      </c>
      <c r="DE188" s="11">
        <f t="shared" si="35"/>
        <v>0</v>
      </c>
      <c r="DF188" s="11">
        <f t="shared" si="36"/>
        <v>0</v>
      </c>
      <c r="DG188" s="11">
        <f t="shared" si="37"/>
        <v>0</v>
      </c>
      <c r="DH188" s="11">
        <f t="shared" si="38"/>
        <v>0</v>
      </c>
      <c r="DI188" s="12">
        <f t="shared" si="39"/>
        <v>0</v>
      </c>
      <c r="DJ188" s="77">
        <f>+SUM(Tabla1[[#This Row],[EJECUTADO 01]:[EJECUTADO 06]])</f>
        <v>4745</v>
      </c>
      <c r="DK188" s="78">
        <f>+Tabla1[[#This Row],[mto_devenga_01]]</f>
        <v>0</v>
      </c>
      <c r="DL188" s="78">
        <f>+Tabla1[[#This Row],[mto_devenga_02]]</f>
        <v>0</v>
      </c>
      <c r="DM188" s="78">
        <f>+Tabla1[[#This Row],[mto_devenga_03]]</f>
        <v>500</v>
      </c>
      <c r="DN188" s="78">
        <f>+Tabla1[[#This Row],[mto_devenga_04]]</f>
        <v>0</v>
      </c>
      <c r="DO188" s="78">
        <f>+Tabla1[[#This Row],[mto_devenga_05]]</f>
        <v>4245</v>
      </c>
      <c r="DP188" s="76">
        <f>+Tabla1[[#This Row],[mto_devenga_06]]</f>
        <v>0</v>
      </c>
      <c r="DQ188" s="76">
        <f>+Tabla1[[#This Row],[mto_devenga_07]]</f>
        <v>0</v>
      </c>
      <c r="DR188" s="76">
        <f>+Tabla1[[#This Row],[mto_devenga_08]]</f>
        <v>0</v>
      </c>
      <c r="DS188" s="76">
        <f>+Tabla1[[#This Row],[mto_devenga_09]]</f>
        <v>0</v>
      </c>
      <c r="DT188" s="76">
        <f>IFERROR(VLOOKUP(Tabla1[[#This Row],[COD SE]],PF_OCTUBRE,14,0),"0")</f>
        <v>0</v>
      </c>
      <c r="DU188" s="76">
        <f>IFERROR(VLOOKUP(Tabla1[[#This Row],[COD SE]],PF_OCTUBRE,15,0),"0")</f>
        <v>0</v>
      </c>
      <c r="DV188" s="76">
        <f>IFERROR(VLOOKUP(Tabla1[[#This Row],[COD SE]],PF_OCTUBRE,16,0),"0")</f>
        <v>0</v>
      </c>
      <c r="DW188" s="76">
        <f>+SUM(Tabla1[[#This Row],[EJECUTADO 01]:[PF DICIEMBRE
]])</f>
        <v>4745</v>
      </c>
      <c r="DX188" s="76">
        <f>IFERROR(VLOOKUP(Tabla1[[#This Row],[COD SE]],PF_OCTUBRE,18,0),"0")</f>
        <v>0</v>
      </c>
      <c r="DY188" s="76">
        <f>IFERROR(VLOOKUP(Tabla1[[#This Row],[COD SE]],PF_OCTUBRE,19,0),"0")</f>
        <v>0</v>
      </c>
      <c r="DZ188" s="76">
        <f>IFERROR(VLOOKUP(Tabla1[[#This Row],[COD SE]],PF_OCTUBRE,20,0),"0")</f>
        <v>0</v>
      </c>
      <c r="EA188" s="76">
        <f>+Tabla1[[#This Row],[TOTAL EJEC REAL]]+Tabla1[[#This Row],[SALDO FINAL]]</f>
        <v>4745</v>
      </c>
      <c r="EB188" s="76">
        <f>IFERROR(VLOOKUP(Tabla1[[#This Row],[COD SE]],PF_OCTUBRE,22,0),"0")</f>
        <v>0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4745</v>
      </c>
      <c r="EF188" s="76">
        <f>+Tabla1[[#This Row],[mto_pim]]-Tabla1[[#This Row],[TRANFS ESC 3 ]]</f>
        <v>4745</v>
      </c>
      <c r="EG188" s="76">
        <f>+IFERROR(VLOOKUP(Tabla1[[#This Row],[COD SE]],HISTORICO,4,0),0)</f>
        <v>0</v>
      </c>
      <c r="EH188" s="76">
        <f>+IFERROR(VLOOKUP(Tabla1[[#This Row],[COD SE]],HISTORICO,5,0),0)</f>
        <v>0</v>
      </c>
      <c r="EI188" s="76">
        <f>+IFERROR(VLOOKUP(Tabla1[[#This Row],[COD SE]],HISTORICO,6,0),0)</f>
        <v>500</v>
      </c>
      <c r="EJ188" s="76">
        <f>+IFERROR(VLOOKUP(Tabla1[[#This Row],[COD SE]],HISTORICO,7,0),0)</f>
        <v>0</v>
      </c>
      <c r="EK188" s="76">
        <f>+IFERROR(VLOOKUP(Tabla1[[#This Row],[COD SE]],HISTORICO,8,0),0)</f>
        <v>4245</v>
      </c>
      <c r="EL188" s="76">
        <f>+IFERROR(VLOOKUP(Tabla1[[#This Row],[COD SE]],HISTORICO,9,0),0)</f>
        <v>0</v>
      </c>
      <c r="EM188" s="76">
        <f>+IFERROR(VLOOKUP(Tabla1[[#This Row],[COD SE]],HISTORICO,10,0),0)</f>
        <v>0</v>
      </c>
      <c r="EN188" s="76">
        <f>+IFERROR(VLOOKUP(Tabla1[[#This Row],[COD SE]],HISTORICO,11,0),0)</f>
        <v>0</v>
      </c>
      <c r="EO188" s="76">
        <f>+IFERROR(VLOOKUP(Tabla1[[#This Row],[COD SE]],HISTORICO,12,0),0)</f>
        <v>0</v>
      </c>
      <c r="EP188" s="58">
        <f>+SUM(Tabla1[[#This Row],[EJECUTADO 01]:[EJECUTADO 03]])</f>
        <v>500</v>
      </c>
      <c r="EQ188" s="58">
        <f>+SUM(Tabla1[[#This Row],[EJECUTADO 04]:[EJECUTADO 06]])</f>
        <v>4245</v>
      </c>
      <c r="ER188" s="58">
        <f>+SUM(Tabla1[[#This Row],[EJECUTADO 07]:[EJECUTADO 09]])</f>
        <v>0</v>
      </c>
      <c r="ES188" s="58">
        <f>+SUM(Tabla1[[#This Row],[PF OCTUBRE]:[PF DICIEMBRE
]])</f>
        <v>0</v>
      </c>
      <c r="ET188" s="58">
        <f>+SUM(Tabla1[[#This Row],[EJECUTADO 01]:[EJECUTADO 09]])</f>
        <v>4745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1684</v>
      </c>
      <c r="AE189" s="369" t="s">
        <v>1685</v>
      </c>
      <c r="AF189" s="369" t="s">
        <v>1686</v>
      </c>
      <c r="AG189" s="369" t="s">
        <v>1771</v>
      </c>
      <c r="AH189" s="369">
        <v>3000</v>
      </c>
      <c r="AI189" s="369">
        <v>670</v>
      </c>
      <c r="AJ189" s="369">
        <v>3670</v>
      </c>
      <c r="AK189" s="370">
        <v>3300</v>
      </c>
      <c r="AL189" s="370">
        <v>3300</v>
      </c>
      <c r="AM189" s="370">
        <v>200</v>
      </c>
      <c r="AN189" s="370">
        <v>0</v>
      </c>
      <c r="AO189" s="370">
        <v>0</v>
      </c>
      <c r="AP189" s="370">
        <v>633.9</v>
      </c>
      <c r="AQ189" s="370">
        <v>148</v>
      </c>
      <c r="AR189" s="370">
        <v>675.53</v>
      </c>
      <c r="AS189" s="370">
        <v>544</v>
      </c>
      <c r="AT189" s="370">
        <v>253</v>
      </c>
      <c r="AU189" s="370">
        <v>76.900000000000006</v>
      </c>
      <c r="AV189" s="370">
        <v>114.1</v>
      </c>
      <c r="AW189" s="370">
        <v>0</v>
      </c>
      <c r="AX189" s="370">
        <v>0</v>
      </c>
      <c r="AY189" s="370">
        <v>200</v>
      </c>
      <c r="AZ189" s="370">
        <v>0</v>
      </c>
      <c r="BA189" s="370">
        <v>0</v>
      </c>
      <c r="BB189" s="370">
        <v>633.9</v>
      </c>
      <c r="BC189" s="370">
        <v>148</v>
      </c>
      <c r="BD189" s="370">
        <v>675.53</v>
      </c>
      <c r="BE189" s="370">
        <v>544</v>
      </c>
      <c r="BF189" s="370">
        <v>253</v>
      </c>
      <c r="BG189" s="370">
        <v>76.900000000000006</v>
      </c>
      <c r="BH189" s="370">
        <v>114.1</v>
      </c>
      <c r="BI189" s="370">
        <v>0</v>
      </c>
      <c r="BJ189" s="370">
        <v>0</v>
      </c>
      <c r="BK189" s="370">
        <v>200</v>
      </c>
      <c r="BL189" s="370">
        <v>0</v>
      </c>
      <c r="BM189" s="370">
        <v>0</v>
      </c>
      <c r="BN189" s="370">
        <v>633.9</v>
      </c>
      <c r="BO189" s="370">
        <v>148</v>
      </c>
      <c r="BP189" s="370">
        <v>675.53</v>
      </c>
      <c r="BQ189" s="370">
        <v>544</v>
      </c>
      <c r="BR189" s="370">
        <v>253</v>
      </c>
      <c r="BS189" s="370">
        <v>76.900000000000006</v>
      </c>
      <c r="BT189" s="370">
        <v>114.1</v>
      </c>
      <c r="BU189" s="370">
        <v>0</v>
      </c>
      <c r="BV189" s="370">
        <v>0</v>
      </c>
      <c r="BW189" s="370">
        <v>200</v>
      </c>
      <c r="BX189" s="370">
        <v>0</v>
      </c>
      <c r="BY189" s="370">
        <v>0</v>
      </c>
      <c r="BZ189" s="370">
        <v>633.9</v>
      </c>
      <c r="CA189" s="370">
        <v>148</v>
      </c>
      <c r="CB189" s="370">
        <v>675.53</v>
      </c>
      <c r="CC189" s="370">
        <v>544</v>
      </c>
      <c r="CD189" s="370">
        <v>253</v>
      </c>
      <c r="CE189" s="370">
        <v>76.900000000000006</v>
      </c>
      <c r="CF189" s="370">
        <v>114.1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1990</v>
      </c>
      <c r="CL189" s="48" t="s">
        <v>1998</v>
      </c>
      <c r="CM189" s="48" t="s">
        <v>1990</v>
      </c>
      <c r="CN189" s="48" t="s">
        <v>1998</v>
      </c>
      <c r="CO189" s="10" t="str">
        <f t="shared" si="41"/>
        <v>2.3.1.99.1.99</v>
      </c>
      <c r="CP189" s="10" t="str">
        <f>+VLOOKUP(Tabla1[[#This Row],[ESPECÍFICA]],CLASIFICADOR_,2,0)</f>
        <v>2.3.1.99.1.99 - OTROS BIENES</v>
      </c>
      <c r="CQ189" s="10" t="str">
        <f>+VLOOKUP(Tabla1[[#This Row],[ESPECÍFICA]],CLASIFICADOR_,3,0)</f>
        <v>2.3.1.99 - COMPRA DE OTROS BIENES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N/R</v>
      </c>
      <c r="CU189" s="10" t="str">
        <f>+VLOOKUP(Tabla1[[#This Row],[ESPECÍFICA]],CLASIFICADOR_,7,0)</f>
        <v>N/R</v>
      </c>
      <c r="CV189" s="10">
        <f>+VLOOKUP(Tabla1[[#This Row],[ESPECÍFICA]],CLASIFICADOR_,8,0)</f>
        <v>0</v>
      </c>
      <c r="CW189" s="113" t="str">
        <f>+CONCATENATE("2.",Tabla1[[#This Row],[generica]])</f>
        <v>2.3.BIENES Y SERVICIOS</v>
      </c>
      <c r="CX189" s="10" t="str">
        <f t="shared" si="29"/>
        <v>0010-OA</v>
      </c>
      <c r="CY189" s="5" t="str">
        <f t="shared" si="30"/>
        <v>0010-OA</v>
      </c>
      <c r="CZ189" t="str">
        <f t="shared" si="31"/>
        <v>0010-OA</v>
      </c>
      <c r="DA189" s="113" t="str">
        <f>+CONCATENATE(Tabla1[[#This Row],[CC COMPLETO]],Tabla1[[#This Row],[ESPECÍFICA]])</f>
        <v>0010-OA2.3.1.99.1.99</v>
      </c>
      <c r="DB189" s="11">
        <f t="shared" si="32"/>
        <v>2645.43</v>
      </c>
      <c r="DC189" s="11">
        <f t="shared" si="33"/>
        <v>2645.43</v>
      </c>
      <c r="DD189" s="11">
        <f t="shared" si="34"/>
        <v>2645.43</v>
      </c>
      <c r="DE189" s="11">
        <f t="shared" si="35"/>
        <v>370</v>
      </c>
      <c r="DF189" s="11">
        <f t="shared" si="36"/>
        <v>0</v>
      </c>
      <c r="DG189" s="11">
        <f t="shared" si="37"/>
        <v>654.57000000000016</v>
      </c>
      <c r="DH189" s="11">
        <f t="shared" si="38"/>
        <v>1024.5700000000002</v>
      </c>
      <c r="DI189" s="12">
        <f t="shared" si="39"/>
        <v>0.88180999999999998</v>
      </c>
      <c r="DJ189" s="77">
        <f>+SUM(Tabla1[[#This Row],[EJECUTADO 01]:[EJECUTADO 06]])</f>
        <v>1657.4299999999998</v>
      </c>
      <c r="DK189" s="78">
        <f>+Tabla1[[#This Row],[mto_devenga_01]]</f>
        <v>200</v>
      </c>
      <c r="DL189" s="78">
        <f>+Tabla1[[#This Row],[mto_devenga_02]]</f>
        <v>0</v>
      </c>
      <c r="DM189" s="78">
        <f>+Tabla1[[#This Row],[mto_devenga_03]]</f>
        <v>0</v>
      </c>
      <c r="DN189" s="78">
        <f>+Tabla1[[#This Row],[mto_devenga_04]]</f>
        <v>633.9</v>
      </c>
      <c r="DO189" s="78">
        <f>+Tabla1[[#This Row],[mto_devenga_05]]</f>
        <v>148</v>
      </c>
      <c r="DP189" s="76">
        <f>+Tabla1[[#This Row],[mto_devenga_06]]</f>
        <v>675.53</v>
      </c>
      <c r="DQ189" s="76">
        <f>+Tabla1[[#This Row],[mto_devenga_07]]</f>
        <v>544</v>
      </c>
      <c r="DR189" s="76">
        <f>+Tabla1[[#This Row],[mto_devenga_08]]</f>
        <v>253</v>
      </c>
      <c r="DS189" s="76">
        <f>+Tabla1[[#This Row],[mto_devenga_09]]</f>
        <v>76.900000000000006</v>
      </c>
      <c r="DT189" s="76">
        <f>IFERROR(VLOOKUP(Tabla1[[#This Row],[COD SE]],PF_OCTUBRE,14,0),"0")</f>
        <v>170</v>
      </c>
      <c r="DU189" s="76">
        <f>IFERROR(VLOOKUP(Tabla1[[#This Row],[COD SE]],PF_OCTUBRE,15,0),"0")</f>
        <v>170</v>
      </c>
      <c r="DV189" s="76">
        <f>IFERROR(VLOOKUP(Tabla1[[#This Row],[COD SE]],PF_OCTUBRE,16,0),"0")</f>
        <v>428.67</v>
      </c>
      <c r="DW189" s="76">
        <f>+SUM(Tabla1[[#This Row],[EJECUTADO 01]:[PF DICIEMBRE
]])</f>
        <v>3300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3300</v>
      </c>
      <c r="EB189" s="76">
        <f>IFERROR(VLOOKUP(Tabla1[[#This Row],[COD SE]],PF_OCTUBRE,22,0),"0")</f>
        <v>428.67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3670</v>
      </c>
      <c r="EF189" s="76">
        <f>+Tabla1[[#This Row],[mto_pim]]-Tabla1[[#This Row],[TRANFS ESC 3 ]]</f>
        <v>3670</v>
      </c>
      <c r="EG189" s="76">
        <f>+IFERROR(VLOOKUP(Tabla1[[#This Row],[COD SE]],HISTORICO,4,0),0)</f>
        <v>0</v>
      </c>
      <c r="EH189" s="76">
        <f>+IFERROR(VLOOKUP(Tabla1[[#This Row],[COD SE]],HISTORICO,5,0),0)</f>
        <v>66</v>
      </c>
      <c r="EI189" s="76">
        <f>+IFERROR(VLOOKUP(Tabla1[[#This Row],[COD SE]],HISTORICO,6,0),0)</f>
        <v>200</v>
      </c>
      <c r="EJ189" s="76">
        <f>+IFERROR(VLOOKUP(Tabla1[[#This Row],[COD SE]],HISTORICO,7,0),0)</f>
        <v>0</v>
      </c>
      <c r="EK189" s="76">
        <f>+IFERROR(VLOOKUP(Tabla1[[#This Row],[COD SE]],HISTORICO,8,0),0)</f>
        <v>166.1</v>
      </c>
      <c r="EL189" s="76">
        <f>+IFERROR(VLOOKUP(Tabla1[[#This Row],[COD SE]],HISTORICO,9,0),0)</f>
        <v>18.100000000000001</v>
      </c>
      <c r="EM189" s="76">
        <f>+IFERROR(VLOOKUP(Tabla1[[#This Row],[COD SE]],HISTORICO,10,0),0)</f>
        <v>42.569999999999936</v>
      </c>
      <c r="EN189" s="76">
        <f>+IFERROR(VLOOKUP(Tabla1[[#This Row],[COD SE]],HISTORICO,11,0),0)</f>
        <v>253</v>
      </c>
      <c r="EO189" s="76">
        <f>+IFERROR(VLOOKUP(Tabla1[[#This Row],[COD SE]],HISTORICO,12,0),0)</f>
        <v>200</v>
      </c>
      <c r="EP189" s="58">
        <f>+SUM(Tabla1[[#This Row],[EJECUTADO 01]:[EJECUTADO 03]])</f>
        <v>200</v>
      </c>
      <c r="EQ189" s="58">
        <f>+SUM(Tabla1[[#This Row],[EJECUTADO 04]:[EJECUTADO 06]])</f>
        <v>1457.4299999999998</v>
      </c>
      <c r="ER189" s="58">
        <f>+SUM(Tabla1[[#This Row],[EJECUTADO 07]:[EJECUTADO 09]])</f>
        <v>873.9</v>
      </c>
      <c r="ES189" s="58">
        <f>+SUM(Tabla1[[#This Row],[PF OCTUBRE]:[PF DICIEMBRE
]])</f>
        <v>768.67000000000007</v>
      </c>
      <c r="ET189" s="58">
        <f>+SUM(Tabla1[[#This Row],[EJECUTADO 01]:[EJECUTADO 09]])</f>
        <v>2531.33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1673</v>
      </c>
      <c r="AE190" s="369" t="s">
        <v>1736</v>
      </c>
      <c r="AF190" s="369" t="s">
        <v>1737</v>
      </c>
      <c r="AG190" s="369" t="s">
        <v>1738</v>
      </c>
      <c r="AH190" s="369">
        <v>64000</v>
      </c>
      <c r="AI190" s="369">
        <v>20355</v>
      </c>
      <c r="AJ190" s="369">
        <v>84355</v>
      </c>
      <c r="AK190" s="370">
        <v>61235</v>
      </c>
      <c r="AL190" s="370">
        <v>61146.6</v>
      </c>
      <c r="AM190" s="370">
        <v>1494</v>
      </c>
      <c r="AN190" s="370">
        <v>0</v>
      </c>
      <c r="AO190" s="370">
        <v>0</v>
      </c>
      <c r="AP190" s="370">
        <v>17175.099999999999</v>
      </c>
      <c r="AQ190" s="370">
        <v>0</v>
      </c>
      <c r="AR190" s="370">
        <v>10600</v>
      </c>
      <c r="AS190" s="370">
        <v>0</v>
      </c>
      <c r="AT190" s="370">
        <v>28712.5</v>
      </c>
      <c r="AU190" s="370">
        <v>0</v>
      </c>
      <c r="AV190" s="370">
        <v>3165</v>
      </c>
      <c r="AW190" s="370">
        <v>0</v>
      </c>
      <c r="AX190" s="370">
        <v>0</v>
      </c>
      <c r="AY190" s="370">
        <v>0</v>
      </c>
      <c r="AZ190" s="370">
        <v>332</v>
      </c>
      <c r="BA190" s="370">
        <v>0</v>
      </c>
      <c r="BB190" s="370">
        <v>17341.099999999999</v>
      </c>
      <c r="BC190" s="370">
        <v>332</v>
      </c>
      <c r="BD190" s="370">
        <v>10766</v>
      </c>
      <c r="BE190" s="370">
        <v>166</v>
      </c>
      <c r="BF190" s="370">
        <v>0</v>
      </c>
      <c r="BG190" s="370">
        <v>28878.5</v>
      </c>
      <c r="BH190" s="370">
        <v>0</v>
      </c>
      <c r="BI190" s="370">
        <v>0</v>
      </c>
      <c r="BJ190" s="370">
        <v>0</v>
      </c>
      <c r="BK190" s="370">
        <v>0</v>
      </c>
      <c r="BL190" s="370">
        <v>332</v>
      </c>
      <c r="BM190" s="370">
        <v>0</v>
      </c>
      <c r="BN190" s="370">
        <v>166</v>
      </c>
      <c r="BO190" s="370">
        <v>17507.099999999999</v>
      </c>
      <c r="BP190" s="370">
        <v>10766</v>
      </c>
      <c r="BQ190" s="370">
        <v>166</v>
      </c>
      <c r="BR190" s="370">
        <v>0</v>
      </c>
      <c r="BS190" s="370">
        <v>166</v>
      </c>
      <c r="BT190" s="370">
        <v>28712.5</v>
      </c>
      <c r="BU190" s="370">
        <v>0</v>
      </c>
      <c r="BV190" s="370">
        <v>0</v>
      </c>
      <c r="BW190" s="370">
        <v>1328</v>
      </c>
      <c r="BX190" s="370">
        <v>0</v>
      </c>
      <c r="BY190" s="370">
        <v>0</v>
      </c>
      <c r="BZ190" s="370">
        <v>17175.099999999999</v>
      </c>
      <c r="CA190" s="370">
        <v>0</v>
      </c>
      <c r="CB190" s="370">
        <v>10600</v>
      </c>
      <c r="CC190" s="370">
        <v>0</v>
      </c>
      <c r="CD190" s="370">
        <v>28712.5</v>
      </c>
      <c r="CE190" s="370">
        <v>0</v>
      </c>
      <c r="CF190" s="370">
        <v>0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1987</v>
      </c>
      <c r="CL190" s="48" t="s">
        <v>1993</v>
      </c>
      <c r="CM190" s="48" t="s">
        <v>1989</v>
      </c>
      <c r="CN190" s="48" t="s">
        <v>1990</v>
      </c>
      <c r="CO190" s="10" t="str">
        <f t="shared" si="41"/>
        <v>2.3.2.4.7.1</v>
      </c>
      <c r="CP190" s="10" t="str">
        <f>+VLOOKUP(Tabla1[[#This Row],[ESPECÍFICA]],CLASIFICADOR_,2,0)</f>
        <v>2.3.2.4.7.1 - DE MAQUINARIAS Y EQUIPOS</v>
      </c>
      <c r="CQ190" s="10" t="str">
        <f>+VLOOKUP(Tabla1[[#This Row],[ESPECÍFICA]],CLASIFICADOR_,3,0)</f>
        <v>2.3.2.4 - SERVICIO DE MANTENIMIENTO, ACONDICIONAMIENTO Y  REPARACIONES</v>
      </c>
      <c r="CR190" s="10" t="str">
        <f>+VLOOKUP(Tabla1[[#This Row],[ESPECÍFICA]],CLASIFICADOR_,4,0)</f>
        <v xml:space="preserve"> </v>
      </c>
      <c r="CS190" s="10">
        <f>+VLOOKUP(Tabla1[[#This Row],[ESPECÍFICA]],CLASIFICADOR_,5,0)</f>
        <v>0</v>
      </c>
      <c r="CT190" s="5" t="str">
        <f>+VLOOKUP(Tabla1[[#This Row],[ESPECÍFICA]],CLASIFICADOR_,6,0)</f>
        <v>Partidas restringidas</v>
      </c>
      <c r="CU190" s="10" t="str">
        <f>+VLOOKUP(Tabla1[[#This Row],[ESPECÍFICA]],CLASIFICADOR_,7,0)</f>
        <v>9.6 Hasta el 1er Semestre</v>
      </c>
      <c r="CV190" s="10">
        <f>+VLOOKUP(Tabla1[[#This Row],[ESPECÍFICA]],CLASIFICADOR_,8,0)</f>
        <v>3</v>
      </c>
      <c r="CW190" s="113" t="str">
        <f>+CONCATENATE("2.",Tabla1[[#This Row],[generica]])</f>
        <v>2.3.BIENES Y SERVICIOS</v>
      </c>
      <c r="CX190" s="10" t="str">
        <f t="shared" si="29"/>
        <v>0010-OA</v>
      </c>
      <c r="CY190" s="5" t="str">
        <f t="shared" si="30"/>
        <v>0010-OA</v>
      </c>
      <c r="CZ190" t="str">
        <f t="shared" si="31"/>
        <v>0010-OA</v>
      </c>
      <c r="DA190" s="113" t="str">
        <f>+CONCATENATE(Tabla1[[#This Row],[CC COMPLETO]],Tabla1[[#This Row],[ESPECÍFICA]])</f>
        <v>0010-OA2.3.2.4.7.1</v>
      </c>
      <c r="DB190" s="11">
        <f t="shared" si="32"/>
        <v>61146.6</v>
      </c>
      <c r="DC190" s="11">
        <f t="shared" si="33"/>
        <v>57815.6</v>
      </c>
      <c r="DD190" s="11">
        <f t="shared" si="34"/>
        <v>57815.6</v>
      </c>
      <c r="DE190" s="11">
        <f t="shared" si="35"/>
        <v>23120</v>
      </c>
      <c r="DF190" s="11">
        <f t="shared" si="36"/>
        <v>88.400000000001455</v>
      </c>
      <c r="DG190" s="11">
        <f t="shared" si="37"/>
        <v>3331</v>
      </c>
      <c r="DH190" s="11">
        <f t="shared" si="38"/>
        <v>26539.4</v>
      </c>
      <c r="DI190" s="12">
        <f t="shared" si="39"/>
        <v>0.90336874999999994</v>
      </c>
      <c r="DJ190" s="77">
        <f>+SUM(Tabla1[[#This Row],[EJECUTADO 01]:[EJECUTADO 06]])</f>
        <v>28771.1</v>
      </c>
      <c r="DK190" s="78">
        <f>+Tabla1[[#This Row],[mto_devenga_01]]</f>
        <v>0</v>
      </c>
      <c r="DL190" s="78">
        <f>+Tabla1[[#This Row],[mto_devenga_02]]</f>
        <v>332</v>
      </c>
      <c r="DM190" s="78">
        <f>+Tabla1[[#This Row],[mto_devenga_03]]</f>
        <v>0</v>
      </c>
      <c r="DN190" s="78">
        <f>+Tabla1[[#This Row],[mto_devenga_04]]</f>
        <v>17341.099999999999</v>
      </c>
      <c r="DO190" s="78">
        <f>+Tabla1[[#This Row],[mto_devenga_05]]</f>
        <v>332</v>
      </c>
      <c r="DP190" s="76">
        <f>+Tabla1[[#This Row],[mto_devenga_06]]</f>
        <v>10766</v>
      </c>
      <c r="DQ190" s="76">
        <f>+Tabla1[[#This Row],[mto_devenga_07]]</f>
        <v>166</v>
      </c>
      <c r="DR190" s="76">
        <f>+Tabla1[[#This Row],[mto_devenga_08]]</f>
        <v>0</v>
      </c>
      <c r="DS190" s="76">
        <f>+Tabla1[[#This Row],[mto_devenga_09]]</f>
        <v>28878.5</v>
      </c>
      <c r="DT190" s="76">
        <f>IFERROR(VLOOKUP(Tabla1[[#This Row],[COD SE]],PF_OCTUBRE,14,0),"0")</f>
        <v>166</v>
      </c>
      <c r="DU190" s="76">
        <f>IFERROR(VLOOKUP(Tabla1[[#This Row],[COD SE]],PF_OCTUBRE,15,0),"0")</f>
        <v>0</v>
      </c>
      <c r="DV190" s="76">
        <f>IFERROR(VLOOKUP(Tabla1[[#This Row],[COD SE]],PF_OCTUBRE,16,0),"0")</f>
        <v>3888.4</v>
      </c>
      <c r="DW190" s="76">
        <f>+SUM(Tabla1[[#This Row],[EJECUTADO 01]:[PF DICIEMBRE
]])</f>
        <v>61870</v>
      </c>
      <c r="DX190" s="76">
        <f>IFERROR(VLOOKUP(Tabla1[[#This Row],[COD SE]],PF_OCTUBRE,18,0),"0")</f>
        <v>0</v>
      </c>
      <c r="DY190" s="76">
        <f>IFERROR(VLOOKUP(Tabla1[[#This Row],[COD SE]],PF_OCTUBRE,19,0),"0")</f>
        <v>0</v>
      </c>
      <c r="DZ190" s="76">
        <f>IFERROR(VLOOKUP(Tabla1[[#This Row],[COD SE]],PF_OCTUBRE,20,0),"0")</f>
        <v>0</v>
      </c>
      <c r="EA190" s="76">
        <f>+Tabla1[[#This Row],[TOTAL EJEC REAL]]+Tabla1[[#This Row],[SALDO FINAL]]</f>
        <v>61870</v>
      </c>
      <c r="EB190" s="76">
        <f>IFERROR(VLOOKUP(Tabla1[[#This Row],[COD SE]],PF_OCTUBRE,22,0),"0")</f>
        <v>3888.4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84355</v>
      </c>
      <c r="EF190" s="76">
        <f>+Tabla1[[#This Row],[mto_pim]]-Tabla1[[#This Row],[TRANFS ESC 3 ]]</f>
        <v>84355</v>
      </c>
      <c r="EG190" s="76">
        <f>+IFERROR(VLOOKUP(Tabla1[[#This Row],[COD SE]],HISTORICO,4,0),0)</f>
        <v>118</v>
      </c>
      <c r="EH190" s="76">
        <f>+IFERROR(VLOOKUP(Tabla1[[#This Row],[COD SE]],HISTORICO,5,0),0)</f>
        <v>1494</v>
      </c>
      <c r="EI190" s="76">
        <f>+IFERROR(VLOOKUP(Tabla1[[#This Row],[COD SE]],HISTORICO,6,0),0)</f>
        <v>16116</v>
      </c>
      <c r="EJ190" s="76">
        <f>+IFERROR(VLOOKUP(Tabla1[[#This Row],[COD SE]],HISTORICO,7,0),0)</f>
        <v>0</v>
      </c>
      <c r="EK190" s="76">
        <f>+IFERROR(VLOOKUP(Tabla1[[#This Row],[COD SE]],HISTORICO,8,0),0)</f>
        <v>166</v>
      </c>
      <c r="EL190" s="76">
        <f>+IFERROR(VLOOKUP(Tabla1[[#This Row],[COD SE]],HISTORICO,9,0),0)</f>
        <v>0</v>
      </c>
      <c r="EM190" s="76">
        <f>+IFERROR(VLOOKUP(Tabla1[[#This Row],[COD SE]],HISTORICO,10,0),0)</f>
        <v>166</v>
      </c>
      <c r="EN190" s="76">
        <f>+IFERROR(VLOOKUP(Tabla1[[#This Row],[COD SE]],HISTORICO,11,0),0)</f>
        <v>166</v>
      </c>
      <c r="EO190" s="76">
        <f>+IFERROR(VLOOKUP(Tabla1[[#This Row],[COD SE]],HISTORICO,12,0),0)</f>
        <v>25132.9</v>
      </c>
      <c r="EP190" s="58">
        <f>+SUM(Tabla1[[#This Row],[EJECUTADO 01]:[EJECUTADO 03]])</f>
        <v>332</v>
      </c>
      <c r="EQ190" s="58">
        <f>+SUM(Tabla1[[#This Row],[EJECUTADO 04]:[EJECUTADO 06]])</f>
        <v>28439.1</v>
      </c>
      <c r="ER190" s="58">
        <f>+SUM(Tabla1[[#This Row],[EJECUTADO 07]:[EJECUTADO 09]])</f>
        <v>29044.5</v>
      </c>
      <c r="ES190" s="58">
        <f>+SUM(Tabla1[[#This Row],[PF OCTUBRE]:[PF DICIEMBRE
]])</f>
        <v>4054.4</v>
      </c>
      <c r="ET190" s="58">
        <f>+SUM(Tabla1[[#This Row],[EJECUTADO 01]:[EJECUTADO 09]])</f>
        <v>57815.6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1672</v>
      </c>
      <c r="AD191" s="369" t="s">
        <v>1673</v>
      </c>
      <c r="AE191" s="369" t="s">
        <v>1678</v>
      </c>
      <c r="AF191" s="369" t="s">
        <v>1707</v>
      </c>
      <c r="AG191" s="369" t="s">
        <v>1708</v>
      </c>
      <c r="AH191" s="369">
        <v>80500</v>
      </c>
      <c r="AI191" s="369">
        <v>18230</v>
      </c>
      <c r="AJ191" s="369">
        <v>98730</v>
      </c>
      <c r="AK191" s="370">
        <v>91730</v>
      </c>
      <c r="AL191" s="370">
        <v>91730</v>
      </c>
      <c r="AM191" s="370">
        <v>20930</v>
      </c>
      <c r="AN191" s="370">
        <v>0</v>
      </c>
      <c r="AO191" s="370">
        <v>0</v>
      </c>
      <c r="AP191" s="370">
        <v>35400</v>
      </c>
      <c r="AQ191" s="370">
        <v>0</v>
      </c>
      <c r="AR191" s="370">
        <v>0</v>
      </c>
      <c r="AS191" s="370">
        <v>35400</v>
      </c>
      <c r="AT191" s="370">
        <v>0</v>
      </c>
      <c r="AU191" s="370">
        <v>0</v>
      </c>
      <c r="AV191" s="370">
        <v>0</v>
      </c>
      <c r="AW191" s="370">
        <v>0</v>
      </c>
      <c r="AX191" s="370">
        <v>0</v>
      </c>
      <c r="AY191" s="370">
        <v>0</v>
      </c>
      <c r="AZ191" s="370">
        <v>0</v>
      </c>
      <c r="BA191" s="370">
        <v>0</v>
      </c>
      <c r="BB191" s="370">
        <v>20930</v>
      </c>
      <c r="BC191" s="370">
        <v>17700</v>
      </c>
      <c r="BD191" s="370">
        <v>0</v>
      </c>
      <c r="BE191" s="370">
        <v>17700</v>
      </c>
      <c r="BF191" s="370">
        <v>17700</v>
      </c>
      <c r="BG191" s="370">
        <v>0</v>
      </c>
      <c r="BH191" s="370">
        <v>0</v>
      </c>
      <c r="BI191" s="370">
        <v>0</v>
      </c>
      <c r="BJ191" s="370">
        <v>0</v>
      </c>
      <c r="BK191" s="370">
        <v>0</v>
      </c>
      <c r="BL191" s="370">
        <v>0</v>
      </c>
      <c r="BM191" s="370">
        <v>0</v>
      </c>
      <c r="BN191" s="370">
        <v>8970</v>
      </c>
      <c r="BO191" s="370">
        <v>11960</v>
      </c>
      <c r="BP191" s="370">
        <v>17700</v>
      </c>
      <c r="BQ191" s="370">
        <v>17700</v>
      </c>
      <c r="BR191" s="370">
        <v>17700</v>
      </c>
      <c r="BS191" s="370">
        <v>0</v>
      </c>
      <c r="BT191" s="370">
        <v>0</v>
      </c>
      <c r="BU191" s="370">
        <v>0</v>
      </c>
      <c r="BV191" s="370">
        <v>0</v>
      </c>
      <c r="BW191" s="370">
        <v>20930</v>
      </c>
      <c r="BX191" s="370">
        <v>0</v>
      </c>
      <c r="BY191" s="370">
        <v>0</v>
      </c>
      <c r="BZ191" s="370">
        <v>35400</v>
      </c>
      <c r="CA191" s="370">
        <v>0</v>
      </c>
      <c r="CB191" s="370">
        <v>0</v>
      </c>
      <c r="CC191" s="370">
        <v>17700</v>
      </c>
      <c r="CD191" s="370">
        <v>0</v>
      </c>
      <c r="CE191" s="370">
        <v>0</v>
      </c>
      <c r="CF191" s="370">
        <v>0</v>
      </c>
      <c r="CG191" s="370">
        <v>0</v>
      </c>
      <c r="CH191" s="370">
        <v>0</v>
      </c>
      <c r="CI191" s="48" t="s">
        <v>1987</v>
      </c>
      <c r="CJ191" s="48" t="s">
        <v>1991</v>
      </c>
      <c r="CK191" s="48" t="s">
        <v>1987</v>
      </c>
      <c r="CL191" s="48" t="s">
        <v>1989</v>
      </c>
      <c r="CM191" s="48" t="s">
        <v>2010</v>
      </c>
      <c r="CN191" s="48" t="s">
        <v>2012</v>
      </c>
      <c r="CO191" s="10" t="str">
        <f t="shared" si="41"/>
        <v>2.3.2.7.13.98</v>
      </c>
      <c r="CP191" s="10" t="str">
        <f>+VLOOKUP(Tabla1[[#This Row],[ESPECÍFICA]],CLASIFICADOR_,2,0)</f>
        <v>2.3.2.7.13.98 - OTROS SERVICIOS TÉCNICOS Y PROFESIONALES DESARROLLADOS POR PERSONAS JURÍDICAS</v>
      </c>
      <c r="CQ191" s="10" t="str">
        <f>+VLOOKUP(Tabla1[[#This Row],[ESPECÍFICA]],CLASIFICADOR_,3,0)</f>
        <v>2.3.2.7 - SERVICIOS PROFESIONALES Y TECNICOS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N/R</v>
      </c>
      <c r="CU191" s="10" t="str">
        <f>+VLOOKUP(Tabla1[[#This Row],[ESPECÍFICA]],CLASIFICADOR_,7,0)</f>
        <v>N/R</v>
      </c>
      <c r="CV191" s="10">
        <f>+VLOOKUP(Tabla1[[#This Row],[ESPECÍFICA]],CLASIFICADOR_,8,0)</f>
        <v>0</v>
      </c>
      <c r="CW191" s="113" t="str">
        <f>+CONCATENATE("2.",Tabla1[[#This Row],[generica]])</f>
        <v>2.3.BIENES Y SERVICIOS</v>
      </c>
      <c r="CX191" s="10" t="str">
        <f t="shared" si="29"/>
        <v>0010-OA</v>
      </c>
      <c r="CY191" s="5" t="str">
        <f t="shared" si="30"/>
        <v>0010-OA</v>
      </c>
      <c r="CZ191" t="str">
        <f t="shared" si="31"/>
        <v>0010-OA</v>
      </c>
      <c r="DA191" s="113" t="str">
        <f>+CONCATENATE(Tabla1[[#This Row],[CC COMPLETO]],Tabla1[[#This Row],[ESPECÍFICA]])</f>
        <v>0010-OA2.3.2.7.13.98</v>
      </c>
      <c r="DB191" s="11">
        <f t="shared" si="32"/>
        <v>91730</v>
      </c>
      <c r="DC191" s="11">
        <f t="shared" si="33"/>
        <v>74030</v>
      </c>
      <c r="DD191" s="11">
        <f t="shared" si="34"/>
        <v>74030</v>
      </c>
      <c r="DE191" s="11">
        <f t="shared" si="35"/>
        <v>7000</v>
      </c>
      <c r="DF191" s="11">
        <f t="shared" si="36"/>
        <v>0</v>
      </c>
      <c r="DG191" s="11">
        <f t="shared" si="37"/>
        <v>17700</v>
      </c>
      <c r="DH191" s="11">
        <f t="shared" si="38"/>
        <v>24700</v>
      </c>
      <c r="DI191" s="12">
        <f t="shared" si="39"/>
        <v>0.91962732919254664</v>
      </c>
      <c r="DJ191" s="77">
        <f>+SUM(Tabla1[[#This Row],[EJECUTADO 01]:[EJECUTADO 06]])</f>
        <v>38630</v>
      </c>
      <c r="DK191" s="78">
        <f>+Tabla1[[#This Row],[mto_devenga_01]]</f>
        <v>0</v>
      </c>
      <c r="DL191" s="78">
        <f>+Tabla1[[#This Row],[mto_devenga_02]]</f>
        <v>0</v>
      </c>
      <c r="DM191" s="78">
        <f>+Tabla1[[#This Row],[mto_devenga_03]]</f>
        <v>0</v>
      </c>
      <c r="DN191" s="78">
        <f>+Tabla1[[#This Row],[mto_devenga_04]]</f>
        <v>20930</v>
      </c>
      <c r="DO191" s="78">
        <f>+Tabla1[[#This Row],[mto_devenga_05]]</f>
        <v>17700</v>
      </c>
      <c r="DP191" s="76">
        <f>+Tabla1[[#This Row],[mto_devenga_06]]</f>
        <v>0</v>
      </c>
      <c r="DQ191" s="76">
        <f>+Tabla1[[#This Row],[mto_devenga_07]]</f>
        <v>17700</v>
      </c>
      <c r="DR191" s="76">
        <f>+Tabla1[[#This Row],[mto_devenga_08]]</f>
        <v>17700</v>
      </c>
      <c r="DS191" s="76">
        <f>+Tabla1[[#This Row],[mto_devenga_09]]</f>
        <v>0</v>
      </c>
      <c r="DT191" s="76">
        <f>IFERROR(VLOOKUP(Tabla1[[#This Row],[COD SE]],PF_OCTUBRE,14,0),"0")</f>
        <v>0</v>
      </c>
      <c r="DU191" s="76">
        <f>IFERROR(VLOOKUP(Tabla1[[#This Row],[COD SE]],PF_OCTUBRE,15,0),"0")</f>
        <v>32700</v>
      </c>
      <c r="DV191" s="76">
        <f>IFERROR(VLOOKUP(Tabla1[[#This Row],[COD SE]],PF_OCTUBRE,16,0),"0")</f>
        <v>10000</v>
      </c>
      <c r="DW191" s="76">
        <f>+SUM(Tabla1[[#This Row],[EJECUTADO 01]:[PF DICIEMBRE
]])</f>
        <v>116730</v>
      </c>
      <c r="DX191" s="76">
        <f>IFERROR(VLOOKUP(Tabla1[[#This Row],[COD SE]],PF_OCTUBRE,18,0),"0")</f>
        <v>0</v>
      </c>
      <c r="DY191" s="76">
        <f>IFERROR(VLOOKUP(Tabla1[[#This Row],[COD SE]],PF_OCTUBRE,19,0),"0")</f>
        <v>0</v>
      </c>
      <c r="DZ191" s="76">
        <f>IFERROR(VLOOKUP(Tabla1[[#This Row],[COD SE]],PF_OCTUBRE,20,0),"0")</f>
        <v>0</v>
      </c>
      <c r="EA191" s="76">
        <f>+Tabla1[[#This Row],[TOTAL EJEC REAL]]+Tabla1[[#This Row],[SALDO FINAL]]</f>
        <v>116730</v>
      </c>
      <c r="EB191" s="76">
        <f>IFERROR(VLOOKUP(Tabla1[[#This Row],[COD SE]],PF_OCTUBRE,22,0),"0")</f>
        <v>10000</v>
      </c>
      <c r="EC191" s="76">
        <f>+IFERROR(VLOOKUP(Tabla1[[#This Row],[COD SE]],SALDO_ESC_2,7,0),0)</f>
        <v>0</v>
      </c>
      <c r="ED191" s="76">
        <f>+IFERROR(VLOOKUP(Tabla1[[#This Row],[COD SE]],SALDO_ESC_3,7,0),0)</f>
        <v>0</v>
      </c>
      <c r="EE191" s="76">
        <f>+Tabla1[[#This Row],[mto_pim]]-Tabla1[[#This Row],[TRANSF ESC2 ]]</f>
        <v>98730</v>
      </c>
      <c r="EF191" s="76">
        <f>+Tabla1[[#This Row],[mto_pim]]-Tabla1[[#This Row],[TRANFS ESC 3 ]]</f>
        <v>98730</v>
      </c>
      <c r="EG191" s="76">
        <f>+IFERROR(VLOOKUP(Tabla1[[#This Row],[COD SE]],HISTORICO,4,0),0)</f>
        <v>5900</v>
      </c>
      <c r="EH191" s="76">
        <f>+IFERROR(VLOOKUP(Tabla1[[#This Row],[COD SE]],HISTORICO,5,0),0)</f>
        <v>8970</v>
      </c>
      <c r="EI191" s="76">
        <f>+IFERROR(VLOOKUP(Tabla1[[#This Row],[COD SE]],HISTORICO,6,0),0)</f>
        <v>37000</v>
      </c>
      <c r="EJ191" s="76">
        <f>+IFERROR(VLOOKUP(Tabla1[[#This Row],[COD SE]],HISTORICO,7,0),0)</f>
        <v>29900</v>
      </c>
      <c r="EK191" s="76">
        <f>+IFERROR(VLOOKUP(Tabla1[[#This Row],[COD SE]],HISTORICO,8,0),0)</f>
        <v>8970</v>
      </c>
      <c r="EL191" s="76">
        <f>+IFERROR(VLOOKUP(Tabla1[[#This Row],[COD SE]],HISTORICO,9,0),0)</f>
        <v>17700</v>
      </c>
      <c r="EM191" s="76">
        <f>+IFERROR(VLOOKUP(Tabla1[[#This Row],[COD SE]],HISTORICO,10,0),0)</f>
        <v>26670</v>
      </c>
      <c r="EN191" s="76">
        <f>+IFERROR(VLOOKUP(Tabla1[[#This Row],[COD SE]],HISTORICO,11,0),0)</f>
        <v>17700</v>
      </c>
      <c r="EO191" s="76">
        <f>+IFERROR(VLOOKUP(Tabla1[[#This Row],[COD SE]],HISTORICO,12,0),0)</f>
        <v>17700</v>
      </c>
      <c r="EP191" s="58">
        <f>+SUM(Tabla1[[#This Row],[EJECUTADO 01]:[EJECUTADO 03]])</f>
        <v>0</v>
      </c>
      <c r="EQ191" s="58">
        <f>+SUM(Tabla1[[#This Row],[EJECUTADO 04]:[EJECUTADO 06]])</f>
        <v>38630</v>
      </c>
      <c r="ER191" s="58">
        <f>+SUM(Tabla1[[#This Row],[EJECUTADO 07]:[EJECUTADO 09]])</f>
        <v>35400</v>
      </c>
      <c r="ES191" s="58">
        <f>+SUM(Tabla1[[#This Row],[PF OCTUBRE]:[PF DICIEMBRE
]])</f>
        <v>42700</v>
      </c>
      <c r="ET191" s="58">
        <f>+SUM(Tabla1[[#This Row],[EJECUTADO 01]:[EJECUTADO 09]])</f>
        <v>74030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1672</v>
      </c>
      <c r="AD192" s="369" t="s">
        <v>1673</v>
      </c>
      <c r="AE192" s="369" t="s">
        <v>1678</v>
      </c>
      <c r="AF192" s="369" t="s">
        <v>1697</v>
      </c>
      <c r="AG192" s="369" t="s">
        <v>1796</v>
      </c>
      <c r="AH192" s="369">
        <v>1100</v>
      </c>
      <c r="AI192" s="369">
        <v>-200</v>
      </c>
      <c r="AJ192" s="369">
        <v>900</v>
      </c>
      <c r="AK192" s="370">
        <v>900</v>
      </c>
      <c r="AL192" s="370">
        <v>900</v>
      </c>
      <c r="AM192" s="370">
        <v>200</v>
      </c>
      <c r="AN192" s="370">
        <v>0</v>
      </c>
      <c r="AO192" s="370">
        <v>0</v>
      </c>
      <c r="AP192" s="370">
        <v>0</v>
      </c>
      <c r="AQ192" s="370">
        <v>0</v>
      </c>
      <c r="AR192" s="370">
        <v>0</v>
      </c>
      <c r="AS192" s="370">
        <v>0</v>
      </c>
      <c r="AT192" s="370">
        <v>0</v>
      </c>
      <c r="AU192" s="370">
        <v>0</v>
      </c>
      <c r="AV192" s="370">
        <v>0</v>
      </c>
      <c r="AW192" s="370">
        <v>0</v>
      </c>
      <c r="AX192" s="370">
        <v>0</v>
      </c>
      <c r="AY192" s="370">
        <v>200</v>
      </c>
      <c r="AZ192" s="370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0">
        <v>0</v>
      </c>
      <c r="BG192" s="370">
        <v>0</v>
      </c>
      <c r="BH192" s="370">
        <v>0</v>
      </c>
      <c r="BI192" s="370">
        <v>0</v>
      </c>
      <c r="BJ192" s="370">
        <v>0</v>
      </c>
      <c r="BK192" s="370">
        <v>200</v>
      </c>
      <c r="BL192" s="370">
        <v>0</v>
      </c>
      <c r="BM192" s="370">
        <v>0</v>
      </c>
      <c r="BN192" s="370">
        <v>0</v>
      </c>
      <c r="BO192" s="370">
        <v>0</v>
      </c>
      <c r="BP192" s="370">
        <v>0</v>
      </c>
      <c r="BQ192" s="370">
        <v>0</v>
      </c>
      <c r="BR192" s="370">
        <v>0</v>
      </c>
      <c r="BS192" s="370">
        <v>0</v>
      </c>
      <c r="BT192" s="370">
        <v>0</v>
      </c>
      <c r="BU192" s="370">
        <v>0</v>
      </c>
      <c r="BV192" s="370">
        <v>0</v>
      </c>
      <c r="BW192" s="370">
        <v>200</v>
      </c>
      <c r="BX192" s="370">
        <v>0</v>
      </c>
      <c r="BY192" s="370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0">
        <v>0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1991</v>
      </c>
      <c r="CK192" s="48" t="s">
        <v>1987</v>
      </c>
      <c r="CL192" s="48" t="s">
        <v>1989</v>
      </c>
      <c r="CM192" s="48" t="s">
        <v>2021</v>
      </c>
      <c r="CN192" s="48" t="s">
        <v>1991</v>
      </c>
      <c r="CO192" s="10" t="str">
        <f t="shared" si="41"/>
        <v>2.3.2.7.11.3</v>
      </c>
      <c r="CP192" s="10" t="str">
        <f>+VLOOKUP(Tabla1[[#This Row],[ESPECÍFICA]],CLASIFICADOR_,2,0)</f>
        <v>2.3.2.7.11.3 - SERVICIOS RELACIONADOS CON FLORERIA, JARDINERIA Y OTRAS ACTIVIDADES SIMILARES</v>
      </c>
      <c r="CQ192" s="10" t="str">
        <f>+VLOOKUP(Tabla1[[#This Row],[ESPECÍFICA]],CLASIFICADOR_,3,0)</f>
        <v>2.3.2.7 - SERVICIOS PROFESIONALES Y TECNICOS</v>
      </c>
      <c r="CR192" s="10" t="str">
        <f>+VLOOKUP(Tabla1[[#This Row],[ESPECÍFICA]],CLASIFICADOR_,4,0)</f>
        <v xml:space="preserve"> </v>
      </c>
      <c r="CS192" s="10">
        <f>+VLOOKUP(Tabla1[[#This Row],[ESPECÍFICA]],CLASIFICADOR_,5,0)</f>
        <v>0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2.3.BIENES Y SERVICIOS</v>
      </c>
      <c r="CX192" s="10" t="str">
        <f t="shared" si="29"/>
        <v>0010-OA</v>
      </c>
      <c r="CY192" s="5" t="str">
        <f t="shared" si="30"/>
        <v>0010-OA</v>
      </c>
      <c r="CZ192" t="str">
        <f t="shared" si="31"/>
        <v>0010-OA</v>
      </c>
      <c r="DA192" s="113" t="str">
        <f>+CONCATENATE(Tabla1[[#This Row],[CC COMPLETO]],Tabla1[[#This Row],[ESPECÍFICA]])</f>
        <v>0010-OA2.3.2.7.11.3</v>
      </c>
      <c r="DB192" s="11">
        <f t="shared" si="32"/>
        <v>200</v>
      </c>
      <c r="DC192" s="11">
        <f t="shared" si="33"/>
        <v>200</v>
      </c>
      <c r="DD192" s="11">
        <f t="shared" si="34"/>
        <v>200</v>
      </c>
      <c r="DE192" s="11">
        <f t="shared" si="35"/>
        <v>0</v>
      </c>
      <c r="DF192" s="11">
        <f t="shared" si="36"/>
        <v>0</v>
      </c>
      <c r="DG192" s="11">
        <f t="shared" si="37"/>
        <v>700</v>
      </c>
      <c r="DH192" s="11">
        <f t="shared" si="38"/>
        <v>700</v>
      </c>
      <c r="DI192" s="12">
        <f t="shared" si="39"/>
        <v>0.18181818181818182</v>
      </c>
      <c r="DJ192" s="77">
        <f>+SUM(Tabla1[[#This Row],[EJECUTADO 01]:[EJECUTADO 06]])</f>
        <v>200</v>
      </c>
      <c r="DK192" s="78">
        <f>+Tabla1[[#This Row],[mto_devenga_01]]</f>
        <v>200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0</v>
      </c>
      <c r="DO192" s="78">
        <f>+Tabla1[[#This Row],[mto_devenga_05]]</f>
        <v>0</v>
      </c>
      <c r="DP192" s="76">
        <f>+Tabla1[[#This Row],[mto_devenga_06]]</f>
        <v>0</v>
      </c>
      <c r="DQ192" s="76">
        <f>+Tabla1[[#This Row],[mto_devenga_07]]</f>
        <v>0</v>
      </c>
      <c r="DR192" s="76">
        <f>+Tabla1[[#This Row],[mto_devenga_08]]</f>
        <v>0</v>
      </c>
      <c r="DS192" s="76">
        <f>+Tabla1[[#This Row],[mto_devenga_09]]</f>
        <v>0</v>
      </c>
      <c r="DT192" s="76">
        <f>IFERROR(VLOOKUP(Tabla1[[#This Row],[COD SE]],PF_OCTUBRE,14,0),"0")</f>
        <v>150</v>
      </c>
      <c r="DU192" s="76">
        <f>IFERROR(VLOOKUP(Tabla1[[#This Row],[COD SE]],PF_OCTUBRE,15,0),"0")</f>
        <v>150</v>
      </c>
      <c r="DV192" s="76">
        <f>IFERROR(VLOOKUP(Tabla1[[#This Row],[COD SE]],PF_OCTUBRE,16,0),"0")</f>
        <v>400</v>
      </c>
      <c r="DW192" s="76">
        <f>+SUM(Tabla1[[#This Row],[EJECUTADO 01]:[PF DICIEMBRE
]])</f>
        <v>900</v>
      </c>
      <c r="DX192" s="76">
        <f>IFERROR(VLOOKUP(Tabla1[[#This Row],[COD SE]],PF_OCTUBRE,18,0),"0")</f>
        <v>0</v>
      </c>
      <c r="DY192" s="76">
        <f>IFERROR(VLOOKUP(Tabla1[[#This Row],[COD SE]],PF_OCTUBRE,19,0),"0")</f>
        <v>0</v>
      </c>
      <c r="DZ192" s="76">
        <f>IFERROR(VLOOKUP(Tabla1[[#This Row],[COD SE]],PF_OCTUBRE,20,0),"0")</f>
        <v>0</v>
      </c>
      <c r="EA192" s="76">
        <f>+Tabla1[[#This Row],[TOTAL EJEC REAL]]+Tabla1[[#This Row],[SALDO FINAL]]</f>
        <v>900</v>
      </c>
      <c r="EB192" s="76">
        <f>IFERROR(VLOOKUP(Tabla1[[#This Row],[COD SE]],PF_OCTUBRE,22,0),"0")</f>
        <v>400</v>
      </c>
      <c r="EC192" s="76">
        <f>+IFERROR(VLOOKUP(Tabla1[[#This Row],[COD SE]],SALDO_ESC_2,7,0),0)</f>
        <v>0</v>
      </c>
      <c r="ED192" s="76">
        <f>+IFERROR(VLOOKUP(Tabla1[[#This Row],[COD SE]],SALDO_ESC_3,7,0),0)</f>
        <v>0</v>
      </c>
      <c r="EE192" s="76">
        <f>+Tabla1[[#This Row],[mto_pim]]-Tabla1[[#This Row],[TRANSF ESC2 ]]</f>
        <v>900</v>
      </c>
      <c r="EF192" s="76">
        <f>+Tabla1[[#This Row],[mto_pim]]-Tabla1[[#This Row],[TRANFS ESC 3 ]]</f>
        <v>900</v>
      </c>
      <c r="EG192" s="76">
        <f>+IFERROR(VLOOKUP(Tabla1[[#This Row],[COD SE]],HISTORICO,4,0),0)</f>
        <v>0</v>
      </c>
      <c r="EH192" s="76">
        <f>+IFERROR(VLOOKUP(Tabla1[[#This Row],[COD SE]],HISTORICO,5,0),0)</f>
        <v>91</v>
      </c>
      <c r="EI192" s="76">
        <f>+IFERROR(VLOOKUP(Tabla1[[#This Row],[COD SE]],HISTORICO,6,0),0)</f>
        <v>100</v>
      </c>
      <c r="EJ192" s="76">
        <f>+IFERROR(VLOOKUP(Tabla1[[#This Row],[COD SE]],HISTORICO,7,0),0)</f>
        <v>100</v>
      </c>
      <c r="EK192" s="76">
        <f>+IFERROR(VLOOKUP(Tabla1[[#This Row],[COD SE]],HISTORICO,8,0),0)</f>
        <v>100</v>
      </c>
      <c r="EL192" s="76">
        <f>+IFERROR(VLOOKUP(Tabla1[[#This Row],[COD SE]],HISTORICO,9,0),0)</f>
        <v>100</v>
      </c>
      <c r="EM192" s="76">
        <f>+IFERROR(VLOOKUP(Tabla1[[#This Row],[COD SE]],HISTORICO,10,0),0)</f>
        <v>0</v>
      </c>
      <c r="EN192" s="76">
        <f>+IFERROR(VLOOKUP(Tabla1[[#This Row],[COD SE]],HISTORICO,11,0),0)</f>
        <v>0</v>
      </c>
      <c r="EO192" s="76">
        <f>+IFERROR(VLOOKUP(Tabla1[[#This Row],[COD SE]],HISTORICO,12,0),0)</f>
        <v>200</v>
      </c>
      <c r="EP192" s="58">
        <f>+SUM(Tabla1[[#This Row],[EJECUTADO 01]:[EJECUTADO 03]])</f>
        <v>200</v>
      </c>
      <c r="EQ192" s="58">
        <f>+SUM(Tabla1[[#This Row],[EJECUTADO 04]:[EJECUTADO 06]])</f>
        <v>0</v>
      </c>
      <c r="ER192" s="58">
        <f>+SUM(Tabla1[[#This Row],[EJECUTADO 07]:[EJECUTADO 09]])</f>
        <v>0</v>
      </c>
      <c r="ES192" s="58">
        <f>+SUM(Tabla1[[#This Row],[PF OCTUBRE]:[PF DICIEMBRE
]])</f>
        <v>700</v>
      </c>
      <c r="ET192" s="58">
        <f>+SUM(Tabla1[[#This Row],[EJECUTADO 01]:[EJECUTADO 09]])</f>
        <v>200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1672</v>
      </c>
      <c r="AD193" s="369" t="s">
        <v>1684</v>
      </c>
      <c r="AE193" s="369" t="s">
        <v>1713</v>
      </c>
      <c r="AF193" s="369" t="s">
        <v>1714</v>
      </c>
      <c r="AG193" s="369" t="s">
        <v>1715</v>
      </c>
      <c r="AH193" s="369">
        <v>10000</v>
      </c>
      <c r="AI193" s="369">
        <v>-10000</v>
      </c>
      <c r="AJ193" s="369">
        <v>0</v>
      </c>
      <c r="AK193" s="370">
        <v>0</v>
      </c>
      <c r="AL193" s="370">
        <v>0</v>
      </c>
      <c r="AM193" s="370">
        <v>0</v>
      </c>
      <c r="AN193" s="370">
        <v>0</v>
      </c>
      <c r="AO193" s="370">
        <v>0</v>
      </c>
      <c r="AP193" s="370">
        <v>0</v>
      </c>
      <c r="AQ193" s="370">
        <v>0</v>
      </c>
      <c r="AR193" s="370">
        <v>0</v>
      </c>
      <c r="AS193" s="370">
        <v>0</v>
      </c>
      <c r="AT193" s="370">
        <v>0</v>
      </c>
      <c r="AU193" s="370">
        <v>0</v>
      </c>
      <c r="AV193" s="370">
        <v>0</v>
      </c>
      <c r="AW193" s="370">
        <v>0</v>
      </c>
      <c r="AX193" s="370">
        <v>0</v>
      </c>
      <c r="AY193" s="370">
        <v>0</v>
      </c>
      <c r="AZ193" s="370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0">
        <v>0</v>
      </c>
      <c r="BG193" s="370">
        <v>0</v>
      </c>
      <c r="BH193" s="370">
        <v>0</v>
      </c>
      <c r="BI193" s="370">
        <v>0</v>
      </c>
      <c r="BJ193" s="370">
        <v>0</v>
      </c>
      <c r="BK193" s="370">
        <v>0</v>
      </c>
      <c r="BL193" s="370">
        <v>0</v>
      </c>
      <c r="BM193" s="370">
        <v>0</v>
      </c>
      <c r="BN193" s="370">
        <v>0</v>
      </c>
      <c r="BO193" s="370">
        <v>0</v>
      </c>
      <c r="BP193" s="370">
        <v>0</v>
      </c>
      <c r="BQ193" s="370">
        <v>0</v>
      </c>
      <c r="BR193" s="370">
        <v>0</v>
      </c>
      <c r="BS193" s="370">
        <v>0</v>
      </c>
      <c r="BT193" s="370">
        <v>0</v>
      </c>
      <c r="BU193" s="370">
        <v>0</v>
      </c>
      <c r="BV193" s="370">
        <v>0</v>
      </c>
      <c r="BW193" s="370">
        <v>0</v>
      </c>
      <c r="BX193" s="370">
        <v>0</v>
      </c>
      <c r="BY193" s="370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0">
        <v>0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1991</v>
      </c>
      <c r="CK193" s="48" t="s">
        <v>1990</v>
      </c>
      <c r="CL193" s="48" t="s">
        <v>1987</v>
      </c>
      <c r="CM193" s="48" t="s">
        <v>1990</v>
      </c>
      <c r="CN193" s="48" t="s">
        <v>1990</v>
      </c>
      <c r="CO193" s="10" t="str">
        <f t="shared" si="41"/>
        <v>2.3.1.2.1.1</v>
      </c>
      <c r="CP193" s="10" t="str">
        <f>+VLOOKUP(Tabla1[[#This Row],[ESPECÍFICA]],CLASIFICADOR_,2,0)</f>
        <v>2.3.1.2.1.1 - VESTUARIO, ACCESORIOS Y PRENDAS DIVERSAS</v>
      </c>
      <c r="CQ193" s="10" t="str">
        <f>+VLOOKUP(Tabla1[[#This Row],[ESPECÍFICA]],CLASIFICADOR_,3,0)</f>
        <v>2.3.1.2 - VESTUARIOS Y TEXTILES</v>
      </c>
      <c r="CR193" s="10" t="str">
        <f>+VLOOKUP(Tabla1[[#This Row],[ESPECÍFICA]],CLASIFICADOR_,4,0)</f>
        <v>Límite de Gasto</v>
      </c>
      <c r="CS193" s="10" t="str">
        <f>+VLOOKUP(Tabla1[[#This Row],[ESPECÍFICA]],CLASIFICADOR_,5,0)</f>
        <v>10.6 c)</v>
      </c>
      <c r="CT193" s="5" t="str">
        <f>+VLOOKUP(Tabla1[[#This Row],[ESPECÍFICA]],CLASIFICADOR_,6,0)</f>
        <v>N/R</v>
      </c>
      <c r="CU193" s="10" t="str">
        <f>+VLOOKUP(Tabla1[[#This Row],[ESPECÍFICA]],CLASIFICADOR_,7,0)</f>
        <v>N/R</v>
      </c>
      <c r="CV193" s="10">
        <f>+VLOOKUP(Tabla1[[#This Row],[ESPECÍFICA]],CLASIFICADOR_,8,0)</f>
        <v>0</v>
      </c>
      <c r="CW193" s="113" t="str">
        <f>+CONCATENATE("2.",Tabla1[[#This Row],[generica]])</f>
        <v>2.3.BIENES Y SERVICIOS</v>
      </c>
      <c r="CX193" s="10" t="str">
        <f t="shared" si="29"/>
        <v>0010-OA</v>
      </c>
      <c r="CY193" s="5" t="str">
        <f t="shared" si="30"/>
        <v>0010-OA</v>
      </c>
      <c r="CZ193" t="str">
        <f t="shared" si="31"/>
        <v>0010-OA</v>
      </c>
      <c r="DA193" s="113" t="str">
        <f>+CONCATENATE(Tabla1[[#This Row],[CC COMPLETO]],Tabla1[[#This Row],[ESPECÍFICA]])</f>
        <v>0010-OA2.3.1.2.1.1</v>
      </c>
      <c r="DB193" s="11">
        <f t="shared" si="32"/>
        <v>0</v>
      </c>
      <c r="DC193" s="11">
        <f t="shared" si="33"/>
        <v>0</v>
      </c>
      <c r="DD193" s="11">
        <f t="shared" si="34"/>
        <v>0</v>
      </c>
      <c r="DE193" s="11">
        <f t="shared" si="35"/>
        <v>0</v>
      </c>
      <c r="DF193" s="11">
        <f t="shared" si="36"/>
        <v>0</v>
      </c>
      <c r="DG193" s="11">
        <f t="shared" si="37"/>
        <v>0</v>
      </c>
      <c r="DH193" s="11">
        <f t="shared" si="38"/>
        <v>0</v>
      </c>
      <c r="DI193" s="12">
        <f t="shared" si="39"/>
        <v>0</v>
      </c>
      <c r="DJ193" s="77">
        <f>+SUM(Tabla1[[#This Row],[EJECUTADO 01]:[EJECUTADO 06]])</f>
        <v>0</v>
      </c>
      <c r="DK193" s="78">
        <f>+Tabla1[[#This Row],[mto_devenga_01]]</f>
        <v>0</v>
      </c>
      <c r="DL193" s="78">
        <f>+Tabla1[[#This Row],[mto_devenga_02]]</f>
        <v>0</v>
      </c>
      <c r="DM193" s="78">
        <f>+Tabla1[[#This Row],[mto_devenga_03]]</f>
        <v>0</v>
      </c>
      <c r="DN193" s="78">
        <f>+Tabla1[[#This Row],[mto_devenga_04]]</f>
        <v>0</v>
      </c>
      <c r="DO193" s="78">
        <f>+Tabla1[[#This Row],[mto_devenga_05]]</f>
        <v>0</v>
      </c>
      <c r="DP193" s="76">
        <f>+Tabla1[[#This Row],[mto_devenga_06]]</f>
        <v>0</v>
      </c>
      <c r="DQ193" s="76">
        <f>+Tabla1[[#This Row],[mto_devenga_07]]</f>
        <v>0</v>
      </c>
      <c r="DR193" s="76">
        <f>+Tabla1[[#This Row],[mto_devenga_08]]</f>
        <v>0</v>
      </c>
      <c r="DS193" s="76">
        <f>+Tabla1[[#This Row],[mto_devenga_09]]</f>
        <v>0</v>
      </c>
      <c r="DT193" s="76">
        <f>IFERROR(VLOOKUP(Tabla1[[#This Row],[COD SE]],PF_OCTUBRE,14,0),"0")</f>
        <v>0</v>
      </c>
      <c r="DU193" s="76">
        <f>IFERROR(VLOOKUP(Tabla1[[#This Row],[COD SE]],PF_OCTUBRE,15,0),"0")</f>
        <v>0</v>
      </c>
      <c r="DV193" s="76">
        <f>IFERROR(VLOOKUP(Tabla1[[#This Row],[COD SE]],PF_OCTUBRE,16,0),"0")</f>
        <v>0</v>
      </c>
      <c r="DW193" s="76">
        <f>+SUM(Tabla1[[#This Row],[EJECUTADO 01]:[PF DICIEMBRE
]])</f>
        <v>0</v>
      </c>
      <c r="DX193" s="76">
        <f>IFERROR(VLOOKUP(Tabla1[[#This Row],[COD SE]],PF_OCTUBRE,18,0),"0")</f>
        <v>0</v>
      </c>
      <c r="DY193" s="76">
        <f>IFERROR(VLOOKUP(Tabla1[[#This Row],[COD SE]],PF_OCTUBRE,19,0),"0")</f>
        <v>0</v>
      </c>
      <c r="DZ193" s="76">
        <f>IFERROR(VLOOKUP(Tabla1[[#This Row],[COD SE]],PF_OCTUBRE,20,0),"0")</f>
        <v>0</v>
      </c>
      <c r="EA193" s="76">
        <f>+Tabla1[[#This Row],[TOTAL EJEC REAL]]+Tabla1[[#This Row],[SALDO FINAL]]</f>
        <v>0</v>
      </c>
      <c r="EB193" s="76">
        <f>IFERROR(VLOOKUP(Tabla1[[#This Row],[COD SE]],PF_OCTUBRE,22,0),"0")</f>
        <v>0</v>
      </c>
      <c r="EC193" s="76">
        <f>+IFERROR(VLOOKUP(Tabla1[[#This Row],[COD SE]],SALDO_ESC_2,7,0),0)</f>
        <v>0</v>
      </c>
      <c r="ED193" s="76">
        <f>+IFERROR(VLOOKUP(Tabla1[[#This Row],[COD SE]],SALDO_ESC_3,7,0),0)</f>
        <v>0</v>
      </c>
      <c r="EE193" s="76">
        <f>+Tabla1[[#This Row],[mto_pim]]-Tabla1[[#This Row],[TRANSF ESC2 ]]</f>
        <v>0</v>
      </c>
      <c r="EF193" s="76">
        <f>+Tabla1[[#This Row],[mto_pim]]-Tabla1[[#This Row],[TRANFS ESC 3 ]]</f>
        <v>0</v>
      </c>
      <c r="EG193" s="76">
        <f>+IFERROR(VLOOKUP(Tabla1[[#This Row],[COD SE]],HISTORICO,4,0),0)</f>
        <v>0</v>
      </c>
      <c r="EH193" s="76">
        <f>+IFERROR(VLOOKUP(Tabla1[[#This Row],[COD SE]],HISTORICO,5,0),0)</f>
        <v>0</v>
      </c>
      <c r="EI193" s="76">
        <f>+IFERROR(VLOOKUP(Tabla1[[#This Row],[COD SE]],HISTORICO,6,0),0)</f>
        <v>2500</v>
      </c>
      <c r="EJ193" s="76">
        <f>+IFERROR(VLOOKUP(Tabla1[[#This Row],[COD SE]],HISTORICO,7,0),0)</f>
        <v>0</v>
      </c>
      <c r="EK193" s="76">
        <f>+IFERROR(VLOOKUP(Tabla1[[#This Row],[COD SE]],HISTORICO,8,0),0)</f>
        <v>0</v>
      </c>
      <c r="EL193" s="76">
        <f>+IFERROR(VLOOKUP(Tabla1[[#This Row],[COD SE]],HISTORICO,9,0),0)</f>
        <v>0</v>
      </c>
      <c r="EM193" s="76">
        <f>+IFERROR(VLOOKUP(Tabla1[[#This Row],[COD SE]],HISTORICO,10,0),0)</f>
        <v>0</v>
      </c>
      <c r="EN193" s="76">
        <f>+IFERROR(VLOOKUP(Tabla1[[#This Row],[COD SE]],HISTORICO,11,0),0)</f>
        <v>0</v>
      </c>
      <c r="EO193" s="76">
        <f>+IFERROR(VLOOKUP(Tabla1[[#This Row],[COD SE]],HISTORICO,12,0),0)</f>
        <v>0</v>
      </c>
      <c r="EP193" s="58">
        <f>+SUM(Tabla1[[#This Row],[EJECUTADO 01]:[EJECUTADO 03]])</f>
        <v>0</v>
      </c>
      <c r="EQ193" s="58">
        <f>+SUM(Tabla1[[#This Row],[EJECUTADO 04]:[EJECUTADO 06]])</f>
        <v>0</v>
      </c>
      <c r="ER193" s="58">
        <f>+SUM(Tabla1[[#This Row],[EJECUTADO 07]:[EJECUTADO 09]])</f>
        <v>0</v>
      </c>
      <c r="ES193" s="58">
        <f>+SUM(Tabla1[[#This Row],[PF OCTUBRE]:[PF DICIEMBRE
]])</f>
        <v>0</v>
      </c>
      <c r="ET193" s="58">
        <f>+SUM(Tabla1[[#This Row],[EJECUTADO 01]:[EJECUTADO 09]])</f>
        <v>0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1672</v>
      </c>
      <c r="AD194" s="369" t="s">
        <v>1684</v>
      </c>
      <c r="AE194" s="369" t="s">
        <v>1719</v>
      </c>
      <c r="AF194" s="369" t="s">
        <v>1720</v>
      </c>
      <c r="AG194" s="369" t="s">
        <v>1729</v>
      </c>
      <c r="AH194" s="369">
        <v>2000</v>
      </c>
      <c r="AI194" s="369">
        <v>0</v>
      </c>
      <c r="AJ194" s="369">
        <v>2000</v>
      </c>
      <c r="AK194" s="370">
        <v>2000</v>
      </c>
      <c r="AL194" s="370">
        <v>0</v>
      </c>
      <c r="AM194" s="370">
        <v>0</v>
      </c>
      <c r="AN194" s="370">
        <v>0</v>
      </c>
      <c r="AO194" s="370">
        <v>0</v>
      </c>
      <c r="AP194" s="370">
        <v>0</v>
      </c>
      <c r="AQ194" s="370">
        <v>0</v>
      </c>
      <c r="AR194" s="370">
        <v>0</v>
      </c>
      <c r="AS194" s="370">
        <v>0</v>
      </c>
      <c r="AT194" s="370">
        <v>0</v>
      </c>
      <c r="AU194" s="370">
        <v>0</v>
      </c>
      <c r="AV194" s="370">
        <v>0</v>
      </c>
      <c r="AW194" s="370">
        <v>0</v>
      </c>
      <c r="AX194" s="370">
        <v>0</v>
      </c>
      <c r="AY194" s="370">
        <v>0</v>
      </c>
      <c r="AZ194" s="370">
        <v>0</v>
      </c>
      <c r="BA194" s="370">
        <v>0</v>
      </c>
      <c r="BB194" s="370">
        <v>0</v>
      </c>
      <c r="BC194" s="370">
        <v>0</v>
      </c>
      <c r="BD194" s="370">
        <v>0</v>
      </c>
      <c r="BE194" s="370">
        <v>0</v>
      </c>
      <c r="BF194" s="370">
        <v>0</v>
      </c>
      <c r="BG194" s="370">
        <v>0</v>
      </c>
      <c r="BH194" s="370">
        <v>0</v>
      </c>
      <c r="BI194" s="370">
        <v>0</v>
      </c>
      <c r="BJ194" s="370">
        <v>0</v>
      </c>
      <c r="BK194" s="370">
        <v>0</v>
      </c>
      <c r="BL194" s="370">
        <v>0</v>
      </c>
      <c r="BM194" s="370">
        <v>0</v>
      </c>
      <c r="BN194" s="370">
        <v>0</v>
      </c>
      <c r="BO194" s="370">
        <v>0</v>
      </c>
      <c r="BP194" s="370">
        <v>0</v>
      </c>
      <c r="BQ194" s="370">
        <v>0</v>
      </c>
      <c r="BR194" s="370">
        <v>0</v>
      </c>
      <c r="BS194" s="370">
        <v>0</v>
      </c>
      <c r="BT194" s="370">
        <v>0</v>
      </c>
      <c r="BU194" s="370">
        <v>0</v>
      </c>
      <c r="BV194" s="370">
        <v>0</v>
      </c>
      <c r="BW194" s="370">
        <v>0</v>
      </c>
      <c r="BX194" s="370">
        <v>0</v>
      </c>
      <c r="BY194" s="370">
        <v>0</v>
      </c>
      <c r="BZ194" s="370">
        <v>0</v>
      </c>
      <c r="CA194" s="370">
        <v>0</v>
      </c>
      <c r="CB194" s="370">
        <v>0</v>
      </c>
      <c r="CC194" s="370">
        <v>0</v>
      </c>
      <c r="CD194" s="370">
        <v>0</v>
      </c>
      <c r="CE194" s="370">
        <v>0</v>
      </c>
      <c r="CF194" s="370">
        <v>0</v>
      </c>
      <c r="CG194" s="370">
        <v>0</v>
      </c>
      <c r="CH194" s="370">
        <v>0</v>
      </c>
      <c r="CI194" s="48" t="s">
        <v>1987</v>
      </c>
      <c r="CJ194" s="48" t="s">
        <v>1991</v>
      </c>
      <c r="CK194" s="48" t="s">
        <v>1990</v>
      </c>
      <c r="CL194" s="48" t="s">
        <v>1988</v>
      </c>
      <c r="CM194" s="48" t="s">
        <v>1990</v>
      </c>
      <c r="CN194" s="48" t="s">
        <v>1993</v>
      </c>
      <c r="CO194" s="10" t="str">
        <f t="shared" si="41"/>
        <v>2.3.1.6.1.4</v>
      </c>
      <c r="CP194" s="10" t="str">
        <f>+VLOOKUP(Tabla1[[#This Row],[ESPECÍFICA]],CLASIFICADOR_,2,0)</f>
        <v>2.3.1.6.1.4 - DE SEGURIDAD</v>
      </c>
      <c r="CQ194" s="10" t="str">
        <f>+VLOOKUP(Tabla1[[#This Row],[ESPECÍFICA]],CLASIFICADOR_,3,0)</f>
        <v>2.3.1.6 - REPUESTOS Y ACCESORIOS</v>
      </c>
      <c r="CR194" s="10" t="str">
        <f>+VLOOKUP(Tabla1[[#This Row],[ESPECÍFICA]],CLASIFICADOR_,4,0)</f>
        <v xml:space="preserve"> </v>
      </c>
      <c r="CS194" s="10">
        <f>+VLOOKUP(Tabla1[[#This Row],[ESPECÍFICA]],CLASIFICADOR_,5,0)</f>
        <v>0</v>
      </c>
      <c r="CT194" s="5" t="str">
        <f>+VLOOKUP(Tabla1[[#This Row],[ESPECÍFICA]],CLASIFICADOR_,6,0)</f>
        <v>Partidas restringidas</v>
      </c>
      <c r="CU194" s="10" t="str">
        <f>+VLOOKUP(Tabla1[[#This Row],[ESPECÍFICA]],CLASIFICADOR_,7,0)</f>
        <v>9.6 Hasta el 1er Semestre</v>
      </c>
      <c r="CV194" s="10">
        <f>+VLOOKUP(Tabla1[[#This Row],[ESPECÍFICA]],CLASIFICADOR_,8,0)</f>
        <v>1</v>
      </c>
      <c r="CW194" s="113" t="str">
        <f>+CONCATENATE("2.",Tabla1[[#This Row],[generica]])</f>
        <v>2.3.BIENES Y SERVICIOS</v>
      </c>
      <c r="CX194" s="10" t="str">
        <f t="shared" si="29"/>
        <v>0010-OA</v>
      </c>
      <c r="CY194" s="5" t="str">
        <f t="shared" si="30"/>
        <v>0010-OA</v>
      </c>
      <c r="CZ194" t="str">
        <f t="shared" si="31"/>
        <v>0010-OA</v>
      </c>
      <c r="DA194" s="113" t="str">
        <f>+CONCATENATE(Tabla1[[#This Row],[CC COMPLETO]],Tabla1[[#This Row],[ESPECÍFICA]])</f>
        <v>0010-OA2.3.1.6.1.4</v>
      </c>
      <c r="DB194" s="11">
        <f t="shared" si="32"/>
        <v>0</v>
      </c>
      <c r="DC194" s="11">
        <f t="shared" si="33"/>
        <v>0</v>
      </c>
      <c r="DD194" s="11">
        <f t="shared" si="34"/>
        <v>0</v>
      </c>
      <c r="DE194" s="11">
        <f t="shared" si="35"/>
        <v>0</v>
      </c>
      <c r="DF194" s="11">
        <f t="shared" si="36"/>
        <v>2000</v>
      </c>
      <c r="DG194" s="11">
        <f t="shared" si="37"/>
        <v>0</v>
      </c>
      <c r="DH194" s="11">
        <f t="shared" si="38"/>
        <v>2000</v>
      </c>
      <c r="DI194" s="12">
        <f t="shared" si="39"/>
        <v>0</v>
      </c>
      <c r="DJ194" s="77">
        <f>+SUM(Tabla1[[#This Row],[EJECUTADO 01]:[EJECUTADO 06]])</f>
        <v>0</v>
      </c>
      <c r="DK194" s="78">
        <f>+Tabla1[[#This Row],[mto_devenga_01]]</f>
        <v>0</v>
      </c>
      <c r="DL194" s="78">
        <f>+Tabla1[[#This Row],[mto_devenga_02]]</f>
        <v>0</v>
      </c>
      <c r="DM194" s="78">
        <f>+Tabla1[[#This Row],[mto_devenga_03]]</f>
        <v>0</v>
      </c>
      <c r="DN194" s="78">
        <f>+Tabla1[[#This Row],[mto_devenga_04]]</f>
        <v>0</v>
      </c>
      <c r="DO194" s="78">
        <f>+Tabla1[[#This Row],[mto_devenga_05]]</f>
        <v>0</v>
      </c>
      <c r="DP194" s="76">
        <f>+Tabla1[[#This Row],[mto_devenga_06]]</f>
        <v>0</v>
      </c>
      <c r="DQ194" s="76">
        <f>+Tabla1[[#This Row],[mto_devenga_07]]</f>
        <v>0</v>
      </c>
      <c r="DR194" s="76">
        <f>+Tabla1[[#This Row],[mto_devenga_08]]</f>
        <v>0</v>
      </c>
      <c r="DS194" s="76">
        <f>+Tabla1[[#This Row],[mto_devenga_09]]</f>
        <v>0</v>
      </c>
      <c r="DT194" s="76">
        <f>IFERROR(VLOOKUP(Tabla1[[#This Row],[COD SE]],PF_OCTUBRE,14,0),"0")</f>
        <v>0</v>
      </c>
      <c r="DU194" s="76">
        <f>IFERROR(VLOOKUP(Tabla1[[#This Row],[COD SE]],PF_OCTUBRE,15,0),"0")</f>
        <v>0</v>
      </c>
      <c r="DV194" s="76">
        <f>IFERROR(VLOOKUP(Tabla1[[#This Row],[COD SE]],PF_OCTUBRE,16,0),"0")</f>
        <v>2000</v>
      </c>
      <c r="DW194" s="76">
        <f>+SUM(Tabla1[[#This Row],[EJECUTADO 01]:[PF DICIEMBRE
]])</f>
        <v>2000</v>
      </c>
      <c r="DX194" s="76">
        <f>IFERROR(VLOOKUP(Tabla1[[#This Row],[COD SE]],PF_OCTUBRE,18,0),"0")</f>
        <v>0</v>
      </c>
      <c r="DY194" s="76">
        <f>IFERROR(VLOOKUP(Tabla1[[#This Row],[COD SE]],PF_OCTUBRE,19,0),"0")</f>
        <v>0</v>
      </c>
      <c r="DZ194" s="76">
        <f>IFERROR(VLOOKUP(Tabla1[[#This Row],[COD SE]],PF_OCTUBRE,20,0),"0")</f>
        <v>0</v>
      </c>
      <c r="EA194" s="76">
        <f>+Tabla1[[#This Row],[TOTAL EJEC REAL]]+Tabla1[[#This Row],[SALDO FINAL]]</f>
        <v>2000</v>
      </c>
      <c r="EB194" s="76">
        <f>IFERROR(VLOOKUP(Tabla1[[#This Row],[COD SE]],PF_OCTUBRE,22,0),"0")</f>
        <v>2000</v>
      </c>
      <c r="EC194" s="76">
        <f>+IFERROR(VLOOKUP(Tabla1[[#This Row],[COD SE]],SALDO_ESC_2,7,0),0)</f>
        <v>0</v>
      </c>
      <c r="ED194" s="76">
        <f>+IFERROR(VLOOKUP(Tabla1[[#This Row],[COD SE]],SALDO_ESC_3,7,0),0)</f>
        <v>0</v>
      </c>
      <c r="EE194" s="76">
        <f>+Tabla1[[#This Row],[mto_pim]]-Tabla1[[#This Row],[TRANSF ESC2 ]]</f>
        <v>2000</v>
      </c>
      <c r="EF194" s="76">
        <f>+Tabla1[[#This Row],[mto_pim]]-Tabla1[[#This Row],[TRANFS ESC 3 ]]</f>
        <v>2000</v>
      </c>
      <c r="EG194" s="76">
        <f>+IFERROR(VLOOKUP(Tabla1[[#This Row],[COD SE]],HISTORICO,4,0),0)</f>
        <v>0</v>
      </c>
      <c r="EH194" s="76">
        <f>+IFERROR(VLOOKUP(Tabla1[[#This Row],[COD SE]],HISTORICO,5,0),0)</f>
        <v>0</v>
      </c>
      <c r="EI194" s="76">
        <f>+IFERROR(VLOOKUP(Tabla1[[#This Row],[COD SE]],HISTORICO,6,0),0)</f>
        <v>0</v>
      </c>
      <c r="EJ194" s="76">
        <f>+IFERROR(VLOOKUP(Tabla1[[#This Row],[COD SE]],HISTORICO,7,0),0)</f>
        <v>2000</v>
      </c>
      <c r="EK194" s="76">
        <f>+IFERROR(VLOOKUP(Tabla1[[#This Row],[COD SE]],HISTORICO,8,0),0)</f>
        <v>0</v>
      </c>
      <c r="EL194" s="76">
        <f>+IFERROR(VLOOKUP(Tabla1[[#This Row],[COD SE]],HISTORICO,9,0),0)</f>
        <v>0</v>
      </c>
      <c r="EM194" s="76">
        <f>+IFERROR(VLOOKUP(Tabla1[[#This Row],[COD SE]],HISTORICO,10,0),0)</f>
        <v>0</v>
      </c>
      <c r="EN194" s="76">
        <f>+IFERROR(VLOOKUP(Tabla1[[#This Row],[COD SE]],HISTORICO,11,0),0)</f>
        <v>0</v>
      </c>
      <c r="EO194" s="76">
        <f>+IFERROR(VLOOKUP(Tabla1[[#This Row],[COD SE]],HISTORICO,12,0),0)</f>
        <v>0</v>
      </c>
      <c r="EP194" s="58">
        <f>+SUM(Tabla1[[#This Row],[EJECUTADO 01]:[EJECUTADO 03]])</f>
        <v>0</v>
      </c>
      <c r="EQ194" s="58">
        <f>+SUM(Tabla1[[#This Row],[EJECUTADO 04]:[EJECUTADO 06]])</f>
        <v>0</v>
      </c>
      <c r="ER194" s="58">
        <f>+SUM(Tabla1[[#This Row],[EJECUTADO 07]:[EJECUTADO 09]])</f>
        <v>0</v>
      </c>
      <c r="ES194" s="58">
        <f>+SUM(Tabla1[[#This Row],[PF OCTUBRE]:[PF DICIEMBRE
]])</f>
        <v>2000</v>
      </c>
      <c r="ET194" s="58">
        <f>+SUM(Tabla1[[#This Row],[EJECUTADO 01]:[EJECUTADO 09]])</f>
        <v>0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1672</v>
      </c>
      <c r="AD195" s="369" t="s">
        <v>1673</v>
      </c>
      <c r="AE195" s="369" t="s">
        <v>1674</v>
      </c>
      <c r="AF195" s="369" t="s">
        <v>1675</v>
      </c>
      <c r="AG195" s="369" t="s">
        <v>1772</v>
      </c>
      <c r="AH195" s="369">
        <v>10000</v>
      </c>
      <c r="AI195" s="369">
        <v>2800</v>
      </c>
      <c r="AJ195" s="369">
        <v>12800</v>
      </c>
      <c r="AK195" s="370">
        <v>12800</v>
      </c>
      <c r="AL195" s="370">
        <v>12800</v>
      </c>
      <c r="AM195" s="370">
        <v>700</v>
      </c>
      <c r="AN195" s="370">
        <v>0</v>
      </c>
      <c r="AO195" s="370">
        <v>977.5</v>
      </c>
      <c r="AP195" s="370">
        <v>1173.5</v>
      </c>
      <c r="AQ195" s="370">
        <v>1690</v>
      </c>
      <c r="AR195" s="370">
        <v>639</v>
      </c>
      <c r="AS195" s="370">
        <v>2311.5</v>
      </c>
      <c r="AT195" s="370">
        <v>671</v>
      </c>
      <c r="AU195" s="370">
        <v>506.5</v>
      </c>
      <c r="AV195" s="370">
        <v>1219.0999999999999</v>
      </c>
      <c r="AW195" s="370">
        <v>0</v>
      </c>
      <c r="AX195" s="370">
        <v>0</v>
      </c>
      <c r="AY195" s="370">
        <v>700</v>
      </c>
      <c r="AZ195" s="370">
        <v>0</v>
      </c>
      <c r="BA195" s="370">
        <v>977.5</v>
      </c>
      <c r="BB195" s="370">
        <v>1173.5</v>
      </c>
      <c r="BC195" s="370">
        <v>1690</v>
      </c>
      <c r="BD195" s="370">
        <v>639</v>
      </c>
      <c r="BE195" s="370">
        <v>2311.5</v>
      </c>
      <c r="BF195" s="370">
        <v>671</v>
      </c>
      <c r="BG195" s="370">
        <v>506.5</v>
      </c>
      <c r="BH195" s="370">
        <v>1219.0999999999999</v>
      </c>
      <c r="BI195" s="370">
        <v>0</v>
      </c>
      <c r="BJ195" s="370">
        <v>0</v>
      </c>
      <c r="BK195" s="370">
        <v>700</v>
      </c>
      <c r="BL195" s="370">
        <v>0</v>
      </c>
      <c r="BM195" s="370">
        <v>977.5</v>
      </c>
      <c r="BN195" s="370">
        <v>1173.5</v>
      </c>
      <c r="BO195" s="370">
        <v>1690</v>
      </c>
      <c r="BP195" s="370">
        <v>639</v>
      </c>
      <c r="BQ195" s="370">
        <v>2311.5</v>
      </c>
      <c r="BR195" s="370">
        <v>671</v>
      </c>
      <c r="BS195" s="370">
        <v>506.5</v>
      </c>
      <c r="BT195" s="370">
        <v>1219.0999999999999</v>
      </c>
      <c r="BU195" s="370">
        <v>0</v>
      </c>
      <c r="BV195" s="370">
        <v>0</v>
      </c>
      <c r="BW195" s="370">
        <v>700</v>
      </c>
      <c r="BX195" s="370">
        <v>0</v>
      </c>
      <c r="BY195" s="370">
        <v>977.5</v>
      </c>
      <c r="BZ195" s="370">
        <v>1173.5</v>
      </c>
      <c r="CA195" s="370">
        <v>1690</v>
      </c>
      <c r="CB195" s="370">
        <v>639</v>
      </c>
      <c r="CC195" s="370">
        <v>2311.5</v>
      </c>
      <c r="CD195" s="370">
        <v>671</v>
      </c>
      <c r="CE195" s="370">
        <v>506.5</v>
      </c>
      <c r="CF195" s="370">
        <v>1219.0999999999999</v>
      </c>
      <c r="CG195" s="370">
        <v>0</v>
      </c>
      <c r="CH195" s="370">
        <v>0</v>
      </c>
      <c r="CI195" s="48" t="s">
        <v>1987</v>
      </c>
      <c r="CJ195" s="48" t="s">
        <v>1991</v>
      </c>
      <c r="CK195" s="48" t="s">
        <v>1987</v>
      </c>
      <c r="CL195" s="48" t="s">
        <v>1990</v>
      </c>
      <c r="CM195" s="48" t="s">
        <v>1987</v>
      </c>
      <c r="CN195" s="48" t="s">
        <v>1998</v>
      </c>
      <c r="CO195" s="10" t="str">
        <f t="shared" si="41"/>
        <v>2.3.2.1.2.99</v>
      </c>
      <c r="CP195" s="10" t="str">
        <f>+VLOOKUP(Tabla1[[#This Row],[ESPECÍFICA]],CLASIFICADOR_,2,0)</f>
        <v>2.3.2.1.2.99 - OTROS GASTOS</v>
      </c>
      <c r="CQ195" s="10" t="str">
        <f>+VLOOKUP(Tabla1[[#This Row],[ESPECÍFICA]],CLASIFICADOR_,3,0)</f>
        <v>2.3.2.1 - VIAJES</v>
      </c>
      <c r="CR195" s="10" t="str">
        <f>+VLOOKUP(Tabla1[[#This Row],[ESPECÍFICA]],CLASIFICADOR_,4,0)</f>
        <v>Límite de Gasto</v>
      </c>
      <c r="CS195" s="10" t="str">
        <f>+VLOOKUP(Tabla1[[#This Row],[ESPECÍFICA]],CLASIFICADOR_,5,0)</f>
        <v>10.6 b)</v>
      </c>
      <c r="CT195" s="5" t="str">
        <f>+VLOOKUP(Tabla1[[#This Row],[ESPECÍFICA]],CLASIFICADOR_,6,0)</f>
        <v>N/R</v>
      </c>
      <c r="CU195" s="10" t="str">
        <f>+VLOOKUP(Tabla1[[#This Row],[ESPECÍFICA]],CLASIFICADOR_,7,0)</f>
        <v>N/R</v>
      </c>
      <c r="CV195" s="10">
        <f>+VLOOKUP(Tabla1[[#This Row],[ESPECÍFICA]],CLASIFICADOR_,8,0)</f>
        <v>0</v>
      </c>
      <c r="CW195" s="113" t="str">
        <f>+CONCATENATE("2.",Tabla1[[#This Row],[generica]])</f>
        <v>2.3.BIENES Y SERVICIOS</v>
      </c>
      <c r="CX195" s="10" t="str">
        <f t="shared" si="29"/>
        <v>0010-OA</v>
      </c>
      <c r="CY195" s="5" t="str">
        <f t="shared" si="30"/>
        <v>0010-OA</v>
      </c>
      <c r="CZ195" t="str">
        <f t="shared" si="31"/>
        <v>0010-OA</v>
      </c>
      <c r="DA195" s="113" t="str">
        <f>+CONCATENATE(Tabla1[[#This Row],[CC COMPLETO]],Tabla1[[#This Row],[ESPECÍFICA]])</f>
        <v>0010-OA2.3.2.1.2.99</v>
      </c>
      <c r="DB195" s="11">
        <f t="shared" si="32"/>
        <v>9888.1</v>
      </c>
      <c r="DC195" s="11">
        <f t="shared" si="33"/>
        <v>9888.1</v>
      </c>
      <c r="DD195" s="11">
        <f t="shared" si="34"/>
        <v>9888.1</v>
      </c>
      <c r="DE195" s="11">
        <f t="shared" si="35"/>
        <v>0</v>
      </c>
      <c r="DF195" s="11">
        <f t="shared" si="36"/>
        <v>0</v>
      </c>
      <c r="DG195" s="11">
        <f t="shared" si="37"/>
        <v>2911.8999999999996</v>
      </c>
      <c r="DH195" s="11">
        <f t="shared" si="38"/>
        <v>2911.8999999999996</v>
      </c>
      <c r="DI195" s="12">
        <f t="shared" si="39"/>
        <v>0.98881000000000008</v>
      </c>
      <c r="DJ195" s="77">
        <f>+SUM(Tabla1[[#This Row],[EJECUTADO 01]:[EJECUTADO 06]])</f>
        <v>5180</v>
      </c>
      <c r="DK195" s="78">
        <f>+Tabla1[[#This Row],[mto_devenga_01]]</f>
        <v>700</v>
      </c>
      <c r="DL195" s="78">
        <f>+Tabla1[[#This Row],[mto_devenga_02]]</f>
        <v>0</v>
      </c>
      <c r="DM195" s="78">
        <f>+Tabla1[[#This Row],[mto_devenga_03]]</f>
        <v>977.5</v>
      </c>
      <c r="DN195" s="78">
        <f>+Tabla1[[#This Row],[mto_devenga_04]]</f>
        <v>1173.5</v>
      </c>
      <c r="DO195" s="78">
        <f>+Tabla1[[#This Row],[mto_devenga_05]]</f>
        <v>1690</v>
      </c>
      <c r="DP195" s="76">
        <f>+Tabla1[[#This Row],[mto_devenga_06]]</f>
        <v>639</v>
      </c>
      <c r="DQ195" s="76">
        <f>+Tabla1[[#This Row],[mto_devenga_07]]</f>
        <v>2311.5</v>
      </c>
      <c r="DR195" s="76">
        <f>+Tabla1[[#This Row],[mto_devenga_08]]</f>
        <v>671</v>
      </c>
      <c r="DS195" s="76">
        <f>+Tabla1[[#This Row],[mto_devenga_09]]</f>
        <v>506.5</v>
      </c>
      <c r="DT195" s="76">
        <f>IFERROR(VLOOKUP(Tabla1[[#This Row],[COD SE]],PF_OCTUBRE,14,0),"0")</f>
        <v>1200</v>
      </c>
      <c r="DU195" s="76">
        <f>IFERROR(VLOOKUP(Tabla1[[#This Row],[COD SE]],PF_OCTUBRE,15,0),"0")</f>
        <v>1200</v>
      </c>
      <c r="DV195" s="76">
        <f>IFERROR(VLOOKUP(Tabla1[[#This Row],[COD SE]],PF_OCTUBRE,16,0),"0")</f>
        <v>1731</v>
      </c>
      <c r="DW195" s="76">
        <f>+SUM(Tabla1[[#This Row],[EJECUTADO 01]:[PF DICIEMBRE
]])</f>
        <v>12800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12800</v>
      </c>
      <c r="EB195" s="76">
        <f>IFERROR(VLOOKUP(Tabla1[[#This Row],[COD SE]],PF_OCTUBRE,22,0),"0")</f>
        <v>1731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12800</v>
      </c>
      <c r="EF195" s="76">
        <f>+Tabla1[[#This Row],[mto_pim]]-Tabla1[[#This Row],[TRANFS ESC 3 ]]</f>
        <v>12800</v>
      </c>
      <c r="EG195" s="76">
        <f>+IFERROR(VLOOKUP(Tabla1[[#This Row],[COD SE]],HISTORICO,4,0),0)</f>
        <v>0</v>
      </c>
      <c r="EH195" s="76">
        <f>+IFERROR(VLOOKUP(Tabla1[[#This Row],[COD SE]],HISTORICO,5,0),0)</f>
        <v>300</v>
      </c>
      <c r="EI195" s="76">
        <f>+IFERROR(VLOOKUP(Tabla1[[#This Row],[COD SE]],HISTORICO,6,0),0)</f>
        <v>1000</v>
      </c>
      <c r="EJ195" s="76">
        <f>+IFERROR(VLOOKUP(Tabla1[[#This Row],[COD SE]],HISTORICO,7,0),0)</f>
        <v>500</v>
      </c>
      <c r="EK195" s="76">
        <f>+IFERROR(VLOOKUP(Tabla1[[#This Row],[COD SE]],HISTORICO,8,0),0)</f>
        <v>500</v>
      </c>
      <c r="EL195" s="76">
        <f>+IFERROR(VLOOKUP(Tabla1[[#This Row],[COD SE]],HISTORICO,9,0),0)</f>
        <v>500</v>
      </c>
      <c r="EM195" s="76">
        <f>+IFERROR(VLOOKUP(Tabla1[[#This Row],[COD SE]],HISTORICO,10,0),0)</f>
        <v>1166.5</v>
      </c>
      <c r="EN195" s="76">
        <f>+IFERROR(VLOOKUP(Tabla1[[#This Row],[COD SE]],HISTORICO,11,0),0)</f>
        <v>225</v>
      </c>
      <c r="EO195" s="76">
        <f>+IFERROR(VLOOKUP(Tabla1[[#This Row],[COD SE]],HISTORICO,12,0),0)</f>
        <v>1037.25</v>
      </c>
      <c r="EP195" s="58">
        <f>+SUM(Tabla1[[#This Row],[EJECUTADO 01]:[EJECUTADO 03]])</f>
        <v>1677.5</v>
      </c>
      <c r="EQ195" s="58">
        <f>+SUM(Tabla1[[#This Row],[EJECUTADO 04]:[EJECUTADO 06]])</f>
        <v>3502.5</v>
      </c>
      <c r="ER195" s="58">
        <f>+SUM(Tabla1[[#This Row],[EJECUTADO 07]:[EJECUTADO 09]])</f>
        <v>3489</v>
      </c>
      <c r="ES195" s="58">
        <f>+SUM(Tabla1[[#This Row],[PF OCTUBRE]:[PF DICIEMBRE
]])</f>
        <v>4131</v>
      </c>
      <c r="ET195" s="58">
        <f>+SUM(Tabla1[[#This Row],[EJECUTADO 01]:[EJECUTADO 09]])</f>
        <v>8669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1673</v>
      </c>
      <c r="AE196" s="369" t="s">
        <v>1736</v>
      </c>
      <c r="AF196" s="369" t="s">
        <v>1780</v>
      </c>
      <c r="AG196" s="369" t="s">
        <v>1781</v>
      </c>
      <c r="AH196" s="369">
        <v>149304</v>
      </c>
      <c r="AI196" s="369">
        <v>46452</v>
      </c>
      <c r="AJ196" s="369">
        <v>195756</v>
      </c>
      <c r="AK196" s="370">
        <v>195756</v>
      </c>
      <c r="AL196" s="370">
        <v>175973.7</v>
      </c>
      <c r="AM196" s="370">
        <v>0</v>
      </c>
      <c r="AN196" s="370">
        <v>0</v>
      </c>
      <c r="AO196" s="370">
        <v>28084</v>
      </c>
      <c r="AP196" s="370">
        <v>29576.7</v>
      </c>
      <c r="AQ196" s="370">
        <v>0</v>
      </c>
      <c r="AR196" s="370">
        <v>80605</v>
      </c>
      <c r="AS196" s="370">
        <v>33958</v>
      </c>
      <c r="AT196" s="370">
        <v>0</v>
      </c>
      <c r="AU196" s="370">
        <v>0</v>
      </c>
      <c r="AV196" s="370">
        <v>3750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28084</v>
      </c>
      <c r="BC196" s="370">
        <v>29576.7</v>
      </c>
      <c r="BD196" s="370">
        <v>41650</v>
      </c>
      <c r="BE196" s="370">
        <v>72913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57660.7</v>
      </c>
      <c r="BP196" s="370">
        <v>38900</v>
      </c>
      <c r="BQ196" s="370">
        <v>75663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28084</v>
      </c>
      <c r="BZ196" s="370">
        <v>29576.7</v>
      </c>
      <c r="CA196" s="370">
        <v>0</v>
      </c>
      <c r="CB196" s="370">
        <v>80605</v>
      </c>
      <c r="CC196" s="370">
        <v>33958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1987</v>
      </c>
      <c r="CL196" s="48" t="s">
        <v>1993</v>
      </c>
      <c r="CM196" s="48" t="s">
        <v>1987</v>
      </c>
      <c r="CN196" s="48" t="s">
        <v>1990</v>
      </c>
      <c r="CO196" s="10" t="str">
        <f t="shared" si="41"/>
        <v>2.3.2.4.2.1</v>
      </c>
      <c r="CP196" s="10" t="str">
        <f>+VLOOKUP(Tabla1[[#This Row],[ESPECÍFICA]],CLASIFICADOR_,2,0)</f>
        <v>2.3.2.4.2.1 - DE EDIFICACIONES, OFICINAS Y ESTRUCTURAS</v>
      </c>
      <c r="CQ196" s="10" t="str">
        <f>+VLOOKUP(Tabla1[[#This Row],[ESPECÍFICA]],CLASIFICADOR_,3,0)</f>
        <v>2.3.2.4 - SERVICIO DE MANTENIMIENTO, ACONDICIONAMIENTO Y  REPARACIONES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Partidas restringidas</v>
      </c>
      <c r="CU196" s="10" t="str">
        <f>+VLOOKUP(Tabla1[[#This Row],[ESPECÍFICA]],CLASIFICADOR_,7,0)</f>
        <v>9.6 Hasta el 1er Semestre</v>
      </c>
      <c r="CV196" s="10">
        <f>+VLOOKUP(Tabla1[[#This Row],[ESPECÍFICA]],CLASIFICADOR_,8,0)</f>
        <v>3</v>
      </c>
      <c r="CW196" s="113" t="str">
        <f>+CONCATENATE("2.",Tabla1[[#This Row],[generica]])</f>
        <v>2.3.BIENES Y SERVICIOS</v>
      </c>
      <c r="CX196" s="10" t="str">
        <f t="shared" si="29"/>
        <v>0010-OA</v>
      </c>
      <c r="CY196" s="5" t="str">
        <f t="shared" si="30"/>
        <v>0010-OA</v>
      </c>
      <c r="CZ196" t="str">
        <f t="shared" si="31"/>
        <v>0010-OA</v>
      </c>
      <c r="DA196" s="113" t="str">
        <f>+CONCATENATE(Tabla1[[#This Row],[CC COMPLETO]],Tabla1[[#This Row],[ESPECÍFICA]])</f>
        <v>0010-OA2.3.2.4.2.1</v>
      </c>
      <c r="DB196" s="11">
        <f t="shared" si="32"/>
        <v>175973.7</v>
      </c>
      <c r="DC196" s="11">
        <f t="shared" si="33"/>
        <v>172223.7</v>
      </c>
      <c r="DD196" s="11">
        <f t="shared" si="34"/>
        <v>172223.7</v>
      </c>
      <c r="DE196" s="11">
        <f t="shared" si="35"/>
        <v>0</v>
      </c>
      <c r="DF196" s="11">
        <f t="shared" si="36"/>
        <v>19782.299999999988</v>
      </c>
      <c r="DG196" s="11">
        <f t="shared" si="37"/>
        <v>3750</v>
      </c>
      <c r="DH196" s="11">
        <f t="shared" si="38"/>
        <v>23532.299999999988</v>
      </c>
      <c r="DI196" s="12">
        <f t="shared" si="39"/>
        <v>1.1535102877350909</v>
      </c>
      <c r="DJ196" s="77">
        <f>+SUM(Tabla1[[#This Row],[EJECUTADO 01]:[EJECUTADO 06]])</f>
        <v>99310.7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28084</v>
      </c>
      <c r="DO196" s="78">
        <f>+Tabla1[[#This Row],[mto_devenga_05]]</f>
        <v>29576.7</v>
      </c>
      <c r="DP196" s="76">
        <f>+Tabla1[[#This Row],[mto_devenga_06]]</f>
        <v>41650</v>
      </c>
      <c r="DQ196" s="76">
        <f>+Tabla1[[#This Row],[mto_devenga_07]]</f>
        <v>72913</v>
      </c>
      <c r="DR196" s="76">
        <f>+Tabla1[[#This Row],[mto_devenga_08]]</f>
        <v>0</v>
      </c>
      <c r="DS196" s="76">
        <f>+Tabla1[[#This Row],[mto_devenga_09]]</f>
        <v>0</v>
      </c>
      <c r="DT196" s="76">
        <f>IFERROR(VLOOKUP(Tabla1[[#This Row],[COD SE]],PF_OCTUBRE,14,0),"0")</f>
        <v>0</v>
      </c>
      <c r="DU196" s="76">
        <f>IFERROR(VLOOKUP(Tabla1[[#This Row],[COD SE]],PF_OCTUBRE,15,0),"0")</f>
        <v>0</v>
      </c>
      <c r="DV196" s="76">
        <f>IFERROR(VLOOKUP(Tabla1[[#This Row],[COD SE]],PF_OCTUBRE,16,0),"0")</f>
        <v>82.3</v>
      </c>
      <c r="DW196" s="76">
        <f>+SUM(Tabla1[[#This Row],[EJECUTADO 01]:[PF DICIEMBRE
]])</f>
        <v>172306</v>
      </c>
      <c r="DX196" s="76">
        <f>IFERROR(VLOOKUP(Tabla1[[#This Row],[COD SE]],PF_OCTUBRE,18,0),"0")</f>
        <v>0</v>
      </c>
      <c r="DY196" s="76">
        <f>IFERROR(VLOOKUP(Tabla1[[#This Row],[COD SE]],PF_OCTUBRE,19,0),"0")</f>
        <v>0</v>
      </c>
      <c r="DZ196" s="76">
        <f>IFERROR(VLOOKUP(Tabla1[[#This Row],[COD SE]],PF_OCTUBRE,20,0),"0")</f>
        <v>0</v>
      </c>
      <c r="EA196" s="76">
        <f>+Tabla1[[#This Row],[TOTAL EJEC REAL]]+Tabla1[[#This Row],[SALDO FINAL]]</f>
        <v>172306</v>
      </c>
      <c r="EB196" s="76">
        <f>IFERROR(VLOOKUP(Tabla1[[#This Row],[COD SE]],PF_OCTUBRE,22,0),"0")</f>
        <v>82.3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195756</v>
      </c>
      <c r="EF196" s="76">
        <f>+Tabla1[[#This Row],[mto_pim]]-Tabla1[[#This Row],[TRANFS ESC 3 ]]</f>
        <v>195756</v>
      </c>
      <c r="EG196" s="76">
        <f>+IFERROR(VLOOKUP(Tabla1[[#This Row],[COD SE]],HISTORICO,4,0),0)</f>
        <v>1000</v>
      </c>
      <c r="EH196" s="76">
        <f>+IFERROR(VLOOKUP(Tabla1[[#This Row],[COD SE]],HISTORICO,5,0),0)</f>
        <v>1000</v>
      </c>
      <c r="EI196" s="76">
        <f>+IFERROR(VLOOKUP(Tabla1[[#This Row],[COD SE]],HISTORICO,6,0),0)</f>
        <v>0</v>
      </c>
      <c r="EJ196" s="76">
        <f>+IFERROR(VLOOKUP(Tabla1[[#This Row],[COD SE]],HISTORICO,7,0),0)</f>
        <v>28084</v>
      </c>
      <c r="EK196" s="76">
        <f>+IFERROR(VLOOKUP(Tabla1[[#This Row],[COD SE]],HISTORICO,8,0),0)</f>
        <v>0</v>
      </c>
      <c r="EL196" s="76">
        <f>+IFERROR(VLOOKUP(Tabla1[[#This Row],[COD SE]],HISTORICO,9,0),0)</f>
        <v>32339.3</v>
      </c>
      <c r="EM196" s="76">
        <f>+IFERROR(VLOOKUP(Tabla1[[#This Row],[COD SE]],HISTORICO,10,0),0)</f>
        <v>1691</v>
      </c>
      <c r="EN196" s="76">
        <f>+IFERROR(VLOOKUP(Tabla1[[#This Row],[COD SE]],HISTORICO,11,0),0)</f>
        <v>0</v>
      </c>
      <c r="EO196" s="76">
        <f>+IFERROR(VLOOKUP(Tabla1[[#This Row],[COD SE]],HISTORICO,12,0),0)</f>
        <v>0</v>
      </c>
      <c r="EP196" s="58">
        <f>+SUM(Tabla1[[#This Row],[EJECUTADO 01]:[EJECUTADO 03]])</f>
        <v>0</v>
      </c>
      <c r="EQ196" s="58">
        <f>+SUM(Tabla1[[#This Row],[EJECUTADO 04]:[EJECUTADO 06]])</f>
        <v>99310.7</v>
      </c>
      <c r="ER196" s="58">
        <f>+SUM(Tabla1[[#This Row],[EJECUTADO 07]:[EJECUTADO 09]])</f>
        <v>72913</v>
      </c>
      <c r="ES196" s="58">
        <f>+SUM(Tabla1[[#This Row],[PF OCTUBRE]:[PF DICIEMBRE
]])</f>
        <v>82.3</v>
      </c>
      <c r="ET196" s="58">
        <f>+SUM(Tabla1[[#This Row],[EJECUTADO 01]:[EJECUTADO 09]])</f>
        <v>172223.7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1672</v>
      </c>
      <c r="AD197" s="369" t="s">
        <v>1673</v>
      </c>
      <c r="AE197" s="369" t="s">
        <v>1786</v>
      </c>
      <c r="AF197" s="369" t="s">
        <v>1791</v>
      </c>
      <c r="AG197" s="369" t="s">
        <v>1793</v>
      </c>
      <c r="AH197" s="369">
        <v>210</v>
      </c>
      <c r="AI197" s="369">
        <v>0</v>
      </c>
      <c r="AJ197" s="369">
        <v>210</v>
      </c>
      <c r="AK197" s="370">
        <v>210</v>
      </c>
      <c r="AL197" s="370">
        <v>210</v>
      </c>
      <c r="AM197" s="370">
        <v>0</v>
      </c>
      <c r="AN197" s="370">
        <v>0</v>
      </c>
      <c r="AO197" s="370">
        <v>0</v>
      </c>
      <c r="AP197" s="370">
        <v>0</v>
      </c>
      <c r="AQ197" s="370">
        <v>0</v>
      </c>
      <c r="AR197" s="370">
        <v>0</v>
      </c>
      <c r="AS197" s="370">
        <v>0</v>
      </c>
      <c r="AT197" s="370">
        <v>210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0">
        <v>0</v>
      </c>
      <c r="BG197" s="370">
        <v>0</v>
      </c>
      <c r="BH197" s="370">
        <v>0</v>
      </c>
      <c r="BI197" s="370">
        <v>0</v>
      </c>
      <c r="BJ197" s="370">
        <v>0</v>
      </c>
      <c r="BK197" s="370">
        <v>0</v>
      </c>
      <c r="BL197" s="370">
        <v>0</v>
      </c>
      <c r="BM197" s="370">
        <v>0</v>
      </c>
      <c r="BN197" s="370">
        <v>0</v>
      </c>
      <c r="BO197" s="370">
        <v>0</v>
      </c>
      <c r="BP197" s="370">
        <v>0</v>
      </c>
      <c r="BQ197" s="370">
        <v>0</v>
      </c>
      <c r="BR197" s="370">
        <v>0</v>
      </c>
      <c r="BS197" s="370">
        <v>0</v>
      </c>
      <c r="BT197" s="370">
        <v>0</v>
      </c>
      <c r="BU197" s="370">
        <v>0</v>
      </c>
      <c r="BV197" s="370">
        <v>0</v>
      </c>
      <c r="BW197" s="370">
        <v>0</v>
      </c>
      <c r="BX197" s="370">
        <v>0</v>
      </c>
      <c r="BY197" s="370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1991</v>
      </c>
      <c r="CK197" s="48" t="s">
        <v>1987</v>
      </c>
      <c r="CL197" s="48" t="s">
        <v>1988</v>
      </c>
      <c r="CM197" s="48" t="s">
        <v>1991</v>
      </c>
      <c r="CN197" s="48" t="s">
        <v>1991</v>
      </c>
      <c r="CO197" s="10" t="str">
        <f t="shared" si="41"/>
        <v>2.3.2.6.3.3</v>
      </c>
      <c r="CP197" s="10" t="str">
        <f>+VLOOKUP(Tabla1[[#This Row],[ESPECÍFICA]],CLASIFICADOR_,2,0)</f>
        <v>2.3.2.6.3.3 - SEGURO OBLIGATORIO ACCIDENTES DE TRANSITO (SOAT)</v>
      </c>
      <c r="CQ197" s="10" t="str">
        <f>+VLOOKUP(Tabla1[[#This Row],[ESPECÍFICA]],CLASIFICADOR_,3,0)</f>
        <v>2.3.2.6 - SERVICIOS ADMINISTRATIVOS, FINANCIEROS Y DE SEGUROS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2.3.BIENES Y SERVICIOS</v>
      </c>
      <c r="CX197" s="10" t="str">
        <f t="shared" si="29"/>
        <v>0010-OA</v>
      </c>
      <c r="CY197" s="5" t="str">
        <f t="shared" si="30"/>
        <v>0010-OA</v>
      </c>
      <c r="CZ197" t="str">
        <f t="shared" si="31"/>
        <v>0010-OA</v>
      </c>
      <c r="DA197" s="113" t="str">
        <f>+CONCATENATE(Tabla1[[#This Row],[CC COMPLETO]],Tabla1[[#This Row],[ESPECÍFICA]])</f>
        <v>0010-OA2.3.2.6.3.3</v>
      </c>
      <c r="DB197" s="11">
        <f t="shared" si="32"/>
        <v>210</v>
      </c>
      <c r="DC197" s="11">
        <f t="shared" si="33"/>
        <v>0</v>
      </c>
      <c r="DD197" s="11">
        <f t="shared" si="34"/>
        <v>0</v>
      </c>
      <c r="DE197" s="11">
        <f t="shared" si="35"/>
        <v>0</v>
      </c>
      <c r="DF197" s="11">
        <f t="shared" si="36"/>
        <v>0</v>
      </c>
      <c r="DG197" s="11">
        <f t="shared" si="37"/>
        <v>210</v>
      </c>
      <c r="DH197" s="11">
        <f t="shared" si="38"/>
        <v>210</v>
      </c>
      <c r="DI197" s="12">
        <f t="shared" si="39"/>
        <v>0</v>
      </c>
      <c r="DJ197" s="77">
        <f>+SUM(Tabla1[[#This Row],[EJECUTADO 01]:[EJECUTADO 06]])</f>
        <v>0</v>
      </c>
      <c r="DK197" s="78">
        <f>+Tabla1[[#This Row],[mto_devenga_01]]</f>
        <v>0</v>
      </c>
      <c r="DL197" s="78">
        <f>+Tabla1[[#This Row],[mto_devenga_02]]</f>
        <v>0</v>
      </c>
      <c r="DM197" s="78">
        <f>+Tabla1[[#This Row],[mto_devenga_03]]</f>
        <v>0</v>
      </c>
      <c r="DN197" s="78">
        <f>+Tabla1[[#This Row],[mto_devenga_04]]</f>
        <v>0</v>
      </c>
      <c r="DO197" s="78">
        <f>+Tabla1[[#This Row],[mto_devenga_05]]</f>
        <v>0</v>
      </c>
      <c r="DP197" s="76">
        <f>+Tabla1[[#This Row],[mto_devenga_06]]</f>
        <v>0</v>
      </c>
      <c r="DQ197" s="76">
        <f>+Tabla1[[#This Row],[mto_devenga_07]]</f>
        <v>0</v>
      </c>
      <c r="DR197" s="76">
        <f>+Tabla1[[#This Row],[mto_devenga_08]]</f>
        <v>0</v>
      </c>
      <c r="DS197" s="76">
        <f>+Tabla1[[#This Row],[mto_devenga_09]]</f>
        <v>0</v>
      </c>
      <c r="DT197" s="76">
        <f>IFERROR(VLOOKUP(Tabla1[[#This Row],[COD SE]],PF_OCTUBRE,14,0),"0")</f>
        <v>210</v>
      </c>
      <c r="DU197" s="76">
        <f>IFERROR(VLOOKUP(Tabla1[[#This Row],[COD SE]],PF_OCTUBRE,15,0),"0")</f>
        <v>0</v>
      </c>
      <c r="DV197" s="76">
        <f>IFERROR(VLOOKUP(Tabla1[[#This Row],[COD SE]],PF_OCTUBRE,16,0),"0")</f>
        <v>0</v>
      </c>
      <c r="DW197" s="76">
        <f>+SUM(Tabla1[[#This Row],[EJECUTADO 01]:[PF DICIEMBRE
]])</f>
        <v>210</v>
      </c>
      <c r="DX197" s="76">
        <f>IFERROR(VLOOKUP(Tabla1[[#This Row],[COD SE]],PF_OCTUBRE,18,0),"0")</f>
        <v>0</v>
      </c>
      <c r="DY197" s="76">
        <f>IFERROR(VLOOKUP(Tabla1[[#This Row],[COD SE]],PF_OCTUBRE,19,0),"0")</f>
        <v>0</v>
      </c>
      <c r="DZ197" s="76">
        <f>IFERROR(VLOOKUP(Tabla1[[#This Row],[COD SE]],PF_OCTUBRE,20,0),"0")</f>
        <v>0</v>
      </c>
      <c r="EA197" s="76">
        <f>+Tabla1[[#This Row],[TOTAL EJEC REAL]]+Tabla1[[#This Row],[SALDO FINAL]]</f>
        <v>210</v>
      </c>
      <c r="EB197" s="76">
        <f>IFERROR(VLOOKUP(Tabla1[[#This Row],[COD SE]],PF_OCTUBRE,22,0),"0")</f>
        <v>0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210</v>
      </c>
      <c r="EF197" s="76">
        <f>+Tabla1[[#This Row],[mto_pim]]-Tabla1[[#This Row],[TRANFS ESC 3 ]]</f>
        <v>210</v>
      </c>
      <c r="EG197" s="76">
        <f>+IFERROR(VLOOKUP(Tabla1[[#This Row],[COD SE]],HISTORICO,4,0),0)</f>
        <v>0</v>
      </c>
      <c r="EH197" s="76">
        <f>+IFERROR(VLOOKUP(Tabla1[[#This Row],[COD SE]],HISTORICO,5,0),0)</f>
        <v>0</v>
      </c>
      <c r="EI197" s="76">
        <f>+IFERROR(VLOOKUP(Tabla1[[#This Row],[COD SE]],HISTORICO,6,0),0)</f>
        <v>0</v>
      </c>
      <c r="EJ197" s="76">
        <f>+IFERROR(VLOOKUP(Tabla1[[#This Row],[COD SE]],HISTORICO,7,0),0)</f>
        <v>0</v>
      </c>
      <c r="EK197" s="76">
        <f>+IFERROR(VLOOKUP(Tabla1[[#This Row],[COD SE]],HISTORICO,8,0),0)</f>
        <v>0</v>
      </c>
      <c r="EL197" s="76">
        <f>+IFERROR(VLOOKUP(Tabla1[[#This Row],[COD SE]],HISTORICO,9,0),0)</f>
        <v>0</v>
      </c>
      <c r="EM197" s="76">
        <f>+IFERROR(VLOOKUP(Tabla1[[#This Row],[COD SE]],HISTORICO,10,0),0)</f>
        <v>0</v>
      </c>
      <c r="EN197" s="76">
        <f>+IFERROR(VLOOKUP(Tabla1[[#This Row],[COD SE]],HISTORICO,11,0),0)</f>
        <v>210</v>
      </c>
      <c r="EO197" s="76">
        <f>+IFERROR(VLOOKUP(Tabla1[[#This Row],[COD SE]],HISTORICO,12,0),0)</f>
        <v>210</v>
      </c>
      <c r="EP197" s="58">
        <f>+SUM(Tabla1[[#This Row],[EJECUTADO 01]:[EJECUTADO 03]])</f>
        <v>0</v>
      </c>
      <c r="EQ197" s="58">
        <f>+SUM(Tabla1[[#This Row],[EJECUTADO 04]:[EJECUTADO 06]])</f>
        <v>0</v>
      </c>
      <c r="ER197" s="58">
        <f>+SUM(Tabla1[[#This Row],[EJECUTADO 07]:[EJECUTADO 09]])</f>
        <v>0</v>
      </c>
      <c r="ES197" s="58">
        <f>+SUM(Tabla1[[#This Row],[PF OCTUBRE]:[PF DICIEMBRE
]])</f>
        <v>210</v>
      </c>
      <c r="ET197" s="58">
        <f>+SUM(Tabla1[[#This Row],[EJECUTADO 01]:[EJECUTADO 09]])</f>
        <v>0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1745</v>
      </c>
      <c r="AD198" s="369" t="s">
        <v>1746</v>
      </c>
      <c r="AE198" s="369" t="s">
        <v>1747</v>
      </c>
      <c r="AF198" s="369" t="s">
        <v>1806</v>
      </c>
      <c r="AG198" s="369" t="s">
        <v>1807</v>
      </c>
      <c r="AH198" s="369">
        <v>0</v>
      </c>
      <c r="AI198" s="369">
        <v>59400</v>
      </c>
      <c r="AJ198" s="369">
        <v>59400</v>
      </c>
      <c r="AK198" s="370">
        <v>59400</v>
      </c>
      <c r="AL198" s="370">
        <v>59400</v>
      </c>
      <c r="AM198" s="370">
        <v>0</v>
      </c>
      <c r="AN198" s="370">
        <v>59400</v>
      </c>
      <c r="AO198" s="370">
        <v>0</v>
      </c>
      <c r="AP198" s="370">
        <v>0</v>
      </c>
      <c r="AQ198" s="370">
        <v>0</v>
      </c>
      <c r="AR198" s="370">
        <v>0</v>
      </c>
      <c r="AS198" s="370">
        <v>0</v>
      </c>
      <c r="AT198" s="370">
        <v>0</v>
      </c>
      <c r="AU198" s="370">
        <v>0</v>
      </c>
      <c r="AV198" s="370">
        <v>0</v>
      </c>
      <c r="AW198" s="370">
        <v>0</v>
      </c>
      <c r="AX198" s="370">
        <v>0</v>
      </c>
      <c r="AY198" s="370">
        <v>0</v>
      </c>
      <c r="AZ198" s="370">
        <v>59400</v>
      </c>
      <c r="BA198" s="370">
        <v>0</v>
      </c>
      <c r="BB198" s="370">
        <v>0</v>
      </c>
      <c r="BC198" s="370">
        <v>0</v>
      </c>
      <c r="BD198" s="370">
        <v>0</v>
      </c>
      <c r="BE198" s="370">
        <v>0</v>
      </c>
      <c r="BF198" s="370">
        <v>0</v>
      </c>
      <c r="BG198" s="370">
        <v>0</v>
      </c>
      <c r="BH198" s="370">
        <v>0</v>
      </c>
      <c r="BI198" s="370">
        <v>0</v>
      </c>
      <c r="BJ198" s="370">
        <v>0</v>
      </c>
      <c r="BK198" s="370">
        <v>0</v>
      </c>
      <c r="BL198" s="370">
        <v>59400</v>
      </c>
      <c r="BM198" s="370">
        <v>0</v>
      </c>
      <c r="BN198" s="370">
        <v>0</v>
      </c>
      <c r="BO198" s="370">
        <v>0</v>
      </c>
      <c r="BP198" s="370">
        <v>0</v>
      </c>
      <c r="BQ198" s="370">
        <v>0</v>
      </c>
      <c r="BR198" s="370">
        <v>0</v>
      </c>
      <c r="BS198" s="370">
        <v>0</v>
      </c>
      <c r="BT198" s="370">
        <v>0</v>
      </c>
      <c r="BU198" s="370">
        <v>0</v>
      </c>
      <c r="BV198" s="370">
        <v>0</v>
      </c>
      <c r="BW198" s="370">
        <v>0</v>
      </c>
      <c r="BX198" s="370">
        <v>59400</v>
      </c>
      <c r="BY198" s="370">
        <v>0</v>
      </c>
      <c r="BZ198" s="370">
        <v>0</v>
      </c>
      <c r="CA198" s="370">
        <v>0</v>
      </c>
      <c r="CB198" s="370">
        <v>0</v>
      </c>
      <c r="CC198" s="370">
        <v>0</v>
      </c>
      <c r="CD198" s="370">
        <v>0</v>
      </c>
      <c r="CE198" s="370">
        <v>0</v>
      </c>
      <c r="CF198" s="370">
        <v>0</v>
      </c>
      <c r="CG198" s="370">
        <v>0</v>
      </c>
      <c r="CH198" s="370">
        <v>0</v>
      </c>
      <c r="CI198" s="48" t="s">
        <v>1987</v>
      </c>
      <c r="CJ198" s="48" t="s">
        <v>2011</v>
      </c>
      <c r="CK198" s="48" t="s">
        <v>1993</v>
      </c>
      <c r="CL198" s="48" t="s">
        <v>1990</v>
      </c>
      <c r="CM198" s="48" t="s">
        <v>1991</v>
      </c>
      <c r="CN198" s="48" t="s">
        <v>1990</v>
      </c>
      <c r="CO198" s="10" t="str">
        <f>+CONCATENATE(CI198,".",CJ198,".",CK198,".",CL198,".",CM198,".",CN198)</f>
        <v>2.5.4.1.3.1</v>
      </c>
      <c r="CP198" s="10" t="str">
        <f>+VLOOKUP(Tabla1[[#This Row],[ESPECÍFICA]],CLASIFICADOR_,2,0)</f>
        <v>2.5.4.1.3.1 - MULTAS</v>
      </c>
      <c r="CQ198" s="10" t="str">
        <f>+VLOOKUP(Tabla1[[#This Row],[ESPECÍFICA]],CLASIFICADOR_,3,0)</f>
        <v>2.5.4.1 - AL GOBIERNO NACIONAL</v>
      </c>
      <c r="CR198" s="10" t="str">
        <f>+VLOOKUP(Tabla1[[#This Row],[ESPECÍFICA]],CLASIFICADOR_,4,0)</f>
        <v xml:space="preserve"> </v>
      </c>
      <c r="CS198" s="10">
        <f>+VLOOKUP(Tabla1[[#This Row],[ESPECÍFICA]],CLASIFICADOR_,5,0)</f>
        <v>0</v>
      </c>
      <c r="CT198" s="5" t="str">
        <f>+VLOOKUP(Tabla1[[#This Row],[ESPECÍFICA]],CLASIFICADOR_,6,0)</f>
        <v>N/R</v>
      </c>
      <c r="CU198" s="10" t="str">
        <f>+VLOOKUP(Tabla1[[#This Row],[ESPECÍFICA]],CLASIFICADOR_,7,0)</f>
        <v>N/R</v>
      </c>
      <c r="CV198" s="10">
        <f>+VLOOKUP(Tabla1[[#This Row],[ESPECÍFICA]],CLASIFICADOR_,8,0)</f>
        <v>0</v>
      </c>
      <c r="CW198" s="113" t="str">
        <f>+CONCATENATE("2.",Tabla1[[#This Row],[generica]])</f>
        <v>2.5.OTROS GASTOS</v>
      </c>
      <c r="CX198" s="5" t="str">
        <f t="shared" ref="CX198:CX261" si="42">+VLOOKUP(U198,CC_COMPLETO,2,0)</f>
        <v>0010-OA</v>
      </c>
      <c r="CY198" s="5" t="str">
        <f t="shared" ref="CY198:CY261" si="43">+VLOOKUP(U198,CC_COMPLETO,3,0)</f>
        <v>0010-OA</v>
      </c>
      <c r="CZ198" t="str">
        <f t="shared" ref="CZ198:CZ261" si="44">+VLOOKUP(U198,CC_COMPLETO,4,0)</f>
        <v>0010-OA</v>
      </c>
      <c r="DA198" s="113" t="str">
        <f>+CONCATENATE(Tabla1[[#This Row],[CC COMPLETO]],Tabla1[[#This Row],[ESPECÍFICA]])</f>
        <v>0010-OA2.5.4.1.3.1</v>
      </c>
      <c r="DB198" s="11">
        <f t="shared" ref="DB198:DB261" si="45">SUM(AM198:AX198)</f>
        <v>59400</v>
      </c>
      <c r="DC198" s="11">
        <f t="shared" ref="DC198:DC261" si="46">+SUM(AY198:BJ198)</f>
        <v>59400</v>
      </c>
      <c r="DD198" s="11">
        <f t="shared" ref="DD198:DD261" si="47">+SUM(BK198:BV198)</f>
        <v>59400</v>
      </c>
      <c r="DE198" s="11">
        <f t="shared" ref="DE198:DE261" si="48">+AJ198-AK198</f>
        <v>0</v>
      </c>
      <c r="DF198" s="11">
        <f t="shared" ref="DF198:DF261" si="49">+AK198-AL198</f>
        <v>0</v>
      </c>
      <c r="DG198" s="11">
        <f t="shared" ref="DG198:DG261" si="50">+AL198-DC198</f>
        <v>0</v>
      </c>
      <c r="DH198" s="11">
        <f t="shared" ref="DH198:DH261" si="51">+AJ198-DC198</f>
        <v>0</v>
      </c>
      <c r="DI198" s="12">
        <f t="shared" ref="DI198:DI261" si="52">+IFERROR((DC198/AH198),0)</f>
        <v>0</v>
      </c>
      <c r="DJ198" s="77">
        <f>+SUM(Tabla1[[#This Row],[EJECUTADO 01]:[EJECUTADO 06]])</f>
        <v>59400</v>
      </c>
      <c r="DK198" s="78">
        <f>+Tabla1[[#This Row],[mto_devenga_01]]</f>
        <v>0</v>
      </c>
      <c r="DL198" s="78">
        <f>+Tabla1[[#This Row],[mto_devenga_02]]</f>
        <v>59400</v>
      </c>
      <c r="DM198" s="78">
        <f>+Tabla1[[#This Row],[mto_devenga_03]]</f>
        <v>0</v>
      </c>
      <c r="DN198" s="78">
        <f>+Tabla1[[#This Row],[mto_devenga_04]]</f>
        <v>0</v>
      </c>
      <c r="DO198" s="78">
        <f>+Tabla1[[#This Row],[mto_devenga_05]]</f>
        <v>0</v>
      </c>
      <c r="DP198" s="76">
        <f>+Tabla1[[#This Row],[mto_devenga_06]]</f>
        <v>0</v>
      </c>
      <c r="DQ198" s="76">
        <f>+Tabla1[[#This Row],[mto_devenga_07]]</f>
        <v>0</v>
      </c>
      <c r="DR198" s="76">
        <f>+Tabla1[[#This Row],[mto_devenga_08]]</f>
        <v>0</v>
      </c>
      <c r="DS198" s="76">
        <f>+Tabla1[[#This Row],[mto_devenga_09]]</f>
        <v>0</v>
      </c>
      <c r="DT198" s="76">
        <f>IFERROR(VLOOKUP(Tabla1[[#This Row],[COD SE]],PF_OCTUBRE,14,0),"0")</f>
        <v>0</v>
      </c>
      <c r="DU198" s="76">
        <f>IFERROR(VLOOKUP(Tabla1[[#This Row],[COD SE]],PF_OCTUBRE,15,0),"0")</f>
        <v>0</v>
      </c>
      <c r="DV198" s="76">
        <f>IFERROR(VLOOKUP(Tabla1[[#This Row],[COD SE]],PF_OCTUBRE,16,0),"0")</f>
        <v>0</v>
      </c>
      <c r="DW198" s="76">
        <f>+SUM(Tabla1[[#This Row],[EJECUTADO 01]:[PF DICIEMBRE
]])</f>
        <v>59400</v>
      </c>
      <c r="DX198" s="76">
        <f>IFERROR(VLOOKUP(Tabla1[[#This Row],[COD SE]],PF_OCTUBRE,18,0),"0")</f>
        <v>0</v>
      </c>
      <c r="DY198" s="76">
        <f>IFERROR(VLOOKUP(Tabla1[[#This Row],[COD SE]],PF_OCTUBRE,19,0),"0")</f>
        <v>0</v>
      </c>
      <c r="DZ198" s="76">
        <f>IFERROR(VLOOKUP(Tabla1[[#This Row],[COD SE]],PF_OCTUBRE,20,0),"0")</f>
        <v>0</v>
      </c>
      <c r="EA198" s="76">
        <f>+Tabla1[[#This Row],[TOTAL EJEC REAL]]+Tabla1[[#This Row],[SALDO FINAL]]</f>
        <v>59400</v>
      </c>
      <c r="EB198" s="76">
        <f>IFERROR(VLOOKUP(Tabla1[[#This Row],[COD SE]],PF_OCTUBRE,22,0),"0")</f>
        <v>0</v>
      </c>
      <c r="EC198" s="76">
        <f>+IFERROR(VLOOKUP(Tabla1[[#This Row],[COD SE]],SALDO_ESC_2,7,0),0)</f>
        <v>0</v>
      </c>
      <c r="ED198" s="76">
        <f>+IFERROR(VLOOKUP(Tabla1[[#This Row],[COD SE]],SALDO_ESC_3,7,0),0)</f>
        <v>0</v>
      </c>
      <c r="EE198" s="76">
        <f>+Tabla1[[#This Row],[mto_pim]]-Tabla1[[#This Row],[TRANSF ESC2 ]]</f>
        <v>59400</v>
      </c>
      <c r="EF198" s="76">
        <f>+Tabla1[[#This Row],[mto_pim]]-Tabla1[[#This Row],[TRANFS ESC 3 ]]</f>
        <v>59400</v>
      </c>
      <c r="EG198" s="76">
        <f>+IFERROR(VLOOKUP(Tabla1[[#This Row],[COD SE]],HISTORICO,4,0),0)</f>
        <v>59400</v>
      </c>
      <c r="EH198" s="76">
        <f>+IFERROR(VLOOKUP(Tabla1[[#This Row],[COD SE]],HISTORICO,5,0),0)</f>
        <v>59400</v>
      </c>
      <c r="EI198" s="76">
        <f>+IFERROR(VLOOKUP(Tabla1[[#This Row],[COD SE]],HISTORICO,6,0),0)</f>
        <v>0</v>
      </c>
      <c r="EJ198" s="76">
        <f>+IFERROR(VLOOKUP(Tabla1[[#This Row],[COD SE]],HISTORICO,7,0),0)</f>
        <v>0</v>
      </c>
      <c r="EK198" s="76">
        <f>+IFERROR(VLOOKUP(Tabla1[[#This Row],[COD SE]],HISTORICO,8,0),0)</f>
        <v>0</v>
      </c>
      <c r="EL198" s="76">
        <f>+IFERROR(VLOOKUP(Tabla1[[#This Row],[COD SE]],HISTORICO,9,0),0)</f>
        <v>0</v>
      </c>
      <c r="EM198" s="76">
        <f>+IFERROR(VLOOKUP(Tabla1[[#This Row],[COD SE]],HISTORICO,10,0),0)</f>
        <v>0</v>
      </c>
      <c r="EN198" s="76">
        <f>+IFERROR(VLOOKUP(Tabla1[[#This Row],[COD SE]],HISTORICO,11,0),0)</f>
        <v>0</v>
      </c>
      <c r="EO198" s="76">
        <f>+IFERROR(VLOOKUP(Tabla1[[#This Row],[COD SE]],HISTORICO,12,0),0)</f>
        <v>0</v>
      </c>
      <c r="EP198" s="58">
        <f>+SUM(Tabla1[[#This Row],[EJECUTADO 01]:[EJECUTADO 03]])</f>
        <v>59400</v>
      </c>
      <c r="EQ198" s="58">
        <f>+SUM(Tabla1[[#This Row],[EJECUTADO 04]:[EJECUTADO 06]])</f>
        <v>0</v>
      </c>
      <c r="ER198" s="58">
        <f>+SUM(Tabla1[[#This Row],[EJECUTADO 07]:[EJECUTADO 09]])</f>
        <v>0</v>
      </c>
      <c r="ES198" s="58">
        <f>+SUM(Tabla1[[#This Row],[PF OCTUBRE]:[PF DICIEMBRE
]])</f>
        <v>0</v>
      </c>
      <c r="ET198" s="58">
        <f>+SUM(Tabla1[[#This Row],[EJECUTADO 01]:[EJECUTADO 09]])</f>
        <v>59400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1656</v>
      </c>
      <c r="AD199" s="369" t="s">
        <v>1668</v>
      </c>
      <c r="AE199" s="369" t="s">
        <v>1669</v>
      </c>
      <c r="AF199" s="369" t="s">
        <v>1669</v>
      </c>
      <c r="AG199" s="369" t="s">
        <v>1670</v>
      </c>
      <c r="AH199" s="369">
        <v>0</v>
      </c>
      <c r="AI199" s="369">
        <v>16405</v>
      </c>
      <c r="AJ199" s="369">
        <v>16405</v>
      </c>
      <c r="AK199" s="370">
        <v>16405</v>
      </c>
      <c r="AL199" s="370">
        <v>16405</v>
      </c>
      <c r="AM199" s="370">
        <v>1357.88</v>
      </c>
      <c r="AN199" s="370">
        <v>1357.88</v>
      </c>
      <c r="AO199" s="370">
        <v>1041.03</v>
      </c>
      <c r="AP199" s="370">
        <v>1889.71</v>
      </c>
      <c r="AQ199" s="370">
        <v>1357.88</v>
      </c>
      <c r="AR199" s="370">
        <v>1357.88</v>
      </c>
      <c r="AS199" s="370">
        <v>1357.88</v>
      </c>
      <c r="AT199" s="370">
        <v>2172.61</v>
      </c>
      <c r="AU199" s="370">
        <v>1908.57</v>
      </c>
      <c r="AV199" s="370">
        <v>1357.88</v>
      </c>
      <c r="AW199" s="370">
        <v>0</v>
      </c>
      <c r="AX199" s="370">
        <v>0</v>
      </c>
      <c r="AY199" s="370">
        <v>1357.88</v>
      </c>
      <c r="AZ199" s="370">
        <v>1357.88</v>
      </c>
      <c r="BA199" s="370">
        <v>1041.03</v>
      </c>
      <c r="BB199" s="370">
        <v>1889.71</v>
      </c>
      <c r="BC199" s="370">
        <v>1357.88</v>
      </c>
      <c r="BD199" s="370">
        <v>1357.88</v>
      </c>
      <c r="BE199" s="370">
        <v>1357.88</v>
      </c>
      <c r="BF199" s="370">
        <v>2172.61</v>
      </c>
      <c r="BG199" s="370">
        <v>1093.8399999999999</v>
      </c>
      <c r="BH199" s="370">
        <v>1357.88</v>
      </c>
      <c r="BI199" s="370">
        <v>0</v>
      </c>
      <c r="BJ199" s="370">
        <v>0</v>
      </c>
      <c r="BK199" s="370">
        <v>1357.88</v>
      </c>
      <c r="BL199" s="370">
        <v>1357.88</v>
      </c>
      <c r="BM199" s="370">
        <v>1041.03</v>
      </c>
      <c r="BN199" s="370">
        <v>1889.71</v>
      </c>
      <c r="BO199" s="370">
        <v>1357.88</v>
      </c>
      <c r="BP199" s="370">
        <v>1357.88</v>
      </c>
      <c r="BQ199" s="370">
        <v>1357.88</v>
      </c>
      <c r="BR199" s="370">
        <v>1357.88</v>
      </c>
      <c r="BS199" s="370">
        <v>1908.57</v>
      </c>
      <c r="BT199" s="370">
        <v>1357.88</v>
      </c>
      <c r="BU199" s="370">
        <v>0</v>
      </c>
      <c r="BV199" s="370">
        <v>0</v>
      </c>
      <c r="BW199" s="370">
        <v>1357.88</v>
      </c>
      <c r="BX199" s="370">
        <v>1357.88</v>
      </c>
      <c r="BY199" s="370">
        <v>1041.03</v>
      </c>
      <c r="BZ199" s="370">
        <v>1889.71</v>
      </c>
      <c r="CA199" s="370">
        <v>1357.88</v>
      </c>
      <c r="CB199" s="370">
        <v>1357.88</v>
      </c>
      <c r="CC199" s="370">
        <v>1357.88</v>
      </c>
      <c r="CD199" s="370">
        <v>1357.88</v>
      </c>
      <c r="CE199" s="370">
        <v>1908.57</v>
      </c>
      <c r="CF199" s="370">
        <v>1357.88</v>
      </c>
      <c r="CG199" s="370">
        <v>0</v>
      </c>
      <c r="CH199" s="370">
        <v>0</v>
      </c>
      <c r="CI199" s="48" t="s">
        <v>1987</v>
      </c>
      <c r="CJ199" s="48" t="s">
        <v>1990</v>
      </c>
      <c r="CK199" s="48" t="s">
        <v>1991</v>
      </c>
      <c r="CL199" s="48" t="s">
        <v>1990</v>
      </c>
      <c r="CM199" s="48" t="s">
        <v>1990</v>
      </c>
      <c r="CN199" s="48" t="s">
        <v>2010</v>
      </c>
      <c r="CO199" s="10" t="str">
        <f t="shared" ref="CO199:CO203" si="53">+CONCATENATE(CI199,".",CJ199,".",CK199,".",CL199,".",CM199,".",CN199)</f>
        <v>2.1.3.1.1.13</v>
      </c>
      <c r="CP199" s="10" t="str">
        <f>+VLOOKUP(Tabla1[[#This Row],[ESPECÍFICA]],CLASIFICADOR_,2,0)</f>
        <v>2.1.3.1.1.13 - CONTRIBUCIONES A ESSALUD DEL PERSONAL ADMINISTRATIVO</v>
      </c>
      <c r="CQ199" s="10" t="str">
        <f>+VLOOKUP(Tabla1[[#This Row],[ESPECÍFICA]],CLASIFICADOR_,3,0)</f>
        <v>02.SERVIR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2.1.PERSONAL Y OBLIGACIONES SOCIALES</v>
      </c>
      <c r="CX199" s="10" t="str">
        <f t="shared" si="42"/>
        <v>0010-OA</v>
      </c>
      <c r="CY199" s="5" t="str">
        <f t="shared" si="43"/>
        <v>0010-OA</v>
      </c>
      <c r="CZ199" t="str">
        <f t="shared" si="44"/>
        <v>0010-OA</v>
      </c>
      <c r="DA199" s="113" t="str">
        <f>+CONCATENATE(Tabla1[[#This Row],[CC COMPLETO]],Tabla1[[#This Row],[ESPECÍFICA]])</f>
        <v>0010-OA2.1.3.1.1.13</v>
      </c>
      <c r="DB199" s="11">
        <f t="shared" si="45"/>
        <v>15159.2</v>
      </c>
      <c r="DC199" s="11">
        <f t="shared" si="46"/>
        <v>14344.470000000001</v>
      </c>
      <c r="DD199" s="11">
        <f t="shared" si="47"/>
        <v>14344.470000000001</v>
      </c>
      <c r="DE199" s="11">
        <f t="shared" si="48"/>
        <v>0</v>
      </c>
      <c r="DF199" s="11">
        <f t="shared" si="49"/>
        <v>0</v>
      </c>
      <c r="DG199" s="11">
        <f t="shared" si="50"/>
        <v>2060.5299999999988</v>
      </c>
      <c r="DH199" s="11">
        <f t="shared" si="51"/>
        <v>2060.5299999999988</v>
      </c>
      <c r="DI199" s="12">
        <f t="shared" si="52"/>
        <v>0</v>
      </c>
      <c r="DJ199" s="77">
        <f>+SUM(Tabla1[[#This Row],[EJECUTADO 01]:[EJECUTADO 06]])</f>
        <v>8362.26</v>
      </c>
      <c r="DK199" s="78">
        <f>+Tabla1[[#This Row],[mto_devenga_01]]</f>
        <v>1357.88</v>
      </c>
      <c r="DL199" s="78">
        <f>+Tabla1[[#This Row],[mto_devenga_02]]</f>
        <v>1357.88</v>
      </c>
      <c r="DM199" s="78">
        <f>+Tabla1[[#This Row],[mto_devenga_03]]</f>
        <v>1041.03</v>
      </c>
      <c r="DN199" s="78">
        <f>+Tabla1[[#This Row],[mto_devenga_04]]</f>
        <v>1889.71</v>
      </c>
      <c r="DO199" s="78">
        <f>+Tabla1[[#This Row],[mto_devenga_05]]</f>
        <v>1357.88</v>
      </c>
      <c r="DP199" s="76">
        <f>+Tabla1[[#This Row],[mto_devenga_06]]</f>
        <v>1357.88</v>
      </c>
      <c r="DQ199" s="76">
        <f>+Tabla1[[#This Row],[mto_devenga_07]]</f>
        <v>1357.88</v>
      </c>
      <c r="DR199" s="76">
        <f>+Tabla1[[#This Row],[mto_devenga_08]]</f>
        <v>2172.61</v>
      </c>
      <c r="DS199" s="76">
        <f>+Tabla1[[#This Row],[mto_devenga_09]]</f>
        <v>1093.8399999999999</v>
      </c>
      <c r="DT199" s="76">
        <f>IFERROR(VLOOKUP(Tabla1[[#This Row],[COD SE]],PF_OCTUBRE,14,0),"0")</f>
        <v>1357.88</v>
      </c>
      <c r="DU199" s="76">
        <f>IFERROR(VLOOKUP(Tabla1[[#This Row],[COD SE]],PF_OCTUBRE,15,0),"0")</f>
        <v>1357.88</v>
      </c>
      <c r="DV199" s="76">
        <f>IFERROR(VLOOKUP(Tabla1[[#This Row],[COD SE]],PF_OCTUBRE,16,0),"0")</f>
        <v>1253.3399999999999</v>
      </c>
      <c r="DW199" s="76">
        <f>+SUM(Tabla1[[#This Row],[EJECUTADO 01]:[PF DICIEMBRE
]])</f>
        <v>16955.690000000002</v>
      </c>
      <c r="DX199" s="76">
        <f>IFERROR(VLOOKUP(Tabla1[[#This Row],[COD SE]],PF_OCTUBRE,18,0),"0")</f>
        <v>0</v>
      </c>
      <c r="DY199" s="76">
        <f>IFERROR(VLOOKUP(Tabla1[[#This Row],[COD SE]],PF_OCTUBRE,19,0),"0")</f>
        <v>-550.68999999999994</v>
      </c>
      <c r="DZ199" s="76">
        <f>IFERROR(VLOOKUP(Tabla1[[#This Row],[COD SE]],PF_OCTUBRE,20,0),"0")</f>
        <v>-550.68999999999994</v>
      </c>
      <c r="EA199" s="76">
        <f>+Tabla1[[#This Row],[TOTAL EJEC REAL]]+Tabla1[[#This Row],[SALDO FINAL]]</f>
        <v>16405.000000000004</v>
      </c>
      <c r="EB199" s="76">
        <f>IFERROR(VLOOKUP(Tabla1[[#This Row],[COD SE]],PF_OCTUBRE,22,0),"0")</f>
        <v>702.65</v>
      </c>
      <c r="EC199" s="76">
        <f>+IFERROR(VLOOKUP(Tabla1[[#This Row],[COD SE]],SALDO_ESC_2,7,0),0)</f>
        <v>0</v>
      </c>
      <c r="ED199" s="76">
        <f>+IFERROR(VLOOKUP(Tabla1[[#This Row],[COD SE]],SALDO_ESC_3,7,0),0)</f>
        <v>-550.68999999999994</v>
      </c>
      <c r="EE199" s="76">
        <f>+Tabla1[[#This Row],[mto_pim]]-Tabla1[[#This Row],[TRANSF ESC2 ]]</f>
        <v>16405</v>
      </c>
      <c r="EF199" s="76">
        <f>+Tabla1[[#This Row],[mto_pim]]-Tabla1[[#This Row],[TRANFS ESC 3 ]]</f>
        <v>16955.689999999999</v>
      </c>
      <c r="EG199" s="76">
        <f>+IFERROR(VLOOKUP(Tabla1[[#This Row],[COD SE]],HISTORICO,4,0),0)</f>
        <v>1367.07</v>
      </c>
      <c r="EH199" s="76">
        <f>+IFERROR(VLOOKUP(Tabla1[[#This Row],[COD SE]],HISTORICO,5,0),0)</f>
        <v>1367.07</v>
      </c>
      <c r="EI199" s="76">
        <f>+IFERROR(VLOOKUP(Tabla1[[#This Row],[COD SE]],HISTORICO,6,0),0)</f>
        <v>1367.07</v>
      </c>
      <c r="EJ199" s="76">
        <f>+IFERROR(VLOOKUP(Tabla1[[#This Row],[COD SE]],HISTORICO,7,0),0)</f>
        <v>1367.07</v>
      </c>
      <c r="EK199" s="76">
        <f>+IFERROR(VLOOKUP(Tabla1[[#This Row],[COD SE]],HISTORICO,8,0),0)</f>
        <v>1357.88</v>
      </c>
      <c r="EL199" s="76">
        <f>+IFERROR(VLOOKUP(Tabla1[[#This Row],[COD SE]],HISTORICO,9,0),0)</f>
        <v>1357.88</v>
      </c>
      <c r="EM199" s="76">
        <f>+IFERROR(VLOOKUP(Tabla1[[#This Row],[COD SE]],HISTORICO,10,0),0)</f>
        <v>1357.88</v>
      </c>
      <c r="EN199" s="76">
        <f>+IFERROR(VLOOKUP(Tabla1[[#This Row],[COD SE]],HISTORICO,11,0),0)</f>
        <v>1357.88</v>
      </c>
      <c r="EO199" s="76">
        <f>+IFERROR(VLOOKUP(Tabla1[[#This Row],[COD SE]],HISTORICO,12,0),0)</f>
        <v>1357.88</v>
      </c>
      <c r="EP199" s="58">
        <f>+SUM(Tabla1[[#This Row],[EJECUTADO 01]:[EJECUTADO 03]])</f>
        <v>3756.79</v>
      </c>
      <c r="EQ199" s="58">
        <f>+SUM(Tabla1[[#This Row],[EJECUTADO 04]:[EJECUTADO 06]])</f>
        <v>4605.47</v>
      </c>
      <c r="ER199" s="58">
        <f>+SUM(Tabla1[[#This Row],[EJECUTADO 07]:[EJECUTADO 09]])</f>
        <v>4624.33</v>
      </c>
      <c r="ES199" s="58">
        <f>+SUM(Tabla1[[#This Row],[PF OCTUBRE]:[PF DICIEMBRE
]])</f>
        <v>3969.1000000000004</v>
      </c>
      <c r="ET199" s="58">
        <f>+SUM(Tabla1[[#This Row],[EJECUTADO 01]:[EJECUTADO 09]])</f>
        <v>12986.59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2004</v>
      </c>
      <c r="AB200" s="369" t="s">
        <v>1986</v>
      </c>
      <c r="AC200" s="369" t="s">
        <v>1672</v>
      </c>
      <c r="AD200" s="369" t="s">
        <v>1673</v>
      </c>
      <c r="AE200" s="369" t="s">
        <v>1678</v>
      </c>
      <c r="AF200" s="369" t="s">
        <v>1810</v>
      </c>
      <c r="AG200" s="369" t="s">
        <v>1812</v>
      </c>
      <c r="AH200" s="369">
        <v>0</v>
      </c>
      <c r="AI200" s="369">
        <v>2664</v>
      </c>
      <c r="AJ200" s="369">
        <v>2664</v>
      </c>
      <c r="AK200" s="370">
        <v>2664</v>
      </c>
      <c r="AL200" s="370">
        <v>2664</v>
      </c>
      <c r="AM200" s="370">
        <v>0</v>
      </c>
      <c r="AN200" s="370">
        <v>0</v>
      </c>
      <c r="AO200" s="370">
        <v>0</v>
      </c>
      <c r="AP200" s="370">
        <v>0</v>
      </c>
      <c r="AQ200" s="370">
        <v>0</v>
      </c>
      <c r="AR200" s="370">
        <v>0</v>
      </c>
      <c r="AS200" s="370">
        <v>0</v>
      </c>
      <c r="AT200" s="370">
        <v>2664</v>
      </c>
      <c r="AU200" s="370">
        <v>0</v>
      </c>
      <c r="AV200" s="370">
        <v>0</v>
      </c>
      <c r="AW200" s="370">
        <v>0</v>
      </c>
      <c r="AX200" s="370">
        <v>0</v>
      </c>
      <c r="AY200" s="370">
        <v>0</v>
      </c>
      <c r="AZ200" s="370">
        <v>0</v>
      </c>
      <c r="BA200" s="370">
        <v>0</v>
      </c>
      <c r="BB200" s="370">
        <v>0</v>
      </c>
      <c r="BC200" s="370">
        <v>0</v>
      </c>
      <c r="BD200" s="370">
        <v>0</v>
      </c>
      <c r="BE200" s="370">
        <v>0</v>
      </c>
      <c r="BF200" s="370">
        <v>0</v>
      </c>
      <c r="BG200" s="370">
        <v>0</v>
      </c>
      <c r="BH200" s="370">
        <v>2664</v>
      </c>
      <c r="BI200" s="370">
        <v>0</v>
      </c>
      <c r="BJ200" s="370">
        <v>0</v>
      </c>
      <c r="BK200" s="370">
        <v>0</v>
      </c>
      <c r="BL200" s="370">
        <v>0</v>
      </c>
      <c r="BM200" s="370">
        <v>0</v>
      </c>
      <c r="BN200" s="370">
        <v>0</v>
      </c>
      <c r="BO200" s="370">
        <v>0</v>
      </c>
      <c r="BP200" s="370">
        <v>0</v>
      </c>
      <c r="BQ200" s="370">
        <v>0</v>
      </c>
      <c r="BR200" s="370">
        <v>0</v>
      </c>
      <c r="BS200" s="370">
        <v>0</v>
      </c>
      <c r="BT200" s="370">
        <v>2664</v>
      </c>
      <c r="BU200" s="370">
        <v>0</v>
      </c>
      <c r="BV200" s="370">
        <v>0</v>
      </c>
      <c r="BW200" s="370">
        <v>0</v>
      </c>
      <c r="BX200" s="370">
        <v>0</v>
      </c>
      <c r="BY200" s="370">
        <v>0</v>
      </c>
      <c r="BZ200" s="370">
        <v>0</v>
      </c>
      <c r="CA200" s="370">
        <v>0</v>
      </c>
      <c r="CB200" s="370">
        <v>0</v>
      </c>
      <c r="CC200" s="370">
        <v>0</v>
      </c>
      <c r="CD200" s="370">
        <v>2664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1991</v>
      </c>
      <c r="CK200" s="48" t="s">
        <v>1987</v>
      </c>
      <c r="CL200" s="48" t="s">
        <v>1989</v>
      </c>
      <c r="CM200" s="48" t="s">
        <v>2011</v>
      </c>
      <c r="CN200" s="48" t="s">
        <v>1992</v>
      </c>
      <c r="CO200" s="10" t="str">
        <f t="shared" si="53"/>
        <v>2.3.2.7.5.8</v>
      </c>
      <c r="CP200" s="10" t="str">
        <f>+VLOOKUP(Tabla1[[#This Row],[ESPECÍFICA]],CLASIFICADOR_,2,0)</f>
        <v>2.3.2.7.5.8 - CONTRIBUCIONES A LOS SEGUROS DE SALUD</v>
      </c>
      <c r="CQ200" s="10" t="str">
        <f>+VLOOKUP(Tabla1[[#This Row],[ESPECÍFICA]],CLASIFICADOR_,3,0)</f>
        <v>2.3.2.7 - SERVICIOS PROFESIONALES Y TECNICOS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2.3.BIENES Y SERVICIOS</v>
      </c>
      <c r="CX200" s="10" t="str">
        <f t="shared" si="42"/>
        <v>0010-OA</v>
      </c>
      <c r="CY200" s="5" t="str">
        <f t="shared" si="43"/>
        <v>0010-OA</v>
      </c>
      <c r="CZ200" t="str">
        <f t="shared" si="44"/>
        <v>0010-OA</v>
      </c>
      <c r="DA200" s="113" t="str">
        <f>+CONCATENATE(Tabla1[[#This Row],[CC COMPLETO]],Tabla1[[#This Row],[ESPECÍFICA]])</f>
        <v>0010-OA2.3.2.7.5.8</v>
      </c>
      <c r="DB200" s="11">
        <f t="shared" si="45"/>
        <v>2664</v>
      </c>
      <c r="DC200" s="11">
        <f t="shared" si="46"/>
        <v>2664</v>
      </c>
      <c r="DD200" s="11">
        <f t="shared" si="47"/>
        <v>2664</v>
      </c>
      <c r="DE200" s="11">
        <f t="shared" si="48"/>
        <v>0</v>
      </c>
      <c r="DF200" s="11">
        <f t="shared" si="49"/>
        <v>0</v>
      </c>
      <c r="DG200" s="11">
        <f t="shared" si="50"/>
        <v>0</v>
      </c>
      <c r="DH200" s="11">
        <f t="shared" si="51"/>
        <v>0</v>
      </c>
      <c r="DI200" s="12">
        <f t="shared" si="52"/>
        <v>0</v>
      </c>
      <c r="DJ200" s="77">
        <f>+SUM(Tabla1[[#This Row],[EJECUTADO 01]:[EJECUTADO 06]])</f>
        <v>0</v>
      </c>
      <c r="DK200" s="78">
        <f>+Tabla1[[#This Row],[mto_devenga_01]]</f>
        <v>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0</v>
      </c>
      <c r="DP200" s="76">
        <f>+Tabla1[[#This Row],[mto_devenga_06]]</f>
        <v>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0</v>
      </c>
      <c r="DT200" s="76">
        <f>IFERROR(VLOOKUP(Tabla1[[#This Row],[COD SE]],PF_OCTUBRE,14,0),"0")</f>
        <v>0</v>
      </c>
      <c r="DU200" s="76">
        <f>IFERROR(VLOOKUP(Tabla1[[#This Row],[COD SE]],PF_OCTUBRE,15,0),"0")</f>
        <v>2664</v>
      </c>
      <c r="DV200" s="76">
        <f>IFERROR(VLOOKUP(Tabla1[[#This Row],[COD SE]],PF_OCTUBRE,16,0),"0")</f>
        <v>0</v>
      </c>
      <c r="DW200" s="76">
        <f>+SUM(Tabla1[[#This Row],[EJECUTADO 01]:[PF DICIEMBRE
]])</f>
        <v>2664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2664</v>
      </c>
      <c r="EB200" s="76">
        <f>IFERROR(VLOOKUP(Tabla1[[#This Row],[COD SE]],PF_OCTUBRE,22,0),"0")</f>
        <v>0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2664</v>
      </c>
      <c r="EF200" s="76">
        <f>+Tabla1[[#This Row],[mto_pim]]-Tabla1[[#This Row],[TRANFS ESC 3 ]]</f>
        <v>2664</v>
      </c>
      <c r="EG200" s="76">
        <f>+IFERROR(VLOOKUP(Tabla1[[#This Row],[COD SE]],HISTORICO,4,0),0)</f>
        <v>0</v>
      </c>
      <c r="EH200" s="76">
        <f>+IFERROR(VLOOKUP(Tabla1[[#This Row],[COD SE]],HISTORICO,5,0),0)</f>
        <v>0</v>
      </c>
      <c r="EI200" s="76">
        <f>+IFERROR(VLOOKUP(Tabla1[[#This Row],[COD SE]],HISTORICO,6,0),0)</f>
        <v>0</v>
      </c>
      <c r="EJ200" s="76">
        <f>+IFERROR(VLOOKUP(Tabla1[[#This Row],[COD SE]],HISTORICO,7,0),0)</f>
        <v>0</v>
      </c>
      <c r="EK200" s="76">
        <f>+IFERROR(VLOOKUP(Tabla1[[#This Row],[COD SE]],HISTORICO,8,0),0)</f>
        <v>0</v>
      </c>
      <c r="EL200" s="76">
        <f>+IFERROR(VLOOKUP(Tabla1[[#This Row],[COD SE]],HISTORICO,9,0),0)</f>
        <v>0</v>
      </c>
      <c r="EM200" s="76">
        <f>+IFERROR(VLOOKUP(Tabla1[[#This Row],[COD SE]],HISTORICO,10,0),0)</f>
        <v>0</v>
      </c>
      <c r="EN200" s="76">
        <f>+IFERROR(VLOOKUP(Tabla1[[#This Row],[COD SE]],HISTORICO,11,0),0)</f>
        <v>2664</v>
      </c>
      <c r="EO200" s="76">
        <f>+IFERROR(VLOOKUP(Tabla1[[#This Row],[COD SE]],HISTORICO,12,0),0)</f>
        <v>0</v>
      </c>
      <c r="EP200" s="58">
        <f>+SUM(Tabla1[[#This Row],[EJECUTADO 01]:[EJECUTADO 03]])</f>
        <v>0</v>
      </c>
      <c r="EQ200" s="58">
        <f>+SUM(Tabla1[[#This Row],[EJECUTADO 04]:[EJECUTADO 06]])</f>
        <v>0</v>
      </c>
      <c r="ER200" s="58">
        <f>+SUM(Tabla1[[#This Row],[EJECUTADO 07]:[EJECUTADO 09]])</f>
        <v>0</v>
      </c>
      <c r="ES200" s="58">
        <f>+SUM(Tabla1[[#This Row],[PF OCTUBRE]:[PF DICIEMBRE
]])</f>
        <v>2664</v>
      </c>
      <c r="ET200" s="58">
        <f>+SUM(Tabla1[[#This Row],[EJECUTADO 01]:[EJECUTADO 09]])</f>
        <v>0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1672</v>
      </c>
      <c r="AD201" s="369" t="s">
        <v>1673</v>
      </c>
      <c r="AE201" s="369" t="s">
        <v>1678</v>
      </c>
      <c r="AF201" s="369" t="s">
        <v>1699</v>
      </c>
      <c r="AG201" s="369" t="s">
        <v>1700</v>
      </c>
      <c r="AH201" s="369">
        <v>60000</v>
      </c>
      <c r="AI201" s="369">
        <v>8740</v>
      </c>
      <c r="AJ201" s="369">
        <v>68740</v>
      </c>
      <c r="AK201" s="370">
        <v>68738.2</v>
      </c>
      <c r="AL201" s="370">
        <v>68738.2</v>
      </c>
      <c r="AM201" s="370">
        <v>0</v>
      </c>
      <c r="AN201" s="370">
        <v>0</v>
      </c>
      <c r="AO201" s="370">
        <v>0</v>
      </c>
      <c r="AP201" s="370">
        <v>14000</v>
      </c>
      <c r="AQ201" s="370">
        <v>0</v>
      </c>
      <c r="AR201" s="370">
        <v>21238.2</v>
      </c>
      <c r="AS201" s="370">
        <v>0</v>
      </c>
      <c r="AT201" s="370">
        <v>0</v>
      </c>
      <c r="AU201" s="370">
        <v>0</v>
      </c>
      <c r="AV201" s="370">
        <v>33500</v>
      </c>
      <c r="AW201" s="370">
        <v>0</v>
      </c>
      <c r="AX201" s="370">
        <v>0</v>
      </c>
      <c r="AY201" s="370">
        <v>0</v>
      </c>
      <c r="AZ201" s="370">
        <v>0</v>
      </c>
      <c r="BA201" s="370">
        <v>0</v>
      </c>
      <c r="BB201" s="370">
        <v>0</v>
      </c>
      <c r="BC201" s="370">
        <v>7000</v>
      </c>
      <c r="BD201" s="370">
        <v>7000</v>
      </c>
      <c r="BE201" s="370">
        <v>0</v>
      </c>
      <c r="BF201" s="370">
        <v>0</v>
      </c>
      <c r="BG201" s="370">
        <v>21238.2</v>
      </c>
      <c r="BH201" s="370">
        <v>0</v>
      </c>
      <c r="BI201" s="370">
        <v>0</v>
      </c>
      <c r="BJ201" s="370">
        <v>0</v>
      </c>
      <c r="BK201" s="370">
        <v>0</v>
      </c>
      <c r="BL201" s="370">
        <v>0</v>
      </c>
      <c r="BM201" s="370">
        <v>0</v>
      </c>
      <c r="BN201" s="370">
        <v>0</v>
      </c>
      <c r="BO201" s="370">
        <v>7000</v>
      </c>
      <c r="BP201" s="370">
        <v>7000</v>
      </c>
      <c r="BQ201" s="370">
        <v>0</v>
      </c>
      <c r="BR201" s="370">
        <v>0</v>
      </c>
      <c r="BS201" s="370">
        <v>21238.2</v>
      </c>
      <c r="BT201" s="370">
        <v>0</v>
      </c>
      <c r="BU201" s="370">
        <v>0</v>
      </c>
      <c r="BV201" s="370">
        <v>0</v>
      </c>
      <c r="BW201" s="370">
        <v>0</v>
      </c>
      <c r="BX201" s="370">
        <v>0</v>
      </c>
      <c r="BY201" s="370">
        <v>0</v>
      </c>
      <c r="BZ201" s="370">
        <v>14000</v>
      </c>
      <c r="CA201" s="370">
        <v>0</v>
      </c>
      <c r="CB201" s="370">
        <v>21238.2</v>
      </c>
      <c r="CC201" s="370">
        <v>0</v>
      </c>
      <c r="CD201" s="370">
        <v>0</v>
      </c>
      <c r="CE201" s="370">
        <v>0</v>
      </c>
      <c r="CF201" s="370">
        <v>0</v>
      </c>
      <c r="CG201" s="370">
        <v>0</v>
      </c>
      <c r="CH201" s="370">
        <v>0</v>
      </c>
      <c r="CI201" s="48" t="s">
        <v>1987</v>
      </c>
      <c r="CJ201" s="48" t="s">
        <v>1991</v>
      </c>
      <c r="CK201" s="48" t="s">
        <v>1987</v>
      </c>
      <c r="CL201" s="48" t="s">
        <v>1989</v>
      </c>
      <c r="CM201" s="48" t="s">
        <v>2020</v>
      </c>
      <c r="CN201" s="48" t="s">
        <v>2012</v>
      </c>
      <c r="CO201" s="10" t="str">
        <f t="shared" si="53"/>
        <v>2.3.2.7.14.98</v>
      </c>
      <c r="CP201" s="10" t="str">
        <f>+VLOOKUP(Tabla1[[#This Row],[ESPECÍFICA]],CLASIFICADOR_,2,0)</f>
        <v>2.3.2.7.14.98 - OTROS SERVICIOS TÉCNICOS Y PROFESIONALES DESARROLLADOS POR PERSONAS NATURALES</v>
      </c>
      <c r="CQ201" s="10" t="str">
        <f>+VLOOKUP(Tabla1[[#This Row],[ESPECÍFICA]],CLASIFICADOR_,3,0)</f>
        <v>2.3.2.7 - SERVICIOS PROFESIONALES Y TECNICOS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N/R</v>
      </c>
      <c r="CU201" s="10" t="str">
        <f>+VLOOKUP(Tabla1[[#This Row],[ESPECÍFICA]],CLASIFICADOR_,7,0)</f>
        <v>N/R</v>
      </c>
      <c r="CV201" s="10">
        <f>+VLOOKUP(Tabla1[[#This Row],[ESPECÍFICA]],CLASIFICADOR_,8,0)</f>
        <v>0</v>
      </c>
      <c r="CW201" s="113" t="str">
        <f>+CONCATENATE("2.",Tabla1[[#This Row],[generica]])</f>
        <v>2.3.BIENES Y SERVICIOS</v>
      </c>
      <c r="CX201" s="5" t="str">
        <f t="shared" si="42"/>
        <v>0010-OA</v>
      </c>
      <c r="CY201" s="5" t="str">
        <f t="shared" si="43"/>
        <v>0010-OA</v>
      </c>
      <c r="CZ201" t="str">
        <f t="shared" si="44"/>
        <v>0010-OA</v>
      </c>
      <c r="DA201" s="113" t="str">
        <f>+CONCATENATE(Tabla1[[#This Row],[CC COMPLETO]],Tabla1[[#This Row],[ESPECÍFICA]])</f>
        <v>0010-OA2.3.2.7.14.98</v>
      </c>
      <c r="DB201" s="11">
        <f t="shared" si="45"/>
        <v>68738.2</v>
      </c>
      <c r="DC201" s="11">
        <f t="shared" si="46"/>
        <v>35238.199999999997</v>
      </c>
      <c r="DD201" s="11">
        <f t="shared" si="47"/>
        <v>35238.199999999997</v>
      </c>
      <c r="DE201" s="11">
        <f t="shared" si="48"/>
        <v>1.8000000000029104</v>
      </c>
      <c r="DF201" s="11">
        <f t="shared" si="49"/>
        <v>0</v>
      </c>
      <c r="DG201" s="11">
        <f t="shared" si="50"/>
        <v>33500</v>
      </c>
      <c r="DH201" s="11">
        <f t="shared" si="51"/>
        <v>33501.800000000003</v>
      </c>
      <c r="DI201" s="12">
        <f t="shared" si="52"/>
        <v>0.58730333333333329</v>
      </c>
      <c r="DJ201" s="77">
        <f>+SUM(Tabla1[[#This Row],[EJECUTADO 01]:[EJECUTADO 06]])</f>
        <v>14000</v>
      </c>
      <c r="DK201" s="78">
        <f>+Tabla1[[#This Row],[mto_devenga_01]]</f>
        <v>0</v>
      </c>
      <c r="DL201" s="78">
        <f>+Tabla1[[#This Row],[mto_devenga_02]]</f>
        <v>0</v>
      </c>
      <c r="DM201" s="78">
        <f>+Tabla1[[#This Row],[mto_devenga_03]]</f>
        <v>0</v>
      </c>
      <c r="DN201" s="78">
        <f>+Tabla1[[#This Row],[mto_devenga_04]]</f>
        <v>0</v>
      </c>
      <c r="DO201" s="78">
        <f>+Tabla1[[#This Row],[mto_devenga_05]]</f>
        <v>7000</v>
      </c>
      <c r="DP201" s="76">
        <f>+Tabla1[[#This Row],[mto_devenga_06]]</f>
        <v>7000</v>
      </c>
      <c r="DQ201" s="76">
        <f>+Tabla1[[#This Row],[mto_devenga_07]]</f>
        <v>0</v>
      </c>
      <c r="DR201" s="76">
        <f>+Tabla1[[#This Row],[mto_devenga_08]]</f>
        <v>0</v>
      </c>
      <c r="DS201" s="76">
        <f>+Tabla1[[#This Row],[mto_devenga_09]]</f>
        <v>21238.2</v>
      </c>
      <c r="DT201" s="76">
        <f>IFERROR(VLOOKUP(Tabla1[[#This Row],[COD SE]],PF_OCTUBRE,14,0),"0")</f>
        <v>0</v>
      </c>
      <c r="DU201" s="76">
        <f>IFERROR(VLOOKUP(Tabla1[[#This Row],[COD SE]],PF_OCTUBRE,15,0),"0")</f>
        <v>0</v>
      </c>
      <c r="DV201" s="76">
        <f>IFERROR(VLOOKUP(Tabla1[[#This Row],[COD SE]],PF_OCTUBRE,16,0),"0")</f>
        <v>25501.8</v>
      </c>
      <c r="DW201" s="76">
        <f>+SUM(Tabla1[[#This Row],[EJECUTADO 01]:[PF DICIEMBRE
]])</f>
        <v>60740</v>
      </c>
      <c r="DX201" s="76">
        <f>IFERROR(VLOOKUP(Tabla1[[#This Row],[COD SE]],PF_OCTUBRE,18,0),"0")</f>
        <v>0</v>
      </c>
      <c r="DY201" s="76">
        <f>IFERROR(VLOOKUP(Tabla1[[#This Row],[COD SE]],PF_OCTUBRE,19,0),"0")</f>
        <v>0</v>
      </c>
      <c r="DZ201" s="76">
        <f>IFERROR(VLOOKUP(Tabla1[[#This Row],[COD SE]],PF_OCTUBRE,20,0),"0")</f>
        <v>0</v>
      </c>
      <c r="EA201" s="76">
        <f>+Tabla1[[#This Row],[TOTAL EJEC REAL]]+Tabla1[[#This Row],[SALDO FINAL]]</f>
        <v>60740</v>
      </c>
      <c r="EB201" s="76">
        <f>IFERROR(VLOOKUP(Tabla1[[#This Row],[COD SE]],PF_OCTUBRE,22,0),"0")</f>
        <v>25501.8</v>
      </c>
      <c r="EC201" s="76">
        <f>+IFERROR(VLOOKUP(Tabla1[[#This Row],[COD SE]],SALDO_ESC_2,7,0),0)</f>
        <v>0</v>
      </c>
      <c r="ED201" s="76">
        <f>+IFERROR(VLOOKUP(Tabla1[[#This Row],[COD SE]],SALDO_ESC_3,7,0),0)</f>
        <v>0</v>
      </c>
      <c r="EE201" s="76">
        <f>+Tabla1[[#This Row],[mto_pim]]-Tabla1[[#This Row],[TRANSF ESC2 ]]</f>
        <v>68740</v>
      </c>
      <c r="EF201" s="76">
        <f>+Tabla1[[#This Row],[mto_pim]]-Tabla1[[#This Row],[TRANFS ESC 3 ]]</f>
        <v>68740</v>
      </c>
      <c r="EG201" s="76">
        <f>+IFERROR(VLOOKUP(Tabla1[[#This Row],[COD SE]],HISTORICO,4,0),0)</f>
        <v>0</v>
      </c>
      <c r="EH201" s="76">
        <f>+IFERROR(VLOOKUP(Tabla1[[#This Row],[COD SE]],HISTORICO,5,0),0)</f>
        <v>0</v>
      </c>
      <c r="EI201" s="76">
        <f>+IFERROR(VLOOKUP(Tabla1[[#This Row],[COD SE]],HISTORICO,6,0),0)</f>
        <v>0</v>
      </c>
      <c r="EJ201" s="76">
        <f>+IFERROR(VLOOKUP(Tabla1[[#This Row],[COD SE]],HISTORICO,7,0),0)</f>
        <v>0</v>
      </c>
      <c r="EK201" s="76">
        <f>+IFERROR(VLOOKUP(Tabla1[[#This Row],[COD SE]],HISTORICO,8,0),0)</f>
        <v>14000</v>
      </c>
      <c r="EL201" s="76">
        <f>+IFERROR(VLOOKUP(Tabla1[[#This Row],[COD SE]],HISTORICO,9,0),0)</f>
        <v>7000</v>
      </c>
      <c r="EM201" s="76">
        <f>+IFERROR(VLOOKUP(Tabla1[[#This Row],[COD SE]],HISTORICO,10,0),0)</f>
        <v>0</v>
      </c>
      <c r="EN201" s="76">
        <f>+IFERROR(VLOOKUP(Tabla1[[#This Row],[COD SE]],HISTORICO,11,0),0)</f>
        <v>0</v>
      </c>
      <c r="EO201" s="76">
        <f>+IFERROR(VLOOKUP(Tabla1[[#This Row],[COD SE]],HISTORICO,12,0),0)</f>
        <v>0</v>
      </c>
      <c r="EP201" s="58">
        <f>+SUM(Tabla1[[#This Row],[EJECUTADO 01]:[EJECUTADO 03]])</f>
        <v>0</v>
      </c>
      <c r="EQ201" s="58">
        <f>+SUM(Tabla1[[#This Row],[EJECUTADO 04]:[EJECUTADO 06]])</f>
        <v>14000</v>
      </c>
      <c r="ER201" s="58">
        <f>+SUM(Tabla1[[#This Row],[EJECUTADO 07]:[EJECUTADO 09]])</f>
        <v>21238.2</v>
      </c>
      <c r="ES201" s="58">
        <f>+SUM(Tabla1[[#This Row],[PF OCTUBRE]:[PF DICIEMBRE
]])</f>
        <v>25501.8</v>
      </c>
      <c r="ET201" s="58">
        <f>+SUM(Tabla1[[#This Row],[EJECUTADO 01]:[EJECUTADO 09]])</f>
        <v>35238.199999999997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1656</v>
      </c>
      <c r="AD202" s="369" t="s">
        <v>2006</v>
      </c>
      <c r="AE202" s="369" t="s">
        <v>2007</v>
      </c>
      <c r="AF202" s="369" t="s">
        <v>2007</v>
      </c>
      <c r="AG202" s="369" t="s">
        <v>2008</v>
      </c>
      <c r="AH202" s="369">
        <v>0</v>
      </c>
      <c r="AI202" s="369">
        <v>12029</v>
      </c>
      <c r="AJ202" s="369">
        <v>12029</v>
      </c>
      <c r="AK202" s="370">
        <v>12029</v>
      </c>
      <c r="AL202" s="370">
        <v>12029</v>
      </c>
      <c r="AM202" s="370">
        <v>0</v>
      </c>
      <c r="AN202" s="370">
        <v>0</v>
      </c>
      <c r="AO202" s="370">
        <v>0</v>
      </c>
      <c r="AP202" s="370">
        <v>5909.27</v>
      </c>
      <c r="AQ202" s="370">
        <v>0</v>
      </c>
      <c r="AR202" s="370">
        <v>0</v>
      </c>
      <c r="AS202" s="370">
        <v>0</v>
      </c>
      <c r="AT202" s="370">
        <v>0</v>
      </c>
      <c r="AU202" s="370">
        <v>6118.82</v>
      </c>
      <c r="AV202" s="370">
        <v>0</v>
      </c>
      <c r="AW202" s="370">
        <v>0</v>
      </c>
      <c r="AX202" s="370">
        <v>0</v>
      </c>
      <c r="AY202" s="370">
        <v>0</v>
      </c>
      <c r="AZ202" s="370">
        <v>0</v>
      </c>
      <c r="BA202" s="370">
        <v>0</v>
      </c>
      <c r="BB202" s="370">
        <v>5909.27</v>
      </c>
      <c r="BC202" s="370">
        <v>0</v>
      </c>
      <c r="BD202" s="370">
        <v>0</v>
      </c>
      <c r="BE202" s="370">
        <v>0</v>
      </c>
      <c r="BF202" s="370">
        <v>0</v>
      </c>
      <c r="BG202" s="370">
        <v>6118.82</v>
      </c>
      <c r="BH202" s="370">
        <v>0</v>
      </c>
      <c r="BI202" s="370">
        <v>0</v>
      </c>
      <c r="BJ202" s="370">
        <v>0</v>
      </c>
      <c r="BK202" s="370">
        <v>0</v>
      </c>
      <c r="BL202" s="370">
        <v>0</v>
      </c>
      <c r="BM202" s="370">
        <v>0</v>
      </c>
      <c r="BN202" s="370">
        <v>5909.27</v>
      </c>
      <c r="BO202" s="370">
        <v>0</v>
      </c>
      <c r="BP202" s="370">
        <v>0</v>
      </c>
      <c r="BQ202" s="370">
        <v>0</v>
      </c>
      <c r="BR202" s="370">
        <v>0</v>
      </c>
      <c r="BS202" s="370">
        <v>6118.82</v>
      </c>
      <c r="BT202" s="370">
        <v>0</v>
      </c>
      <c r="BU202" s="370">
        <v>0</v>
      </c>
      <c r="BV202" s="370">
        <v>0</v>
      </c>
      <c r="BW202" s="370">
        <v>0</v>
      </c>
      <c r="BX202" s="370">
        <v>0</v>
      </c>
      <c r="BY202" s="370">
        <v>0</v>
      </c>
      <c r="BZ202" s="370">
        <v>5909.27</v>
      </c>
      <c r="CA202" s="370">
        <v>0</v>
      </c>
      <c r="CB202" s="370">
        <v>0</v>
      </c>
      <c r="CC202" s="370">
        <v>0</v>
      </c>
      <c r="CD202" s="370">
        <v>0</v>
      </c>
      <c r="CE202" s="370">
        <v>6118.82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1990</v>
      </c>
      <c r="CK202" s="48" t="s">
        <v>1993</v>
      </c>
      <c r="CL202" s="48" t="s">
        <v>1990</v>
      </c>
      <c r="CM202" s="48" t="s">
        <v>1990</v>
      </c>
      <c r="CN202" s="48" t="s">
        <v>1988</v>
      </c>
      <c r="CO202" s="10" t="str">
        <f t="shared" si="53"/>
        <v>2.1.4.1.1.6</v>
      </c>
      <c r="CP202" s="10" t="str">
        <f>+VLOOKUP(Tabla1[[#This Row],[ESPECÍFICA]],CLASIFICADOR_,2,0)</f>
        <v>2.1.4.1.1.6 - COMPENSACION VACACIONAL (VACACIONES TRUNCAS) AL PERSONAL ACTIVO</v>
      </c>
      <c r="CQ202" s="10" t="str">
        <f>+VLOOKUP(Tabla1[[#This Row],[ESPECÍFICA]],CLASIFICADOR_,3,0)</f>
        <v>02.SERVIR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N/R</v>
      </c>
      <c r="CU202" s="10" t="str">
        <f>+VLOOKUP(Tabla1[[#This Row],[ESPECÍFICA]],CLASIFICADOR_,7,0)</f>
        <v>N/R</v>
      </c>
      <c r="CV202" s="10">
        <f>+VLOOKUP(Tabla1[[#This Row],[ESPECÍFICA]],CLASIFICADOR_,8,0)</f>
        <v>0</v>
      </c>
      <c r="CW202" s="113" t="str">
        <f>+CONCATENATE("2.",Tabla1[[#This Row],[generica]])</f>
        <v>2.1.PERSONAL Y OBLIGACIONES SOCIALES</v>
      </c>
      <c r="CX202" s="10" t="str">
        <f t="shared" si="42"/>
        <v>0010-OA</v>
      </c>
      <c r="CY202" s="5" t="str">
        <f t="shared" si="43"/>
        <v>0010-OA</v>
      </c>
      <c r="CZ202" t="str">
        <f t="shared" si="44"/>
        <v>0010-OA</v>
      </c>
      <c r="DA202" s="113" t="str">
        <f>+CONCATENATE(Tabla1[[#This Row],[CC COMPLETO]],Tabla1[[#This Row],[ESPECÍFICA]])</f>
        <v>0010-OA2.1.4.1.1.6</v>
      </c>
      <c r="DB202" s="11">
        <f t="shared" si="45"/>
        <v>12028.09</v>
      </c>
      <c r="DC202" s="11">
        <f t="shared" si="46"/>
        <v>12028.09</v>
      </c>
      <c r="DD202" s="11">
        <f t="shared" si="47"/>
        <v>12028.09</v>
      </c>
      <c r="DE202" s="11">
        <f t="shared" si="48"/>
        <v>0</v>
      </c>
      <c r="DF202" s="11">
        <f t="shared" si="49"/>
        <v>0</v>
      </c>
      <c r="DG202" s="11">
        <f t="shared" si="50"/>
        <v>0.90999999999985448</v>
      </c>
      <c r="DH202" s="11">
        <f t="shared" si="51"/>
        <v>0.90999999999985448</v>
      </c>
      <c r="DI202" s="12">
        <f t="shared" si="52"/>
        <v>0</v>
      </c>
      <c r="DJ202" s="77">
        <f>+SUM(Tabla1[[#This Row],[EJECUTADO 01]:[EJECUTADO 06]])</f>
        <v>5909.27</v>
      </c>
      <c r="DK202" s="78">
        <f>+Tabla1[[#This Row],[mto_devenga_01]]</f>
        <v>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5909.27</v>
      </c>
      <c r="DO202" s="78">
        <f>+Tabla1[[#This Row],[mto_devenga_05]]</f>
        <v>0</v>
      </c>
      <c r="DP202" s="76">
        <f>+Tabla1[[#This Row],[mto_devenga_06]]</f>
        <v>0</v>
      </c>
      <c r="DQ202" s="76">
        <f>+Tabla1[[#This Row],[mto_devenga_07]]</f>
        <v>0</v>
      </c>
      <c r="DR202" s="76">
        <f>+Tabla1[[#This Row],[mto_devenga_08]]</f>
        <v>0</v>
      </c>
      <c r="DS202" s="76">
        <f>+Tabla1[[#This Row],[mto_devenga_09]]</f>
        <v>6118.82</v>
      </c>
      <c r="DT202" s="76">
        <f>IFERROR(VLOOKUP(Tabla1[[#This Row],[COD SE]],PF_OCTUBRE,14,0),"0")</f>
        <v>0</v>
      </c>
      <c r="DU202" s="76">
        <f>IFERROR(VLOOKUP(Tabla1[[#This Row],[COD SE]],PF_OCTUBRE,15,0),"0")</f>
        <v>0</v>
      </c>
      <c r="DV202" s="76">
        <f>IFERROR(VLOOKUP(Tabla1[[#This Row],[COD SE]],PF_OCTUBRE,16,0),"0")</f>
        <v>0</v>
      </c>
      <c r="DW202" s="76">
        <f>+SUM(Tabla1[[#This Row],[EJECUTADO 01]:[PF DICIEMBRE
]])</f>
        <v>12028.09</v>
      </c>
      <c r="DX202" s="76">
        <f>IFERROR(VLOOKUP(Tabla1[[#This Row],[COD SE]],PF_OCTUBRE,18,0),"0")</f>
        <v>0</v>
      </c>
      <c r="DY202" s="76">
        <f>IFERROR(VLOOKUP(Tabla1[[#This Row],[COD SE]],PF_OCTUBRE,19,0),"0")</f>
        <v>0.91</v>
      </c>
      <c r="DZ202" s="76">
        <f>IFERROR(VLOOKUP(Tabla1[[#This Row],[COD SE]],PF_OCTUBRE,20,0),"0")</f>
        <v>0.91</v>
      </c>
      <c r="EA202" s="76">
        <f>+Tabla1[[#This Row],[TOTAL EJEC REAL]]+Tabla1[[#This Row],[SALDO FINAL]]</f>
        <v>12029</v>
      </c>
      <c r="EB202" s="76">
        <f>IFERROR(VLOOKUP(Tabla1[[#This Row],[COD SE]],PF_OCTUBRE,22,0),"0")</f>
        <v>0.91</v>
      </c>
      <c r="EC202" s="76">
        <f>+IFERROR(VLOOKUP(Tabla1[[#This Row],[COD SE]],SALDO_ESC_2,7,0),0)</f>
        <v>0</v>
      </c>
      <c r="ED202" s="76">
        <f>+IFERROR(VLOOKUP(Tabla1[[#This Row],[COD SE]],SALDO_ESC_3,7,0),0)</f>
        <v>0.91</v>
      </c>
      <c r="EE202" s="76">
        <f>+Tabla1[[#This Row],[mto_pim]]-Tabla1[[#This Row],[TRANSF ESC2 ]]</f>
        <v>12029</v>
      </c>
      <c r="EF202" s="76">
        <f>+Tabla1[[#This Row],[mto_pim]]-Tabla1[[#This Row],[TRANFS ESC 3 ]]</f>
        <v>12028.09</v>
      </c>
      <c r="EG202" s="76">
        <f>+IFERROR(VLOOKUP(Tabla1[[#This Row],[COD SE]],HISTORICO,4,0),0)</f>
        <v>0</v>
      </c>
      <c r="EH202" s="76">
        <f>+IFERROR(VLOOKUP(Tabla1[[#This Row],[COD SE]],HISTORICO,5,0),0)</f>
        <v>0</v>
      </c>
      <c r="EI202" s="76">
        <f>+IFERROR(VLOOKUP(Tabla1[[#This Row],[COD SE]],HISTORICO,6,0),0)</f>
        <v>0</v>
      </c>
      <c r="EJ202" s="76">
        <f>+IFERROR(VLOOKUP(Tabla1[[#This Row],[COD SE]],HISTORICO,7,0),0)</f>
        <v>0</v>
      </c>
      <c r="EK202" s="76">
        <f>+IFERROR(VLOOKUP(Tabla1[[#This Row],[COD SE]],HISTORICO,8,0),0)</f>
        <v>0</v>
      </c>
      <c r="EL202" s="76">
        <f>+IFERROR(VLOOKUP(Tabla1[[#This Row],[COD SE]],HISTORICO,9,0),0)</f>
        <v>0</v>
      </c>
      <c r="EM202" s="76">
        <f>+IFERROR(VLOOKUP(Tabla1[[#This Row],[COD SE]],HISTORICO,10,0),0)</f>
        <v>0</v>
      </c>
      <c r="EN202" s="76">
        <f>+IFERROR(VLOOKUP(Tabla1[[#This Row],[COD SE]],HISTORICO,11,0),0)</f>
        <v>0</v>
      </c>
      <c r="EO202" s="76">
        <f>+IFERROR(VLOOKUP(Tabla1[[#This Row],[COD SE]],HISTORICO,12,0),0)</f>
        <v>6119</v>
      </c>
      <c r="EP202" s="58">
        <f>+SUM(Tabla1[[#This Row],[EJECUTADO 01]:[EJECUTADO 03]])</f>
        <v>0</v>
      </c>
      <c r="EQ202" s="58">
        <f>+SUM(Tabla1[[#This Row],[EJECUTADO 04]:[EJECUTADO 06]])</f>
        <v>5909.27</v>
      </c>
      <c r="ER202" s="58">
        <f>+SUM(Tabla1[[#This Row],[EJECUTADO 07]:[EJECUTADO 09]])</f>
        <v>6118.82</v>
      </c>
      <c r="ES202" s="58">
        <f>+SUM(Tabla1[[#This Row],[PF OCTUBRE]:[PF DICIEMBRE
]])</f>
        <v>0</v>
      </c>
      <c r="ET202" s="58">
        <f>+SUM(Tabla1[[#This Row],[EJECUTADO 01]:[EJECUTADO 09]])</f>
        <v>12028.09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1684</v>
      </c>
      <c r="AE203" s="369" t="s">
        <v>1716</v>
      </c>
      <c r="AF203" s="369" t="s">
        <v>1766</v>
      </c>
      <c r="AG203" s="369" t="s">
        <v>1767</v>
      </c>
      <c r="AH203" s="369">
        <v>6200</v>
      </c>
      <c r="AI203" s="369">
        <v>-5200</v>
      </c>
      <c r="AJ203" s="369">
        <v>1000</v>
      </c>
      <c r="AK203" s="370">
        <v>1000</v>
      </c>
      <c r="AL203" s="370">
        <v>1000</v>
      </c>
      <c r="AM203" s="370">
        <v>150</v>
      </c>
      <c r="AN203" s="370">
        <v>0</v>
      </c>
      <c r="AO203" s="370">
        <v>0</v>
      </c>
      <c r="AP203" s="370">
        <v>0</v>
      </c>
      <c r="AQ203" s="370">
        <v>255</v>
      </c>
      <c r="AR203" s="370">
        <v>0</v>
      </c>
      <c r="AS203" s="370">
        <v>0</v>
      </c>
      <c r="AT203" s="370">
        <v>0</v>
      </c>
      <c r="AU203" s="370">
        <v>0</v>
      </c>
      <c r="AV203" s="370">
        <v>0</v>
      </c>
      <c r="AW203" s="370">
        <v>0</v>
      </c>
      <c r="AX203" s="370">
        <v>0</v>
      </c>
      <c r="AY203" s="370">
        <v>150</v>
      </c>
      <c r="AZ203" s="370">
        <v>0</v>
      </c>
      <c r="BA203" s="370">
        <v>0</v>
      </c>
      <c r="BB203" s="370">
        <v>0</v>
      </c>
      <c r="BC203" s="370">
        <v>255</v>
      </c>
      <c r="BD203" s="370">
        <v>0</v>
      </c>
      <c r="BE203" s="370">
        <v>0</v>
      </c>
      <c r="BF203" s="370">
        <v>0</v>
      </c>
      <c r="BG203" s="370">
        <v>0</v>
      </c>
      <c r="BH203" s="370">
        <v>0</v>
      </c>
      <c r="BI203" s="370">
        <v>0</v>
      </c>
      <c r="BJ203" s="370">
        <v>0</v>
      </c>
      <c r="BK203" s="370">
        <v>150</v>
      </c>
      <c r="BL203" s="370">
        <v>0</v>
      </c>
      <c r="BM203" s="370">
        <v>0</v>
      </c>
      <c r="BN203" s="370">
        <v>0</v>
      </c>
      <c r="BO203" s="370">
        <v>255</v>
      </c>
      <c r="BP203" s="370">
        <v>0</v>
      </c>
      <c r="BQ203" s="370">
        <v>0</v>
      </c>
      <c r="BR203" s="370">
        <v>0</v>
      </c>
      <c r="BS203" s="370">
        <v>0</v>
      </c>
      <c r="BT203" s="370">
        <v>0</v>
      </c>
      <c r="BU203" s="370">
        <v>0</v>
      </c>
      <c r="BV203" s="370">
        <v>0</v>
      </c>
      <c r="BW203" s="370">
        <v>150</v>
      </c>
      <c r="BX203" s="370">
        <v>0</v>
      </c>
      <c r="BY203" s="370">
        <v>0</v>
      </c>
      <c r="BZ203" s="370">
        <v>0</v>
      </c>
      <c r="CA203" s="370">
        <v>255</v>
      </c>
      <c r="CB203" s="370">
        <v>0</v>
      </c>
      <c r="CC203" s="370">
        <v>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1990</v>
      </c>
      <c r="CL203" s="48" t="s">
        <v>2011</v>
      </c>
      <c r="CM203" s="48" t="s">
        <v>1993</v>
      </c>
      <c r="CN203" s="48" t="s">
        <v>1990</v>
      </c>
      <c r="CO203" s="10" t="str">
        <f t="shared" si="53"/>
        <v>2.3.1.5.4.1</v>
      </c>
      <c r="CP203" s="10" t="str">
        <f>+VLOOKUP(Tabla1[[#This Row],[ESPECÍFICA]],CLASIFICADOR_,2,0)</f>
        <v>2.3.1.5.4.1 - ELECTRICIDAD, ILUMINACION Y ELECTRONICA</v>
      </c>
      <c r="CQ203" s="10" t="str">
        <f>+VLOOKUP(Tabla1[[#This Row],[ESPECÍFICA]],CLASIFICADOR_,3,0)</f>
        <v>2.3.1.5 - MATERIALES Y  UTILES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42"/>
        <v>0010-OA</v>
      </c>
      <c r="CY203" s="5" t="str">
        <f t="shared" si="43"/>
        <v>0010-OA</v>
      </c>
      <c r="CZ203" t="str">
        <f t="shared" si="44"/>
        <v>0010-OA</v>
      </c>
      <c r="DA203" s="113" t="str">
        <f>+CONCATENATE(Tabla1[[#This Row],[CC COMPLETO]],Tabla1[[#This Row],[ESPECÍFICA]])</f>
        <v>0010-OA2.3.1.5.4.1</v>
      </c>
      <c r="DB203" s="11">
        <f t="shared" si="45"/>
        <v>405</v>
      </c>
      <c r="DC203" s="11">
        <f t="shared" si="46"/>
        <v>405</v>
      </c>
      <c r="DD203" s="11">
        <f t="shared" si="47"/>
        <v>405</v>
      </c>
      <c r="DE203" s="11">
        <f t="shared" si="48"/>
        <v>0</v>
      </c>
      <c r="DF203" s="11">
        <f t="shared" si="49"/>
        <v>0</v>
      </c>
      <c r="DG203" s="11">
        <f t="shared" si="50"/>
        <v>595</v>
      </c>
      <c r="DH203" s="11">
        <f t="shared" si="51"/>
        <v>595</v>
      </c>
      <c r="DI203" s="12">
        <f t="shared" si="52"/>
        <v>6.5322580645161291E-2</v>
      </c>
      <c r="DJ203" s="77">
        <f>+SUM(Tabla1[[#This Row],[EJECUTADO 01]:[EJECUTADO 06]])</f>
        <v>405</v>
      </c>
      <c r="DK203" s="78">
        <f>+Tabla1[[#This Row],[mto_devenga_01]]</f>
        <v>150</v>
      </c>
      <c r="DL203" s="78">
        <f>+Tabla1[[#This Row],[mto_devenga_02]]</f>
        <v>0</v>
      </c>
      <c r="DM203" s="78">
        <f>+Tabla1[[#This Row],[mto_devenga_03]]</f>
        <v>0</v>
      </c>
      <c r="DN203" s="78">
        <f>+Tabla1[[#This Row],[mto_devenga_04]]</f>
        <v>0</v>
      </c>
      <c r="DO203" s="78">
        <f>+Tabla1[[#This Row],[mto_devenga_05]]</f>
        <v>255</v>
      </c>
      <c r="DP203" s="76">
        <f>+Tabla1[[#This Row],[mto_devenga_06]]</f>
        <v>0</v>
      </c>
      <c r="DQ203" s="76">
        <f>+Tabla1[[#This Row],[mto_devenga_07]]</f>
        <v>0</v>
      </c>
      <c r="DR203" s="76">
        <f>+Tabla1[[#This Row],[mto_devenga_08]]</f>
        <v>0</v>
      </c>
      <c r="DS203" s="76">
        <f>+Tabla1[[#This Row],[mto_devenga_09]]</f>
        <v>0</v>
      </c>
      <c r="DT203" s="76">
        <f>IFERROR(VLOOKUP(Tabla1[[#This Row],[COD SE]],PF_OCTUBRE,14,0),"0")</f>
        <v>90</v>
      </c>
      <c r="DU203" s="76">
        <f>IFERROR(VLOOKUP(Tabla1[[#This Row],[COD SE]],PF_OCTUBRE,15,0),"0")</f>
        <v>90</v>
      </c>
      <c r="DV203" s="76">
        <f>IFERROR(VLOOKUP(Tabla1[[#This Row],[COD SE]],PF_OCTUBRE,16,0),"0")</f>
        <v>415</v>
      </c>
      <c r="DW203" s="76">
        <f>+SUM(Tabla1[[#This Row],[EJECUTADO 01]:[PF DICIEMBRE
]])</f>
        <v>1000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1000</v>
      </c>
      <c r="EB203" s="76">
        <f>IFERROR(VLOOKUP(Tabla1[[#This Row],[COD SE]],PF_OCTUBRE,22,0),"0")</f>
        <v>415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1000</v>
      </c>
      <c r="EF203" s="76">
        <f>+Tabla1[[#This Row],[mto_pim]]-Tabla1[[#This Row],[TRANFS ESC 3 ]]</f>
        <v>1000</v>
      </c>
      <c r="EG203" s="76">
        <f>+IFERROR(VLOOKUP(Tabla1[[#This Row],[COD SE]],HISTORICO,4,0),0)</f>
        <v>0</v>
      </c>
      <c r="EH203" s="76">
        <f>+IFERROR(VLOOKUP(Tabla1[[#This Row],[COD SE]],HISTORICO,5,0),0)</f>
        <v>50</v>
      </c>
      <c r="EI203" s="76">
        <f>+IFERROR(VLOOKUP(Tabla1[[#This Row],[COD SE]],HISTORICO,6,0),0)</f>
        <v>2650</v>
      </c>
      <c r="EJ203" s="76">
        <f>+IFERROR(VLOOKUP(Tabla1[[#This Row],[COD SE]],HISTORICO,7,0),0)</f>
        <v>100</v>
      </c>
      <c r="EK203" s="76">
        <f>+IFERROR(VLOOKUP(Tabla1[[#This Row],[COD SE]],HISTORICO,8,0),0)</f>
        <v>100</v>
      </c>
      <c r="EL203" s="76">
        <f>+IFERROR(VLOOKUP(Tabla1[[#This Row],[COD SE]],HISTORICO,9,0),0)</f>
        <v>100</v>
      </c>
      <c r="EM203" s="76">
        <f>+IFERROR(VLOOKUP(Tabla1[[#This Row],[COD SE]],HISTORICO,10,0),0)</f>
        <v>0</v>
      </c>
      <c r="EN203" s="76">
        <f>+IFERROR(VLOOKUP(Tabla1[[#This Row],[COD SE]],HISTORICO,11,0),0)</f>
        <v>0</v>
      </c>
      <c r="EO203" s="76">
        <f>+IFERROR(VLOOKUP(Tabla1[[#This Row],[COD SE]],HISTORICO,12,0),0)</f>
        <v>150</v>
      </c>
      <c r="EP203" s="58">
        <f>+SUM(Tabla1[[#This Row],[EJECUTADO 01]:[EJECUTADO 03]])</f>
        <v>150</v>
      </c>
      <c r="EQ203" s="58">
        <f>+SUM(Tabla1[[#This Row],[EJECUTADO 04]:[EJECUTADO 06]])</f>
        <v>255</v>
      </c>
      <c r="ER203" s="58">
        <f>+SUM(Tabla1[[#This Row],[EJECUTADO 07]:[EJECUTADO 09]])</f>
        <v>0</v>
      </c>
      <c r="ES203" s="58">
        <f>+SUM(Tabla1[[#This Row],[PF OCTUBRE]:[PF DICIEMBRE
]])</f>
        <v>595</v>
      </c>
      <c r="ET203" s="58">
        <f>+SUM(Tabla1[[#This Row],[EJECUTADO 01]:[EJECUTADO 09]])</f>
        <v>405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1672</v>
      </c>
      <c r="AD204" s="369" t="s">
        <v>1673</v>
      </c>
      <c r="AE204" s="369" t="s">
        <v>1693</v>
      </c>
      <c r="AF204" s="369" t="s">
        <v>1694</v>
      </c>
      <c r="AG204" s="369" t="s">
        <v>1785</v>
      </c>
      <c r="AH204" s="369">
        <v>350000</v>
      </c>
      <c r="AI204" s="369">
        <v>-24625</v>
      </c>
      <c r="AJ204" s="369">
        <v>325375</v>
      </c>
      <c r="AK204" s="370">
        <v>325374.07</v>
      </c>
      <c r="AL204" s="370">
        <v>325374.07</v>
      </c>
      <c r="AM204" s="370">
        <v>304724.07</v>
      </c>
      <c r="AN204" s="370">
        <v>0</v>
      </c>
      <c r="AO204" s="370">
        <v>0</v>
      </c>
      <c r="AP204" s="370">
        <v>0</v>
      </c>
      <c r="AQ204" s="370">
        <v>0</v>
      </c>
      <c r="AR204" s="370">
        <v>0</v>
      </c>
      <c r="AS204" s="370">
        <v>20650</v>
      </c>
      <c r="AT204" s="370">
        <v>0</v>
      </c>
      <c r="AU204" s="370">
        <v>0</v>
      </c>
      <c r="AV204" s="370">
        <v>0</v>
      </c>
      <c r="AW204" s="370">
        <v>0</v>
      </c>
      <c r="AX204" s="370">
        <v>0</v>
      </c>
      <c r="AY204" s="370">
        <v>0</v>
      </c>
      <c r="AZ204" s="370">
        <v>0</v>
      </c>
      <c r="BA204" s="370">
        <v>0</v>
      </c>
      <c r="BB204" s="370">
        <v>33858.230000000003</v>
      </c>
      <c r="BC204" s="370">
        <v>33858.230000000003</v>
      </c>
      <c r="BD204" s="370">
        <v>33858.230000000003</v>
      </c>
      <c r="BE204" s="370">
        <v>54508.23</v>
      </c>
      <c r="BF204" s="370">
        <v>33858.230000000003</v>
      </c>
      <c r="BG204" s="370">
        <v>33858.230000000003</v>
      </c>
      <c r="BH204" s="370">
        <v>33858.230000000003</v>
      </c>
      <c r="BI204" s="370">
        <v>0</v>
      </c>
      <c r="BJ204" s="370">
        <v>0</v>
      </c>
      <c r="BK204" s="370">
        <v>0</v>
      </c>
      <c r="BL204" s="370">
        <v>0</v>
      </c>
      <c r="BM204" s="370">
        <v>0</v>
      </c>
      <c r="BN204" s="370">
        <v>0</v>
      </c>
      <c r="BO204" s="370">
        <v>33858.230000000003</v>
      </c>
      <c r="BP204" s="370">
        <v>67716.460000000006</v>
      </c>
      <c r="BQ204" s="370">
        <v>36808.230000000003</v>
      </c>
      <c r="BR204" s="370">
        <v>51558.23</v>
      </c>
      <c r="BS204" s="370">
        <v>33858.230000000003</v>
      </c>
      <c r="BT204" s="370">
        <v>33858.230000000003</v>
      </c>
      <c r="BU204" s="370">
        <v>0</v>
      </c>
      <c r="BV204" s="370">
        <v>0</v>
      </c>
      <c r="BW204" s="370">
        <v>237007.61</v>
      </c>
      <c r="BX204" s="370">
        <v>0</v>
      </c>
      <c r="BY204" s="370">
        <v>0</v>
      </c>
      <c r="BZ204" s="370">
        <v>0</v>
      </c>
      <c r="CA204" s="370">
        <v>0</v>
      </c>
      <c r="CB204" s="370">
        <v>0</v>
      </c>
      <c r="CC204" s="370">
        <v>20650</v>
      </c>
      <c r="CD204" s="370">
        <v>0</v>
      </c>
      <c r="CE204" s="370">
        <v>0</v>
      </c>
      <c r="CF204" s="370">
        <v>0</v>
      </c>
      <c r="CG204" s="370">
        <v>0</v>
      </c>
      <c r="CH204" s="370">
        <v>0</v>
      </c>
      <c r="CI204" s="48" t="s">
        <v>1987</v>
      </c>
      <c r="CJ204" s="48" t="s">
        <v>1991</v>
      </c>
      <c r="CK204" s="48" t="s">
        <v>1987</v>
      </c>
      <c r="CL204" s="48" t="s">
        <v>2011</v>
      </c>
      <c r="CM204" s="48" t="s">
        <v>1990</v>
      </c>
      <c r="CN204" s="48" t="s">
        <v>1990</v>
      </c>
      <c r="CO204" s="10" t="str">
        <f>+CONCATENATE(CI204,".",CJ204,".",CK204,".",CL204,".",CM204,".",CN204)</f>
        <v>2.3.2.5.1.1</v>
      </c>
      <c r="CP204" s="10" t="str">
        <f>+VLOOKUP(Tabla1[[#This Row],[ESPECÍFICA]],CLASIFICADOR_,2,0)</f>
        <v>2.3.2.5.1.1 - DE EDIFICIOS Y ESTRUCTURAS</v>
      </c>
      <c r="CQ204" s="10" t="str">
        <f>+VLOOKUP(Tabla1[[#This Row],[ESPECÍFICA]],CLASIFICADOR_,3,0)</f>
        <v>2.3.2.5 - ALQUILERES DE MUEBLES E INMUEBLES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2.3.BIENES Y SERVICIOS</v>
      </c>
      <c r="CX204" s="10" t="str">
        <f t="shared" si="42"/>
        <v>0010-OA</v>
      </c>
      <c r="CY204" s="5" t="str">
        <f t="shared" si="43"/>
        <v>0010-OA</v>
      </c>
      <c r="CZ204" t="str">
        <f t="shared" si="44"/>
        <v>0010-OA</v>
      </c>
      <c r="DA204" s="113" t="str">
        <f>+CONCATENATE(Tabla1[[#This Row],[CC COMPLETO]],Tabla1[[#This Row],[ESPECÍFICA]])</f>
        <v>0010-OA2.3.2.5.1.1</v>
      </c>
      <c r="DB204" s="11">
        <f t="shared" si="45"/>
        <v>325374.07</v>
      </c>
      <c r="DC204" s="11">
        <f t="shared" si="46"/>
        <v>257657.61000000004</v>
      </c>
      <c r="DD204" s="11">
        <f t="shared" si="47"/>
        <v>257657.61000000004</v>
      </c>
      <c r="DE204" s="11">
        <f t="shared" si="48"/>
        <v>0.92999999999301508</v>
      </c>
      <c r="DF204" s="11">
        <f t="shared" si="49"/>
        <v>0</v>
      </c>
      <c r="DG204" s="11">
        <f t="shared" si="50"/>
        <v>67716.459999999963</v>
      </c>
      <c r="DH204" s="11">
        <f t="shared" si="51"/>
        <v>67717.389999999956</v>
      </c>
      <c r="DI204" s="12">
        <f t="shared" si="52"/>
        <v>0.73616460000000017</v>
      </c>
      <c r="DJ204" s="77">
        <f>+SUM(Tabla1[[#This Row],[EJECUTADO 01]:[EJECUTADO 06]])</f>
        <v>101574.69</v>
      </c>
      <c r="DK204" s="78">
        <f>+Tabla1[[#This Row],[mto_devenga_01]]</f>
        <v>0</v>
      </c>
      <c r="DL204" s="78">
        <f>+Tabla1[[#This Row],[mto_devenga_02]]</f>
        <v>0</v>
      </c>
      <c r="DM204" s="78">
        <f>+Tabla1[[#This Row],[mto_devenga_03]]</f>
        <v>0</v>
      </c>
      <c r="DN204" s="78">
        <f>+Tabla1[[#This Row],[mto_devenga_04]]</f>
        <v>33858.230000000003</v>
      </c>
      <c r="DO204" s="78">
        <f>+Tabla1[[#This Row],[mto_devenga_05]]</f>
        <v>33858.230000000003</v>
      </c>
      <c r="DP204" s="76">
        <f>+Tabla1[[#This Row],[mto_devenga_06]]</f>
        <v>33858.230000000003</v>
      </c>
      <c r="DQ204" s="76">
        <f>+Tabla1[[#This Row],[mto_devenga_07]]</f>
        <v>54508.23</v>
      </c>
      <c r="DR204" s="76">
        <f>+Tabla1[[#This Row],[mto_devenga_08]]</f>
        <v>33858.230000000003</v>
      </c>
      <c r="DS204" s="76">
        <f>+Tabla1[[#This Row],[mto_devenga_09]]</f>
        <v>33858.230000000003</v>
      </c>
      <c r="DT204" s="76">
        <f>IFERROR(VLOOKUP(Tabla1[[#This Row],[COD SE]],PF_OCTUBRE,14,0),"0")</f>
        <v>33858.230000000003</v>
      </c>
      <c r="DU204" s="76">
        <f>IFERROR(VLOOKUP(Tabla1[[#This Row],[COD SE]],PF_OCTUBRE,15,0),"0")</f>
        <v>33858.230000000003</v>
      </c>
      <c r="DV204" s="76">
        <f>IFERROR(VLOOKUP(Tabla1[[#This Row],[COD SE]],PF_OCTUBRE,16,0),"0")</f>
        <v>33859.160000000003</v>
      </c>
      <c r="DW204" s="76">
        <f>+SUM(Tabla1[[#This Row],[EJECUTADO 01]:[PF DICIEMBRE
]])</f>
        <v>325375</v>
      </c>
      <c r="DX204" s="76">
        <f>IFERROR(VLOOKUP(Tabla1[[#This Row],[COD SE]],PF_OCTUBRE,18,0),"0")</f>
        <v>0</v>
      </c>
      <c r="DY204" s="76">
        <f>IFERROR(VLOOKUP(Tabla1[[#This Row],[COD SE]],PF_OCTUBRE,19,0),"0")</f>
        <v>0</v>
      </c>
      <c r="DZ204" s="76">
        <f>IFERROR(VLOOKUP(Tabla1[[#This Row],[COD SE]],PF_OCTUBRE,20,0),"0")</f>
        <v>0</v>
      </c>
      <c r="EA204" s="76">
        <f>+Tabla1[[#This Row],[TOTAL EJEC REAL]]+Tabla1[[#This Row],[SALDO FINAL]]</f>
        <v>325375</v>
      </c>
      <c r="EB204" s="76">
        <f>IFERROR(VLOOKUP(Tabla1[[#This Row],[COD SE]],PF_OCTUBRE,22,0),"0")</f>
        <v>33859.160000000003</v>
      </c>
      <c r="EC204" s="76">
        <f>+IFERROR(VLOOKUP(Tabla1[[#This Row],[COD SE]],SALDO_ESC_2,7,0),0)</f>
        <v>0</v>
      </c>
      <c r="ED204" s="76">
        <f>+IFERROR(VLOOKUP(Tabla1[[#This Row],[COD SE]],SALDO_ESC_3,7,0),0)</f>
        <v>0</v>
      </c>
      <c r="EE204" s="76">
        <f>+Tabla1[[#This Row],[mto_pim]]-Tabla1[[#This Row],[TRANSF ESC2 ]]</f>
        <v>325375</v>
      </c>
      <c r="EF204" s="76">
        <f>+Tabla1[[#This Row],[mto_pim]]-Tabla1[[#This Row],[TRANFS ESC 3 ]]</f>
        <v>325375</v>
      </c>
      <c r="EG204" s="76">
        <f>+IFERROR(VLOOKUP(Tabla1[[#This Row],[COD SE]],HISTORICO,4,0),0)</f>
        <v>0</v>
      </c>
      <c r="EH204" s="76">
        <f>+IFERROR(VLOOKUP(Tabla1[[#This Row],[COD SE]],HISTORICO,5,0),0)</f>
        <v>31000</v>
      </c>
      <c r="EI204" s="76">
        <f>+IFERROR(VLOOKUP(Tabla1[[#This Row],[COD SE]],HISTORICO,6,0),0)</f>
        <v>0</v>
      </c>
      <c r="EJ204" s="76">
        <f>+IFERROR(VLOOKUP(Tabla1[[#This Row],[COD SE]],HISTORICO,7,0),0)</f>
        <v>0</v>
      </c>
      <c r="EK204" s="76">
        <f>+IFERROR(VLOOKUP(Tabla1[[#This Row],[COD SE]],HISTORICO,8,0),0)</f>
        <v>33858.230000000003</v>
      </c>
      <c r="EL204" s="76">
        <f>+IFERROR(VLOOKUP(Tabla1[[#This Row],[COD SE]],HISTORICO,9,0),0)</f>
        <v>36477.230000000003</v>
      </c>
      <c r="EM204" s="76">
        <f>+IFERROR(VLOOKUP(Tabla1[[#This Row],[COD SE]],HISTORICO,10,0),0)</f>
        <v>54508.23</v>
      </c>
      <c r="EN204" s="76">
        <f>+IFERROR(VLOOKUP(Tabla1[[#This Row],[COD SE]],HISTORICO,11,0),0)</f>
        <v>33858.230000000003</v>
      </c>
      <c r="EO204" s="76">
        <f>+IFERROR(VLOOKUP(Tabla1[[#This Row],[COD SE]],HISTORICO,12,0),0)</f>
        <v>33858.230000000003</v>
      </c>
      <c r="EP204" s="58">
        <f>+SUM(Tabla1[[#This Row],[EJECUTADO 01]:[EJECUTADO 03]])</f>
        <v>0</v>
      </c>
      <c r="EQ204" s="58">
        <f>+SUM(Tabla1[[#This Row],[EJECUTADO 04]:[EJECUTADO 06]])</f>
        <v>101574.69</v>
      </c>
      <c r="ER204" s="58">
        <f>+SUM(Tabla1[[#This Row],[EJECUTADO 07]:[EJECUTADO 09]])</f>
        <v>122224.69</v>
      </c>
      <c r="ES204" s="58">
        <f>+SUM(Tabla1[[#This Row],[PF OCTUBRE]:[PF DICIEMBRE
]])</f>
        <v>101575.62000000001</v>
      </c>
      <c r="ET204" s="58">
        <f>+SUM(Tabla1[[#This Row],[EJECUTADO 01]:[EJECUTADO 09]])</f>
        <v>223799.38000000003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2004</v>
      </c>
      <c r="AB205" s="369" t="s">
        <v>1986</v>
      </c>
      <c r="AC205" s="369" t="s">
        <v>1672</v>
      </c>
      <c r="AD205" s="369" t="s">
        <v>1673</v>
      </c>
      <c r="AE205" s="369" t="s">
        <v>1786</v>
      </c>
      <c r="AF205" s="369" t="s">
        <v>1791</v>
      </c>
      <c r="AG205" s="369" t="s">
        <v>1795</v>
      </c>
      <c r="AH205" s="369">
        <v>27000</v>
      </c>
      <c r="AI205" s="369">
        <v>3571</v>
      </c>
      <c r="AJ205" s="369">
        <v>30571</v>
      </c>
      <c r="AK205" s="370">
        <v>29455.86</v>
      </c>
      <c r="AL205" s="370">
        <v>29455.86</v>
      </c>
      <c r="AM205" s="370">
        <v>0</v>
      </c>
      <c r="AN205" s="370">
        <v>0</v>
      </c>
      <c r="AO205" s="370">
        <v>0</v>
      </c>
      <c r="AP205" s="370">
        <v>0</v>
      </c>
      <c r="AQ205" s="370">
        <v>0</v>
      </c>
      <c r="AR205" s="370">
        <v>29455.86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0</v>
      </c>
      <c r="AZ205" s="370">
        <v>0</v>
      </c>
      <c r="BA205" s="370">
        <v>0</v>
      </c>
      <c r="BB205" s="370">
        <v>0</v>
      </c>
      <c r="BC205" s="370">
        <v>0</v>
      </c>
      <c r="BD205" s="370">
        <v>0</v>
      </c>
      <c r="BE205" s="370">
        <v>29455.86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0</v>
      </c>
      <c r="BL205" s="370">
        <v>0</v>
      </c>
      <c r="BM205" s="370">
        <v>0</v>
      </c>
      <c r="BN205" s="370">
        <v>0</v>
      </c>
      <c r="BO205" s="370">
        <v>0</v>
      </c>
      <c r="BP205" s="370">
        <v>0</v>
      </c>
      <c r="BQ205" s="370">
        <v>29455.86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0</v>
      </c>
      <c r="BX205" s="370">
        <v>0</v>
      </c>
      <c r="BY205" s="370">
        <v>0</v>
      </c>
      <c r="BZ205" s="370">
        <v>0</v>
      </c>
      <c r="CA205" s="370">
        <v>0</v>
      </c>
      <c r="CB205" s="370">
        <v>29455.86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1991</v>
      </c>
      <c r="CK205" s="48" t="s">
        <v>1987</v>
      </c>
      <c r="CL205" s="48" t="s">
        <v>1988</v>
      </c>
      <c r="CM205" s="48" t="s">
        <v>1991</v>
      </c>
      <c r="CN205" s="48" t="s">
        <v>1998</v>
      </c>
      <c r="CO205" s="10" t="str">
        <f>+CONCATENATE(CI205,".",CJ205,".",CK205,".",CL205,".",CM205,".",CN205)</f>
        <v>2.3.2.6.3.99</v>
      </c>
      <c r="CP205" s="10" t="str">
        <f>+VLOOKUP(Tabla1[[#This Row],[ESPECÍFICA]],CLASIFICADOR_,2,0)</f>
        <v>2.3.2.6.3.99 - OTROS SEGUROS DE  BIENES MUEBLES E INMUEBLES</v>
      </c>
      <c r="CQ205" s="10" t="str">
        <f>+VLOOKUP(Tabla1[[#This Row],[ESPECÍFICA]],CLASIFICADOR_,3,0)</f>
        <v>2.3.2.6 - SERVICIOS ADMINISTRATIVOS, FINANCIEROS Y DE SEGUROS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2.3.BIENES Y SERVICIOS</v>
      </c>
      <c r="CX205" s="10" t="str">
        <f t="shared" si="42"/>
        <v>0010-OA</v>
      </c>
      <c r="CY205" s="5" t="str">
        <f t="shared" si="43"/>
        <v>0010-OA</v>
      </c>
      <c r="CZ205" t="str">
        <f t="shared" si="44"/>
        <v>0010-OA</v>
      </c>
      <c r="DA205" s="113" t="str">
        <f>+CONCATENATE(Tabla1[[#This Row],[CC COMPLETO]],Tabla1[[#This Row],[ESPECÍFICA]])</f>
        <v>0010-OA2.3.2.6.3.99</v>
      </c>
      <c r="DB205" s="11">
        <f t="shared" si="45"/>
        <v>29455.86</v>
      </c>
      <c r="DC205" s="11">
        <f t="shared" si="46"/>
        <v>29455.86</v>
      </c>
      <c r="DD205" s="11">
        <f t="shared" si="47"/>
        <v>29455.86</v>
      </c>
      <c r="DE205" s="11">
        <f t="shared" si="48"/>
        <v>1115.1399999999994</v>
      </c>
      <c r="DF205" s="11">
        <f t="shared" si="49"/>
        <v>0</v>
      </c>
      <c r="DG205" s="11">
        <f t="shared" si="50"/>
        <v>0</v>
      </c>
      <c r="DH205" s="11">
        <f t="shared" si="51"/>
        <v>1115.1399999999994</v>
      </c>
      <c r="DI205" s="12">
        <f t="shared" si="52"/>
        <v>1.0909577777777777</v>
      </c>
      <c r="DJ205" s="77">
        <f>+SUM(Tabla1[[#This Row],[EJECUTADO 01]:[EJECUTADO 06]])</f>
        <v>0</v>
      </c>
      <c r="DK205" s="78">
        <f>+Tabla1[[#This Row],[mto_devenga_01]]</f>
        <v>0</v>
      </c>
      <c r="DL205" s="78">
        <f>+Tabla1[[#This Row],[mto_devenga_02]]</f>
        <v>0</v>
      </c>
      <c r="DM205" s="78">
        <f>+Tabla1[[#This Row],[mto_devenga_03]]</f>
        <v>0</v>
      </c>
      <c r="DN205" s="78">
        <f>+Tabla1[[#This Row],[mto_devenga_04]]</f>
        <v>0</v>
      </c>
      <c r="DO205" s="78">
        <f>+Tabla1[[#This Row],[mto_devenga_05]]</f>
        <v>0</v>
      </c>
      <c r="DP205" s="76">
        <f>+Tabla1[[#This Row],[mto_devenga_06]]</f>
        <v>0</v>
      </c>
      <c r="DQ205" s="76">
        <f>+Tabla1[[#This Row],[mto_devenga_07]]</f>
        <v>29455.86</v>
      </c>
      <c r="DR205" s="76">
        <f>+Tabla1[[#This Row],[mto_devenga_08]]</f>
        <v>0</v>
      </c>
      <c r="DS205" s="76">
        <f>+Tabla1[[#This Row],[mto_devenga_09]]</f>
        <v>0</v>
      </c>
      <c r="DT205" s="76">
        <f>IFERROR(VLOOKUP(Tabla1[[#This Row],[COD SE]],PF_OCTUBRE,14,0),"0")</f>
        <v>0</v>
      </c>
      <c r="DU205" s="76">
        <f>IFERROR(VLOOKUP(Tabla1[[#This Row],[COD SE]],PF_OCTUBRE,15,0),"0")</f>
        <v>0</v>
      </c>
      <c r="DV205" s="76">
        <f>IFERROR(VLOOKUP(Tabla1[[#This Row],[COD SE]],PF_OCTUBRE,16,0),"0")</f>
        <v>0.14000000000000001</v>
      </c>
      <c r="DW205" s="76">
        <f>+SUM(Tabla1[[#This Row],[EJECUTADO 01]:[PF DICIEMBRE
]])</f>
        <v>29456</v>
      </c>
      <c r="DX205" s="76">
        <f>IFERROR(VLOOKUP(Tabla1[[#This Row],[COD SE]],PF_OCTUBRE,18,0),"0")</f>
        <v>0</v>
      </c>
      <c r="DY205" s="76">
        <f>IFERROR(VLOOKUP(Tabla1[[#This Row],[COD SE]],PF_OCTUBRE,19,0),"0")</f>
        <v>0</v>
      </c>
      <c r="DZ205" s="76">
        <f>IFERROR(VLOOKUP(Tabla1[[#This Row],[COD SE]],PF_OCTUBRE,20,0),"0")</f>
        <v>0</v>
      </c>
      <c r="EA205" s="76">
        <f>+Tabla1[[#This Row],[TOTAL EJEC REAL]]+Tabla1[[#This Row],[SALDO FINAL]]</f>
        <v>29456</v>
      </c>
      <c r="EB205" s="76">
        <f>IFERROR(VLOOKUP(Tabla1[[#This Row],[COD SE]],PF_OCTUBRE,22,0),"0")</f>
        <v>0.14000000000000001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30571</v>
      </c>
      <c r="EF205" s="76">
        <f>+Tabla1[[#This Row],[mto_pim]]-Tabla1[[#This Row],[TRANFS ESC 3 ]]</f>
        <v>30571</v>
      </c>
      <c r="EG205" s="76">
        <f>+IFERROR(VLOOKUP(Tabla1[[#This Row],[COD SE]],HISTORICO,4,0),0)</f>
        <v>0</v>
      </c>
      <c r="EH205" s="76">
        <f>+IFERROR(VLOOKUP(Tabla1[[#This Row],[COD SE]],HISTORICO,5,0),0)</f>
        <v>0</v>
      </c>
      <c r="EI205" s="76">
        <f>+IFERROR(VLOOKUP(Tabla1[[#This Row],[COD SE]],HISTORICO,6,0),0)</f>
        <v>0</v>
      </c>
      <c r="EJ205" s="76">
        <f>+IFERROR(VLOOKUP(Tabla1[[#This Row],[COD SE]],HISTORICO,7,0),0)</f>
        <v>0</v>
      </c>
      <c r="EK205" s="76">
        <f>+IFERROR(VLOOKUP(Tabla1[[#This Row],[COD SE]],HISTORICO,8,0),0)</f>
        <v>0</v>
      </c>
      <c r="EL205" s="76">
        <f>+IFERROR(VLOOKUP(Tabla1[[#This Row],[COD SE]],HISTORICO,9,0),0)</f>
        <v>0</v>
      </c>
      <c r="EM205" s="76">
        <f>+IFERROR(VLOOKUP(Tabla1[[#This Row],[COD SE]],HISTORICO,10,0),0)</f>
        <v>29456</v>
      </c>
      <c r="EN205" s="76">
        <f>+IFERROR(VLOOKUP(Tabla1[[#This Row],[COD SE]],HISTORICO,11,0),0)</f>
        <v>0</v>
      </c>
      <c r="EO205" s="76">
        <f>+IFERROR(VLOOKUP(Tabla1[[#This Row],[COD SE]],HISTORICO,12,0),0)</f>
        <v>0</v>
      </c>
      <c r="EP205" s="58">
        <f>+SUM(Tabla1[[#This Row],[EJECUTADO 01]:[EJECUTADO 03]])</f>
        <v>0</v>
      </c>
      <c r="EQ205" s="58">
        <f>+SUM(Tabla1[[#This Row],[EJECUTADO 04]:[EJECUTADO 06]])</f>
        <v>0</v>
      </c>
      <c r="ER205" s="58">
        <f>+SUM(Tabla1[[#This Row],[EJECUTADO 07]:[EJECUTADO 09]])</f>
        <v>29455.86</v>
      </c>
      <c r="ES205" s="58">
        <f>+SUM(Tabla1[[#This Row],[PF OCTUBRE]:[PF DICIEMBRE
]])</f>
        <v>0.14000000000000001</v>
      </c>
      <c r="ET205" s="58">
        <f>+SUM(Tabla1[[#This Row],[EJECUTADO 01]:[EJECUTADO 09]])</f>
        <v>29455.86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1985</v>
      </c>
      <c r="AB206" s="369" t="s">
        <v>1986</v>
      </c>
      <c r="AC206" s="369" t="s">
        <v>1643</v>
      </c>
      <c r="AD206" s="369" t="s">
        <v>1702</v>
      </c>
      <c r="AE206" s="369" t="s">
        <v>1703</v>
      </c>
      <c r="AF206" s="369" t="s">
        <v>2024</v>
      </c>
      <c r="AG206" s="369" t="s">
        <v>2348</v>
      </c>
      <c r="AH206" s="369">
        <v>0</v>
      </c>
      <c r="AI206" s="369">
        <v>4800</v>
      </c>
      <c r="AJ206" s="369">
        <v>4800</v>
      </c>
      <c r="AK206" s="370">
        <v>4800</v>
      </c>
      <c r="AL206" s="370">
        <v>0</v>
      </c>
      <c r="AM206" s="370">
        <v>0</v>
      </c>
      <c r="AN206" s="370">
        <v>0</v>
      </c>
      <c r="AO206" s="370">
        <v>0</v>
      </c>
      <c r="AP206" s="370">
        <v>0</v>
      </c>
      <c r="AQ206" s="370">
        <v>0</v>
      </c>
      <c r="AR206" s="370">
        <v>0</v>
      </c>
      <c r="AS206" s="370">
        <v>0</v>
      </c>
      <c r="AT206" s="370">
        <v>0</v>
      </c>
      <c r="AU206" s="370">
        <v>0</v>
      </c>
      <c r="AV206" s="370">
        <v>0</v>
      </c>
      <c r="AW206" s="370">
        <v>0</v>
      </c>
      <c r="AX206" s="370">
        <v>0</v>
      </c>
      <c r="AY206" s="370">
        <v>0</v>
      </c>
      <c r="AZ206" s="370">
        <v>0</v>
      </c>
      <c r="BA206" s="370">
        <v>0</v>
      </c>
      <c r="BB206" s="370">
        <v>0</v>
      </c>
      <c r="BC206" s="370">
        <v>0</v>
      </c>
      <c r="BD206" s="370">
        <v>0</v>
      </c>
      <c r="BE206" s="370">
        <v>0</v>
      </c>
      <c r="BF206" s="370">
        <v>0</v>
      </c>
      <c r="BG206" s="370">
        <v>0</v>
      </c>
      <c r="BH206" s="370">
        <v>0</v>
      </c>
      <c r="BI206" s="370">
        <v>0</v>
      </c>
      <c r="BJ206" s="370">
        <v>0</v>
      </c>
      <c r="BK206" s="370">
        <v>0</v>
      </c>
      <c r="BL206" s="370">
        <v>0</v>
      </c>
      <c r="BM206" s="370">
        <v>0</v>
      </c>
      <c r="BN206" s="370">
        <v>0</v>
      </c>
      <c r="BO206" s="370">
        <v>0</v>
      </c>
      <c r="BP206" s="370">
        <v>0</v>
      </c>
      <c r="BQ206" s="370">
        <v>0</v>
      </c>
      <c r="BR206" s="370">
        <v>0</v>
      </c>
      <c r="BS206" s="370">
        <v>0</v>
      </c>
      <c r="BT206" s="370">
        <v>0</v>
      </c>
      <c r="BU206" s="370">
        <v>0</v>
      </c>
      <c r="BV206" s="370">
        <v>0</v>
      </c>
      <c r="BW206" s="370">
        <v>0</v>
      </c>
      <c r="BX206" s="370">
        <v>0</v>
      </c>
      <c r="BY206" s="370">
        <v>0</v>
      </c>
      <c r="BZ206" s="370">
        <v>0</v>
      </c>
      <c r="CA206" s="370">
        <v>0</v>
      </c>
      <c r="CB206" s="370">
        <v>0</v>
      </c>
      <c r="CC206" s="370">
        <v>0</v>
      </c>
      <c r="CD206" s="370">
        <v>0</v>
      </c>
      <c r="CE206" s="370">
        <v>0</v>
      </c>
      <c r="CF206" s="370">
        <v>0</v>
      </c>
      <c r="CG206" s="370">
        <v>0</v>
      </c>
      <c r="CH206" s="370">
        <v>0</v>
      </c>
      <c r="CI206" s="48" t="s">
        <v>1987</v>
      </c>
      <c r="CJ206" s="48" t="s">
        <v>1988</v>
      </c>
      <c r="CK206" s="48" t="s">
        <v>1991</v>
      </c>
      <c r="CL206" s="48" t="s">
        <v>1987</v>
      </c>
      <c r="CM206" s="48" t="s">
        <v>2005</v>
      </c>
      <c r="CN206" s="48" t="s">
        <v>1990</v>
      </c>
      <c r="CO206" s="48" t="str">
        <f>+CONCATENATE(CI206,".",CJ206,".",CK206,".",CL206,".",CM206,".",CN206)</f>
        <v>2.6.3.2.9.1</v>
      </c>
      <c r="CP206" s="48" t="str">
        <f>+VLOOKUP(Tabla1[[#This Row],[ESPECÍFICA]],CLASIFICADOR_,2,0)</f>
        <v>2.6.3.2.9.1 - AIRE ACONDICIONADO Y REFRIGERACION</v>
      </c>
      <c r="CQ206" s="48" t="str">
        <f>+VLOOKUP(Tabla1[[#This Row],[ESPECÍFICA]],CLASIFICADOR_,3,0)</f>
        <v>2.6.3.2 - ADQUISICION DE MAQUINARIAS, EQUIPO Y MOBILIARIO</v>
      </c>
      <c r="CR206" s="48" t="str">
        <f>+VLOOKUP(Tabla1[[#This Row],[ESPECÍFICA]],CLASIFICADOR_,4,0)</f>
        <v xml:space="preserve"> </v>
      </c>
      <c r="CS206" s="48">
        <f>+VLOOKUP(Tabla1[[#This Row],[ESPECÍFICA]],CLASIFICADOR_,5,0)</f>
        <v>0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2.6.ADQUISICION DE ACTIVOS NO FINANCIEROS</v>
      </c>
      <c r="CX206" s="48" t="str">
        <f t="shared" si="42"/>
        <v>0010-OA</v>
      </c>
      <c r="CY206" s="113" t="str">
        <f t="shared" si="43"/>
        <v>0010-OA</v>
      </c>
      <c r="CZ206" s="20" t="str">
        <f t="shared" si="44"/>
        <v>0010-OA</v>
      </c>
      <c r="DA206" s="113" t="str">
        <f>+CONCATENATE(Tabla1[[#This Row],[CC COMPLETO]],Tabla1[[#This Row],[ESPECÍFICA]])</f>
        <v>0010-OA2.6.3.2.9.1</v>
      </c>
      <c r="DB206" s="49">
        <f t="shared" si="45"/>
        <v>0</v>
      </c>
      <c r="DC206" s="49">
        <f t="shared" si="46"/>
        <v>0</v>
      </c>
      <c r="DD206" s="49">
        <f t="shared" si="47"/>
        <v>0</v>
      </c>
      <c r="DE206" s="49">
        <f t="shared" si="48"/>
        <v>0</v>
      </c>
      <c r="DF206" s="49">
        <f t="shared" si="49"/>
        <v>4800</v>
      </c>
      <c r="DG206" s="49">
        <f t="shared" si="50"/>
        <v>0</v>
      </c>
      <c r="DH206" s="49">
        <f t="shared" si="51"/>
        <v>4800</v>
      </c>
      <c r="DI206" s="50">
        <f t="shared" si="52"/>
        <v>0</v>
      </c>
      <c r="DJ206" s="78">
        <f>+SUM(Tabla1[[#This Row],[EJECUTADO 01]:[EJECUTADO 06]])</f>
        <v>0</v>
      </c>
      <c r="DK206" s="78">
        <f>+Tabla1[[#This Row],[mto_devenga_01]]</f>
        <v>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0</v>
      </c>
      <c r="DO206" s="78">
        <f>+Tabla1[[#This Row],[mto_devenga_05]]</f>
        <v>0</v>
      </c>
      <c r="DP206" s="76">
        <f>+Tabla1[[#This Row],[mto_devenga_06]]</f>
        <v>0</v>
      </c>
      <c r="DQ206" s="76">
        <f>+Tabla1[[#This Row],[mto_devenga_07]]</f>
        <v>0</v>
      </c>
      <c r="DR206" s="76">
        <f>+Tabla1[[#This Row],[mto_devenga_08]]</f>
        <v>0</v>
      </c>
      <c r="DS206" s="76">
        <f>+Tabla1[[#This Row],[mto_devenga_09]]</f>
        <v>0</v>
      </c>
      <c r="DT206" s="76" t="str">
        <f>IFERROR(VLOOKUP(Tabla1[[#This Row],[COD SE]],PF_OCTUBRE,14,0),"0")</f>
        <v>0</v>
      </c>
      <c r="DU206" s="76" t="str">
        <f>IFERROR(VLOOKUP(Tabla1[[#This Row],[COD SE]],PF_OCTUBRE,15,0),"0")</f>
        <v>0</v>
      </c>
      <c r="DV206" s="76" t="str">
        <f>IFERROR(VLOOKUP(Tabla1[[#This Row],[COD SE]],PF_OCTUBRE,16,0),"0")</f>
        <v>0</v>
      </c>
      <c r="DW206" s="76">
        <f>+SUM(Tabla1[[#This Row],[EJECUTADO 01]:[PF DICIEMBRE
]])</f>
        <v>0</v>
      </c>
      <c r="DX206" s="76" t="str">
        <f>IFERROR(VLOOKUP(Tabla1[[#This Row],[COD SE]],PF_OCTUBRE,18,0),"0")</f>
        <v>0</v>
      </c>
      <c r="DY206" s="76" t="str">
        <f>IFERROR(VLOOKUP(Tabla1[[#This Row],[COD SE]],PF_OCTUBRE,19,0),"0")</f>
        <v>0</v>
      </c>
      <c r="DZ206" s="76" t="str">
        <f>IFERROR(VLOOKUP(Tabla1[[#This Row],[COD SE]],PF_OCTUBRE,20,0),"0")</f>
        <v>0</v>
      </c>
      <c r="EA206" s="76">
        <f>+Tabla1[[#This Row],[TOTAL EJEC REAL]]+Tabla1[[#This Row],[SALDO FINAL]]</f>
        <v>0</v>
      </c>
      <c r="EB206" s="76" t="str">
        <f>IFERROR(VLOOKUP(Tabla1[[#This Row],[COD SE]],PF_OCTUBRE,22,0),"0")</f>
        <v>0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4800</v>
      </c>
      <c r="EF206" s="76">
        <f>+Tabla1[[#This Row],[mto_pim]]-Tabla1[[#This Row],[TRANFS ESC 3 ]]</f>
        <v>4800</v>
      </c>
      <c r="EG206" s="76">
        <f>+IFERROR(VLOOKUP(Tabla1[[#This Row],[COD SE]],HISTORICO,4,0),0)</f>
        <v>0</v>
      </c>
      <c r="EH206" s="76">
        <f>+IFERROR(VLOOKUP(Tabla1[[#This Row],[COD SE]],HISTORICO,5,0),0)</f>
        <v>0</v>
      </c>
      <c r="EI206" s="76">
        <f>+IFERROR(VLOOKUP(Tabla1[[#This Row],[COD SE]],HISTORICO,6,0),0)</f>
        <v>0</v>
      </c>
      <c r="EJ206" s="76">
        <f>+IFERROR(VLOOKUP(Tabla1[[#This Row],[COD SE]],HISTORICO,7,0),0)</f>
        <v>0</v>
      </c>
      <c r="EK206" s="76">
        <f>+IFERROR(VLOOKUP(Tabla1[[#This Row],[COD SE]],HISTORICO,8,0),0)</f>
        <v>0</v>
      </c>
      <c r="EL206" s="76">
        <f>+IFERROR(VLOOKUP(Tabla1[[#This Row],[COD SE]],HISTORICO,9,0),0)</f>
        <v>0</v>
      </c>
      <c r="EM206" s="76">
        <f>+IFERROR(VLOOKUP(Tabla1[[#This Row],[COD SE]],HISTORICO,10,0),0)</f>
        <v>0</v>
      </c>
      <c r="EN206" s="76">
        <f>+IFERROR(VLOOKUP(Tabla1[[#This Row],[COD SE]],HISTORICO,11,0),0)</f>
        <v>0</v>
      </c>
      <c r="EO206" s="76">
        <f>+IFERROR(VLOOKUP(Tabla1[[#This Row],[COD SE]],HISTORICO,12,0),0)</f>
        <v>0</v>
      </c>
      <c r="EP206" s="58">
        <f>+SUM(Tabla1[[#This Row],[EJECUTADO 01]:[EJECUTADO 03]])</f>
        <v>0</v>
      </c>
      <c r="EQ206" s="58">
        <f>+SUM(Tabla1[[#This Row],[EJECUTADO 04]:[EJECUTADO 06]])</f>
        <v>0</v>
      </c>
      <c r="ER206" s="58">
        <f>+SUM(Tabla1[[#This Row],[EJECUTADO 07]:[EJECUTADO 09]])</f>
        <v>0</v>
      </c>
      <c r="ES206" s="58">
        <f>+SUM(Tabla1[[#This Row],[PF OCTUBRE]:[PF DICIEMBRE
]])</f>
        <v>0</v>
      </c>
      <c r="ET206" s="58">
        <f>+SUM(Tabla1[[#This Row],[EJECUTADO 01]:[EJECUTADO 09]])</f>
        <v>0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1684</v>
      </c>
      <c r="AE207" s="369" t="s">
        <v>1756</v>
      </c>
      <c r="AF207" s="369" t="s">
        <v>1756</v>
      </c>
      <c r="AG207" s="369" t="s">
        <v>1757</v>
      </c>
      <c r="AH207" s="369">
        <v>26500</v>
      </c>
      <c r="AI207" s="369">
        <v>-19870</v>
      </c>
      <c r="AJ207" s="369">
        <v>6630</v>
      </c>
      <c r="AK207" s="370">
        <v>6629.9</v>
      </c>
      <c r="AL207" s="370">
        <v>6629.9</v>
      </c>
      <c r="AM207" s="370">
        <v>0</v>
      </c>
      <c r="AN207" s="370">
        <v>0</v>
      </c>
      <c r="AO207" s="370">
        <v>0</v>
      </c>
      <c r="AP207" s="370">
        <v>0</v>
      </c>
      <c r="AQ207" s="370">
        <v>2699</v>
      </c>
      <c r="AR207" s="370">
        <v>0</v>
      </c>
      <c r="AS207" s="370">
        <v>0</v>
      </c>
      <c r="AT207" s="370">
        <v>3930.9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0</v>
      </c>
      <c r="BA207" s="370">
        <v>0</v>
      </c>
      <c r="BB207" s="370">
        <v>0</v>
      </c>
      <c r="BC207" s="370">
        <v>2699</v>
      </c>
      <c r="BD207" s="370">
        <v>0</v>
      </c>
      <c r="BE207" s="370">
        <v>0</v>
      </c>
      <c r="BF207" s="370">
        <v>0</v>
      </c>
      <c r="BG207" s="370">
        <v>3930.9</v>
      </c>
      <c r="BH207" s="370">
        <v>0</v>
      </c>
      <c r="BI207" s="370">
        <v>0</v>
      </c>
      <c r="BJ207" s="370">
        <v>0</v>
      </c>
      <c r="BK207" s="370">
        <v>0</v>
      </c>
      <c r="BL207" s="370">
        <v>0</v>
      </c>
      <c r="BM207" s="370">
        <v>0</v>
      </c>
      <c r="BN207" s="370">
        <v>0</v>
      </c>
      <c r="BO207" s="370">
        <v>2699</v>
      </c>
      <c r="BP207" s="370">
        <v>0</v>
      </c>
      <c r="BQ207" s="370">
        <v>0</v>
      </c>
      <c r="BR207" s="370">
        <v>0</v>
      </c>
      <c r="BS207" s="370">
        <v>3930.9</v>
      </c>
      <c r="BT207" s="370">
        <v>0</v>
      </c>
      <c r="BU207" s="370">
        <v>0</v>
      </c>
      <c r="BV207" s="370">
        <v>0</v>
      </c>
      <c r="BW207" s="370">
        <v>0</v>
      </c>
      <c r="BX207" s="370">
        <v>0</v>
      </c>
      <c r="BY207" s="370">
        <v>0</v>
      </c>
      <c r="BZ207" s="370">
        <v>0</v>
      </c>
      <c r="CA207" s="370">
        <v>2699</v>
      </c>
      <c r="CB207" s="370">
        <v>0</v>
      </c>
      <c r="CC207" s="370">
        <v>0</v>
      </c>
      <c r="CD207" s="370">
        <v>3930.9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1990</v>
      </c>
      <c r="CL207" s="48" t="s">
        <v>1990</v>
      </c>
      <c r="CM207" s="48" t="s">
        <v>1990</v>
      </c>
      <c r="CN207" s="48" t="s">
        <v>1990</v>
      </c>
      <c r="CO207" s="10" t="str">
        <f t="shared" ref="CO207:CO213" si="54">+CONCATENATE(CI207,".",CJ207,".",CK207,".",CL207,".",CM207,".",CN207)</f>
        <v>2.3.1.1.1.1</v>
      </c>
      <c r="CP207" s="10" t="str">
        <f>+VLOOKUP(Tabla1[[#This Row],[ESPECÍFICA]],CLASIFICADOR_,2,0)</f>
        <v>2.3.1.1.1.1 - ALIMENTOS Y BEBIDAS PARA CONSUMO HUMANO</v>
      </c>
      <c r="CQ207" s="10" t="str">
        <f>+VLOOKUP(Tabla1[[#This Row],[ESPECÍFICA]],CLASIFICADOR_,3,0)</f>
        <v>2.3.1.1 - ALIMENTOS Y BEBIDAS</v>
      </c>
      <c r="CR207" s="10" t="str">
        <f>+VLOOKUP(Tabla1[[#This Row],[ESPECÍFICA]],CLASIFICADOR_,4,0)</f>
        <v xml:space="preserve"> </v>
      </c>
      <c r="CS207" s="10">
        <f>+VLOOKUP(Tabla1[[#This Row],[ESPECÍFICA]],CLASIFICADOR_,5,0)</f>
        <v>0</v>
      </c>
      <c r="CT207" s="5" t="str">
        <f>+VLOOKUP(Tabla1[[#This Row],[ESPECÍFICA]],CLASIFICADOR_,6,0)</f>
        <v>N/R</v>
      </c>
      <c r="CU207" s="10" t="str">
        <f>+VLOOKUP(Tabla1[[#This Row],[ESPECÍFICA]],CLASIFICADOR_,7,0)</f>
        <v>N/R</v>
      </c>
      <c r="CV207" s="10">
        <f>+VLOOKUP(Tabla1[[#This Row],[ESPECÍFICA]],CLASIFICADOR_,8,0)</f>
        <v>0</v>
      </c>
      <c r="CW207" s="113" t="str">
        <f>+CONCATENATE("2.",Tabla1[[#This Row],[generica]])</f>
        <v>2.3.BIENES Y SERVICIOS</v>
      </c>
      <c r="CX207" s="10" t="str">
        <f t="shared" si="42"/>
        <v>0010-OA</v>
      </c>
      <c r="CY207" s="5" t="str">
        <f t="shared" si="43"/>
        <v>0010-OA</v>
      </c>
      <c r="CZ207" t="str">
        <f t="shared" si="44"/>
        <v>0010-OA</v>
      </c>
      <c r="DA207" s="113" t="str">
        <f>+CONCATENATE(Tabla1[[#This Row],[CC COMPLETO]],Tabla1[[#This Row],[ESPECÍFICA]])</f>
        <v>0010-OA2.3.1.1.1.1</v>
      </c>
      <c r="DB207" s="11">
        <f t="shared" si="45"/>
        <v>6629.9</v>
      </c>
      <c r="DC207" s="11">
        <f t="shared" si="46"/>
        <v>6629.9</v>
      </c>
      <c r="DD207" s="11">
        <f t="shared" si="47"/>
        <v>6629.9</v>
      </c>
      <c r="DE207" s="11">
        <f t="shared" si="48"/>
        <v>0.1000000000003638</v>
      </c>
      <c r="DF207" s="11">
        <f t="shared" si="49"/>
        <v>0</v>
      </c>
      <c r="DG207" s="11">
        <f t="shared" si="50"/>
        <v>0</v>
      </c>
      <c r="DH207" s="11">
        <f t="shared" si="51"/>
        <v>0.1000000000003638</v>
      </c>
      <c r="DI207" s="12">
        <f t="shared" si="52"/>
        <v>0.25018490566037732</v>
      </c>
      <c r="DJ207" s="77">
        <f>+SUM(Tabla1[[#This Row],[EJECUTADO 01]:[EJECUTADO 06]])</f>
        <v>2699</v>
      </c>
      <c r="DK207" s="78">
        <f>+Tabla1[[#This Row],[mto_devenga_01]]</f>
        <v>0</v>
      </c>
      <c r="DL207" s="78">
        <f>+Tabla1[[#This Row],[mto_devenga_02]]</f>
        <v>0</v>
      </c>
      <c r="DM207" s="78">
        <f>+Tabla1[[#This Row],[mto_devenga_03]]</f>
        <v>0</v>
      </c>
      <c r="DN207" s="78">
        <f>+Tabla1[[#This Row],[mto_devenga_04]]</f>
        <v>0</v>
      </c>
      <c r="DO207" s="78">
        <f>+Tabla1[[#This Row],[mto_devenga_05]]</f>
        <v>2699</v>
      </c>
      <c r="DP207" s="76">
        <f>+Tabla1[[#This Row],[mto_devenga_06]]</f>
        <v>0</v>
      </c>
      <c r="DQ207" s="76">
        <f>+Tabla1[[#This Row],[mto_devenga_07]]</f>
        <v>0</v>
      </c>
      <c r="DR207" s="76">
        <f>+Tabla1[[#This Row],[mto_devenga_08]]</f>
        <v>0</v>
      </c>
      <c r="DS207" s="76">
        <f>+Tabla1[[#This Row],[mto_devenga_09]]</f>
        <v>3930.9</v>
      </c>
      <c r="DT207" s="76">
        <f>IFERROR(VLOOKUP(Tabla1[[#This Row],[COD SE]],PF_OCTUBRE,14,0),"0")</f>
        <v>0</v>
      </c>
      <c r="DU207" s="76">
        <f>IFERROR(VLOOKUP(Tabla1[[#This Row],[COD SE]],PF_OCTUBRE,15,0),"0")</f>
        <v>0</v>
      </c>
      <c r="DV207" s="76">
        <f>IFERROR(VLOOKUP(Tabla1[[#This Row],[COD SE]],PF_OCTUBRE,16,0),"0")</f>
        <v>0.1</v>
      </c>
      <c r="DW207" s="76">
        <f>+SUM(Tabla1[[#This Row],[EJECUTADO 01]:[PF DICIEMBRE
]])</f>
        <v>6630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6630</v>
      </c>
      <c r="EB207" s="76">
        <f>IFERROR(VLOOKUP(Tabla1[[#This Row],[COD SE]],PF_OCTUBRE,22,0),"0")</f>
        <v>0.1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6630</v>
      </c>
      <c r="EF207" s="76">
        <f>+Tabla1[[#This Row],[mto_pim]]-Tabla1[[#This Row],[TRANFS ESC 3 ]]</f>
        <v>6630</v>
      </c>
      <c r="EG207" s="76">
        <f>+IFERROR(VLOOKUP(Tabla1[[#This Row],[COD SE]],HISTORICO,4,0),0)</f>
        <v>0</v>
      </c>
      <c r="EH207" s="76">
        <f>+IFERROR(VLOOKUP(Tabla1[[#This Row],[COD SE]],HISTORICO,5,0),0)</f>
        <v>0</v>
      </c>
      <c r="EI207" s="76">
        <f>+IFERROR(VLOOKUP(Tabla1[[#This Row],[COD SE]],HISTORICO,6,0),0)</f>
        <v>0</v>
      </c>
      <c r="EJ207" s="76">
        <f>+IFERROR(VLOOKUP(Tabla1[[#This Row],[COD SE]],HISTORICO,7,0),0)</f>
        <v>1500</v>
      </c>
      <c r="EK207" s="76">
        <f>+IFERROR(VLOOKUP(Tabla1[[#This Row],[COD SE]],HISTORICO,8,0),0)</f>
        <v>2500</v>
      </c>
      <c r="EL207" s="76">
        <f>+IFERROR(VLOOKUP(Tabla1[[#This Row],[COD SE]],HISTORICO,9,0),0)</f>
        <v>0</v>
      </c>
      <c r="EM207" s="76">
        <f>+IFERROR(VLOOKUP(Tabla1[[#This Row],[COD SE]],HISTORICO,10,0),0)</f>
        <v>0</v>
      </c>
      <c r="EN207" s="76">
        <f>+IFERROR(VLOOKUP(Tabla1[[#This Row],[COD SE]],HISTORICO,11,0),0)</f>
        <v>0</v>
      </c>
      <c r="EO207" s="76">
        <f>+IFERROR(VLOOKUP(Tabla1[[#This Row],[COD SE]],HISTORICO,12,0),0)</f>
        <v>3930.9</v>
      </c>
      <c r="EP207" s="58">
        <f>+SUM(Tabla1[[#This Row],[EJECUTADO 01]:[EJECUTADO 03]])</f>
        <v>0</v>
      </c>
      <c r="EQ207" s="58">
        <f>+SUM(Tabla1[[#This Row],[EJECUTADO 04]:[EJECUTADO 06]])</f>
        <v>2699</v>
      </c>
      <c r="ER207" s="58">
        <f>+SUM(Tabla1[[#This Row],[EJECUTADO 07]:[EJECUTADO 09]])</f>
        <v>3930.9</v>
      </c>
      <c r="ES207" s="58">
        <f>+SUM(Tabla1[[#This Row],[PF OCTUBRE]:[PF DICIEMBRE
]])</f>
        <v>0.1</v>
      </c>
      <c r="ET207" s="58">
        <f>+SUM(Tabla1[[#This Row],[EJECUTADO 01]:[EJECUTADO 09]])</f>
        <v>6629.9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1684</v>
      </c>
      <c r="AE208" s="369" t="s">
        <v>1761</v>
      </c>
      <c r="AF208" s="369" t="s">
        <v>1762</v>
      </c>
      <c r="AG208" s="369" t="s">
        <v>1763</v>
      </c>
      <c r="AH208" s="369">
        <v>15000</v>
      </c>
      <c r="AI208" s="369">
        <v>0</v>
      </c>
      <c r="AJ208" s="369">
        <v>15000</v>
      </c>
      <c r="AK208" s="370">
        <v>12585.6</v>
      </c>
      <c r="AL208" s="370">
        <v>12585.6</v>
      </c>
      <c r="AM208" s="370">
        <v>12585.6</v>
      </c>
      <c r="AN208" s="370">
        <v>0</v>
      </c>
      <c r="AO208" s="370">
        <v>0</v>
      </c>
      <c r="AP208" s="370">
        <v>0</v>
      </c>
      <c r="AQ208" s="370">
        <v>0</v>
      </c>
      <c r="AR208" s="370">
        <v>0</v>
      </c>
      <c r="AS208" s="370">
        <v>0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12585.6</v>
      </c>
      <c r="BC208" s="370">
        <v>0</v>
      </c>
      <c r="BD208" s="370">
        <v>0</v>
      </c>
      <c r="BE208" s="370">
        <v>0</v>
      </c>
      <c r="BF208" s="370">
        <v>0</v>
      </c>
      <c r="BG208" s="370">
        <v>0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12585.6</v>
      </c>
      <c r="BO208" s="370">
        <v>0</v>
      </c>
      <c r="BP208" s="370">
        <v>0</v>
      </c>
      <c r="BQ208" s="370">
        <v>0</v>
      </c>
      <c r="BR208" s="370">
        <v>0</v>
      </c>
      <c r="BS208" s="370">
        <v>0</v>
      </c>
      <c r="BT208" s="370">
        <v>0</v>
      </c>
      <c r="BU208" s="370">
        <v>0</v>
      </c>
      <c r="BV208" s="370">
        <v>0</v>
      </c>
      <c r="BW208" s="370">
        <v>12585.6</v>
      </c>
      <c r="BX208" s="370">
        <v>0</v>
      </c>
      <c r="BY208" s="370">
        <v>0</v>
      </c>
      <c r="BZ208" s="370">
        <v>0</v>
      </c>
      <c r="CA208" s="370">
        <v>0</v>
      </c>
      <c r="CB208" s="370">
        <v>0</v>
      </c>
      <c r="CC208" s="370">
        <v>0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1990</v>
      </c>
      <c r="CL208" s="48" t="s">
        <v>1991</v>
      </c>
      <c r="CM208" s="48" t="s">
        <v>1990</v>
      </c>
      <c r="CN208" s="48" t="s">
        <v>1990</v>
      </c>
      <c r="CO208" s="10" t="str">
        <f t="shared" si="54"/>
        <v>2.3.1.3.1.1</v>
      </c>
      <c r="CP208" s="10" t="str">
        <f>+VLOOKUP(Tabla1[[#This Row],[ESPECÍFICA]],CLASIFICADOR_,2,0)</f>
        <v>2.3.1.3.1.1 - COMBUSTIBLES Y CARBURANTES</v>
      </c>
      <c r="CQ208" s="10" t="str">
        <f>+VLOOKUP(Tabla1[[#This Row],[ESPECÍFICA]],CLASIFICADOR_,3,0)</f>
        <v>2.3.1.3 - COMBUSTIBLES, CARBURANTES, LUBRICANTES Y AFINES</v>
      </c>
      <c r="CR208" s="10" t="str">
        <f>+VLOOKUP(Tabla1[[#This Row],[ESPECÍFICA]],CLASIFICADOR_,4,0)</f>
        <v>Límite de Gasto</v>
      </c>
      <c r="CS208" s="10" t="str">
        <f>+VLOOKUP(Tabla1[[#This Row],[ESPECÍFICA]],CLASIFICADOR_,5,0)</f>
        <v>10.6 e)</v>
      </c>
      <c r="CT208" s="5" t="str">
        <f>+VLOOKUP(Tabla1[[#This Row],[ESPECÍFICA]],CLASIFICADOR_,6,0)</f>
        <v>N/R</v>
      </c>
      <c r="CU208" s="10" t="str">
        <f>+VLOOKUP(Tabla1[[#This Row],[ESPECÍFICA]],CLASIFICADOR_,7,0)</f>
        <v>N/R</v>
      </c>
      <c r="CV208" s="10">
        <f>+VLOOKUP(Tabla1[[#This Row],[ESPECÍFICA]],CLASIFICADOR_,8,0)</f>
        <v>0</v>
      </c>
      <c r="CW208" s="113" t="str">
        <f>+CONCATENATE("2.",Tabla1[[#This Row],[generica]])</f>
        <v>2.3.BIENES Y SERVICIOS</v>
      </c>
      <c r="CX208" s="10" t="str">
        <f t="shared" si="42"/>
        <v>0010-OA</v>
      </c>
      <c r="CY208" s="5" t="str">
        <f t="shared" si="43"/>
        <v>0010-OA</v>
      </c>
      <c r="CZ208" t="str">
        <f t="shared" si="44"/>
        <v>0010-OA</v>
      </c>
      <c r="DA208" s="113" t="str">
        <f>+CONCATENATE(Tabla1[[#This Row],[CC COMPLETO]],Tabla1[[#This Row],[ESPECÍFICA]])</f>
        <v>0010-OA2.3.1.3.1.1</v>
      </c>
      <c r="DB208" s="11">
        <f t="shared" si="45"/>
        <v>12585.6</v>
      </c>
      <c r="DC208" s="11">
        <f t="shared" si="46"/>
        <v>12585.6</v>
      </c>
      <c r="DD208" s="11">
        <f t="shared" si="47"/>
        <v>12585.6</v>
      </c>
      <c r="DE208" s="11">
        <f t="shared" si="48"/>
        <v>2414.3999999999996</v>
      </c>
      <c r="DF208" s="11">
        <f t="shared" si="49"/>
        <v>0</v>
      </c>
      <c r="DG208" s="11">
        <f t="shared" si="50"/>
        <v>0</v>
      </c>
      <c r="DH208" s="11">
        <f t="shared" si="51"/>
        <v>2414.3999999999996</v>
      </c>
      <c r="DI208" s="12">
        <f t="shared" si="52"/>
        <v>0.83904000000000001</v>
      </c>
      <c r="DJ208" s="77">
        <f>+SUM(Tabla1[[#This Row],[EJECUTADO 01]:[EJECUTADO 06]])</f>
        <v>12585.6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12585.6</v>
      </c>
      <c r="DO208" s="78">
        <f>+Tabla1[[#This Row],[mto_devenga_05]]</f>
        <v>0</v>
      </c>
      <c r="DP208" s="76">
        <f>+Tabla1[[#This Row],[mto_devenga_06]]</f>
        <v>0</v>
      </c>
      <c r="DQ208" s="76">
        <f>+Tabla1[[#This Row],[mto_devenga_07]]</f>
        <v>0</v>
      </c>
      <c r="DR208" s="76">
        <f>+Tabla1[[#This Row],[mto_devenga_08]]</f>
        <v>0</v>
      </c>
      <c r="DS208" s="76">
        <f>+Tabla1[[#This Row],[mto_devenga_09]]</f>
        <v>0</v>
      </c>
      <c r="DT208" s="76">
        <f>IFERROR(VLOOKUP(Tabla1[[#This Row],[COD SE]],PF_OCTUBRE,14,0),"0")</f>
        <v>0</v>
      </c>
      <c r="DU208" s="76">
        <f>IFERROR(VLOOKUP(Tabla1[[#This Row],[COD SE]],PF_OCTUBRE,15,0),"0")</f>
        <v>0</v>
      </c>
      <c r="DV208" s="76">
        <f>IFERROR(VLOOKUP(Tabla1[[#This Row],[COD SE]],PF_OCTUBRE,16,0),"0")</f>
        <v>2414.4</v>
      </c>
      <c r="DW208" s="76">
        <f>+SUM(Tabla1[[#This Row],[EJECUTADO 01]:[PF DICIEMBRE
]])</f>
        <v>15000</v>
      </c>
      <c r="DX208" s="76">
        <f>IFERROR(VLOOKUP(Tabla1[[#This Row],[COD SE]],PF_OCTUBRE,18,0),"0")</f>
        <v>0</v>
      </c>
      <c r="DY208" s="76">
        <f>IFERROR(VLOOKUP(Tabla1[[#This Row],[COD SE]],PF_OCTUBRE,19,0),"0")</f>
        <v>0</v>
      </c>
      <c r="DZ208" s="76">
        <f>IFERROR(VLOOKUP(Tabla1[[#This Row],[COD SE]],PF_OCTUBRE,20,0),"0")</f>
        <v>0</v>
      </c>
      <c r="EA208" s="76">
        <f>+Tabla1[[#This Row],[TOTAL EJEC REAL]]+Tabla1[[#This Row],[SALDO FINAL]]</f>
        <v>15000</v>
      </c>
      <c r="EB208" s="76">
        <f>IFERROR(VLOOKUP(Tabla1[[#This Row],[COD SE]],PF_OCTUBRE,22,0),"0")</f>
        <v>2414.4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15000</v>
      </c>
      <c r="EF208" s="76">
        <f>+Tabla1[[#This Row],[mto_pim]]-Tabla1[[#This Row],[TRANFS ESC 3 ]]</f>
        <v>15000</v>
      </c>
      <c r="EG208" s="76">
        <f>+IFERROR(VLOOKUP(Tabla1[[#This Row],[COD SE]],HISTORICO,4,0),0)</f>
        <v>0</v>
      </c>
      <c r="EH208" s="76">
        <f>+IFERROR(VLOOKUP(Tabla1[[#This Row],[COD SE]],HISTORICO,5,0),0)</f>
        <v>1100</v>
      </c>
      <c r="EI208" s="76">
        <f>+IFERROR(VLOOKUP(Tabla1[[#This Row],[COD SE]],HISTORICO,6,0),0)</f>
        <v>0</v>
      </c>
      <c r="EJ208" s="76">
        <f>+IFERROR(VLOOKUP(Tabla1[[#This Row],[COD SE]],HISTORICO,7,0),0)</f>
        <v>0</v>
      </c>
      <c r="EK208" s="76">
        <f>+IFERROR(VLOOKUP(Tabla1[[#This Row],[COD SE]],HISTORICO,8,0),0)</f>
        <v>0</v>
      </c>
      <c r="EL208" s="76">
        <f>+IFERROR(VLOOKUP(Tabla1[[#This Row],[COD SE]],HISTORICO,9,0),0)</f>
        <v>0</v>
      </c>
      <c r="EM208" s="76">
        <f>+IFERROR(VLOOKUP(Tabla1[[#This Row],[COD SE]],HISTORICO,10,0),0)</f>
        <v>0</v>
      </c>
      <c r="EN208" s="76">
        <f>+IFERROR(VLOOKUP(Tabla1[[#This Row],[COD SE]],HISTORICO,11,0),0)</f>
        <v>0</v>
      </c>
      <c r="EO208" s="76">
        <f>+IFERROR(VLOOKUP(Tabla1[[#This Row],[COD SE]],HISTORICO,12,0),0)</f>
        <v>0</v>
      </c>
      <c r="EP208" s="58">
        <f>+SUM(Tabla1[[#This Row],[EJECUTADO 01]:[EJECUTADO 03]])</f>
        <v>0</v>
      </c>
      <c r="EQ208" s="58">
        <f>+SUM(Tabla1[[#This Row],[EJECUTADO 04]:[EJECUTADO 06]])</f>
        <v>12585.6</v>
      </c>
      <c r="ER208" s="58">
        <f>+SUM(Tabla1[[#This Row],[EJECUTADO 07]:[EJECUTADO 09]])</f>
        <v>0</v>
      </c>
      <c r="ES208" s="58">
        <f>+SUM(Tabla1[[#This Row],[PF OCTUBRE]:[PF DICIEMBRE
]])</f>
        <v>2414.4</v>
      </c>
      <c r="ET208" s="58">
        <f>+SUM(Tabla1[[#This Row],[EJECUTADO 01]:[EJECUTADO 09]])</f>
        <v>12585.6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1684</v>
      </c>
      <c r="AE209" s="369" t="s">
        <v>1719</v>
      </c>
      <c r="AF209" s="369" t="s">
        <v>1720</v>
      </c>
      <c r="AG209" s="369" t="s">
        <v>1768</v>
      </c>
      <c r="AH209" s="369">
        <v>1000</v>
      </c>
      <c r="AI209" s="369">
        <v>0</v>
      </c>
      <c r="AJ209" s="369">
        <v>1000</v>
      </c>
      <c r="AK209" s="370">
        <v>999</v>
      </c>
      <c r="AL209" s="370">
        <v>999</v>
      </c>
      <c r="AM209" s="370">
        <v>0</v>
      </c>
      <c r="AN209" s="370">
        <v>0</v>
      </c>
      <c r="AO209" s="370">
        <v>0</v>
      </c>
      <c r="AP209" s="370">
        <v>0</v>
      </c>
      <c r="AQ209" s="370">
        <v>0</v>
      </c>
      <c r="AR209" s="370">
        <v>0</v>
      </c>
      <c r="AS209" s="370">
        <v>999</v>
      </c>
      <c r="AT209" s="370">
        <v>0</v>
      </c>
      <c r="AU209" s="370">
        <v>0</v>
      </c>
      <c r="AV209" s="370">
        <v>0</v>
      </c>
      <c r="AW209" s="370">
        <v>0</v>
      </c>
      <c r="AX209" s="370">
        <v>0</v>
      </c>
      <c r="AY209" s="370">
        <v>0</v>
      </c>
      <c r="AZ209" s="370">
        <v>0</v>
      </c>
      <c r="BA209" s="370">
        <v>0</v>
      </c>
      <c r="BB209" s="370">
        <v>0</v>
      </c>
      <c r="BC209" s="370">
        <v>0</v>
      </c>
      <c r="BD209" s="370">
        <v>0</v>
      </c>
      <c r="BE209" s="370">
        <v>0</v>
      </c>
      <c r="BF209" s="370">
        <v>0</v>
      </c>
      <c r="BG209" s="370">
        <v>999</v>
      </c>
      <c r="BH209" s="370">
        <v>0</v>
      </c>
      <c r="BI209" s="370">
        <v>0</v>
      </c>
      <c r="BJ209" s="370">
        <v>0</v>
      </c>
      <c r="BK209" s="370">
        <v>0</v>
      </c>
      <c r="BL209" s="370">
        <v>0</v>
      </c>
      <c r="BM209" s="370">
        <v>0</v>
      </c>
      <c r="BN209" s="370">
        <v>0</v>
      </c>
      <c r="BO209" s="370">
        <v>0</v>
      </c>
      <c r="BP209" s="370">
        <v>0</v>
      </c>
      <c r="BQ209" s="370">
        <v>0</v>
      </c>
      <c r="BR209" s="370">
        <v>0</v>
      </c>
      <c r="BS209" s="370">
        <v>999</v>
      </c>
      <c r="BT209" s="370">
        <v>0</v>
      </c>
      <c r="BU209" s="370">
        <v>0</v>
      </c>
      <c r="BV209" s="370">
        <v>0</v>
      </c>
      <c r="BW209" s="370">
        <v>0</v>
      </c>
      <c r="BX209" s="370">
        <v>0</v>
      </c>
      <c r="BY209" s="370">
        <v>0</v>
      </c>
      <c r="BZ209" s="370">
        <v>0</v>
      </c>
      <c r="CA209" s="370">
        <v>0</v>
      </c>
      <c r="CB209" s="370">
        <v>0</v>
      </c>
      <c r="CC209" s="370">
        <v>999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1990</v>
      </c>
      <c r="CL209" s="48" t="s">
        <v>1988</v>
      </c>
      <c r="CM209" s="48" t="s">
        <v>1990</v>
      </c>
      <c r="CN209" s="48" t="s">
        <v>1990</v>
      </c>
      <c r="CO209" s="10" t="str">
        <f t="shared" si="54"/>
        <v>2.3.1.6.1.1</v>
      </c>
      <c r="CP209" s="10" t="str">
        <f>+VLOOKUP(Tabla1[[#This Row],[ESPECÍFICA]],CLASIFICADOR_,2,0)</f>
        <v>2.3.1.6.1.1 - DE VEHICULOS</v>
      </c>
      <c r="CQ209" s="10" t="str">
        <f>+VLOOKUP(Tabla1[[#This Row],[ESPECÍFICA]],CLASIFICADOR_,3,0)</f>
        <v>2.3.1.6 - REPUESTOS Y ACCESORIOS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Partidas restringidas</v>
      </c>
      <c r="CU209" s="10" t="str">
        <f>+VLOOKUP(Tabla1[[#This Row],[ESPECÍFICA]],CLASIFICADOR_,7,0)</f>
        <v>9.6 Hasta el 1er Semestre</v>
      </c>
      <c r="CV209" s="10">
        <f>+VLOOKUP(Tabla1[[#This Row],[ESPECÍFICA]],CLASIFICADOR_,8,0)</f>
        <v>1</v>
      </c>
      <c r="CW209" s="113" t="str">
        <f>+CONCATENATE("2.",Tabla1[[#This Row],[generica]])</f>
        <v>2.3.BIENES Y SERVICIOS</v>
      </c>
      <c r="CX209" s="10" t="str">
        <f t="shared" si="42"/>
        <v>0010-OA</v>
      </c>
      <c r="CY209" s="5" t="str">
        <f t="shared" si="43"/>
        <v>0010-OA</v>
      </c>
      <c r="CZ209" t="str">
        <f t="shared" si="44"/>
        <v>0010-OA</v>
      </c>
      <c r="DA209" s="113" t="str">
        <f>+CONCATENATE(Tabla1[[#This Row],[CC COMPLETO]],Tabla1[[#This Row],[ESPECÍFICA]])</f>
        <v>0010-OA2.3.1.6.1.1</v>
      </c>
      <c r="DB209" s="11">
        <f t="shared" si="45"/>
        <v>999</v>
      </c>
      <c r="DC209" s="11">
        <f t="shared" si="46"/>
        <v>999</v>
      </c>
      <c r="DD209" s="11">
        <f t="shared" si="47"/>
        <v>999</v>
      </c>
      <c r="DE209" s="11">
        <f t="shared" si="48"/>
        <v>1</v>
      </c>
      <c r="DF209" s="11">
        <f t="shared" si="49"/>
        <v>0</v>
      </c>
      <c r="DG209" s="11">
        <f t="shared" si="50"/>
        <v>0</v>
      </c>
      <c r="DH209" s="11">
        <f t="shared" si="51"/>
        <v>1</v>
      </c>
      <c r="DI209" s="12">
        <f t="shared" si="52"/>
        <v>0.999</v>
      </c>
      <c r="DJ209" s="77">
        <f>+SUM(Tabla1[[#This Row],[EJECUTADO 01]:[EJECUTADO 06]])</f>
        <v>0</v>
      </c>
      <c r="DK209" s="78">
        <f>+Tabla1[[#This Row],[mto_devenga_01]]</f>
        <v>0</v>
      </c>
      <c r="DL209" s="78">
        <f>+Tabla1[[#This Row],[mto_devenga_02]]</f>
        <v>0</v>
      </c>
      <c r="DM209" s="78">
        <f>+Tabla1[[#This Row],[mto_devenga_03]]</f>
        <v>0</v>
      </c>
      <c r="DN209" s="78">
        <f>+Tabla1[[#This Row],[mto_devenga_04]]</f>
        <v>0</v>
      </c>
      <c r="DO209" s="78">
        <f>+Tabla1[[#This Row],[mto_devenga_05]]</f>
        <v>0</v>
      </c>
      <c r="DP209" s="76">
        <f>+Tabla1[[#This Row],[mto_devenga_06]]</f>
        <v>0</v>
      </c>
      <c r="DQ209" s="76">
        <f>+Tabla1[[#This Row],[mto_devenga_07]]</f>
        <v>0</v>
      </c>
      <c r="DR209" s="76">
        <f>+Tabla1[[#This Row],[mto_devenga_08]]</f>
        <v>0</v>
      </c>
      <c r="DS209" s="76">
        <f>+Tabla1[[#This Row],[mto_devenga_09]]</f>
        <v>999</v>
      </c>
      <c r="DT209" s="76">
        <f>IFERROR(VLOOKUP(Tabla1[[#This Row],[COD SE]],PF_OCTUBRE,14,0),"0")</f>
        <v>0</v>
      </c>
      <c r="DU209" s="76">
        <f>IFERROR(VLOOKUP(Tabla1[[#This Row],[COD SE]],PF_OCTUBRE,15,0),"0")</f>
        <v>0</v>
      </c>
      <c r="DV209" s="76">
        <f>IFERROR(VLOOKUP(Tabla1[[#This Row],[COD SE]],PF_OCTUBRE,16,0),"0")</f>
        <v>0</v>
      </c>
      <c r="DW209" s="76">
        <f>+SUM(Tabla1[[#This Row],[EJECUTADO 01]:[PF DICIEMBRE
]])</f>
        <v>999</v>
      </c>
      <c r="DX209" s="76">
        <f>IFERROR(VLOOKUP(Tabla1[[#This Row],[COD SE]],PF_OCTUBRE,18,0),"0")</f>
        <v>0</v>
      </c>
      <c r="DY209" s="76">
        <f>IFERROR(VLOOKUP(Tabla1[[#This Row],[COD SE]],PF_OCTUBRE,19,0),"0")</f>
        <v>1</v>
      </c>
      <c r="DZ209" s="76">
        <f>IFERROR(VLOOKUP(Tabla1[[#This Row],[COD SE]],PF_OCTUBRE,20,0),"0")</f>
        <v>1</v>
      </c>
      <c r="EA209" s="76">
        <f>+Tabla1[[#This Row],[TOTAL EJEC REAL]]+Tabla1[[#This Row],[SALDO FINAL]]</f>
        <v>1000</v>
      </c>
      <c r="EB209" s="76">
        <f>IFERROR(VLOOKUP(Tabla1[[#This Row],[COD SE]],PF_OCTUBRE,22,0),"0")</f>
        <v>1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1000</v>
      </c>
      <c r="EF209" s="76">
        <f>+Tabla1[[#This Row],[mto_pim]]-Tabla1[[#This Row],[TRANFS ESC 3 ]]</f>
        <v>1000</v>
      </c>
      <c r="EG209" s="76">
        <f>+IFERROR(VLOOKUP(Tabla1[[#This Row],[COD SE]],HISTORICO,4,0),0)</f>
        <v>0</v>
      </c>
      <c r="EH209" s="76">
        <f>+IFERROR(VLOOKUP(Tabla1[[#This Row],[COD SE]],HISTORICO,5,0),0)</f>
        <v>0</v>
      </c>
      <c r="EI209" s="76">
        <f>+IFERROR(VLOOKUP(Tabla1[[#This Row],[COD SE]],HISTORICO,6,0),0)</f>
        <v>0</v>
      </c>
      <c r="EJ209" s="76">
        <f>+IFERROR(VLOOKUP(Tabla1[[#This Row],[COD SE]],HISTORICO,7,0),0)</f>
        <v>1000</v>
      </c>
      <c r="EK209" s="76">
        <f>+IFERROR(VLOOKUP(Tabla1[[#This Row],[COD SE]],HISTORICO,8,0),0)</f>
        <v>1000</v>
      </c>
      <c r="EL209" s="76">
        <f>+IFERROR(VLOOKUP(Tabla1[[#This Row],[COD SE]],HISTORICO,9,0),0)</f>
        <v>0</v>
      </c>
      <c r="EM209" s="76">
        <f>+IFERROR(VLOOKUP(Tabla1[[#This Row],[COD SE]],HISTORICO,10,0),0)</f>
        <v>0</v>
      </c>
      <c r="EN209" s="76">
        <f>+IFERROR(VLOOKUP(Tabla1[[#This Row],[COD SE]],HISTORICO,11,0),0)</f>
        <v>999</v>
      </c>
      <c r="EO209" s="76">
        <f>+IFERROR(VLOOKUP(Tabla1[[#This Row],[COD SE]],HISTORICO,12,0),0)</f>
        <v>999</v>
      </c>
      <c r="EP209" s="58">
        <f>+SUM(Tabla1[[#This Row],[EJECUTADO 01]:[EJECUTADO 03]])</f>
        <v>0</v>
      </c>
      <c r="EQ209" s="58">
        <f>+SUM(Tabla1[[#This Row],[EJECUTADO 04]:[EJECUTADO 06]])</f>
        <v>0</v>
      </c>
      <c r="ER209" s="58">
        <f>+SUM(Tabla1[[#This Row],[EJECUTADO 07]:[EJECUTADO 09]])</f>
        <v>999</v>
      </c>
      <c r="ES209" s="58">
        <f>+SUM(Tabla1[[#This Row],[PF OCTUBRE]:[PF DICIEMBRE
]])</f>
        <v>0</v>
      </c>
      <c r="ET209" s="58">
        <f>+SUM(Tabla1[[#This Row],[EJECUTADO 01]:[EJECUTADO 09]])</f>
        <v>999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1684</v>
      </c>
      <c r="AE210" s="369" t="s">
        <v>1722</v>
      </c>
      <c r="AF210" s="369" t="s">
        <v>1769</v>
      </c>
      <c r="AG210" s="369" t="s">
        <v>1770</v>
      </c>
      <c r="AH210" s="369">
        <v>1386</v>
      </c>
      <c r="AI210" s="369">
        <v>28</v>
      </c>
      <c r="AJ210" s="369">
        <v>1414</v>
      </c>
      <c r="AK210" s="370">
        <v>1413.5</v>
      </c>
      <c r="AL210" s="370">
        <v>1413.5</v>
      </c>
      <c r="AM210" s="370">
        <v>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1413.5</v>
      </c>
      <c r="AV210" s="370">
        <v>0</v>
      </c>
      <c r="AW210" s="370">
        <v>0</v>
      </c>
      <c r="AX210" s="370">
        <v>0</v>
      </c>
      <c r="AY210" s="370">
        <v>0</v>
      </c>
      <c r="AZ210" s="370">
        <v>0</v>
      </c>
      <c r="BA210" s="370">
        <v>0</v>
      </c>
      <c r="BB210" s="370">
        <v>0</v>
      </c>
      <c r="BC210" s="370">
        <v>0</v>
      </c>
      <c r="BD210" s="370">
        <v>0</v>
      </c>
      <c r="BE210" s="370">
        <v>0</v>
      </c>
      <c r="BF210" s="370">
        <v>0</v>
      </c>
      <c r="BG210" s="370">
        <v>0</v>
      </c>
      <c r="BH210" s="370">
        <v>0</v>
      </c>
      <c r="BI210" s="370">
        <v>0</v>
      </c>
      <c r="BJ210" s="370">
        <v>0</v>
      </c>
      <c r="BK210" s="370">
        <v>0</v>
      </c>
      <c r="BL210" s="370">
        <v>0</v>
      </c>
      <c r="BM210" s="370">
        <v>0</v>
      </c>
      <c r="BN210" s="370">
        <v>0</v>
      </c>
      <c r="BO210" s="370">
        <v>0</v>
      </c>
      <c r="BP210" s="370">
        <v>0</v>
      </c>
      <c r="BQ210" s="370">
        <v>0</v>
      </c>
      <c r="BR210" s="370">
        <v>0</v>
      </c>
      <c r="BS210" s="370">
        <v>0</v>
      </c>
      <c r="BT210" s="370">
        <v>0</v>
      </c>
      <c r="BU210" s="370">
        <v>0</v>
      </c>
      <c r="BV210" s="370">
        <v>0</v>
      </c>
      <c r="BW210" s="370">
        <v>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1990</v>
      </c>
      <c r="CL210" s="48" t="s">
        <v>1992</v>
      </c>
      <c r="CM210" s="48" t="s">
        <v>1990</v>
      </c>
      <c r="CN210" s="48" t="s">
        <v>1987</v>
      </c>
      <c r="CO210" s="10" t="str">
        <f t="shared" si="54"/>
        <v>2.3.1.8.1.2</v>
      </c>
      <c r="CP210" s="10" t="str">
        <f>+VLOOKUP(Tabla1[[#This Row],[ESPECÍFICA]],CLASIFICADOR_,2,0)</f>
        <v>2.3.1.8.1.2 - MEDICAMENTOS</v>
      </c>
      <c r="CQ210" s="10" t="str">
        <f>+VLOOKUP(Tabla1[[#This Row],[ESPECÍFICA]],CLASIFICADOR_,3,0)</f>
        <v>2.3.1.8 - SUMINISTROS MEDICOS</v>
      </c>
      <c r="CR210" s="10" t="str">
        <f>+VLOOKUP(Tabla1[[#This Row],[ESPECÍFICA]],CLASIFICADOR_,4,0)</f>
        <v xml:space="preserve"> </v>
      </c>
      <c r="CS210" s="10">
        <f>+VLOOKUP(Tabla1[[#This Row],[ESPECÍFICA]],CLASIFICADOR_,5,0)</f>
        <v>0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42"/>
        <v>0010-OA</v>
      </c>
      <c r="CY210" s="5" t="str">
        <f t="shared" si="43"/>
        <v>0010-OA</v>
      </c>
      <c r="CZ210" t="str">
        <f t="shared" si="44"/>
        <v>0010-OA</v>
      </c>
      <c r="DA210" s="113" t="str">
        <f>+CONCATENATE(Tabla1[[#This Row],[CC COMPLETO]],Tabla1[[#This Row],[ESPECÍFICA]])</f>
        <v>0010-OA2.3.1.8.1.2</v>
      </c>
      <c r="DB210" s="11">
        <f t="shared" si="45"/>
        <v>1413.5</v>
      </c>
      <c r="DC210" s="11">
        <f t="shared" si="46"/>
        <v>0</v>
      </c>
      <c r="DD210" s="11">
        <f t="shared" si="47"/>
        <v>0</v>
      </c>
      <c r="DE210" s="11">
        <f t="shared" si="48"/>
        <v>0.5</v>
      </c>
      <c r="DF210" s="11">
        <f t="shared" si="49"/>
        <v>0</v>
      </c>
      <c r="DG210" s="11">
        <f t="shared" si="50"/>
        <v>1413.5</v>
      </c>
      <c r="DH210" s="11">
        <f t="shared" si="51"/>
        <v>1414</v>
      </c>
      <c r="DI210" s="12">
        <f t="shared" si="52"/>
        <v>0</v>
      </c>
      <c r="DJ210" s="77">
        <f>+SUM(Tabla1[[#This Row],[EJECUTADO 01]:[EJECUTADO 06]])</f>
        <v>0</v>
      </c>
      <c r="DK210" s="78">
        <f>+Tabla1[[#This Row],[mto_devenga_01]]</f>
        <v>0</v>
      </c>
      <c r="DL210" s="78">
        <f>+Tabla1[[#This Row],[mto_devenga_02]]</f>
        <v>0</v>
      </c>
      <c r="DM210" s="78">
        <f>+Tabla1[[#This Row],[mto_devenga_03]]</f>
        <v>0</v>
      </c>
      <c r="DN210" s="78">
        <f>+Tabla1[[#This Row],[mto_devenga_04]]</f>
        <v>0</v>
      </c>
      <c r="DO210" s="78">
        <f>+Tabla1[[#This Row],[mto_devenga_05]]</f>
        <v>0</v>
      </c>
      <c r="DP210" s="76">
        <f>+Tabla1[[#This Row],[mto_devenga_06]]</f>
        <v>0</v>
      </c>
      <c r="DQ210" s="76">
        <f>+Tabla1[[#This Row],[mto_devenga_07]]</f>
        <v>0</v>
      </c>
      <c r="DR210" s="76">
        <f>+Tabla1[[#This Row],[mto_devenga_08]]</f>
        <v>0</v>
      </c>
      <c r="DS210" s="76">
        <f>+Tabla1[[#This Row],[mto_devenga_09]]</f>
        <v>0</v>
      </c>
      <c r="DT210" s="76">
        <f>IFERROR(VLOOKUP(Tabla1[[#This Row],[COD SE]],PF_OCTUBRE,14,0),"0")</f>
        <v>1413.5</v>
      </c>
      <c r="DU210" s="76">
        <f>IFERROR(VLOOKUP(Tabla1[[#This Row],[COD SE]],PF_OCTUBRE,15,0),"0")</f>
        <v>0</v>
      </c>
      <c r="DV210" s="76">
        <f>IFERROR(VLOOKUP(Tabla1[[#This Row],[COD SE]],PF_OCTUBRE,16,0),"0")</f>
        <v>198.5</v>
      </c>
      <c r="DW210" s="76">
        <f>+SUM(Tabla1[[#This Row],[EJECUTADO 01]:[PF DICIEMBRE
]])</f>
        <v>1612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1612</v>
      </c>
      <c r="EB210" s="76">
        <f>IFERROR(VLOOKUP(Tabla1[[#This Row],[COD SE]],PF_OCTUBRE,22,0),"0")</f>
        <v>198.5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1414</v>
      </c>
      <c r="EF210" s="76">
        <f>+Tabla1[[#This Row],[mto_pim]]-Tabla1[[#This Row],[TRANFS ESC 3 ]]</f>
        <v>1414</v>
      </c>
      <c r="EG210" s="76">
        <f>+IFERROR(VLOOKUP(Tabla1[[#This Row],[COD SE]],HISTORICO,4,0),0)</f>
        <v>0</v>
      </c>
      <c r="EH210" s="76">
        <f>+IFERROR(VLOOKUP(Tabla1[[#This Row],[COD SE]],HISTORICO,5,0),0)</f>
        <v>0</v>
      </c>
      <c r="EI210" s="76">
        <f>+IFERROR(VLOOKUP(Tabla1[[#This Row],[COD SE]],HISTORICO,6,0),0)</f>
        <v>1386</v>
      </c>
      <c r="EJ210" s="76">
        <f>+IFERROR(VLOOKUP(Tabla1[[#This Row],[COD SE]],HISTORICO,7,0),0)</f>
        <v>0</v>
      </c>
      <c r="EK210" s="76">
        <f>+IFERROR(VLOOKUP(Tabla1[[#This Row],[COD SE]],HISTORICO,8,0),0)</f>
        <v>0</v>
      </c>
      <c r="EL210" s="76">
        <f>+IFERROR(VLOOKUP(Tabla1[[#This Row],[COD SE]],HISTORICO,9,0),0)</f>
        <v>0</v>
      </c>
      <c r="EM210" s="76">
        <f>+IFERROR(VLOOKUP(Tabla1[[#This Row],[COD SE]],HISTORICO,10,0),0)</f>
        <v>0</v>
      </c>
      <c r="EN210" s="76">
        <f>+IFERROR(VLOOKUP(Tabla1[[#This Row],[COD SE]],HISTORICO,11,0),0)</f>
        <v>0</v>
      </c>
      <c r="EO210" s="76">
        <f>+IFERROR(VLOOKUP(Tabla1[[#This Row],[COD SE]],HISTORICO,12,0),0)</f>
        <v>0</v>
      </c>
      <c r="EP210" s="58">
        <f>+SUM(Tabla1[[#This Row],[EJECUTADO 01]:[EJECUTADO 03]])</f>
        <v>0</v>
      </c>
      <c r="EQ210" s="58">
        <f>+SUM(Tabla1[[#This Row],[EJECUTADO 04]:[EJECUTADO 06]])</f>
        <v>0</v>
      </c>
      <c r="ER210" s="58">
        <f>+SUM(Tabla1[[#This Row],[EJECUTADO 07]:[EJECUTADO 09]])</f>
        <v>0</v>
      </c>
      <c r="ES210" s="58">
        <f>+SUM(Tabla1[[#This Row],[PF OCTUBRE]:[PF DICIEMBRE
]])</f>
        <v>1612</v>
      </c>
      <c r="ET210" s="58">
        <f>+SUM(Tabla1[[#This Row],[EJECUTADO 01]:[EJECUTADO 09]])</f>
        <v>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1672</v>
      </c>
      <c r="AD211" s="369" t="s">
        <v>1673</v>
      </c>
      <c r="AE211" s="369" t="s">
        <v>1693</v>
      </c>
      <c r="AF211" s="369" t="s">
        <v>1694</v>
      </c>
      <c r="AG211" s="369" t="s">
        <v>1739</v>
      </c>
      <c r="AH211" s="369">
        <v>5000</v>
      </c>
      <c r="AI211" s="369">
        <v>16240</v>
      </c>
      <c r="AJ211" s="369">
        <v>21240</v>
      </c>
      <c r="AK211" s="370">
        <v>21240</v>
      </c>
      <c r="AL211" s="370">
        <v>21240</v>
      </c>
      <c r="AM211" s="370">
        <v>21240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3540</v>
      </c>
      <c r="BA211" s="370">
        <v>1770</v>
      </c>
      <c r="BB211" s="370">
        <v>1770</v>
      </c>
      <c r="BC211" s="370">
        <v>1770</v>
      </c>
      <c r="BD211" s="370">
        <v>1770</v>
      </c>
      <c r="BE211" s="370">
        <v>0</v>
      </c>
      <c r="BF211" s="370">
        <v>3540</v>
      </c>
      <c r="BG211" s="370">
        <v>1770</v>
      </c>
      <c r="BH211" s="370">
        <v>1770</v>
      </c>
      <c r="BI211" s="370">
        <v>0</v>
      </c>
      <c r="BJ211" s="370">
        <v>0</v>
      </c>
      <c r="BK211" s="370">
        <v>0</v>
      </c>
      <c r="BL211" s="370">
        <v>3540</v>
      </c>
      <c r="BM211" s="370">
        <v>0</v>
      </c>
      <c r="BN211" s="370">
        <v>3540</v>
      </c>
      <c r="BO211" s="370">
        <v>1770</v>
      </c>
      <c r="BP211" s="370">
        <v>1770</v>
      </c>
      <c r="BQ211" s="370">
        <v>0</v>
      </c>
      <c r="BR211" s="370">
        <v>3540</v>
      </c>
      <c r="BS211" s="370">
        <v>1770</v>
      </c>
      <c r="BT211" s="370">
        <v>1770</v>
      </c>
      <c r="BU211" s="370">
        <v>0</v>
      </c>
      <c r="BV211" s="370">
        <v>0</v>
      </c>
      <c r="BW211" s="370">
        <v>17700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1991</v>
      </c>
      <c r="CK211" s="48" t="s">
        <v>1987</v>
      </c>
      <c r="CL211" s="48" t="s">
        <v>2011</v>
      </c>
      <c r="CM211" s="48" t="s">
        <v>1990</v>
      </c>
      <c r="CN211" s="48" t="s">
        <v>1993</v>
      </c>
      <c r="CO211" s="10" t="str">
        <f t="shared" si="54"/>
        <v>2.3.2.5.1.4</v>
      </c>
      <c r="CP211" s="10" t="str">
        <f>+VLOOKUP(Tabla1[[#This Row],[ESPECÍFICA]],CLASIFICADOR_,2,0)</f>
        <v>2.3.2.5.1.4 - DE MAQUINARIAS Y EQUIPOS</v>
      </c>
      <c r="CQ211" s="10" t="str">
        <f>+VLOOKUP(Tabla1[[#This Row],[ESPECÍFICA]],CLASIFICADOR_,3,0)</f>
        <v>2.3.2.5 - ALQUILERES DE MUEBLES E INMUEBLES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N/R</v>
      </c>
      <c r="CU211" s="10" t="str">
        <f>+VLOOKUP(Tabla1[[#This Row],[ESPECÍFICA]],CLASIFICADOR_,7,0)</f>
        <v>N/R</v>
      </c>
      <c r="CV211" s="10">
        <f>+VLOOKUP(Tabla1[[#This Row],[ESPECÍFICA]],CLASIFICADOR_,8,0)</f>
        <v>0</v>
      </c>
      <c r="CW211" s="113" t="str">
        <f>+CONCATENATE("2.",Tabla1[[#This Row],[generica]])</f>
        <v>2.3.BIENES Y SERVICIOS</v>
      </c>
      <c r="CX211" s="10" t="str">
        <f t="shared" si="42"/>
        <v>0010-OA</v>
      </c>
      <c r="CY211" s="5" t="str">
        <f t="shared" si="43"/>
        <v>0010-OA</v>
      </c>
      <c r="CZ211" t="str">
        <f t="shared" si="44"/>
        <v>0010-OA</v>
      </c>
      <c r="DA211" s="113" t="str">
        <f>+CONCATENATE(Tabla1[[#This Row],[CC COMPLETO]],Tabla1[[#This Row],[ESPECÍFICA]])</f>
        <v>0010-OA2.3.2.5.1.4</v>
      </c>
      <c r="DB211" s="11">
        <f t="shared" si="45"/>
        <v>21240</v>
      </c>
      <c r="DC211" s="11">
        <f t="shared" si="46"/>
        <v>17700</v>
      </c>
      <c r="DD211" s="11">
        <f t="shared" si="47"/>
        <v>17700</v>
      </c>
      <c r="DE211" s="11">
        <f t="shared" si="48"/>
        <v>0</v>
      </c>
      <c r="DF211" s="11">
        <f t="shared" si="49"/>
        <v>0</v>
      </c>
      <c r="DG211" s="11">
        <f t="shared" si="50"/>
        <v>3540</v>
      </c>
      <c r="DH211" s="11">
        <f t="shared" si="51"/>
        <v>3540</v>
      </c>
      <c r="DI211" s="12">
        <f t="shared" si="52"/>
        <v>3.54</v>
      </c>
      <c r="DJ211" s="77">
        <f>+SUM(Tabla1[[#This Row],[EJECUTADO 01]:[EJECUTADO 06]])</f>
        <v>10620</v>
      </c>
      <c r="DK211" s="78">
        <f>+Tabla1[[#This Row],[mto_devenga_01]]</f>
        <v>0</v>
      </c>
      <c r="DL211" s="78">
        <f>+Tabla1[[#This Row],[mto_devenga_02]]</f>
        <v>3540</v>
      </c>
      <c r="DM211" s="78">
        <f>+Tabla1[[#This Row],[mto_devenga_03]]</f>
        <v>1770</v>
      </c>
      <c r="DN211" s="78">
        <f>+Tabla1[[#This Row],[mto_devenga_04]]</f>
        <v>1770</v>
      </c>
      <c r="DO211" s="78">
        <f>+Tabla1[[#This Row],[mto_devenga_05]]</f>
        <v>1770</v>
      </c>
      <c r="DP211" s="76">
        <f>+Tabla1[[#This Row],[mto_devenga_06]]</f>
        <v>1770</v>
      </c>
      <c r="DQ211" s="76">
        <f>+Tabla1[[#This Row],[mto_devenga_07]]</f>
        <v>0</v>
      </c>
      <c r="DR211" s="76">
        <f>+Tabla1[[#This Row],[mto_devenga_08]]</f>
        <v>3540</v>
      </c>
      <c r="DS211" s="76">
        <f>+Tabla1[[#This Row],[mto_devenga_09]]</f>
        <v>1770</v>
      </c>
      <c r="DT211" s="76">
        <f>IFERROR(VLOOKUP(Tabla1[[#This Row],[COD SE]],PF_OCTUBRE,14,0),"0")</f>
        <v>1770</v>
      </c>
      <c r="DU211" s="76">
        <f>IFERROR(VLOOKUP(Tabla1[[#This Row],[COD SE]],PF_OCTUBRE,15,0),"0")</f>
        <v>1770</v>
      </c>
      <c r="DV211" s="76">
        <f>IFERROR(VLOOKUP(Tabla1[[#This Row],[COD SE]],PF_OCTUBRE,16,0),"0")</f>
        <v>1770</v>
      </c>
      <c r="DW211" s="76">
        <f>+SUM(Tabla1[[#This Row],[EJECUTADO 01]:[PF DICIEMBRE
]])</f>
        <v>21240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21240</v>
      </c>
      <c r="EB211" s="76">
        <f>IFERROR(VLOOKUP(Tabla1[[#This Row],[COD SE]],PF_OCTUBRE,22,0),"0")</f>
        <v>1770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21240</v>
      </c>
      <c r="EF211" s="76">
        <f>+Tabla1[[#This Row],[mto_pim]]-Tabla1[[#This Row],[TRANFS ESC 3 ]]</f>
        <v>21240</v>
      </c>
      <c r="EG211" s="76">
        <f>+IFERROR(VLOOKUP(Tabla1[[#This Row],[COD SE]],HISTORICO,4,0),0)</f>
        <v>16240</v>
      </c>
      <c r="EH211" s="76">
        <f>+IFERROR(VLOOKUP(Tabla1[[#This Row],[COD SE]],HISTORICO,5,0),0)</f>
        <v>21240</v>
      </c>
      <c r="EI211" s="76">
        <f>+IFERROR(VLOOKUP(Tabla1[[#This Row],[COD SE]],HISTORICO,6,0),0)</f>
        <v>1770</v>
      </c>
      <c r="EJ211" s="76">
        <f>+IFERROR(VLOOKUP(Tabla1[[#This Row],[COD SE]],HISTORICO,7,0),0)</f>
        <v>1770</v>
      </c>
      <c r="EK211" s="76">
        <f>+IFERROR(VLOOKUP(Tabla1[[#This Row],[COD SE]],HISTORICO,8,0),0)</f>
        <v>1770</v>
      </c>
      <c r="EL211" s="76">
        <f>+IFERROR(VLOOKUP(Tabla1[[#This Row],[COD SE]],HISTORICO,9,0),0)</f>
        <v>1770</v>
      </c>
      <c r="EM211" s="76">
        <f>+IFERROR(VLOOKUP(Tabla1[[#This Row],[COD SE]],HISTORICO,10,0),0)</f>
        <v>1770</v>
      </c>
      <c r="EN211" s="76">
        <f>+IFERROR(VLOOKUP(Tabla1[[#This Row],[COD SE]],HISTORICO,11,0),0)</f>
        <v>3540</v>
      </c>
      <c r="EO211" s="76">
        <f>+IFERROR(VLOOKUP(Tabla1[[#This Row],[COD SE]],HISTORICO,12,0),0)</f>
        <v>1770</v>
      </c>
      <c r="EP211" s="58">
        <f>+SUM(Tabla1[[#This Row],[EJECUTADO 01]:[EJECUTADO 03]])</f>
        <v>5310</v>
      </c>
      <c r="EQ211" s="58">
        <f>+SUM(Tabla1[[#This Row],[EJECUTADO 04]:[EJECUTADO 06]])</f>
        <v>5310</v>
      </c>
      <c r="ER211" s="58">
        <f>+SUM(Tabla1[[#This Row],[EJECUTADO 07]:[EJECUTADO 09]])</f>
        <v>5310</v>
      </c>
      <c r="ES211" s="58">
        <f>+SUM(Tabla1[[#This Row],[PF OCTUBRE]:[PF DICIEMBRE
]])</f>
        <v>5310</v>
      </c>
      <c r="ET211" s="58">
        <f>+SUM(Tabla1[[#This Row],[EJECUTADO 01]:[EJECUTADO 09]])</f>
        <v>15930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1656</v>
      </c>
      <c r="AD212" s="369" t="s">
        <v>1668</v>
      </c>
      <c r="AE212" s="369" t="s">
        <v>1669</v>
      </c>
      <c r="AF212" s="369" t="s">
        <v>1669</v>
      </c>
      <c r="AG212" s="369" t="s">
        <v>1755</v>
      </c>
      <c r="AH212" s="369">
        <v>11395</v>
      </c>
      <c r="AI212" s="369">
        <v>-11395</v>
      </c>
      <c r="AJ212" s="369">
        <v>0</v>
      </c>
      <c r="AK212" s="370">
        <v>0</v>
      </c>
      <c r="AL212" s="370">
        <v>0</v>
      </c>
      <c r="AM212" s="370">
        <v>0</v>
      </c>
      <c r="AN212" s="370">
        <v>0</v>
      </c>
      <c r="AO212" s="370">
        <v>0</v>
      </c>
      <c r="AP212" s="370">
        <v>0</v>
      </c>
      <c r="AQ212" s="370">
        <v>0</v>
      </c>
      <c r="AR212" s="370">
        <v>0</v>
      </c>
      <c r="AS212" s="370">
        <v>0</v>
      </c>
      <c r="AT212" s="370">
        <v>0</v>
      </c>
      <c r="AU212" s="370">
        <v>0</v>
      </c>
      <c r="AV212" s="370">
        <v>0</v>
      </c>
      <c r="AW212" s="370">
        <v>0</v>
      </c>
      <c r="AX212" s="370">
        <v>0</v>
      </c>
      <c r="AY212" s="370">
        <v>0</v>
      </c>
      <c r="AZ212" s="370">
        <v>0</v>
      </c>
      <c r="BA212" s="370">
        <v>0</v>
      </c>
      <c r="BB212" s="370">
        <v>0</v>
      </c>
      <c r="BC212" s="370">
        <v>0</v>
      </c>
      <c r="BD212" s="370">
        <v>0</v>
      </c>
      <c r="BE212" s="370">
        <v>0</v>
      </c>
      <c r="BF212" s="370">
        <v>0</v>
      </c>
      <c r="BG212" s="370">
        <v>0</v>
      </c>
      <c r="BH212" s="370">
        <v>0</v>
      </c>
      <c r="BI212" s="370">
        <v>0</v>
      </c>
      <c r="BJ212" s="370">
        <v>0</v>
      </c>
      <c r="BK212" s="370">
        <v>0</v>
      </c>
      <c r="BL212" s="370">
        <v>0</v>
      </c>
      <c r="BM212" s="370">
        <v>0</v>
      </c>
      <c r="BN212" s="370">
        <v>0</v>
      </c>
      <c r="BO212" s="370">
        <v>0</v>
      </c>
      <c r="BP212" s="370">
        <v>0</v>
      </c>
      <c r="BQ212" s="370">
        <v>0</v>
      </c>
      <c r="BR212" s="370">
        <v>0</v>
      </c>
      <c r="BS212" s="370">
        <v>0</v>
      </c>
      <c r="BT212" s="370">
        <v>0</v>
      </c>
      <c r="BU212" s="370">
        <v>0</v>
      </c>
      <c r="BV212" s="370">
        <v>0</v>
      </c>
      <c r="BW212" s="370">
        <v>0</v>
      </c>
      <c r="BX212" s="370">
        <v>0</v>
      </c>
      <c r="BY212" s="370">
        <v>0</v>
      </c>
      <c r="BZ212" s="370">
        <v>0</v>
      </c>
      <c r="CA212" s="370">
        <v>0</v>
      </c>
      <c r="CB212" s="370">
        <v>0</v>
      </c>
      <c r="CC212" s="370">
        <v>0</v>
      </c>
      <c r="CD212" s="370">
        <v>0</v>
      </c>
      <c r="CE212" s="370">
        <v>0</v>
      </c>
      <c r="CF212" s="370">
        <v>0</v>
      </c>
      <c r="CG212" s="370">
        <v>0</v>
      </c>
      <c r="CH212" s="370">
        <v>0</v>
      </c>
      <c r="CI212" s="48" t="s">
        <v>1987</v>
      </c>
      <c r="CJ212" s="48" t="s">
        <v>1990</v>
      </c>
      <c r="CK212" s="48" t="s">
        <v>1991</v>
      </c>
      <c r="CL212" s="48" t="s">
        <v>1990</v>
      </c>
      <c r="CM212" s="48" t="s">
        <v>1990</v>
      </c>
      <c r="CN212" s="48" t="s">
        <v>2047</v>
      </c>
      <c r="CO212" s="10" t="str">
        <f t="shared" si="54"/>
        <v>2.1.3.1.1.12</v>
      </c>
      <c r="CP212" s="10" t="str">
        <f>+VLOOKUP(Tabla1[[#This Row],[ESPECÍFICA]],CLASIFICADOR_,2,0)</f>
        <v>2.1.3.1.1.12 - CONTRIBUCIONES POR EL SEGURO COMPLEMENTARIO DE TRABAJO DE RIESGO</v>
      </c>
      <c r="CQ212" s="10" t="str">
        <f>+VLOOKUP(Tabla1[[#This Row],[ESPECÍFICA]],CLASIFICADOR_,3,0)</f>
        <v>01.CAS</v>
      </c>
      <c r="CR212" s="10" t="str">
        <f>+VLOOKUP(Tabla1[[#This Row],[ESPECÍFICA]],CLASIFICADOR_,4,0)</f>
        <v xml:space="preserve"> </v>
      </c>
      <c r="CS212" s="10">
        <f>+VLOOKUP(Tabla1[[#This Row],[ESPECÍFICA]],CLASIFICADOR_,5,0)</f>
        <v>0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2.1.PERSONAL Y OBLIGACIONES SOCIALES</v>
      </c>
      <c r="CX212" s="10" t="str">
        <f t="shared" si="42"/>
        <v>0010-OA</v>
      </c>
      <c r="CY212" s="5" t="str">
        <f t="shared" si="43"/>
        <v>0010-OA</v>
      </c>
      <c r="CZ212" t="str">
        <f t="shared" si="44"/>
        <v>0010-OA</v>
      </c>
      <c r="DA212" s="113" t="str">
        <f>+CONCATENATE(Tabla1[[#This Row],[CC COMPLETO]],Tabla1[[#This Row],[ESPECÍFICA]])</f>
        <v>0010-OA2.1.3.1.1.12</v>
      </c>
      <c r="DB212" s="11">
        <f t="shared" si="45"/>
        <v>0</v>
      </c>
      <c r="DC212" s="11">
        <f t="shared" si="46"/>
        <v>0</v>
      </c>
      <c r="DD212" s="11">
        <f t="shared" si="47"/>
        <v>0</v>
      </c>
      <c r="DE212" s="11">
        <f t="shared" si="48"/>
        <v>0</v>
      </c>
      <c r="DF212" s="11">
        <f t="shared" si="49"/>
        <v>0</v>
      </c>
      <c r="DG212" s="11">
        <f t="shared" si="50"/>
        <v>0</v>
      </c>
      <c r="DH212" s="11">
        <f t="shared" si="51"/>
        <v>0</v>
      </c>
      <c r="DI212" s="12">
        <f t="shared" si="52"/>
        <v>0</v>
      </c>
      <c r="DJ212" s="77">
        <f>+SUM(Tabla1[[#This Row],[EJECUTADO 01]:[EJECUTADO 06]])</f>
        <v>0</v>
      </c>
      <c r="DK212" s="78">
        <f>+Tabla1[[#This Row],[mto_devenga_01]]</f>
        <v>0</v>
      </c>
      <c r="DL212" s="78">
        <f>+Tabla1[[#This Row],[mto_devenga_02]]</f>
        <v>0</v>
      </c>
      <c r="DM212" s="78">
        <f>+Tabla1[[#This Row],[mto_devenga_03]]</f>
        <v>0</v>
      </c>
      <c r="DN212" s="78">
        <f>+Tabla1[[#This Row],[mto_devenga_04]]</f>
        <v>0</v>
      </c>
      <c r="DO212" s="78">
        <f>+Tabla1[[#This Row],[mto_devenga_05]]</f>
        <v>0</v>
      </c>
      <c r="DP212" s="76">
        <f>+Tabla1[[#This Row],[mto_devenga_06]]</f>
        <v>0</v>
      </c>
      <c r="DQ212" s="76">
        <f>+Tabla1[[#This Row],[mto_devenga_07]]</f>
        <v>0</v>
      </c>
      <c r="DR212" s="76">
        <f>+Tabla1[[#This Row],[mto_devenga_08]]</f>
        <v>0</v>
      </c>
      <c r="DS212" s="76">
        <f>+Tabla1[[#This Row],[mto_devenga_09]]</f>
        <v>0</v>
      </c>
      <c r="DT212" s="76">
        <f>IFERROR(VLOOKUP(Tabla1[[#This Row],[COD SE]],PF_OCTUBRE,14,0),"0")</f>
        <v>0</v>
      </c>
      <c r="DU212" s="76">
        <f>IFERROR(VLOOKUP(Tabla1[[#This Row],[COD SE]],PF_OCTUBRE,15,0),"0")</f>
        <v>0</v>
      </c>
      <c r="DV212" s="76">
        <f>IFERROR(VLOOKUP(Tabla1[[#This Row],[COD SE]],PF_OCTUBRE,16,0),"0")</f>
        <v>0</v>
      </c>
      <c r="DW212" s="76">
        <f>+SUM(Tabla1[[#This Row],[EJECUTADO 01]:[PF DICIEMBRE
]])</f>
        <v>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0</v>
      </c>
      <c r="EB212" s="76">
        <f>IFERROR(VLOOKUP(Tabla1[[#This Row],[COD SE]],PF_OCTUBRE,22,0),"0")</f>
        <v>0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0</v>
      </c>
      <c r="EF212" s="76">
        <f>+Tabla1[[#This Row],[mto_pim]]-Tabla1[[#This Row],[TRANFS ESC 3 ]]</f>
        <v>0</v>
      </c>
      <c r="EG212" s="76">
        <f>+IFERROR(VLOOKUP(Tabla1[[#This Row],[COD SE]],HISTORICO,4,0),0)</f>
        <v>0</v>
      </c>
      <c r="EH212" s="76">
        <f>+IFERROR(VLOOKUP(Tabla1[[#This Row],[COD SE]],HISTORICO,5,0),0)</f>
        <v>0</v>
      </c>
      <c r="EI212" s="76">
        <f>+IFERROR(VLOOKUP(Tabla1[[#This Row],[COD SE]],HISTORICO,6,0),0)</f>
        <v>0</v>
      </c>
      <c r="EJ212" s="76">
        <f>+IFERROR(VLOOKUP(Tabla1[[#This Row],[COD SE]],HISTORICO,7,0),0)</f>
        <v>0</v>
      </c>
      <c r="EK212" s="76">
        <f>+IFERROR(VLOOKUP(Tabla1[[#This Row],[COD SE]],HISTORICO,8,0),0)</f>
        <v>0</v>
      </c>
      <c r="EL212" s="76">
        <f>+IFERROR(VLOOKUP(Tabla1[[#This Row],[COD SE]],HISTORICO,9,0),0)</f>
        <v>0</v>
      </c>
      <c r="EM212" s="76">
        <f>+IFERROR(VLOOKUP(Tabla1[[#This Row],[COD SE]],HISTORICO,10,0),0)</f>
        <v>0</v>
      </c>
      <c r="EN212" s="76">
        <f>+IFERROR(VLOOKUP(Tabla1[[#This Row],[COD SE]],HISTORICO,11,0),0)</f>
        <v>0</v>
      </c>
      <c r="EO212" s="76">
        <f>+IFERROR(VLOOKUP(Tabla1[[#This Row],[COD SE]],HISTORICO,12,0),0)</f>
        <v>0</v>
      </c>
      <c r="EP212" s="58">
        <f>+SUM(Tabla1[[#This Row],[EJECUTADO 01]:[EJECUTADO 03]])</f>
        <v>0</v>
      </c>
      <c r="EQ212" s="58">
        <f>+SUM(Tabla1[[#This Row],[EJECUTADO 04]:[EJECUTADO 06]])</f>
        <v>0</v>
      </c>
      <c r="ER212" s="58">
        <f>+SUM(Tabla1[[#This Row],[EJECUTADO 07]:[EJECUTADO 09]])</f>
        <v>0</v>
      </c>
      <c r="ES212" s="58">
        <f>+SUM(Tabla1[[#This Row],[PF OCTUBRE]:[PF DICIEMBRE
]])</f>
        <v>0</v>
      </c>
      <c r="ET212" s="58">
        <f>+SUM(Tabla1[[#This Row],[EJECUTADO 01]:[EJECUTADO 09]])</f>
        <v>0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1672</v>
      </c>
      <c r="AD213" s="369" t="s">
        <v>1673</v>
      </c>
      <c r="AE213" s="369" t="s">
        <v>1678</v>
      </c>
      <c r="AF213" s="369" t="s">
        <v>1697</v>
      </c>
      <c r="AG213" s="369" t="s">
        <v>1698</v>
      </c>
      <c r="AH213" s="369">
        <v>36415</v>
      </c>
      <c r="AI213" s="369">
        <v>21785</v>
      </c>
      <c r="AJ213" s="369">
        <v>58200</v>
      </c>
      <c r="AK213" s="370">
        <v>27003.05</v>
      </c>
      <c r="AL213" s="370">
        <v>27003.05</v>
      </c>
      <c r="AM213" s="370">
        <v>2800</v>
      </c>
      <c r="AN213" s="370">
        <v>0</v>
      </c>
      <c r="AO213" s="370">
        <v>842</v>
      </c>
      <c r="AP213" s="370">
        <v>1851.45</v>
      </c>
      <c r="AQ213" s="370">
        <v>1018.2</v>
      </c>
      <c r="AR213" s="370">
        <v>0</v>
      </c>
      <c r="AS213" s="370">
        <v>800.1</v>
      </c>
      <c r="AT213" s="370">
        <v>2239.4899999999998</v>
      </c>
      <c r="AU213" s="370">
        <v>1058.8</v>
      </c>
      <c r="AV213" s="370">
        <v>13717.65</v>
      </c>
      <c r="AW213" s="370">
        <v>0</v>
      </c>
      <c r="AX213" s="370">
        <v>0</v>
      </c>
      <c r="AY213" s="370">
        <v>1000</v>
      </c>
      <c r="AZ213" s="370">
        <v>1800</v>
      </c>
      <c r="BA213" s="370">
        <v>842</v>
      </c>
      <c r="BB213" s="370">
        <v>1851.45</v>
      </c>
      <c r="BC213" s="370">
        <v>1018.2</v>
      </c>
      <c r="BD213" s="370">
        <v>0</v>
      </c>
      <c r="BE213" s="370">
        <v>800.1</v>
      </c>
      <c r="BF213" s="370">
        <v>2239.4899999999998</v>
      </c>
      <c r="BG213" s="370">
        <v>1058.8</v>
      </c>
      <c r="BH213" s="370">
        <v>514.6</v>
      </c>
      <c r="BI213" s="370">
        <v>0</v>
      </c>
      <c r="BJ213" s="370">
        <v>0</v>
      </c>
      <c r="BK213" s="370">
        <v>1000</v>
      </c>
      <c r="BL213" s="370">
        <v>1800</v>
      </c>
      <c r="BM213" s="370">
        <v>842</v>
      </c>
      <c r="BN213" s="370">
        <v>1851.45</v>
      </c>
      <c r="BO213" s="370">
        <v>1018.2</v>
      </c>
      <c r="BP213" s="370">
        <v>0</v>
      </c>
      <c r="BQ213" s="370">
        <v>800.1</v>
      </c>
      <c r="BR213" s="370">
        <v>2239.4899999999998</v>
      </c>
      <c r="BS213" s="370">
        <v>1058.8</v>
      </c>
      <c r="BT213" s="370">
        <v>514.6</v>
      </c>
      <c r="BU213" s="370">
        <v>0</v>
      </c>
      <c r="BV213" s="370">
        <v>0</v>
      </c>
      <c r="BW213" s="370">
        <v>2800</v>
      </c>
      <c r="BX213" s="370">
        <v>0</v>
      </c>
      <c r="BY213" s="370">
        <v>842</v>
      </c>
      <c r="BZ213" s="370">
        <v>1851.45</v>
      </c>
      <c r="CA213" s="370">
        <v>1018.2</v>
      </c>
      <c r="CB213" s="370">
        <v>0</v>
      </c>
      <c r="CC213" s="370">
        <v>800.1</v>
      </c>
      <c r="CD213" s="370">
        <v>2239.4899999999998</v>
      </c>
      <c r="CE213" s="370">
        <v>1058.8</v>
      </c>
      <c r="CF213" s="370">
        <v>514.6</v>
      </c>
      <c r="CG213" s="370">
        <v>0</v>
      </c>
      <c r="CH213" s="370">
        <v>0</v>
      </c>
      <c r="CI213" s="48" t="s">
        <v>1987</v>
      </c>
      <c r="CJ213" s="48" t="s">
        <v>1991</v>
      </c>
      <c r="CK213" s="48" t="s">
        <v>1987</v>
      </c>
      <c r="CL213" s="48" t="s">
        <v>1989</v>
      </c>
      <c r="CM213" s="48" t="s">
        <v>2021</v>
      </c>
      <c r="CN213" s="48" t="s">
        <v>1998</v>
      </c>
      <c r="CO213" s="10" t="str">
        <f t="shared" si="54"/>
        <v>2.3.2.7.11.99</v>
      </c>
      <c r="CP213" s="10" t="str">
        <f>+VLOOKUP(Tabla1[[#This Row],[ESPECÍFICA]],CLASIFICADOR_,2,0)</f>
        <v>2.3.2.7.11.99 - SERVICIOS DIVERSOS</v>
      </c>
      <c r="CQ213" s="10" t="str">
        <f>+VLOOKUP(Tabla1[[#This Row],[ESPECÍFICA]],CLASIFICADOR_,3,0)</f>
        <v>2.3.2.7 - SERVICIOS PROFESIONALES Y TECNICOS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Partidas restringidas</v>
      </c>
      <c r="CU213" s="10">
        <f>+VLOOKUP(Tabla1[[#This Row],[ESPECÍFICA]],CLASIFICADOR_,7,0)</f>
        <v>9.1300000000000008</v>
      </c>
      <c r="CV213" s="10">
        <f>+VLOOKUP(Tabla1[[#This Row],[ESPECÍFICA]],CLASIFICADOR_,8,0)</f>
        <v>10</v>
      </c>
      <c r="CW213" s="113" t="str">
        <f>+CONCATENATE("2.",Tabla1[[#This Row],[generica]])</f>
        <v>2.3.BIENES Y SERVICIOS</v>
      </c>
      <c r="CX213" s="10" t="str">
        <f t="shared" si="42"/>
        <v>0010-OA</v>
      </c>
      <c r="CY213" s="5" t="str">
        <f t="shared" si="43"/>
        <v>0010-OA</v>
      </c>
      <c r="CZ213" t="str">
        <f t="shared" si="44"/>
        <v>0010-OA</v>
      </c>
      <c r="DA213" s="113" t="str">
        <f>+CONCATENATE(Tabla1[[#This Row],[CC COMPLETO]],Tabla1[[#This Row],[ESPECÍFICA]])</f>
        <v>0010-OA2.3.2.7.11.99</v>
      </c>
      <c r="DB213" s="11">
        <f t="shared" si="45"/>
        <v>24327.69</v>
      </c>
      <c r="DC213" s="11">
        <f t="shared" si="46"/>
        <v>11124.64</v>
      </c>
      <c r="DD213" s="11">
        <f t="shared" si="47"/>
        <v>11124.64</v>
      </c>
      <c r="DE213" s="11">
        <f t="shared" si="48"/>
        <v>31196.95</v>
      </c>
      <c r="DF213" s="11">
        <f t="shared" si="49"/>
        <v>0</v>
      </c>
      <c r="DG213" s="11">
        <f t="shared" si="50"/>
        <v>15878.41</v>
      </c>
      <c r="DH213" s="11">
        <f t="shared" si="51"/>
        <v>47075.360000000001</v>
      </c>
      <c r="DI213" s="12">
        <f t="shared" si="52"/>
        <v>0.30549608677742685</v>
      </c>
      <c r="DJ213" s="77">
        <f>+SUM(Tabla1[[#This Row],[EJECUTADO 01]:[EJECUTADO 06]])</f>
        <v>6511.65</v>
      </c>
      <c r="DK213" s="78">
        <f>+Tabla1[[#This Row],[mto_devenga_01]]</f>
        <v>1000</v>
      </c>
      <c r="DL213" s="78">
        <f>+Tabla1[[#This Row],[mto_devenga_02]]</f>
        <v>1800</v>
      </c>
      <c r="DM213" s="78">
        <f>+Tabla1[[#This Row],[mto_devenga_03]]</f>
        <v>842</v>
      </c>
      <c r="DN213" s="78">
        <f>+Tabla1[[#This Row],[mto_devenga_04]]</f>
        <v>1851.45</v>
      </c>
      <c r="DO213" s="78">
        <f>+Tabla1[[#This Row],[mto_devenga_05]]</f>
        <v>1018.2</v>
      </c>
      <c r="DP213" s="76">
        <f>+Tabla1[[#This Row],[mto_devenga_06]]</f>
        <v>0</v>
      </c>
      <c r="DQ213" s="76">
        <f>+Tabla1[[#This Row],[mto_devenga_07]]</f>
        <v>800.1</v>
      </c>
      <c r="DR213" s="76">
        <f>+Tabla1[[#This Row],[mto_devenga_08]]</f>
        <v>2239.4899999999998</v>
      </c>
      <c r="DS213" s="76">
        <f>+Tabla1[[#This Row],[mto_devenga_09]]</f>
        <v>1058.8</v>
      </c>
      <c r="DT213" s="76">
        <f>IFERROR(VLOOKUP(Tabla1[[#This Row],[COD SE]],PF_OCTUBRE,14,0),"0")</f>
        <v>1000</v>
      </c>
      <c r="DU213" s="76">
        <f>IFERROR(VLOOKUP(Tabla1[[#This Row],[COD SE]],PF_OCTUBRE,15,0),"0")</f>
        <v>1000</v>
      </c>
      <c r="DV213" s="76">
        <f>IFERROR(VLOOKUP(Tabla1[[#This Row],[COD SE]],PF_OCTUBRE,16,0),"0")</f>
        <v>21550.959999999999</v>
      </c>
      <c r="DW213" s="76">
        <f>+SUM(Tabla1[[#This Row],[EJECUTADO 01]:[PF DICIEMBRE
]])</f>
        <v>34161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34161</v>
      </c>
      <c r="EB213" s="76">
        <f>IFERROR(VLOOKUP(Tabla1[[#This Row],[COD SE]],PF_OCTUBRE,22,0),"0")</f>
        <v>21550.959999999999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58200</v>
      </c>
      <c r="EF213" s="76">
        <f>+Tabla1[[#This Row],[mto_pim]]-Tabla1[[#This Row],[TRANFS ESC 3 ]]</f>
        <v>58200</v>
      </c>
      <c r="EG213" s="76">
        <f>+IFERROR(VLOOKUP(Tabla1[[#This Row],[COD SE]],HISTORICO,4,0),0)</f>
        <v>3600</v>
      </c>
      <c r="EH213" s="76">
        <f>+IFERROR(VLOOKUP(Tabla1[[#This Row],[COD SE]],HISTORICO,5,0),0)</f>
        <v>2800</v>
      </c>
      <c r="EI213" s="76">
        <f>+IFERROR(VLOOKUP(Tabla1[[#This Row],[COD SE]],HISTORICO,6,0),0)</f>
        <v>1000</v>
      </c>
      <c r="EJ213" s="76">
        <f>+IFERROR(VLOOKUP(Tabla1[[#This Row],[COD SE]],HISTORICO,7,0),0)</f>
        <v>0</v>
      </c>
      <c r="EK213" s="76">
        <f>+IFERROR(VLOOKUP(Tabla1[[#This Row],[COD SE]],HISTORICO,8,0),0)</f>
        <v>1000</v>
      </c>
      <c r="EL213" s="76">
        <f>+IFERROR(VLOOKUP(Tabla1[[#This Row],[COD SE]],HISTORICO,9,0),0)</f>
        <v>1000</v>
      </c>
      <c r="EM213" s="76">
        <f>+IFERROR(VLOOKUP(Tabla1[[#This Row],[COD SE]],HISTORICO,10,0),0)</f>
        <v>786.1</v>
      </c>
      <c r="EN213" s="76">
        <f>+IFERROR(VLOOKUP(Tabla1[[#This Row],[COD SE]],HISTORICO,11,0),0)</f>
        <v>1110</v>
      </c>
      <c r="EO213" s="76">
        <f>+IFERROR(VLOOKUP(Tabla1[[#This Row],[COD SE]],HISTORICO,12,0),0)</f>
        <v>1262</v>
      </c>
      <c r="EP213" s="58">
        <f>+SUM(Tabla1[[#This Row],[EJECUTADO 01]:[EJECUTADO 03]])</f>
        <v>3642</v>
      </c>
      <c r="EQ213" s="58">
        <f>+SUM(Tabla1[[#This Row],[EJECUTADO 04]:[EJECUTADO 06]])</f>
        <v>2869.65</v>
      </c>
      <c r="ER213" s="58">
        <f>+SUM(Tabla1[[#This Row],[EJECUTADO 07]:[EJECUTADO 09]])</f>
        <v>4098.3899999999994</v>
      </c>
      <c r="ES213" s="58">
        <f>+SUM(Tabla1[[#This Row],[PF OCTUBRE]:[PF DICIEMBRE
]])</f>
        <v>23550.959999999999</v>
      </c>
      <c r="ET213" s="58">
        <f>+SUM(Tabla1[[#This Row],[EJECUTADO 01]:[EJECUTADO 09]])</f>
        <v>10610.039999999999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1672</v>
      </c>
      <c r="AD214" s="369" t="s">
        <v>1673</v>
      </c>
      <c r="AE214" s="369" t="s">
        <v>1678</v>
      </c>
      <c r="AF214" s="369" t="s">
        <v>1699</v>
      </c>
      <c r="AG214" s="369" t="s">
        <v>1797</v>
      </c>
      <c r="AH214" s="369">
        <v>0</v>
      </c>
      <c r="AI214" s="369">
        <v>38000</v>
      </c>
      <c r="AJ214" s="369">
        <v>38000</v>
      </c>
      <c r="AK214" s="370">
        <v>38000</v>
      </c>
      <c r="AL214" s="370">
        <v>38000</v>
      </c>
      <c r="AM214" s="370">
        <v>0</v>
      </c>
      <c r="AN214" s="370">
        <v>0</v>
      </c>
      <c r="AO214" s="370">
        <v>0</v>
      </c>
      <c r="AP214" s="370">
        <v>0</v>
      </c>
      <c r="AQ214" s="370">
        <v>0</v>
      </c>
      <c r="AR214" s="370">
        <v>0</v>
      </c>
      <c r="AS214" s="370">
        <v>0</v>
      </c>
      <c r="AT214" s="370">
        <v>38000</v>
      </c>
      <c r="AU214" s="370">
        <v>0</v>
      </c>
      <c r="AV214" s="370">
        <v>0</v>
      </c>
      <c r="AW214" s="370">
        <v>0</v>
      </c>
      <c r="AX214" s="370">
        <v>0</v>
      </c>
      <c r="AY214" s="370">
        <v>0</v>
      </c>
      <c r="AZ214" s="370">
        <v>0</v>
      </c>
      <c r="BA214" s="370">
        <v>0</v>
      </c>
      <c r="BB214" s="370">
        <v>0</v>
      </c>
      <c r="BC214" s="370">
        <v>0</v>
      </c>
      <c r="BD214" s="370">
        <v>0</v>
      </c>
      <c r="BE214" s="370">
        <v>0</v>
      </c>
      <c r="BF214" s="370">
        <v>0</v>
      </c>
      <c r="BG214" s="370">
        <v>0</v>
      </c>
      <c r="BH214" s="370">
        <v>0</v>
      </c>
      <c r="BI214" s="370">
        <v>0</v>
      </c>
      <c r="BJ214" s="370">
        <v>0</v>
      </c>
      <c r="BK214" s="370">
        <v>0</v>
      </c>
      <c r="BL214" s="370">
        <v>0</v>
      </c>
      <c r="BM214" s="370">
        <v>0</v>
      </c>
      <c r="BN214" s="370">
        <v>0</v>
      </c>
      <c r="BO214" s="370">
        <v>0</v>
      </c>
      <c r="BP214" s="370">
        <v>0</v>
      </c>
      <c r="BQ214" s="370">
        <v>0</v>
      </c>
      <c r="BR214" s="370">
        <v>0</v>
      </c>
      <c r="BS214" s="370">
        <v>0</v>
      </c>
      <c r="BT214" s="370">
        <v>0</v>
      </c>
      <c r="BU214" s="370">
        <v>0</v>
      </c>
      <c r="BV214" s="370">
        <v>0</v>
      </c>
      <c r="BW214" s="370">
        <v>0</v>
      </c>
      <c r="BX214" s="370">
        <v>0</v>
      </c>
      <c r="BY214" s="370">
        <v>0</v>
      </c>
      <c r="BZ214" s="370">
        <v>0</v>
      </c>
      <c r="CA214" s="370">
        <v>0</v>
      </c>
      <c r="CB214" s="370">
        <v>0</v>
      </c>
      <c r="CC214" s="370">
        <v>0</v>
      </c>
      <c r="CD214" s="370">
        <v>0</v>
      </c>
      <c r="CE214" s="370">
        <v>0</v>
      </c>
      <c r="CF214" s="370">
        <v>0</v>
      </c>
      <c r="CG214" s="370">
        <v>0</v>
      </c>
      <c r="CH214" s="370">
        <v>0</v>
      </c>
      <c r="CI214" s="48" t="s">
        <v>1987</v>
      </c>
      <c r="CJ214" s="48" t="s">
        <v>1991</v>
      </c>
      <c r="CK214" s="48" t="s">
        <v>1987</v>
      </c>
      <c r="CL214" s="48" t="s">
        <v>1989</v>
      </c>
      <c r="CM214" s="48" t="s">
        <v>2020</v>
      </c>
      <c r="CN214" s="48" t="s">
        <v>2011</v>
      </c>
      <c r="CO214" s="48" t="str">
        <f t="shared" ref="CO214:CO215" si="55">+CONCATENATE(CI214,".",CJ214,".",CK214,".",CL214,".",CM214,".",CN214)</f>
        <v>2.3.2.7.14.5</v>
      </c>
      <c r="CP214" s="48" t="str">
        <f>+VLOOKUP(Tabla1[[#This Row],[ESPECÍFICA]],CLASIFICADOR_,2,0)</f>
        <v>2.3.2.7.14.5 - ASESORÍA Y/O DEFENSA LEGAL PARA SERVIDORES Y EX-SERVIDORES CIVILES</v>
      </c>
      <c r="CQ214" s="48" t="str">
        <f>+VLOOKUP(Tabla1[[#This Row],[ESPECÍFICA]],CLASIFICADOR_,3,0)</f>
        <v>2.3.2.7 - SERVICIOS PROFESIONALES Y TECNICOS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2.3.BIENES Y SERVICIOS</v>
      </c>
      <c r="CX214" s="48" t="str">
        <f t="shared" si="42"/>
        <v>0010-OA</v>
      </c>
      <c r="CY214" s="113" t="str">
        <f t="shared" si="43"/>
        <v>0010-OA</v>
      </c>
      <c r="CZ214" s="20" t="str">
        <f t="shared" si="44"/>
        <v>0010-OA</v>
      </c>
      <c r="DA214" s="113" t="str">
        <f>+CONCATENATE(Tabla1[[#This Row],[CC COMPLETO]],Tabla1[[#This Row],[ESPECÍFICA]])</f>
        <v>0010-OA2.3.2.7.14.5</v>
      </c>
      <c r="DB214" s="49">
        <f t="shared" si="45"/>
        <v>38000</v>
      </c>
      <c r="DC214" s="49">
        <f t="shared" si="46"/>
        <v>0</v>
      </c>
      <c r="DD214" s="49">
        <f t="shared" si="47"/>
        <v>0</v>
      </c>
      <c r="DE214" s="49">
        <f t="shared" si="48"/>
        <v>0</v>
      </c>
      <c r="DF214" s="49">
        <f t="shared" si="49"/>
        <v>0</v>
      </c>
      <c r="DG214" s="49">
        <f t="shared" si="50"/>
        <v>38000</v>
      </c>
      <c r="DH214" s="49">
        <f t="shared" si="51"/>
        <v>38000</v>
      </c>
      <c r="DI214" s="50">
        <f t="shared" si="52"/>
        <v>0</v>
      </c>
      <c r="DJ214" s="78">
        <f>+SUM(Tabla1[[#This Row],[EJECUTADO 01]:[EJECUTADO 06]])</f>
        <v>0</v>
      </c>
      <c r="DK214" s="78">
        <f>+Tabla1[[#This Row],[mto_devenga_01]]</f>
        <v>0</v>
      </c>
      <c r="DL214" s="78">
        <f>+Tabla1[[#This Row],[mto_devenga_02]]</f>
        <v>0</v>
      </c>
      <c r="DM214" s="78">
        <f>+Tabla1[[#This Row],[mto_devenga_03]]</f>
        <v>0</v>
      </c>
      <c r="DN214" s="78">
        <f>+Tabla1[[#This Row],[mto_devenga_04]]</f>
        <v>0</v>
      </c>
      <c r="DO214" s="78">
        <f>+Tabla1[[#This Row],[mto_devenga_05]]</f>
        <v>0</v>
      </c>
      <c r="DP214" s="76">
        <f>+Tabla1[[#This Row],[mto_devenga_06]]</f>
        <v>0</v>
      </c>
      <c r="DQ214" s="76">
        <f>+Tabla1[[#This Row],[mto_devenga_07]]</f>
        <v>0</v>
      </c>
      <c r="DR214" s="76">
        <f>+Tabla1[[#This Row],[mto_devenga_08]]</f>
        <v>0</v>
      </c>
      <c r="DS214" s="76">
        <f>+Tabla1[[#This Row],[mto_devenga_09]]</f>
        <v>0</v>
      </c>
      <c r="DT214" s="76">
        <f>IFERROR(VLOOKUP(Tabla1[[#This Row],[COD SE]],PF_OCTUBRE,14,0),"0")</f>
        <v>0</v>
      </c>
      <c r="DU214" s="76">
        <f>IFERROR(VLOOKUP(Tabla1[[#This Row],[COD SE]],PF_OCTUBRE,15,0),"0")</f>
        <v>0</v>
      </c>
      <c r="DV214" s="76">
        <f>IFERROR(VLOOKUP(Tabla1[[#This Row],[COD SE]],PF_OCTUBRE,16,0),"0")</f>
        <v>142500</v>
      </c>
      <c r="DW214" s="76">
        <f>+SUM(Tabla1[[#This Row],[EJECUTADO 01]:[PF DICIEMBRE
]])</f>
        <v>142500</v>
      </c>
      <c r="DX214" s="76">
        <f>IFERROR(VLOOKUP(Tabla1[[#This Row],[COD SE]],PF_OCTUBRE,18,0),"0")</f>
        <v>0</v>
      </c>
      <c r="DY214" s="76">
        <f>IFERROR(VLOOKUP(Tabla1[[#This Row],[COD SE]],PF_OCTUBRE,19,0),"0")</f>
        <v>0</v>
      </c>
      <c r="DZ214" s="76">
        <f>IFERROR(VLOOKUP(Tabla1[[#This Row],[COD SE]],PF_OCTUBRE,20,0),"0")</f>
        <v>0</v>
      </c>
      <c r="EA214" s="76">
        <f>+Tabla1[[#This Row],[TOTAL EJEC REAL]]+Tabla1[[#This Row],[SALDO FINAL]]</f>
        <v>142500</v>
      </c>
      <c r="EB214" s="76">
        <f>IFERROR(VLOOKUP(Tabla1[[#This Row],[COD SE]],PF_OCTUBRE,22,0),"0")</f>
        <v>142500</v>
      </c>
      <c r="EC214" s="76">
        <f>+IFERROR(VLOOKUP(Tabla1[[#This Row],[COD SE]],SALDO_ESC_2,7,0),0)</f>
        <v>0</v>
      </c>
      <c r="ED214" s="76">
        <f>+IFERROR(VLOOKUP(Tabla1[[#This Row],[COD SE]],SALDO_ESC_3,7,0),0)</f>
        <v>0</v>
      </c>
      <c r="EE214" s="76">
        <f>+Tabla1[[#This Row],[mto_pim]]-Tabla1[[#This Row],[TRANSF ESC2 ]]</f>
        <v>38000</v>
      </c>
      <c r="EF214" s="76">
        <f>+Tabla1[[#This Row],[mto_pim]]-Tabla1[[#This Row],[TRANFS ESC 3 ]]</f>
        <v>38000</v>
      </c>
      <c r="EG214" s="76">
        <f>+IFERROR(VLOOKUP(Tabla1[[#This Row],[COD SE]],HISTORICO,4,0),0)</f>
        <v>46000</v>
      </c>
      <c r="EH214" s="76">
        <f>+IFERROR(VLOOKUP(Tabla1[[#This Row],[COD SE]],HISTORICO,5,0),0)</f>
        <v>0</v>
      </c>
      <c r="EI214" s="76">
        <f>+IFERROR(VLOOKUP(Tabla1[[#This Row],[COD SE]],HISTORICO,6,0),0)</f>
        <v>0</v>
      </c>
      <c r="EJ214" s="76">
        <f>+IFERROR(VLOOKUP(Tabla1[[#This Row],[COD SE]],HISTORICO,7,0),0)</f>
        <v>0</v>
      </c>
      <c r="EK214" s="76">
        <f>+IFERROR(VLOOKUP(Tabla1[[#This Row],[COD SE]],HISTORICO,8,0),0)</f>
        <v>0</v>
      </c>
      <c r="EL214" s="76">
        <f>+IFERROR(VLOOKUP(Tabla1[[#This Row],[COD SE]],HISTORICO,9,0),0)</f>
        <v>0</v>
      </c>
      <c r="EM214" s="76">
        <f>+IFERROR(VLOOKUP(Tabla1[[#This Row],[COD SE]],HISTORICO,10,0),0)</f>
        <v>0</v>
      </c>
      <c r="EN214" s="76">
        <f>+IFERROR(VLOOKUP(Tabla1[[#This Row],[COD SE]],HISTORICO,11,0),0)</f>
        <v>0</v>
      </c>
      <c r="EO214" s="76">
        <f>+IFERROR(VLOOKUP(Tabla1[[#This Row],[COD SE]],HISTORICO,12,0),0)</f>
        <v>0</v>
      </c>
      <c r="EP214" s="58">
        <f>+SUM(Tabla1[[#This Row],[EJECUTADO 01]:[EJECUTADO 03]])</f>
        <v>0</v>
      </c>
      <c r="EQ214" s="58">
        <f>+SUM(Tabla1[[#This Row],[EJECUTADO 04]:[EJECUTADO 06]])</f>
        <v>0</v>
      </c>
      <c r="ER214" s="58">
        <f>+SUM(Tabla1[[#This Row],[EJECUTADO 07]:[EJECUTADO 09]])</f>
        <v>0</v>
      </c>
      <c r="ES214" s="58">
        <f>+SUM(Tabla1[[#This Row],[PF OCTUBRE]:[PF DICIEMBRE
]])</f>
        <v>142500</v>
      </c>
      <c r="ET214" s="58">
        <f>+SUM(Tabla1[[#This Row],[EJECUTADO 01]:[EJECUTADO 09]])</f>
        <v>0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1672</v>
      </c>
      <c r="AD215" s="369" t="s">
        <v>1673</v>
      </c>
      <c r="AE215" s="369" t="s">
        <v>1678</v>
      </c>
      <c r="AF215" s="369" t="s">
        <v>1740</v>
      </c>
      <c r="AG215" s="369" t="s">
        <v>1744</v>
      </c>
      <c r="AH215" s="369">
        <v>28171</v>
      </c>
      <c r="AI215" s="369">
        <v>-28171</v>
      </c>
      <c r="AJ215" s="369">
        <v>0</v>
      </c>
      <c r="AK215" s="370">
        <v>0</v>
      </c>
      <c r="AL215" s="370">
        <v>0</v>
      </c>
      <c r="AM215" s="370">
        <v>0</v>
      </c>
      <c r="AN215" s="370">
        <v>0</v>
      </c>
      <c r="AO215" s="370">
        <v>0</v>
      </c>
      <c r="AP215" s="370">
        <v>0</v>
      </c>
      <c r="AQ215" s="370">
        <v>0</v>
      </c>
      <c r="AR215" s="370">
        <v>0</v>
      </c>
      <c r="AS215" s="370">
        <v>0</v>
      </c>
      <c r="AT215" s="370">
        <v>0</v>
      </c>
      <c r="AU215" s="370">
        <v>0</v>
      </c>
      <c r="AV215" s="370">
        <v>0</v>
      </c>
      <c r="AW215" s="370">
        <v>0</v>
      </c>
      <c r="AX215" s="370">
        <v>0</v>
      </c>
      <c r="AY215" s="370">
        <v>0</v>
      </c>
      <c r="AZ215" s="370">
        <v>0</v>
      </c>
      <c r="BA215" s="370">
        <v>0</v>
      </c>
      <c r="BB215" s="370">
        <v>0</v>
      </c>
      <c r="BC215" s="370">
        <v>0</v>
      </c>
      <c r="BD215" s="370">
        <v>0</v>
      </c>
      <c r="BE215" s="370">
        <v>0</v>
      </c>
      <c r="BF215" s="370">
        <v>0</v>
      </c>
      <c r="BG215" s="370">
        <v>0</v>
      </c>
      <c r="BH215" s="370">
        <v>0</v>
      </c>
      <c r="BI215" s="370">
        <v>0</v>
      </c>
      <c r="BJ215" s="370">
        <v>0</v>
      </c>
      <c r="BK215" s="370">
        <v>0</v>
      </c>
      <c r="BL215" s="370">
        <v>0</v>
      </c>
      <c r="BM215" s="370">
        <v>0</v>
      </c>
      <c r="BN215" s="370">
        <v>0</v>
      </c>
      <c r="BO215" s="370">
        <v>0</v>
      </c>
      <c r="BP215" s="370">
        <v>0</v>
      </c>
      <c r="BQ215" s="370">
        <v>0</v>
      </c>
      <c r="BR215" s="370">
        <v>0</v>
      </c>
      <c r="BS215" s="370">
        <v>0</v>
      </c>
      <c r="BT215" s="370">
        <v>0</v>
      </c>
      <c r="BU215" s="370">
        <v>0</v>
      </c>
      <c r="BV215" s="370">
        <v>0</v>
      </c>
      <c r="BW215" s="370">
        <v>0</v>
      </c>
      <c r="BX215" s="370">
        <v>0</v>
      </c>
      <c r="BY215" s="370">
        <v>0</v>
      </c>
      <c r="BZ215" s="370">
        <v>0</v>
      </c>
      <c r="CA215" s="370">
        <v>0</v>
      </c>
      <c r="CB215" s="370">
        <v>0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1991</v>
      </c>
      <c r="CK215" s="48" t="s">
        <v>1987</v>
      </c>
      <c r="CL215" s="48" t="s">
        <v>1989</v>
      </c>
      <c r="CM215" s="48" t="s">
        <v>1993</v>
      </c>
      <c r="CN215" s="48" t="s">
        <v>1998</v>
      </c>
      <c r="CO215" s="48" t="str">
        <f t="shared" si="55"/>
        <v>2.3.2.7.4.99</v>
      </c>
      <c r="CP215" s="48" t="str">
        <f>+VLOOKUP(Tabla1[[#This Row],[ESPECÍFICA]],CLASIFICADOR_,2,0)</f>
        <v>2.3.2.7.4.99 - OTROS SERVICIOS DE INFORMATICA</v>
      </c>
      <c r="CQ215" s="48" t="str">
        <f>+VLOOKUP(Tabla1[[#This Row],[ESPECÍFICA]],CLASIFICADOR_,3,0)</f>
        <v>2.3.2.7 - SERVICIOS PROFESIONALES Y TECNICOS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N/R</v>
      </c>
      <c r="CU215" s="48" t="str">
        <f>+VLOOKUP(Tabla1[[#This Row],[ESPECÍFICA]],CLASIFICADOR_,7,0)</f>
        <v>N/R</v>
      </c>
      <c r="CV215" s="48">
        <f>+VLOOKUP(Tabla1[[#This Row],[ESPECÍFICA]],CLASIFICADOR_,8,0)</f>
        <v>0</v>
      </c>
      <c r="CW215" s="113" t="str">
        <f>+CONCATENATE("2.",Tabla1[[#This Row],[generica]])</f>
        <v>2.3.BIENES Y SERVICIOS</v>
      </c>
      <c r="CX215" s="48" t="str">
        <f t="shared" si="42"/>
        <v>0010-OA</v>
      </c>
      <c r="CY215" s="113" t="str">
        <f t="shared" si="43"/>
        <v>0010-OA</v>
      </c>
      <c r="CZ215" s="20" t="str">
        <f t="shared" si="44"/>
        <v>0010-OA</v>
      </c>
      <c r="DA215" s="113" t="str">
        <f>+CONCATENATE(Tabla1[[#This Row],[CC COMPLETO]],Tabla1[[#This Row],[ESPECÍFICA]])</f>
        <v>0010-OA2.3.2.7.4.99</v>
      </c>
      <c r="DB215" s="49">
        <f t="shared" si="45"/>
        <v>0</v>
      </c>
      <c r="DC215" s="49">
        <f t="shared" si="46"/>
        <v>0</v>
      </c>
      <c r="DD215" s="49">
        <f t="shared" si="47"/>
        <v>0</v>
      </c>
      <c r="DE215" s="49">
        <f t="shared" si="48"/>
        <v>0</v>
      </c>
      <c r="DF215" s="49">
        <f t="shared" si="49"/>
        <v>0</v>
      </c>
      <c r="DG215" s="49">
        <f t="shared" si="50"/>
        <v>0</v>
      </c>
      <c r="DH215" s="49">
        <f t="shared" si="51"/>
        <v>0</v>
      </c>
      <c r="DI215" s="50">
        <f t="shared" si="52"/>
        <v>0</v>
      </c>
      <c r="DJ215" s="78">
        <f>+SUM(Tabla1[[#This Row],[EJECUTADO 01]:[EJECUTADO 06]])</f>
        <v>0</v>
      </c>
      <c r="DK215" s="78">
        <f>+Tabla1[[#This Row],[mto_devenga_01]]</f>
        <v>0</v>
      </c>
      <c r="DL215" s="78">
        <f>+Tabla1[[#This Row],[mto_devenga_02]]</f>
        <v>0</v>
      </c>
      <c r="DM215" s="78">
        <f>+Tabla1[[#This Row],[mto_devenga_03]]</f>
        <v>0</v>
      </c>
      <c r="DN215" s="78">
        <f>+Tabla1[[#This Row],[mto_devenga_04]]</f>
        <v>0</v>
      </c>
      <c r="DO215" s="78">
        <f>+Tabla1[[#This Row],[mto_devenga_05]]</f>
        <v>0</v>
      </c>
      <c r="DP215" s="76">
        <f>+Tabla1[[#This Row],[mto_devenga_06]]</f>
        <v>0</v>
      </c>
      <c r="DQ215" s="76">
        <f>+Tabla1[[#This Row],[mto_devenga_07]]</f>
        <v>0</v>
      </c>
      <c r="DR215" s="76">
        <f>+Tabla1[[#This Row],[mto_devenga_08]]</f>
        <v>0</v>
      </c>
      <c r="DS215" s="76">
        <f>+Tabla1[[#This Row],[mto_devenga_09]]</f>
        <v>0</v>
      </c>
      <c r="DT215" s="76">
        <f>IFERROR(VLOOKUP(Tabla1[[#This Row],[COD SE]],PF_OCTUBRE,14,0),"0")</f>
        <v>0</v>
      </c>
      <c r="DU215" s="76">
        <f>IFERROR(VLOOKUP(Tabla1[[#This Row],[COD SE]],PF_OCTUBRE,15,0),"0")</f>
        <v>0</v>
      </c>
      <c r="DV215" s="76">
        <f>IFERROR(VLOOKUP(Tabla1[[#This Row],[COD SE]],PF_OCTUBRE,16,0),"0")</f>
        <v>0</v>
      </c>
      <c r="DW215" s="76">
        <f>+SUM(Tabla1[[#This Row],[EJECUTADO 01]:[PF DICIEMBRE
]])</f>
        <v>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0</v>
      </c>
      <c r="EB215" s="76">
        <f>IFERROR(VLOOKUP(Tabla1[[#This Row],[COD SE]],PF_OCTUBRE,22,0),"0")</f>
        <v>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0</v>
      </c>
      <c r="EF215" s="76">
        <f>+Tabla1[[#This Row],[mto_pim]]-Tabla1[[#This Row],[TRANFS ESC 3 ]]</f>
        <v>0</v>
      </c>
      <c r="EG215" s="76">
        <f>+IFERROR(VLOOKUP(Tabla1[[#This Row],[COD SE]],HISTORICO,4,0),0)</f>
        <v>0</v>
      </c>
      <c r="EH215" s="76">
        <f>+IFERROR(VLOOKUP(Tabla1[[#This Row],[COD SE]],HISTORICO,5,0),0)</f>
        <v>0</v>
      </c>
      <c r="EI215" s="76">
        <f>+IFERROR(VLOOKUP(Tabla1[[#This Row],[COD SE]],HISTORICO,6,0),0)</f>
        <v>0</v>
      </c>
      <c r="EJ215" s="76">
        <f>+IFERROR(VLOOKUP(Tabla1[[#This Row],[COD SE]],HISTORICO,7,0),0)</f>
        <v>14085.5</v>
      </c>
      <c r="EK215" s="76">
        <f>+IFERROR(VLOOKUP(Tabla1[[#This Row],[COD SE]],HISTORICO,8,0),0)</f>
        <v>0</v>
      </c>
      <c r="EL215" s="76">
        <f>+IFERROR(VLOOKUP(Tabla1[[#This Row],[COD SE]],HISTORICO,9,0),0)</f>
        <v>0</v>
      </c>
      <c r="EM215" s="76">
        <f>+IFERROR(VLOOKUP(Tabla1[[#This Row],[COD SE]],HISTORICO,10,0),0)</f>
        <v>0</v>
      </c>
      <c r="EN215" s="76">
        <f>+IFERROR(VLOOKUP(Tabla1[[#This Row],[COD SE]],HISTORICO,11,0),0)</f>
        <v>0</v>
      </c>
      <c r="EO215" s="76">
        <f>+IFERROR(VLOOKUP(Tabla1[[#This Row],[COD SE]],HISTORICO,12,0),0)</f>
        <v>0</v>
      </c>
      <c r="EP215" s="58">
        <f>+SUM(Tabla1[[#This Row],[EJECUTADO 01]:[EJECUTADO 03]])</f>
        <v>0</v>
      </c>
      <c r="EQ215" s="58">
        <f>+SUM(Tabla1[[#This Row],[EJECUTADO 04]:[EJECUTADO 06]])</f>
        <v>0</v>
      </c>
      <c r="ER215" s="58">
        <f>+SUM(Tabla1[[#This Row],[EJECUTADO 07]:[EJECUTADO 09]])</f>
        <v>0</v>
      </c>
      <c r="ES215" s="58">
        <f>+SUM(Tabla1[[#This Row],[PF OCTUBRE]:[PF DICIEMBRE
]])</f>
        <v>0</v>
      </c>
      <c r="ET215" s="58">
        <f>+SUM(Tabla1[[#This Row],[EJECUTADO 01]:[EJECUTADO 09]])</f>
        <v>0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1672</v>
      </c>
      <c r="AD216" s="369" t="s">
        <v>1673</v>
      </c>
      <c r="AE216" s="369" t="s">
        <v>1688</v>
      </c>
      <c r="AF216" s="369" t="s">
        <v>1773</v>
      </c>
      <c r="AG216" s="369" t="s">
        <v>1775</v>
      </c>
      <c r="AH216" s="369">
        <v>15000</v>
      </c>
      <c r="AI216" s="369">
        <v>0</v>
      </c>
      <c r="AJ216" s="369">
        <v>15000</v>
      </c>
      <c r="AK216" s="370">
        <v>15000</v>
      </c>
      <c r="AL216" s="370">
        <v>15000</v>
      </c>
      <c r="AM216" s="370">
        <v>7348.1</v>
      </c>
      <c r="AN216" s="370">
        <v>0</v>
      </c>
      <c r="AO216" s="370">
        <v>0</v>
      </c>
      <c r="AP216" s="370">
        <v>0</v>
      </c>
      <c r="AQ216" s="370">
        <v>0</v>
      </c>
      <c r="AR216" s="370">
        <v>7591.9</v>
      </c>
      <c r="AS216" s="370">
        <v>0</v>
      </c>
      <c r="AT216" s="370">
        <v>0</v>
      </c>
      <c r="AU216" s="370">
        <v>60</v>
      </c>
      <c r="AV216" s="370">
        <v>0</v>
      </c>
      <c r="AW216" s="370">
        <v>0</v>
      </c>
      <c r="AX216" s="370">
        <v>0</v>
      </c>
      <c r="AY216" s="370">
        <v>0</v>
      </c>
      <c r="AZ216" s="370">
        <v>2884.2</v>
      </c>
      <c r="BA216" s="370">
        <v>7.4</v>
      </c>
      <c r="BB216" s="370">
        <v>2915.1</v>
      </c>
      <c r="BC216" s="370">
        <v>1386.7</v>
      </c>
      <c r="BD216" s="370">
        <v>1332.7</v>
      </c>
      <c r="BE216" s="370">
        <v>1498.5</v>
      </c>
      <c r="BF216" s="370">
        <v>0</v>
      </c>
      <c r="BG216" s="370">
        <v>2986.26</v>
      </c>
      <c r="BH216" s="370">
        <v>0</v>
      </c>
      <c r="BI216" s="370">
        <v>0</v>
      </c>
      <c r="BJ216" s="370">
        <v>0</v>
      </c>
      <c r="BK216" s="370">
        <v>0</v>
      </c>
      <c r="BL216" s="370">
        <v>1526</v>
      </c>
      <c r="BM216" s="370">
        <v>1365.6</v>
      </c>
      <c r="BN216" s="370">
        <v>1480.4</v>
      </c>
      <c r="BO216" s="370">
        <v>1450.4</v>
      </c>
      <c r="BP216" s="370">
        <v>1371</v>
      </c>
      <c r="BQ216" s="370">
        <v>1332.7</v>
      </c>
      <c r="BR216" s="370">
        <v>1498.5</v>
      </c>
      <c r="BS216" s="370">
        <v>1258.3599999999999</v>
      </c>
      <c r="BT216" s="370">
        <v>1727.9</v>
      </c>
      <c r="BU216" s="370">
        <v>0</v>
      </c>
      <c r="BV216" s="370">
        <v>0</v>
      </c>
      <c r="BW216" s="370">
        <v>7208.26</v>
      </c>
      <c r="BX216" s="370">
        <v>0</v>
      </c>
      <c r="BY216" s="370">
        <v>0</v>
      </c>
      <c r="BZ216" s="370">
        <v>0</v>
      </c>
      <c r="CA216" s="370">
        <v>0</v>
      </c>
      <c r="CB216" s="370">
        <v>5802.6</v>
      </c>
      <c r="CC216" s="370">
        <v>0</v>
      </c>
      <c r="CD216" s="370">
        <v>0</v>
      </c>
      <c r="CE216" s="370">
        <v>0</v>
      </c>
      <c r="CF216" s="370">
        <v>0</v>
      </c>
      <c r="CG216" s="370">
        <v>0</v>
      </c>
      <c r="CH216" s="370">
        <v>0</v>
      </c>
      <c r="CI216" s="48" t="s">
        <v>1987</v>
      </c>
      <c r="CJ216" s="48" t="s">
        <v>1991</v>
      </c>
      <c r="CK216" s="48" t="s">
        <v>1987</v>
      </c>
      <c r="CL216" s="48" t="s">
        <v>1987</v>
      </c>
      <c r="CM216" s="48" t="s">
        <v>1990</v>
      </c>
      <c r="CN216" s="48" t="s">
        <v>1987</v>
      </c>
      <c r="CO216" s="10" t="str">
        <f t="shared" ref="CO216:CO222" si="56">+CONCATENATE(CI216,".",CJ216,".",CK216,".",CL216,".",CM216,".",CN216)</f>
        <v>2.3.2.2.1.2</v>
      </c>
      <c r="CP216" s="10" t="str">
        <f>+VLOOKUP(Tabla1[[#This Row],[ESPECÍFICA]],CLASIFICADOR_,2,0)</f>
        <v>2.3.2.2.1.2 - SERVICIO DE AGUA Y DESAGUE</v>
      </c>
      <c r="CQ216" s="10" t="str">
        <f>+VLOOKUP(Tabla1[[#This Row],[ESPECÍFICA]],CLASIFICADOR_,3,0)</f>
        <v>2.3.2.2 - SERVICIOS BASICOS, COMUNICACIONES, PUBLICIDAD Y DIFUSION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Partidas restringidas</v>
      </c>
      <c r="CU216" s="10">
        <f>+VLOOKUP(Tabla1[[#This Row],[ESPECÍFICA]],CLASIFICADOR_,7,0)</f>
        <v>9.6999999999999993</v>
      </c>
      <c r="CV216" s="10">
        <f>+VLOOKUP(Tabla1[[#This Row],[ESPECÍFICA]],CLASIFICADOR_,8,0)</f>
        <v>4</v>
      </c>
      <c r="CW216" s="113" t="str">
        <f>+CONCATENATE("2.",Tabla1[[#This Row],[generica]])</f>
        <v>2.3.BIENES Y SERVICIOS</v>
      </c>
      <c r="CX216" s="10" t="str">
        <f t="shared" si="42"/>
        <v>0010-OA</v>
      </c>
      <c r="CY216" s="5" t="str">
        <f t="shared" si="43"/>
        <v>0010-OA</v>
      </c>
      <c r="CZ216" t="str">
        <f t="shared" si="44"/>
        <v>0010-OA</v>
      </c>
      <c r="DA216" s="113" t="str">
        <f>+CONCATENATE(Tabla1[[#This Row],[CC COMPLETO]],Tabla1[[#This Row],[ESPECÍFICA]])</f>
        <v>0010-OA2.3.2.2.1.2</v>
      </c>
      <c r="DB216" s="11">
        <f t="shared" si="45"/>
        <v>15000</v>
      </c>
      <c r="DC216" s="11">
        <f t="shared" si="46"/>
        <v>13010.86</v>
      </c>
      <c r="DD216" s="11">
        <f t="shared" si="47"/>
        <v>13010.86</v>
      </c>
      <c r="DE216" s="11">
        <f t="shared" si="48"/>
        <v>0</v>
      </c>
      <c r="DF216" s="11">
        <f t="shared" si="49"/>
        <v>0</v>
      </c>
      <c r="DG216" s="11">
        <f t="shared" si="50"/>
        <v>1989.1399999999994</v>
      </c>
      <c r="DH216" s="11">
        <f t="shared" si="51"/>
        <v>1989.1399999999994</v>
      </c>
      <c r="DI216" s="12">
        <f t="shared" si="52"/>
        <v>0.86739066666666675</v>
      </c>
      <c r="DJ216" s="77">
        <f>+SUM(Tabla1[[#This Row],[EJECUTADO 01]:[EJECUTADO 06]])</f>
        <v>8526.1</v>
      </c>
      <c r="DK216" s="78">
        <f>+Tabla1[[#This Row],[mto_devenga_01]]</f>
        <v>0</v>
      </c>
      <c r="DL216" s="78">
        <f>+Tabla1[[#This Row],[mto_devenga_02]]</f>
        <v>2884.2</v>
      </c>
      <c r="DM216" s="78">
        <f>+Tabla1[[#This Row],[mto_devenga_03]]</f>
        <v>7.4</v>
      </c>
      <c r="DN216" s="78">
        <f>+Tabla1[[#This Row],[mto_devenga_04]]</f>
        <v>2915.1</v>
      </c>
      <c r="DO216" s="78">
        <f>+Tabla1[[#This Row],[mto_devenga_05]]</f>
        <v>1386.7</v>
      </c>
      <c r="DP216" s="76">
        <f>+Tabla1[[#This Row],[mto_devenga_06]]</f>
        <v>1332.7</v>
      </c>
      <c r="DQ216" s="76">
        <f>+Tabla1[[#This Row],[mto_devenga_07]]</f>
        <v>1498.5</v>
      </c>
      <c r="DR216" s="76">
        <f>+Tabla1[[#This Row],[mto_devenga_08]]</f>
        <v>0</v>
      </c>
      <c r="DS216" s="76">
        <f>+Tabla1[[#This Row],[mto_devenga_09]]</f>
        <v>2986.26</v>
      </c>
      <c r="DT216" s="76">
        <f>IFERROR(VLOOKUP(Tabla1[[#This Row],[COD SE]],PF_OCTUBRE,14,0),"0")</f>
        <v>1551.0800000000002</v>
      </c>
      <c r="DU216" s="76">
        <f>IFERROR(VLOOKUP(Tabla1[[#This Row],[COD SE]],PF_OCTUBRE,15,0),"0")</f>
        <v>438.05999999999949</v>
      </c>
      <c r="DV216" s="76">
        <f>IFERROR(VLOOKUP(Tabla1[[#This Row],[COD SE]],PF_OCTUBRE,16,0),"0")</f>
        <v>0</v>
      </c>
      <c r="DW216" s="76">
        <f>+SUM(Tabla1[[#This Row],[EJECUTADO 01]:[PF DICIEMBRE
]])</f>
        <v>15000</v>
      </c>
      <c r="DX216" s="76">
        <f>IFERROR(VLOOKUP(Tabla1[[#This Row],[COD SE]],PF_OCTUBRE,18,0),"0")</f>
        <v>0</v>
      </c>
      <c r="DY216" s="76">
        <f>IFERROR(VLOOKUP(Tabla1[[#This Row],[COD SE]],PF_OCTUBRE,19,0),"0")</f>
        <v>0</v>
      </c>
      <c r="DZ216" s="76">
        <f>IFERROR(VLOOKUP(Tabla1[[#This Row],[COD SE]],PF_OCTUBRE,20,0),"0")</f>
        <v>0</v>
      </c>
      <c r="EA216" s="76">
        <f>+Tabla1[[#This Row],[TOTAL EJEC REAL]]+Tabla1[[#This Row],[SALDO FINAL]]</f>
        <v>15000</v>
      </c>
      <c r="EB216" s="76">
        <f>IFERROR(VLOOKUP(Tabla1[[#This Row],[COD SE]],PF_OCTUBRE,22,0),"0")</f>
        <v>0</v>
      </c>
      <c r="EC216" s="76">
        <f>+IFERROR(VLOOKUP(Tabla1[[#This Row],[COD SE]],SALDO_ESC_2,7,0),0)</f>
        <v>0</v>
      </c>
      <c r="ED216" s="76">
        <f>+IFERROR(VLOOKUP(Tabla1[[#This Row],[COD SE]],SALDO_ESC_3,7,0),0)</f>
        <v>0</v>
      </c>
      <c r="EE216" s="76">
        <f>+Tabla1[[#This Row],[mto_pim]]-Tabla1[[#This Row],[TRANSF ESC2 ]]</f>
        <v>15000</v>
      </c>
      <c r="EF216" s="76">
        <f>+Tabla1[[#This Row],[mto_pim]]-Tabla1[[#This Row],[TRANFS ESC 3 ]]</f>
        <v>15000</v>
      </c>
      <c r="EG216" s="76">
        <f>+IFERROR(VLOOKUP(Tabla1[[#This Row],[COD SE]],HISTORICO,4,0),0)</f>
        <v>0</v>
      </c>
      <c r="EH216" s="76">
        <f>+IFERROR(VLOOKUP(Tabla1[[#This Row],[COD SE]],HISTORICO,5,0),0)</f>
        <v>1300</v>
      </c>
      <c r="EI216" s="76">
        <f>+IFERROR(VLOOKUP(Tabla1[[#This Row],[COD SE]],HISTORICO,6,0),0)</f>
        <v>1211.58</v>
      </c>
      <c r="EJ216" s="76">
        <f>+IFERROR(VLOOKUP(Tabla1[[#This Row],[COD SE]],HISTORICO,7,0),0)</f>
        <v>2884.2</v>
      </c>
      <c r="EK216" s="76">
        <f>+IFERROR(VLOOKUP(Tabla1[[#This Row],[COD SE]],HISTORICO,8,0),0)</f>
        <v>1532.22</v>
      </c>
      <c r="EL216" s="76">
        <f>+IFERROR(VLOOKUP(Tabla1[[#This Row],[COD SE]],HISTORICO,9,0),0)</f>
        <v>1540.52</v>
      </c>
      <c r="EM216" s="76">
        <f>+IFERROR(VLOOKUP(Tabla1[[#This Row],[COD SE]],HISTORICO,10,0),0)</f>
        <v>1315.7</v>
      </c>
      <c r="EN216" s="76">
        <f>+IFERROR(VLOOKUP(Tabla1[[#This Row],[COD SE]],HISTORICO,11,0),0)</f>
        <v>1540.52</v>
      </c>
      <c r="EO216" s="76">
        <f>+IFERROR(VLOOKUP(Tabla1[[#This Row],[COD SE]],HISTORICO,12,0),0)</f>
        <v>1255.22</v>
      </c>
      <c r="EP216" s="58">
        <f>+SUM(Tabla1[[#This Row],[EJECUTADO 01]:[EJECUTADO 03]])</f>
        <v>2891.6</v>
      </c>
      <c r="EQ216" s="58">
        <f>+SUM(Tabla1[[#This Row],[EJECUTADO 04]:[EJECUTADO 06]])</f>
        <v>5634.5</v>
      </c>
      <c r="ER216" s="58">
        <f>+SUM(Tabla1[[#This Row],[EJECUTADO 07]:[EJECUTADO 09]])</f>
        <v>4484.76</v>
      </c>
      <c r="ES216" s="58">
        <f>+SUM(Tabla1[[#This Row],[PF OCTUBRE]:[PF DICIEMBRE
]])</f>
        <v>1989.1399999999996</v>
      </c>
      <c r="ET216" s="58">
        <f>+SUM(Tabla1[[#This Row],[EJECUTADO 01]:[EJECUTADO 09]])</f>
        <v>13010.86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1684</v>
      </c>
      <c r="AE217" s="369" t="s">
        <v>1716</v>
      </c>
      <c r="AF217" s="369" t="s">
        <v>2048</v>
      </c>
      <c r="AG217" s="369" t="s">
        <v>2048</v>
      </c>
      <c r="AH217" s="369">
        <v>0</v>
      </c>
      <c r="AI217" s="369">
        <v>0</v>
      </c>
      <c r="AJ217" s="369">
        <v>0</v>
      </c>
      <c r="AK217" s="370">
        <v>0</v>
      </c>
      <c r="AL217" s="370">
        <v>0</v>
      </c>
      <c r="AM217" s="370">
        <v>0</v>
      </c>
      <c r="AN217" s="370">
        <v>0</v>
      </c>
      <c r="AO217" s="370">
        <v>0</v>
      </c>
      <c r="AP217" s="370">
        <v>0</v>
      </c>
      <c r="AQ217" s="370">
        <v>0</v>
      </c>
      <c r="AR217" s="370">
        <v>0</v>
      </c>
      <c r="AS217" s="370">
        <v>0</v>
      </c>
      <c r="AT217" s="370">
        <v>0</v>
      </c>
      <c r="AU217" s="370">
        <v>0</v>
      </c>
      <c r="AV217" s="370">
        <v>0</v>
      </c>
      <c r="AW217" s="370">
        <v>0</v>
      </c>
      <c r="AX217" s="370">
        <v>0</v>
      </c>
      <c r="AY217" s="370">
        <v>0</v>
      </c>
      <c r="AZ217" s="370">
        <v>0</v>
      </c>
      <c r="BA217" s="370">
        <v>0</v>
      </c>
      <c r="BB217" s="370">
        <v>0</v>
      </c>
      <c r="BC217" s="370">
        <v>0</v>
      </c>
      <c r="BD217" s="370">
        <v>0</v>
      </c>
      <c r="BE217" s="370">
        <v>0</v>
      </c>
      <c r="BF217" s="370">
        <v>0</v>
      </c>
      <c r="BG217" s="370">
        <v>0</v>
      </c>
      <c r="BH217" s="370">
        <v>0</v>
      </c>
      <c r="BI217" s="370">
        <v>0</v>
      </c>
      <c r="BJ217" s="370">
        <v>0</v>
      </c>
      <c r="BK217" s="370">
        <v>0</v>
      </c>
      <c r="BL217" s="370">
        <v>0</v>
      </c>
      <c r="BM217" s="370">
        <v>0</v>
      </c>
      <c r="BN217" s="370">
        <v>0</v>
      </c>
      <c r="BO217" s="370">
        <v>0</v>
      </c>
      <c r="BP217" s="370">
        <v>0</v>
      </c>
      <c r="BQ217" s="370">
        <v>0</v>
      </c>
      <c r="BR217" s="370">
        <v>0</v>
      </c>
      <c r="BS217" s="370">
        <v>0</v>
      </c>
      <c r="BT217" s="370">
        <v>0</v>
      </c>
      <c r="BU217" s="370">
        <v>0</v>
      </c>
      <c r="BV217" s="370">
        <v>0</v>
      </c>
      <c r="BW217" s="370">
        <v>0</v>
      </c>
      <c r="BX217" s="370">
        <v>0</v>
      </c>
      <c r="BY217" s="370">
        <v>0</v>
      </c>
      <c r="BZ217" s="370">
        <v>0</v>
      </c>
      <c r="CA217" s="370">
        <v>0</v>
      </c>
      <c r="CB217" s="370">
        <v>0</v>
      </c>
      <c r="CC217" s="370">
        <v>0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1990</v>
      </c>
      <c r="CL217" s="48" t="s">
        <v>2011</v>
      </c>
      <c r="CM217" s="48" t="s">
        <v>1998</v>
      </c>
      <c r="CN217" s="48" t="s">
        <v>1998</v>
      </c>
      <c r="CO217" s="10" t="str">
        <f t="shared" si="56"/>
        <v>2.3.1.5.99.99</v>
      </c>
      <c r="CP217" s="10" t="str">
        <f>+VLOOKUP(Tabla1[[#This Row],[ESPECÍFICA]],CLASIFICADOR_,2,0)</f>
        <v>2.3.1.5.99.99 - OTROS</v>
      </c>
      <c r="CQ217" s="10" t="str">
        <f>+VLOOKUP(Tabla1[[#This Row],[ESPECÍFICA]],CLASIFICADOR_,3,0)</f>
        <v>2.3.1.5 - MATERIALES Y  UTILES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N/R</v>
      </c>
      <c r="CU217" s="10" t="str">
        <f>+VLOOKUP(Tabla1[[#This Row],[ESPECÍFICA]],CLASIFICADOR_,7,0)</f>
        <v>N/R</v>
      </c>
      <c r="CV217" s="10">
        <f>+VLOOKUP(Tabla1[[#This Row],[ESPECÍFICA]],CLASIFICADOR_,8,0)</f>
        <v>0</v>
      </c>
      <c r="CW217" s="113" t="str">
        <f>+CONCATENATE("2.",Tabla1[[#This Row],[generica]])</f>
        <v>2.3.BIENES Y SERVICIOS</v>
      </c>
      <c r="CX217" s="10" t="str">
        <f t="shared" si="42"/>
        <v>0010-OA</v>
      </c>
      <c r="CY217" s="5" t="str">
        <f t="shared" si="43"/>
        <v>0010-OA</v>
      </c>
      <c r="CZ217" t="str">
        <f t="shared" si="44"/>
        <v>0010-OA</v>
      </c>
      <c r="DA217" s="113" t="str">
        <f>+CONCATENATE(Tabla1[[#This Row],[CC COMPLETO]],Tabla1[[#This Row],[ESPECÍFICA]])</f>
        <v>0010-OA2.3.1.5.99.99</v>
      </c>
      <c r="DB217" s="11">
        <f t="shared" si="45"/>
        <v>0</v>
      </c>
      <c r="DC217" s="11">
        <f t="shared" si="46"/>
        <v>0</v>
      </c>
      <c r="DD217" s="11">
        <f t="shared" si="47"/>
        <v>0</v>
      </c>
      <c r="DE217" s="11">
        <f t="shared" si="48"/>
        <v>0</v>
      </c>
      <c r="DF217" s="11">
        <f t="shared" si="49"/>
        <v>0</v>
      </c>
      <c r="DG217" s="11">
        <f t="shared" si="50"/>
        <v>0</v>
      </c>
      <c r="DH217" s="11">
        <f t="shared" si="51"/>
        <v>0</v>
      </c>
      <c r="DI217" s="12">
        <f t="shared" si="52"/>
        <v>0</v>
      </c>
      <c r="DJ217" s="77">
        <f>+SUM(Tabla1[[#This Row],[EJECUTADO 01]:[EJECUTADO 06]])</f>
        <v>0</v>
      </c>
      <c r="DK217" s="78">
        <f>+Tabla1[[#This Row],[mto_devenga_01]]</f>
        <v>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0</v>
      </c>
      <c r="DO217" s="78">
        <f>+Tabla1[[#This Row],[mto_devenga_05]]</f>
        <v>0</v>
      </c>
      <c r="DP217" s="76">
        <f>+Tabla1[[#This Row],[mto_devenga_06]]</f>
        <v>0</v>
      </c>
      <c r="DQ217" s="76">
        <f>+Tabla1[[#This Row],[mto_devenga_07]]</f>
        <v>0</v>
      </c>
      <c r="DR217" s="76">
        <f>+Tabla1[[#This Row],[mto_devenga_08]]</f>
        <v>0</v>
      </c>
      <c r="DS217" s="76">
        <f>+Tabla1[[#This Row],[mto_devenga_09]]</f>
        <v>0</v>
      </c>
      <c r="DT217" s="76">
        <f>IFERROR(VLOOKUP(Tabla1[[#This Row],[COD SE]],PF_OCTUBRE,14,0),"0")</f>
        <v>0</v>
      </c>
      <c r="DU217" s="76">
        <f>IFERROR(VLOOKUP(Tabla1[[#This Row],[COD SE]],PF_OCTUBRE,15,0),"0")</f>
        <v>0</v>
      </c>
      <c r="DV217" s="76">
        <f>IFERROR(VLOOKUP(Tabla1[[#This Row],[COD SE]],PF_OCTUBRE,16,0),"0")</f>
        <v>0</v>
      </c>
      <c r="DW217" s="76">
        <f>+SUM(Tabla1[[#This Row],[EJECUTADO 01]:[PF DICIEMBRE
]])</f>
        <v>0</v>
      </c>
      <c r="DX217" s="76">
        <f>IFERROR(VLOOKUP(Tabla1[[#This Row],[COD SE]],PF_OCTUBRE,18,0),"0")</f>
        <v>0</v>
      </c>
      <c r="DY217" s="76">
        <f>IFERROR(VLOOKUP(Tabla1[[#This Row],[COD SE]],PF_OCTUBRE,19,0),"0")</f>
        <v>0</v>
      </c>
      <c r="DZ217" s="76">
        <f>IFERROR(VLOOKUP(Tabla1[[#This Row],[COD SE]],PF_OCTUBRE,20,0),"0")</f>
        <v>0</v>
      </c>
      <c r="EA217" s="76">
        <f>+Tabla1[[#This Row],[TOTAL EJEC REAL]]+Tabla1[[#This Row],[SALDO FINAL]]</f>
        <v>0</v>
      </c>
      <c r="EB217" s="76">
        <f>IFERROR(VLOOKUP(Tabla1[[#This Row],[COD SE]],PF_OCTUBRE,22,0),"0")</f>
        <v>0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0</v>
      </c>
      <c r="EF217" s="76">
        <f>+Tabla1[[#This Row],[mto_pim]]-Tabla1[[#This Row],[TRANFS ESC 3 ]]</f>
        <v>0</v>
      </c>
      <c r="EG217" s="76">
        <f>+IFERROR(VLOOKUP(Tabla1[[#This Row],[COD SE]],HISTORICO,4,0),0)</f>
        <v>0</v>
      </c>
      <c r="EH217" s="76">
        <f>+IFERROR(VLOOKUP(Tabla1[[#This Row],[COD SE]],HISTORICO,5,0),0)</f>
        <v>0</v>
      </c>
      <c r="EI217" s="76">
        <f>+IFERROR(VLOOKUP(Tabla1[[#This Row],[COD SE]],HISTORICO,6,0),0)</f>
        <v>0</v>
      </c>
      <c r="EJ217" s="76">
        <f>+IFERROR(VLOOKUP(Tabla1[[#This Row],[COD SE]],HISTORICO,7,0),0)</f>
        <v>0</v>
      </c>
      <c r="EK217" s="76">
        <f>+IFERROR(VLOOKUP(Tabla1[[#This Row],[COD SE]],HISTORICO,8,0),0)</f>
        <v>0</v>
      </c>
      <c r="EL217" s="76">
        <f>+IFERROR(VLOOKUP(Tabla1[[#This Row],[COD SE]],HISTORICO,9,0),0)</f>
        <v>0</v>
      </c>
      <c r="EM217" s="76">
        <f>+IFERROR(VLOOKUP(Tabla1[[#This Row],[COD SE]],HISTORICO,10,0),0)</f>
        <v>0</v>
      </c>
      <c r="EN217" s="76">
        <f>+IFERROR(VLOOKUP(Tabla1[[#This Row],[COD SE]],HISTORICO,11,0),0)</f>
        <v>0</v>
      </c>
      <c r="EO217" s="76">
        <f>+IFERROR(VLOOKUP(Tabla1[[#This Row],[COD SE]],HISTORICO,12,0),0)</f>
        <v>0</v>
      </c>
      <c r="EP217" s="58">
        <f>+SUM(Tabla1[[#This Row],[EJECUTADO 01]:[EJECUTADO 03]])</f>
        <v>0</v>
      </c>
      <c r="EQ217" s="58">
        <f>+SUM(Tabla1[[#This Row],[EJECUTADO 04]:[EJECUTADO 06]])</f>
        <v>0</v>
      </c>
      <c r="ER217" s="58">
        <f>+SUM(Tabla1[[#This Row],[EJECUTADO 07]:[EJECUTADO 09]])</f>
        <v>0</v>
      </c>
      <c r="ES217" s="58">
        <f>+SUM(Tabla1[[#This Row],[PF OCTUBRE]:[PF DICIEMBRE
]])</f>
        <v>0</v>
      </c>
      <c r="ET217" s="58">
        <f>+SUM(Tabla1[[#This Row],[EJECUTADO 01]:[EJECUTADO 09]])</f>
        <v>0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1684</v>
      </c>
      <c r="AE218" s="369" t="s">
        <v>1758</v>
      </c>
      <c r="AF218" s="369" t="s">
        <v>1759</v>
      </c>
      <c r="AG218" s="369" t="s">
        <v>1760</v>
      </c>
      <c r="AH218" s="369">
        <v>1400</v>
      </c>
      <c r="AI218" s="369">
        <v>300</v>
      </c>
      <c r="AJ218" s="369">
        <v>1700</v>
      </c>
      <c r="AK218" s="370">
        <v>1700</v>
      </c>
      <c r="AL218" s="370">
        <v>1700</v>
      </c>
      <c r="AM218" s="370">
        <v>200</v>
      </c>
      <c r="AN218" s="370">
        <v>0</v>
      </c>
      <c r="AO218" s="370">
        <v>0</v>
      </c>
      <c r="AP218" s="370">
        <v>139.79</v>
      </c>
      <c r="AQ218" s="370">
        <v>0</v>
      </c>
      <c r="AR218" s="370">
        <v>0</v>
      </c>
      <c r="AS218" s="370">
        <v>46.9</v>
      </c>
      <c r="AT218" s="370">
        <v>0</v>
      </c>
      <c r="AU218" s="370">
        <v>0</v>
      </c>
      <c r="AV218" s="370">
        <v>0</v>
      </c>
      <c r="AW218" s="370">
        <v>0</v>
      </c>
      <c r="AX218" s="370">
        <v>0</v>
      </c>
      <c r="AY218" s="370">
        <v>200</v>
      </c>
      <c r="AZ218" s="370">
        <v>0</v>
      </c>
      <c r="BA218" s="370">
        <v>0</v>
      </c>
      <c r="BB218" s="370">
        <v>139.79</v>
      </c>
      <c r="BC218" s="370">
        <v>0</v>
      </c>
      <c r="BD218" s="370">
        <v>0</v>
      </c>
      <c r="BE218" s="370">
        <v>46.9</v>
      </c>
      <c r="BF218" s="370">
        <v>0</v>
      </c>
      <c r="BG218" s="370">
        <v>0</v>
      </c>
      <c r="BH218" s="370">
        <v>0</v>
      </c>
      <c r="BI218" s="370">
        <v>0</v>
      </c>
      <c r="BJ218" s="370">
        <v>0</v>
      </c>
      <c r="BK218" s="370">
        <v>200</v>
      </c>
      <c r="BL218" s="370">
        <v>0</v>
      </c>
      <c r="BM218" s="370">
        <v>0</v>
      </c>
      <c r="BN218" s="370">
        <v>139.79</v>
      </c>
      <c r="BO218" s="370">
        <v>0</v>
      </c>
      <c r="BP218" s="370">
        <v>0</v>
      </c>
      <c r="BQ218" s="370">
        <v>46.9</v>
      </c>
      <c r="BR218" s="370">
        <v>0</v>
      </c>
      <c r="BS218" s="370">
        <v>0</v>
      </c>
      <c r="BT218" s="370">
        <v>0</v>
      </c>
      <c r="BU218" s="370">
        <v>0</v>
      </c>
      <c r="BV218" s="370">
        <v>0</v>
      </c>
      <c r="BW218" s="370">
        <v>200</v>
      </c>
      <c r="BX218" s="370">
        <v>0</v>
      </c>
      <c r="BY218" s="370">
        <v>0</v>
      </c>
      <c r="BZ218" s="370">
        <v>139.79</v>
      </c>
      <c r="CA218" s="370">
        <v>0</v>
      </c>
      <c r="CB218" s="370">
        <v>0</v>
      </c>
      <c r="CC218" s="370">
        <v>46.9</v>
      </c>
      <c r="CD218" s="370">
        <v>0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1990</v>
      </c>
      <c r="CL218" s="48" t="s">
        <v>2021</v>
      </c>
      <c r="CM218" s="48" t="s">
        <v>1990</v>
      </c>
      <c r="CN218" s="48" t="s">
        <v>2011</v>
      </c>
      <c r="CO218" s="10" t="str">
        <f t="shared" si="56"/>
        <v>2.3.1.11.1.5</v>
      </c>
      <c r="CP218" s="10" t="str">
        <f>+VLOOKUP(Tabla1[[#This Row],[ESPECÍFICA]],CLASIFICADOR_,2,0)</f>
        <v>2.3.1.11.1.5 - OTROS MATERIALES DE MANTENIMIENTO</v>
      </c>
      <c r="CQ218" s="10" t="str">
        <f>+VLOOKUP(Tabla1[[#This Row],[ESPECÍFICA]],CLASIFICADOR_,3,0)</f>
        <v>2.3.1.11 - SUMINISTROS PARA MANTENIMIENTO Y REPARACION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Partidas restringidas</v>
      </c>
      <c r="CU218" s="10" t="str">
        <f>+VLOOKUP(Tabla1[[#This Row],[ESPECÍFICA]],CLASIFICADOR_,7,0)</f>
        <v>9.6 Hasta el 1er Semestre</v>
      </c>
      <c r="CV218" s="10">
        <f>+VLOOKUP(Tabla1[[#This Row],[ESPECÍFICA]],CLASIFICADOR_,8,0)</f>
        <v>2</v>
      </c>
      <c r="CW218" s="113" t="str">
        <f>+CONCATENATE("2.",Tabla1[[#This Row],[generica]])</f>
        <v>2.3.BIENES Y SERVICIOS</v>
      </c>
      <c r="CX218" s="10" t="str">
        <f t="shared" si="42"/>
        <v>0010-OA</v>
      </c>
      <c r="CY218" s="5" t="str">
        <f t="shared" si="43"/>
        <v>0010-OA</v>
      </c>
      <c r="CZ218" t="str">
        <f t="shared" si="44"/>
        <v>0010-OA</v>
      </c>
      <c r="DA218" s="113" t="str">
        <f>+CONCATENATE(Tabla1[[#This Row],[CC COMPLETO]],Tabla1[[#This Row],[ESPECÍFICA]])</f>
        <v>0010-OA2.3.1.11.1.5</v>
      </c>
      <c r="DB218" s="11">
        <f t="shared" si="45"/>
        <v>386.68999999999994</v>
      </c>
      <c r="DC218" s="11">
        <f t="shared" si="46"/>
        <v>386.68999999999994</v>
      </c>
      <c r="DD218" s="11">
        <f t="shared" si="47"/>
        <v>386.68999999999994</v>
      </c>
      <c r="DE218" s="11">
        <f t="shared" si="48"/>
        <v>0</v>
      </c>
      <c r="DF218" s="11">
        <f t="shared" si="49"/>
        <v>0</v>
      </c>
      <c r="DG218" s="11">
        <f t="shared" si="50"/>
        <v>1313.31</v>
      </c>
      <c r="DH218" s="11">
        <f t="shared" si="51"/>
        <v>1313.31</v>
      </c>
      <c r="DI218" s="12">
        <f t="shared" si="52"/>
        <v>0.27620714285714282</v>
      </c>
      <c r="DJ218" s="77">
        <f>+SUM(Tabla1[[#This Row],[EJECUTADO 01]:[EJECUTADO 06]])</f>
        <v>339.78999999999996</v>
      </c>
      <c r="DK218" s="78">
        <f>+Tabla1[[#This Row],[mto_devenga_01]]</f>
        <v>200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139.79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46.9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150</v>
      </c>
      <c r="DU218" s="76">
        <f>IFERROR(VLOOKUP(Tabla1[[#This Row],[COD SE]],PF_OCTUBRE,15,0),"0")</f>
        <v>150</v>
      </c>
      <c r="DV218" s="76">
        <f>IFERROR(VLOOKUP(Tabla1[[#This Row],[COD SE]],PF_OCTUBRE,16,0),"0")</f>
        <v>1013.31</v>
      </c>
      <c r="DW218" s="76">
        <f>+SUM(Tabla1[[#This Row],[EJECUTADO 01]:[PF DICIEMBRE
]])</f>
        <v>1700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1700</v>
      </c>
      <c r="EB218" s="76">
        <f>IFERROR(VLOOKUP(Tabla1[[#This Row],[COD SE]],PF_OCTUBRE,22,0),"0")</f>
        <v>1013.31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1700</v>
      </c>
      <c r="EF218" s="76">
        <f>+Tabla1[[#This Row],[mto_pim]]-Tabla1[[#This Row],[TRANFS ESC 3 ]]</f>
        <v>1700</v>
      </c>
      <c r="EG218" s="76">
        <f>+IFERROR(VLOOKUP(Tabla1[[#This Row],[COD SE]],HISTORICO,4,0),0)</f>
        <v>0</v>
      </c>
      <c r="EH218" s="76">
        <f>+IFERROR(VLOOKUP(Tabla1[[#This Row],[COD SE]],HISTORICO,5,0),0)</f>
        <v>40</v>
      </c>
      <c r="EI218" s="76">
        <f>+IFERROR(VLOOKUP(Tabla1[[#This Row],[COD SE]],HISTORICO,6,0),0)</f>
        <v>120</v>
      </c>
      <c r="EJ218" s="76">
        <f>+IFERROR(VLOOKUP(Tabla1[[#This Row],[COD SE]],HISTORICO,7,0),0)</f>
        <v>0</v>
      </c>
      <c r="EK218" s="76">
        <f>+IFERROR(VLOOKUP(Tabla1[[#This Row],[COD SE]],HISTORICO,8,0),0)</f>
        <v>150</v>
      </c>
      <c r="EL218" s="76">
        <f>+IFERROR(VLOOKUP(Tabla1[[#This Row],[COD SE]],HISTORICO,9,0),0)</f>
        <v>150</v>
      </c>
      <c r="EM218" s="76">
        <f>+IFERROR(VLOOKUP(Tabla1[[#This Row],[COD SE]],HISTORICO,10,0),0)</f>
        <v>46.9</v>
      </c>
      <c r="EN218" s="76">
        <f>+IFERROR(VLOOKUP(Tabla1[[#This Row],[COD SE]],HISTORICO,11,0),0)</f>
        <v>0</v>
      </c>
      <c r="EO218" s="76">
        <f>+IFERROR(VLOOKUP(Tabla1[[#This Row],[COD SE]],HISTORICO,12,0),0)</f>
        <v>265</v>
      </c>
      <c r="EP218" s="58">
        <f>+SUM(Tabla1[[#This Row],[EJECUTADO 01]:[EJECUTADO 03]])</f>
        <v>200</v>
      </c>
      <c r="EQ218" s="58">
        <f>+SUM(Tabla1[[#This Row],[EJECUTADO 04]:[EJECUTADO 06]])</f>
        <v>139.79</v>
      </c>
      <c r="ER218" s="58">
        <f>+SUM(Tabla1[[#This Row],[EJECUTADO 07]:[EJECUTADO 09]])</f>
        <v>46.9</v>
      </c>
      <c r="ES218" s="58">
        <f>+SUM(Tabla1[[#This Row],[PF OCTUBRE]:[PF DICIEMBRE
]])</f>
        <v>1313.31</v>
      </c>
      <c r="ET218" s="58">
        <f>+SUM(Tabla1[[#This Row],[EJECUTADO 01]:[EJECUTADO 09]])</f>
        <v>386.68999999999994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1672</v>
      </c>
      <c r="AD219" s="369" t="s">
        <v>1684</v>
      </c>
      <c r="AE219" s="369" t="s">
        <v>1685</v>
      </c>
      <c r="AF219" s="369" t="s">
        <v>1686</v>
      </c>
      <c r="AG219" s="369" t="s">
        <v>2049</v>
      </c>
      <c r="AH219" s="369">
        <v>0</v>
      </c>
      <c r="AI219" s="369">
        <v>1580</v>
      </c>
      <c r="AJ219" s="369">
        <v>1580</v>
      </c>
      <c r="AK219" s="370">
        <v>1580</v>
      </c>
      <c r="AL219" s="370">
        <v>1580</v>
      </c>
      <c r="AM219" s="370">
        <v>0</v>
      </c>
      <c r="AN219" s="370">
        <v>0</v>
      </c>
      <c r="AO219" s="370">
        <v>0</v>
      </c>
      <c r="AP219" s="370">
        <v>0</v>
      </c>
      <c r="AQ219" s="370">
        <v>0</v>
      </c>
      <c r="AR219" s="370">
        <v>0</v>
      </c>
      <c r="AS219" s="370">
        <v>1580</v>
      </c>
      <c r="AT219" s="370">
        <v>0</v>
      </c>
      <c r="AU219" s="370">
        <v>0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0</v>
      </c>
      <c r="BC219" s="370">
        <v>0</v>
      </c>
      <c r="BD219" s="370">
        <v>0</v>
      </c>
      <c r="BE219" s="370">
        <v>1580</v>
      </c>
      <c r="BF219" s="370">
        <v>0</v>
      </c>
      <c r="BG219" s="370">
        <v>0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0</v>
      </c>
      <c r="BO219" s="370">
        <v>0</v>
      </c>
      <c r="BP219" s="370">
        <v>0</v>
      </c>
      <c r="BQ219" s="370">
        <v>1580</v>
      </c>
      <c r="BR219" s="370">
        <v>0</v>
      </c>
      <c r="BS219" s="370">
        <v>0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0</v>
      </c>
      <c r="CA219" s="370">
        <v>0</v>
      </c>
      <c r="CB219" s="370">
        <v>0</v>
      </c>
      <c r="CC219" s="370">
        <v>1580</v>
      </c>
      <c r="CD219" s="370">
        <v>0</v>
      </c>
      <c r="CE219" s="370">
        <v>0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1991</v>
      </c>
      <c r="CK219" s="48" t="s">
        <v>1990</v>
      </c>
      <c r="CL219" s="48" t="s">
        <v>1998</v>
      </c>
      <c r="CM219" s="48" t="s">
        <v>1990</v>
      </c>
      <c r="CN219" s="48" t="s">
        <v>1993</v>
      </c>
      <c r="CO219" s="10" t="str">
        <f t="shared" si="56"/>
        <v>2.3.1.99.1.4</v>
      </c>
      <c r="CP219" s="10" t="str">
        <f>+VLOOKUP(Tabla1[[#This Row],[ESPECÍFICA]],CLASIFICADOR_,2,0)</f>
        <v>2.3.1.99.1.4 - SIMBOLOS, DISTINTIVOS Y CONDECORACIONES</v>
      </c>
      <c r="CQ219" s="10" t="str">
        <f>+VLOOKUP(Tabla1[[#This Row],[ESPECÍFICA]],CLASIFICADOR_,3,0)</f>
        <v>2.3.1.99 - COMPRA DE OTROS BIENES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2.3.BIENES Y SERVICIOS</v>
      </c>
      <c r="CX219" s="10" t="str">
        <f t="shared" si="42"/>
        <v>0010-OA</v>
      </c>
      <c r="CY219" s="5" t="str">
        <f t="shared" si="43"/>
        <v>0010-OA</v>
      </c>
      <c r="CZ219" t="str">
        <f t="shared" si="44"/>
        <v>0010-OA</v>
      </c>
      <c r="DA219" s="113" t="str">
        <f>+CONCATENATE(Tabla1[[#This Row],[CC COMPLETO]],Tabla1[[#This Row],[ESPECÍFICA]])</f>
        <v>0010-OA2.3.1.99.1.4</v>
      </c>
      <c r="DB219" s="11">
        <f t="shared" si="45"/>
        <v>1580</v>
      </c>
      <c r="DC219" s="11">
        <f t="shared" si="46"/>
        <v>1580</v>
      </c>
      <c r="DD219" s="11">
        <f t="shared" si="47"/>
        <v>1580</v>
      </c>
      <c r="DE219" s="11">
        <f t="shared" si="48"/>
        <v>0</v>
      </c>
      <c r="DF219" s="11">
        <f t="shared" si="49"/>
        <v>0</v>
      </c>
      <c r="DG219" s="11">
        <f t="shared" si="50"/>
        <v>0</v>
      </c>
      <c r="DH219" s="11">
        <f t="shared" si="51"/>
        <v>0</v>
      </c>
      <c r="DI219" s="12">
        <f t="shared" si="52"/>
        <v>0</v>
      </c>
      <c r="DJ219" s="77">
        <f>+SUM(Tabla1[[#This Row],[EJECUTADO 01]:[EJECUTADO 06]])</f>
        <v>0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0</v>
      </c>
      <c r="DO219" s="78">
        <f>+Tabla1[[#This Row],[mto_devenga_05]]</f>
        <v>0</v>
      </c>
      <c r="DP219" s="76">
        <f>+Tabla1[[#This Row],[mto_devenga_06]]</f>
        <v>0</v>
      </c>
      <c r="DQ219" s="76">
        <f>+Tabla1[[#This Row],[mto_devenga_07]]</f>
        <v>1580</v>
      </c>
      <c r="DR219" s="76">
        <f>+Tabla1[[#This Row],[mto_devenga_08]]</f>
        <v>0</v>
      </c>
      <c r="DS219" s="76">
        <f>+Tabla1[[#This Row],[mto_devenga_09]]</f>
        <v>0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220</v>
      </c>
      <c r="DW219" s="76">
        <f>+SUM(Tabla1[[#This Row],[EJECUTADO 01]:[PF DICIEMBRE
]])</f>
        <v>1800</v>
      </c>
      <c r="DX219" s="76">
        <f>IFERROR(VLOOKUP(Tabla1[[#This Row],[COD SE]],PF_OCTUBRE,18,0),"0")</f>
        <v>0</v>
      </c>
      <c r="DY219" s="76">
        <f>IFERROR(VLOOKUP(Tabla1[[#This Row],[COD SE]],PF_OCTUBRE,19,0),"0")</f>
        <v>0</v>
      </c>
      <c r="DZ219" s="76">
        <f>IFERROR(VLOOKUP(Tabla1[[#This Row],[COD SE]],PF_OCTUBRE,20,0),"0")</f>
        <v>0</v>
      </c>
      <c r="EA219" s="76">
        <f>+Tabla1[[#This Row],[TOTAL EJEC REAL]]+Tabla1[[#This Row],[SALDO FINAL]]</f>
        <v>1800</v>
      </c>
      <c r="EB219" s="76">
        <f>IFERROR(VLOOKUP(Tabla1[[#This Row],[COD SE]],PF_OCTUBRE,22,0),"0")</f>
        <v>220</v>
      </c>
      <c r="EC219" s="76">
        <f>+IFERROR(VLOOKUP(Tabla1[[#This Row],[COD SE]],SALDO_ESC_2,7,0),0)</f>
        <v>0</v>
      </c>
      <c r="ED219" s="76">
        <f>+IFERROR(VLOOKUP(Tabla1[[#This Row],[COD SE]],SALDO_ESC_3,7,0),0)</f>
        <v>0</v>
      </c>
      <c r="EE219" s="76">
        <f>+Tabla1[[#This Row],[mto_pim]]-Tabla1[[#This Row],[TRANSF ESC2 ]]</f>
        <v>1580</v>
      </c>
      <c r="EF219" s="76">
        <f>+Tabla1[[#This Row],[mto_pim]]-Tabla1[[#This Row],[TRANFS ESC 3 ]]</f>
        <v>1580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1800</v>
      </c>
      <c r="EN219" s="76">
        <f>+IFERROR(VLOOKUP(Tabla1[[#This Row],[COD SE]],HISTORICO,11,0),0)</f>
        <v>0</v>
      </c>
      <c r="EO219" s="76">
        <f>+IFERROR(VLOOKUP(Tabla1[[#This Row],[COD SE]],HISTORICO,12,0),0)</f>
        <v>0</v>
      </c>
      <c r="EP219" s="58">
        <f>+SUM(Tabla1[[#This Row],[EJECUTADO 01]:[EJECUTADO 03]])</f>
        <v>0</v>
      </c>
      <c r="EQ219" s="58">
        <f>+SUM(Tabla1[[#This Row],[EJECUTADO 04]:[EJECUTADO 06]])</f>
        <v>0</v>
      </c>
      <c r="ER219" s="58">
        <f>+SUM(Tabla1[[#This Row],[EJECUTADO 07]:[EJECUTADO 09]])</f>
        <v>1580</v>
      </c>
      <c r="ES219" s="58">
        <f>+SUM(Tabla1[[#This Row],[PF OCTUBRE]:[PF DICIEMBRE
]])</f>
        <v>220</v>
      </c>
      <c r="ET219" s="58">
        <f>+SUM(Tabla1[[#This Row],[EJECUTADO 01]:[EJECUTADO 09]])</f>
        <v>1580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1656</v>
      </c>
      <c r="AD220" s="369" t="s">
        <v>1657</v>
      </c>
      <c r="AE220" s="369" t="s">
        <v>1664</v>
      </c>
      <c r="AF220" s="369" t="s">
        <v>1665</v>
      </c>
      <c r="AG220" s="369" t="s">
        <v>1666</v>
      </c>
      <c r="AH220" s="369">
        <v>0</v>
      </c>
      <c r="AI220" s="369">
        <v>30380</v>
      </c>
      <c r="AJ220" s="369">
        <v>30380</v>
      </c>
      <c r="AK220" s="370">
        <v>30380</v>
      </c>
      <c r="AL220" s="370">
        <v>30380</v>
      </c>
      <c r="AM220" s="370">
        <v>0</v>
      </c>
      <c r="AN220" s="370">
        <v>0</v>
      </c>
      <c r="AO220" s="370">
        <v>0</v>
      </c>
      <c r="AP220" s="370">
        <v>5029.17</v>
      </c>
      <c r="AQ220" s="370">
        <v>0</v>
      </c>
      <c r="AR220" s="370">
        <v>0</v>
      </c>
      <c r="AS220" s="370">
        <v>8717.2199999999993</v>
      </c>
      <c r="AT220" s="370">
        <v>0</v>
      </c>
      <c r="AU220" s="370">
        <v>2514.58</v>
      </c>
      <c r="AV220" s="370">
        <v>0</v>
      </c>
      <c r="AW220" s="370">
        <v>0</v>
      </c>
      <c r="AX220" s="370">
        <v>0</v>
      </c>
      <c r="AY220" s="370">
        <v>0</v>
      </c>
      <c r="AZ220" s="370">
        <v>0</v>
      </c>
      <c r="BA220" s="370">
        <v>0</v>
      </c>
      <c r="BB220" s="370">
        <v>5029.17</v>
      </c>
      <c r="BC220" s="370">
        <v>0</v>
      </c>
      <c r="BD220" s="370">
        <v>0</v>
      </c>
      <c r="BE220" s="370">
        <v>8717.2199999999993</v>
      </c>
      <c r="BF220" s="370">
        <v>0</v>
      </c>
      <c r="BG220" s="370">
        <v>2514.58</v>
      </c>
      <c r="BH220" s="370">
        <v>0</v>
      </c>
      <c r="BI220" s="370">
        <v>0</v>
      </c>
      <c r="BJ220" s="370">
        <v>0</v>
      </c>
      <c r="BK220" s="370">
        <v>0</v>
      </c>
      <c r="BL220" s="370">
        <v>0</v>
      </c>
      <c r="BM220" s="370">
        <v>0</v>
      </c>
      <c r="BN220" s="370">
        <v>5029.17</v>
      </c>
      <c r="BO220" s="370">
        <v>0</v>
      </c>
      <c r="BP220" s="370">
        <v>0</v>
      </c>
      <c r="BQ220" s="370">
        <v>8717.2199999999993</v>
      </c>
      <c r="BR220" s="370">
        <v>0</v>
      </c>
      <c r="BS220" s="370">
        <v>2514.58</v>
      </c>
      <c r="BT220" s="370">
        <v>0</v>
      </c>
      <c r="BU220" s="370">
        <v>0</v>
      </c>
      <c r="BV220" s="370">
        <v>0</v>
      </c>
      <c r="BW220" s="370">
        <v>0</v>
      </c>
      <c r="BX220" s="370">
        <v>0</v>
      </c>
      <c r="BY220" s="370">
        <v>0</v>
      </c>
      <c r="BZ220" s="370">
        <v>5029.17</v>
      </c>
      <c r="CA220" s="370">
        <v>0</v>
      </c>
      <c r="CB220" s="370">
        <v>0</v>
      </c>
      <c r="CC220" s="370">
        <v>8717.2199999999993</v>
      </c>
      <c r="CD220" s="370">
        <v>0</v>
      </c>
      <c r="CE220" s="370">
        <v>2514.58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1990</v>
      </c>
      <c r="CK220" s="48" t="s">
        <v>1990</v>
      </c>
      <c r="CL220" s="48" t="s">
        <v>2005</v>
      </c>
      <c r="CM220" s="48" t="s">
        <v>1990</v>
      </c>
      <c r="CN220" s="48" t="s">
        <v>1987</v>
      </c>
      <c r="CO220" s="10" t="str">
        <f t="shared" si="56"/>
        <v>2.1.1.9.1.2</v>
      </c>
      <c r="CP220" s="10" t="str">
        <f>+VLOOKUP(Tabla1[[#This Row],[ESPECÍFICA]],CLASIFICADOR_,2,0)</f>
        <v>2.1.1.9.1.2 - AGUINALDOS</v>
      </c>
      <c r="CQ220" s="10" t="str">
        <f>+VLOOKUP(Tabla1[[#This Row],[ESPECÍFICA]],CLASIFICADOR_,3,0)</f>
        <v>02.SERVIR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N/R</v>
      </c>
      <c r="CU220" s="10" t="str">
        <f>+VLOOKUP(Tabla1[[#This Row],[ESPECÍFICA]],CLASIFICADOR_,7,0)</f>
        <v>N/R</v>
      </c>
      <c r="CV220" s="10">
        <f>+VLOOKUP(Tabla1[[#This Row],[ESPECÍFICA]],CLASIFICADOR_,8,0)</f>
        <v>0</v>
      </c>
      <c r="CW220" s="113" t="str">
        <f>+CONCATENATE("2.",Tabla1[[#This Row],[generica]])</f>
        <v>2.1.PERSONAL Y OBLIGACIONES SOCIALES</v>
      </c>
      <c r="CX220" s="10" t="str">
        <f t="shared" si="42"/>
        <v>0010-OA</v>
      </c>
      <c r="CY220" s="5" t="str">
        <f t="shared" si="43"/>
        <v>0010-OA</v>
      </c>
      <c r="CZ220" t="str">
        <f t="shared" si="44"/>
        <v>0010-OA</v>
      </c>
      <c r="DA220" s="113" t="str">
        <f>+CONCATENATE(Tabla1[[#This Row],[CC COMPLETO]],Tabla1[[#This Row],[ESPECÍFICA]])</f>
        <v>0010-OA2.1.1.9.1.2</v>
      </c>
      <c r="DB220" s="11">
        <f t="shared" si="45"/>
        <v>16260.97</v>
      </c>
      <c r="DC220" s="11">
        <f t="shared" si="46"/>
        <v>16260.97</v>
      </c>
      <c r="DD220" s="11">
        <f t="shared" si="47"/>
        <v>16260.97</v>
      </c>
      <c r="DE220" s="11">
        <f t="shared" si="48"/>
        <v>0</v>
      </c>
      <c r="DF220" s="11">
        <f t="shared" si="49"/>
        <v>0</v>
      </c>
      <c r="DG220" s="11">
        <f t="shared" si="50"/>
        <v>14119.03</v>
      </c>
      <c r="DH220" s="11">
        <f t="shared" si="51"/>
        <v>14119.03</v>
      </c>
      <c r="DI220" s="12">
        <f t="shared" si="52"/>
        <v>0</v>
      </c>
      <c r="DJ220" s="77">
        <f>+SUM(Tabla1[[#This Row],[EJECUTADO 01]:[EJECUTADO 06]])</f>
        <v>5029.17</v>
      </c>
      <c r="DK220" s="78">
        <f>+Tabla1[[#This Row],[mto_devenga_01]]</f>
        <v>0</v>
      </c>
      <c r="DL220" s="78">
        <f>+Tabla1[[#This Row],[mto_devenga_02]]</f>
        <v>0</v>
      </c>
      <c r="DM220" s="78">
        <f>+Tabla1[[#This Row],[mto_devenga_03]]</f>
        <v>0</v>
      </c>
      <c r="DN220" s="78">
        <f>+Tabla1[[#This Row],[mto_devenga_04]]</f>
        <v>5029.17</v>
      </c>
      <c r="DO220" s="78">
        <f>+Tabla1[[#This Row],[mto_devenga_05]]</f>
        <v>0</v>
      </c>
      <c r="DP220" s="76">
        <f>+Tabla1[[#This Row],[mto_devenga_06]]</f>
        <v>0</v>
      </c>
      <c r="DQ220" s="76">
        <f>+Tabla1[[#This Row],[mto_devenga_07]]</f>
        <v>8717.2199999999993</v>
      </c>
      <c r="DR220" s="76">
        <f>+Tabla1[[#This Row],[mto_devenga_08]]</f>
        <v>0</v>
      </c>
      <c r="DS220" s="76">
        <f>+Tabla1[[#This Row],[mto_devenga_09]]</f>
        <v>2514.58</v>
      </c>
      <c r="DT220" s="76">
        <f>IFERROR(VLOOKUP(Tabla1[[#This Row],[COD SE]],PF_OCTUBRE,14,0),"0")</f>
        <v>0</v>
      </c>
      <c r="DU220" s="76">
        <f>IFERROR(VLOOKUP(Tabla1[[#This Row],[COD SE]],PF_OCTUBRE,15,0),"0")</f>
        <v>0</v>
      </c>
      <c r="DV220" s="76">
        <f>IFERROR(VLOOKUP(Tabla1[[#This Row],[COD SE]],PF_OCTUBRE,16,0),"0")</f>
        <v>15190</v>
      </c>
      <c r="DW220" s="76">
        <f>+SUM(Tabla1[[#This Row],[EJECUTADO 01]:[PF DICIEMBRE
]])</f>
        <v>31450.97</v>
      </c>
      <c r="DX220" s="76">
        <f>IFERROR(VLOOKUP(Tabla1[[#This Row],[COD SE]],PF_OCTUBRE,18,0),"0")</f>
        <v>0</v>
      </c>
      <c r="DY220" s="76">
        <f>IFERROR(VLOOKUP(Tabla1[[#This Row],[COD SE]],PF_OCTUBRE,19,0),"0")</f>
        <v>-1070.9699999999993</v>
      </c>
      <c r="DZ220" s="76">
        <f>IFERROR(VLOOKUP(Tabla1[[#This Row],[COD SE]],PF_OCTUBRE,20,0),"0")</f>
        <v>-1070.9699999999993</v>
      </c>
      <c r="EA220" s="76">
        <f>+Tabla1[[#This Row],[TOTAL EJEC REAL]]+Tabla1[[#This Row],[SALDO FINAL]]</f>
        <v>30380</v>
      </c>
      <c r="EB220" s="76">
        <f>IFERROR(VLOOKUP(Tabla1[[#This Row],[COD SE]],PF_OCTUBRE,22,0),"0")</f>
        <v>14119.03</v>
      </c>
      <c r="EC220" s="76">
        <f>+IFERROR(VLOOKUP(Tabla1[[#This Row],[COD SE]],SALDO_ESC_2,7,0),0)</f>
        <v>0</v>
      </c>
      <c r="ED220" s="76">
        <f>+IFERROR(VLOOKUP(Tabla1[[#This Row],[COD SE]],SALDO_ESC_3,7,0),0)</f>
        <v>-1070.9699999999993</v>
      </c>
      <c r="EE220" s="76">
        <f>+Tabla1[[#This Row],[mto_pim]]-Tabla1[[#This Row],[TRANSF ESC2 ]]</f>
        <v>30380</v>
      </c>
      <c r="EF220" s="76">
        <f>+Tabla1[[#This Row],[mto_pim]]-Tabla1[[#This Row],[TRANFS ESC 3 ]]</f>
        <v>31450.97</v>
      </c>
      <c r="EG220" s="76">
        <f>+IFERROR(VLOOKUP(Tabla1[[#This Row],[COD SE]],HISTORICO,4,0),0)</f>
        <v>0</v>
      </c>
      <c r="EH220" s="76">
        <f>+IFERROR(VLOOKUP(Tabla1[[#This Row],[COD SE]],HISTORICO,5,0),0)</f>
        <v>0</v>
      </c>
      <c r="EI220" s="76">
        <f>+IFERROR(VLOOKUP(Tabla1[[#This Row],[COD SE]],HISTORICO,6,0),0)</f>
        <v>0</v>
      </c>
      <c r="EJ220" s="76">
        <f>+IFERROR(VLOOKUP(Tabla1[[#This Row],[COD SE]],HISTORICO,7,0),0)</f>
        <v>0</v>
      </c>
      <c r="EK220" s="76">
        <f>+IFERROR(VLOOKUP(Tabla1[[#This Row],[COD SE]],HISTORICO,8,0),0)</f>
        <v>0</v>
      </c>
      <c r="EL220" s="76">
        <f>+IFERROR(VLOOKUP(Tabla1[[#This Row],[COD SE]],HISTORICO,9,0),0)</f>
        <v>0</v>
      </c>
      <c r="EM220" s="76">
        <f>+IFERROR(VLOOKUP(Tabla1[[#This Row],[COD SE]],HISTORICO,10,0),0)</f>
        <v>10160.83</v>
      </c>
      <c r="EN220" s="76">
        <f>+IFERROR(VLOOKUP(Tabla1[[#This Row],[COD SE]],HISTORICO,11,0),0)</f>
        <v>0</v>
      </c>
      <c r="EO220" s="76">
        <f>+IFERROR(VLOOKUP(Tabla1[[#This Row],[COD SE]],HISTORICO,12,0),0)</f>
        <v>0</v>
      </c>
      <c r="EP220" s="58">
        <f>+SUM(Tabla1[[#This Row],[EJECUTADO 01]:[EJECUTADO 03]])</f>
        <v>0</v>
      </c>
      <c r="EQ220" s="58">
        <f>+SUM(Tabla1[[#This Row],[EJECUTADO 04]:[EJECUTADO 06]])</f>
        <v>5029.17</v>
      </c>
      <c r="ER220" s="58">
        <f>+SUM(Tabla1[[#This Row],[EJECUTADO 07]:[EJECUTADO 09]])</f>
        <v>11231.8</v>
      </c>
      <c r="ES220" s="58">
        <f>+SUM(Tabla1[[#This Row],[PF OCTUBRE]:[PF DICIEMBRE
]])</f>
        <v>15190</v>
      </c>
      <c r="ET220" s="58">
        <f>+SUM(Tabla1[[#This Row],[EJECUTADO 01]:[EJECUTADO 09]])</f>
        <v>16260.97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1776</v>
      </c>
      <c r="AF221" s="369" t="s">
        <v>1777</v>
      </c>
      <c r="AG221" s="369" t="s">
        <v>1778</v>
      </c>
      <c r="AH221" s="369">
        <v>343000</v>
      </c>
      <c r="AI221" s="369">
        <v>43873</v>
      </c>
      <c r="AJ221" s="369">
        <v>386873</v>
      </c>
      <c r="AK221" s="370">
        <v>386870.87</v>
      </c>
      <c r="AL221" s="370">
        <v>386870.87</v>
      </c>
      <c r="AM221" s="370">
        <v>150454.9</v>
      </c>
      <c r="AN221" s="370">
        <v>0</v>
      </c>
      <c r="AO221" s="370">
        <v>0</v>
      </c>
      <c r="AP221" s="370">
        <v>0</v>
      </c>
      <c r="AQ221" s="370">
        <v>101466.38</v>
      </c>
      <c r="AR221" s="370">
        <v>0</v>
      </c>
      <c r="AS221" s="370">
        <v>0</v>
      </c>
      <c r="AT221" s="370">
        <v>32985.120000000003</v>
      </c>
      <c r="AU221" s="370">
        <v>651.6</v>
      </c>
      <c r="AV221" s="370">
        <v>101312.87</v>
      </c>
      <c r="AW221" s="370">
        <v>0</v>
      </c>
      <c r="AX221" s="370">
        <v>0</v>
      </c>
      <c r="AY221" s="370">
        <v>0</v>
      </c>
      <c r="AZ221" s="370">
        <v>44695.68</v>
      </c>
      <c r="BA221" s="370">
        <v>33546.959999999999</v>
      </c>
      <c r="BB221" s="370">
        <v>36244.1</v>
      </c>
      <c r="BC221" s="370">
        <v>30573.88</v>
      </c>
      <c r="BD221" s="370">
        <v>34372.46</v>
      </c>
      <c r="BE221" s="370">
        <v>33546.959999999999</v>
      </c>
      <c r="BF221" s="370">
        <v>2697.14</v>
      </c>
      <c r="BG221" s="370">
        <v>67183.679999999993</v>
      </c>
      <c r="BH221" s="370">
        <v>33770.949999999997</v>
      </c>
      <c r="BI221" s="370">
        <v>0</v>
      </c>
      <c r="BJ221" s="370">
        <v>0</v>
      </c>
      <c r="BK221" s="370">
        <v>0</v>
      </c>
      <c r="BL221" s="370">
        <v>22398.240000000002</v>
      </c>
      <c r="BM221" s="370">
        <v>55844.4</v>
      </c>
      <c r="BN221" s="370">
        <v>36244.1</v>
      </c>
      <c r="BO221" s="370">
        <v>0</v>
      </c>
      <c r="BP221" s="370">
        <v>31399.38</v>
      </c>
      <c r="BQ221" s="370">
        <v>67093.919999999998</v>
      </c>
      <c r="BR221" s="370">
        <v>2697.14</v>
      </c>
      <c r="BS221" s="370">
        <v>33546.959999999999</v>
      </c>
      <c r="BT221" s="370">
        <v>67407.67</v>
      </c>
      <c r="BU221" s="370">
        <v>0</v>
      </c>
      <c r="BV221" s="370">
        <v>0</v>
      </c>
      <c r="BW221" s="370">
        <v>142480.70000000001</v>
      </c>
      <c r="BX221" s="370">
        <v>0</v>
      </c>
      <c r="BY221" s="370">
        <v>0</v>
      </c>
      <c r="BZ221" s="370">
        <v>0</v>
      </c>
      <c r="CA221" s="370">
        <v>101466.38</v>
      </c>
      <c r="CB221" s="370">
        <v>0</v>
      </c>
      <c r="CC221" s="370">
        <v>0</v>
      </c>
      <c r="CD221" s="370">
        <v>32985.120000000003</v>
      </c>
      <c r="CE221" s="370">
        <v>651.6</v>
      </c>
      <c r="CF221" s="370">
        <v>27016.76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1991</v>
      </c>
      <c r="CM221" s="48" t="s">
        <v>1990</v>
      </c>
      <c r="CN221" s="48" t="s">
        <v>1990</v>
      </c>
      <c r="CO221" s="10" t="str">
        <f t="shared" si="56"/>
        <v>2.3.2.3.1.1</v>
      </c>
      <c r="CP221" s="10" t="str">
        <f>+VLOOKUP(Tabla1[[#This Row],[ESPECÍFICA]],CLASIFICADOR_,2,0)</f>
        <v>2.3.2.3.1.1 - SERVICIOS DE LIMPIEZA E HIGIENE</v>
      </c>
      <c r="CQ221" s="10" t="str">
        <f>+VLOOKUP(Tabla1[[#This Row],[ESPECÍFICA]],CLASIFICADOR_,3,0)</f>
        <v>2.3.2.3 - SERVICIOS DE LIMPIEZA, SEGURIDAD Y VIGILANCIA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42"/>
        <v>0010-OA</v>
      </c>
      <c r="CY221" s="5" t="str">
        <f t="shared" si="43"/>
        <v>0010-OA</v>
      </c>
      <c r="CZ221" t="str">
        <f t="shared" si="44"/>
        <v>0010-OA</v>
      </c>
      <c r="DA221" s="113" t="str">
        <f>+CONCATENATE(Tabla1[[#This Row],[CC COMPLETO]],Tabla1[[#This Row],[ESPECÍFICA]])</f>
        <v>0010-OA2.3.2.3.1.1</v>
      </c>
      <c r="DB221" s="11">
        <f t="shared" si="45"/>
        <v>386870.87</v>
      </c>
      <c r="DC221" s="11">
        <f t="shared" si="46"/>
        <v>316631.81</v>
      </c>
      <c r="DD221" s="11">
        <f t="shared" si="47"/>
        <v>316631.81</v>
      </c>
      <c r="DE221" s="11">
        <f t="shared" si="48"/>
        <v>2.1300000000046566</v>
      </c>
      <c r="DF221" s="11">
        <f t="shared" si="49"/>
        <v>0</v>
      </c>
      <c r="DG221" s="11">
        <f t="shared" si="50"/>
        <v>70239.06</v>
      </c>
      <c r="DH221" s="11">
        <f t="shared" si="51"/>
        <v>70241.19</v>
      </c>
      <c r="DI221" s="12">
        <f t="shared" si="52"/>
        <v>0.92312481049562678</v>
      </c>
      <c r="DJ221" s="77">
        <f>+SUM(Tabla1[[#This Row],[EJECUTADO 01]:[EJECUTADO 06]])</f>
        <v>179433.08</v>
      </c>
      <c r="DK221" s="78">
        <f>+Tabla1[[#This Row],[mto_devenga_01]]</f>
        <v>0</v>
      </c>
      <c r="DL221" s="78">
        <f>+Tabla1[[#This Row],[mto_devenga_02]]</f>
        <v>44695.68</v>
      </c>
      <c r="DM221" s="78">
        <f>+Tabla1[[#This Row],[mto_devenga_03]]</f>
        <v>33546.959999999999</v>
      </c>
      <c r="DN221" s="78">
        <f>+Tabla1[[#This Row],[mto_devenga_04]]</f>
        <v>36244.1</v>
      </c>
      <c r="DO221" s="78">
        <f>+Tabla1[[#This Row],[mto_devenga_05]]</f>
        <v>30573.88</v>
      </c>
      <c r="DP221" s="76">
        <f>+Tabla1[[#This Row],[mto_devenga_06]]</f>
        <v>34372.46</v>
      </c>
      <c r="DQ221" s="76">
        <f>+Tabla1[[#This Row],[mto_devenga_07]]</f>
        <v>33546.959999999999</v>
      </c>
      <c r="DR221" s="76">
        <f>+Tabla1[[#This Row],[mto_devenga_08]]</f>
        <v>2697.14</v>
      </c>
      <c r="DS221" s="76">
        <f>+Tabla1[[#This Row],[mto_devenga_09]]</f>
        <v>67183.679999999993</v>
      </c>
      <c r="DT221" s="76">
        <f>IFERROR(VLOOKUP(Tabla1[[#This Row],[COD SE]],PF_OCTUBRE,14,0),"0")</f>
        <v>33770.959999999999</v>
      </c>
      <c r="DU221" s="76">
        <f>IFERROR(VLOOKUP(Tabla1[[#This Row],[COD SE]],PF_OCTUBRE,15,0),"0")</f>
        <v>33770.959999999999</v>
      </c>
      <c r="DV221" s="76">
        <f>IFERROR(VLOOKUP(Tabla1[[#This Row],[COD SE]],PF_OCTUBRE,16,0),"0")</f>
        <v>64096.220000000008</v>
      </c>
      <c r="DW221" s="76">
        <f>+SUM(Tabla1[[#This Row],[EJECUTADO 01]:[PF DICIEMBRE
]])</f>
        <v>414499.00000000006</v>
      </c>
      <c r="DX221" s="76">
        <f>IFERROR(VLOOKUP(Tabla1[[#This Row],[COD SE]],PF_OCTUBRE,18,0),"0")</f>
        <v>0</v>
      </c>
      <c r="DY221" s="76">
        <f>IFERROR(VLOOKUP(Tabla1[[#This Row],[COD SE]],PF_OCTUBRE,19,0),"0")</f>
        <v>0</v>
      </c>
      <c r="DZ221" s="76">
        <f>IFERROR(VLOOKUP(Tabla1[[#This Row],[COD SE]],PF_OCTUBRE,20,0),"0")</f>
        <v>0</v>
      </c>
      <c r="EA221" s="76">
        <f>+Tabla1[[#This Row],[TOTAL EJEC REAL]]+Tabla1[[#This Row],[SALDO FINAL]]</f>
        <v>414499.00000000006</v>
      </c>
      <c r="EB221" s="76">
        <f>IFERROR(VLOOKUP(Tabla1[[#This Row],[COD SE]],PF_OCTUBRE,22,0),"0")</f>
        <v>64096.220000000008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386873</v>
      </c>
      <c r="EF221" s="76">
        <f>+Tabla1[[#This Row],[mto_pim]]-Tabla1[[#This Row],[TRANFS ESC 3 ]]</f>
        <v>386873</v>
      </c>
      <c r="EG221" s="76">
        <f>+IFERROR(VLOOKUP(Tabla1[[#This Row],[COD SE]],HISTORICO,4,0),0)</f>
        <v>27750</v>
      </c>
      <c r="EH221" s="76">
        <f>+IFERROR(VLOOKUP(Tabla1[[#This Row],[COD SE]],HISTORICO,5,0),0)</f>
        <v>50303</v>
      </c>
      <c r="EI221" s="76">
        <f>+IFERROR(VLOOKUP(Tabla1[[#This Row],[COD SE]],HISTORICO,6,0),0)</f>
        <v>35953.96</v>
      </c>
      <c r="EJ221" s="76">
        <f>+IFERROR(VLOOKUP(Tabla1[[#This Row],[COD SE]],HISTORICO,7,0),0)</f>
        <v>67567.320000000007</v>
      </c>
      <c r="EK221" s="76">
        <f>+IFERROR(VLOOKUP(Tabla1[[#This Row],[COD SE]],HISTORICO,8,0),0)</f>
        <v>31400.36</v>
      </c>
      <c r="EL221" s="76">
        <f>+IFERROR(VLOOKUP(Tabla1[[#This Row],[COD SE]],HISTORICO,9,0),0)</f>
        <v>34372.46</v>
      </c>
      <c r="EM221" s="76">
        <f>+IFERROR(VLOOKUP(Tabla1[[#This Row],[COD SE]],HISTORICO,10,0),0)</f>
        <v>33546.959999999999</v>
      </c>
      <c r="EN221" s="76">
        <f>+IFERROR(VLOOKUP(Tabla1[[#This Row],[COD SE]],HISTORICO,11,0),0)</f>
        <v>36244.1</v>
      </c>
      <c r="EO221" s="76">
        <f>+IFERROR(VLOOKUP(Tabla1[[#This Row],[COD SE]],HISTORICO,12,0),0)</f>
        <v>67183.679999999993</v>
      </c>
      <c r="EP221" s="58">
        <f>+SUM(Tabla1[[#This Row],[EJECUTADO 01]:[EJECUTADO 03]])</f>
        <v>78242.64</v>
      </c>
      <c r="EQ221" s="58">
        <f>+SUM(Tabla1[[#This Row],[EJECUTADO 04]:[EJECUTADO 06]])</f>
        <v>101190.44</v>
      </c>
      <c r="ER221" s="58">
        <f>+SUM(Tabla1[[#This Row],[EJECUTADO 07]:[EJECUTADO 09]])</f>
        <v>103427.78</v>
      </c>
      <c r="ES221" s="58">
        <f>+SUM(Tabla1[[#This Row],[PF OCTUBRE]:[PF DICIEMBRE
]])</f>
        <v>131638.14000000001</v>
      </c>
      <c r="ET221" s="58">
        <f>+SUM(Tabla1[[#This Row],[EJECUTADO 01]:[EJECUTADO 09]])</f>
        <v>282860.86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1693</v>
      </c>
      <c r="AF222" s="369" t="s">
        <v>1694</v>
      </c>
      <c r="AG222" s="369" t="s">
        <v>1695</v>
      </c>
      <c r="AH222" s="369">
        <v>23840</v>
      </c>
      <c r="AI222" s="369">
        <v>-3040</v>
      </c>
      <c r="AJ222" s="369">
        <v>20800</v>
      </c>
      <c r="AK222" s="370">
        <v>19200</v>
      </c>
      <c r="AL222" s="370">
        <v>19200</v>
      </c>
      <c r="AM222" s="370">
        <v>12800</v>
      </c>
      <c r="AN222" s="370">
        <v>0</v>
      </c>
      <c r="AO222" s="370">
        <v>0</v>
      </c>
      <c r="AP222" s="370">
        <v>0</v>
      </c>
      <c r="AQ222" s="370">
        <v>0</v>
      </c>
      <c r="AR222" s="370">
        <v>0</v>
      </c>
      <c r="AS222" s="370">
        <v>0</v>
      </c>
      <c r="AT222" s="370">
        <v>6400</v>
      </c>
      <c r="AU222" s="370">
        <v>0</v>
      </c>
      <c r="AV222" s="370">
        <v>0</v>
      </c>
      <c r="AW222" s="370">
        <v>0</v>
      </c>
      <c r="AX222" s="370">
        <v>0</v>
      </c>
      <c r="AY222" s="370">
        <v>1600</v>
      </c>
      <c r="AZ222" s="370">
        <v>1600</v>
      </c>
      <c r="BA222" s="370">
        <v>0</v>
      </c>
      <c r="BB222" s="370">
        <v>1600</v>
      </c>
      <c r="BC222" s="370">
        <v>3200</v>
      </c>
      <c r="BD222" s="370">
        <v>0</v>
      </c>
      <c r="BE222" s="370">
        <v>1600</v>
      </c>
      <c r="BF222" s="370">
        <v>1600</v>
      </c>
      <c r="BG222" s="370">
        <v>1600</v>
      </c>
      <c r="BH222" s="370">
        <v>3200</v>
      </c>
      <c r="BI222" s="370">
        <v>0</v>
      </c>
      <c r="BJ222" s="370">
        <v>0</v>
      </c>
      <c r="BK222" s="370">
        <v>1600</v>
      </c>
      <c r="BL222" s="370">
        <v>0</v>
      </c>
      <c r="BM222" s="370">
        <v>1600</v>
      </c>
      <c r="BN222" s="370">
        <v>1600</v>
      </c>
      <c r="BO222" s="370">
        <v>0</v>
      </c>
      <c r="BP222" s="370">
        <v>3200</v>
      </c>
      <c r="BQ222" s="370">
        <v>1600</v>
      </c>
      <c r="BR222" s="370">
        <v>1600</v>
      </c>
      <c r="BS222" s="370">
        <v>1600</v>
      </c>
      <c r="BT222" s="370">
        <v>1600</v>
      </c>
      <c r="BU222" s="370">
        <v>0</v>
      </c>
      <c r="BV222" s="370">
        <v>0</v>
      </c>
      <c r="BW222" s="370">
        <v>12800</v>
      </c>
      <c r="BX222" s="370">
        <v>0</v>
      </c>
      <c r="BY222" s="370">
        <v>0</v>
      </c>
      <c r="BZ222" s="370">
        <v>0</v>
      </c>
      <c r="CA222" s="370">
        <v>0</v>
      </c>
      <c r="CB222" s="370">
        <v>0</v>
      </c>
      <c r="CC222" s="370">
        <v>0</v>
      </c>
      <c r="CD222" s="370">
        <v>1600</v>
      </c>
      <c r="CE222" s="370">
        <v>0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2011</v>
      </c>
      <c r="CM222" s="48" t="s">
        <v>1990</v>
      </c>
      <c r="CN222" s="48" t="s">
        <v>1998</v>
      </c>
      <c r="CO222" s="10" t="str">
        <f t="shared" si="56"/>
        <v>2.3.2.5.1.99</v>
      </c>
      <c r="CP222" s="10" t="str">
        <f>+VLOOKUP(Tabla1[[#This Row],[ESPECÍFICA]],CLASIFICADOR_,2,0)</f>
        <v>2.3.2.5.1.99 - DE OTROS BIENES Y ACTIVOS</v>
      </c>
      <c r="CQ222" s="10" t="str">
        <f>+VLOOKUP(Tabla1[[#This Row],[ESPECÍFICA]],CLASIFICADOR_,3,0)</f>
        <v>2.3.2.5 - ALQUILERES DE MUEBLES E INMUEBLES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N/R</v>
      </c>
      <c r="CU222" s="10" t="str">
        <f>+VLOOKUP(Tabla1[[#This Row],[ESPECÍFICA]],CLASIFICADOR_,7,0)</f>
        <v>N/R</v>
      </c>
      <c r="CV222" s="10">
        <f>+VLOOKUP(Tabla1[[#This Row],[ESPECÍFICA]],CLASIFICADOR_,8,0)</f>
        <v>0</v>
      </c>
      <c r="CW222" s="113" t="str">
        <f>+CONCATENATE("2.",Tabla1[[#This Row],[generica]])</f>
        <v>2.3.BIENES Y SERVICIOS</v>
      </c>
      <c r="CX222" s="10" t="str">
        <f t="shared" si="42"/>
        <v>0010-OA</v>
      </c>
      <c r="CY222" s="5" t="str">
        <f t="shared" si="43"/>
        <v>0010-OA</v>
      </c>
      <c r="CZ222" t="str">
        <f t="shared" si="44"/>
        <v>0010-OA</v>
      </c>
      <c r="DA222" s="113" t="str">
        <f>+CONCATENATE(Tabla1[[#This Row],[CC COMPLETO]],Tabla1[[#This Row],[ESPECÍFICA]])</f>
        <v>0010-OA2.3.2.5.1.99</v>
      </c>
      <c r="DB222" s="11">
        <f t="shared" si="45"/>
        <v>19200</v>
      </c>
      <c r="DC222" s="11">
        <f t="shared" si="46"/>
        <v>16000</v>
      </c>
      <c r="DD222" s="11">
        <f t="shared" si="47"/>
        <v>14400</v>
      </c>
      <c r="DE222" s="11">
        <f t="shared" si="48"/>
        <v>1600</v>
      </c>
      <c r="DF222" s="11">
        <f t="shared" si="49"/>
        <v>0</v>
      </c>
      <c r="DG222" s="11">
        <f t="shared" si="50"/>
        <v>3200</v>
      </c>
      <c r="DH222" s="11">
        <f t="shared" si="51"/>
        <v>4800</v>
      </c>
      <c r="DI222" s="12">
        <f t="shared" si="52"/>
        <v>0.67114093959731547</v>
      </c>
      <c r="DJ222" s="77">
        <f>+SUM(Tabla1[[#This Row],[EJECUTADO 01]:[EJECUTADO 06]])</f>
        <v>8000</v>
      </c>
      <c r="DK222" s="78">
        <f>+Tabla1[[#This Row],[mto_devenga_01]]</f>
        <v>1600</v>
      </c>
      <c r="DL222" s="78">
        <f>+Tabla1[[#This Row],[mto_devenga_02]]</f>
        <v>1600</v>
      </c>
      <c r="DM222" s="78">
        <f>+Tabla1[[#This Row],[mto_devenga_03]]</f>
        <v>0</v>
      </c>
      <c r="DN222" s="78">
        <f>+Tabla1[[#This Row],[mto_devenga_04]]</f>
        <v>1600</v>
      </c>
      <c r="DO222" s="78">
        <f>+Tabla1[[#This Row],[mto_devenga_05]]</f>
        <v>3200</v>
      </c>
      <c r="DP222" s="76">
        <f>+Tabla1[[#This Row],[mto_devenga_06]]</f>
        <v>0</v>
      </c>
      <c r="DQ222" s="76">
        <f>+Tabla1[[#This Row],[mto_devenga_07]]</f>
        <v>1600</v>
      </c>
      <c r="DR222" s="76">
        <f>+Tabla1[[#This Row],[mto_devenga_08]]</f>
        <v>1600</v>
      </c>
      <c r="DS222" s="76">
        <f>+Tabla1[[#This Row],[mto_devenga_09]]</f>
        <v>1600</v>
      </c>
      <c r="DT222" s="76">
        <f>IFERROR(VLOOKUP(Tabla1[[#This Row],[COD SE]],PF_OCTUBRE,14,0),"0")</f>
        <v>1600</v>
      </c>
      <c r="DU222" s="76">
        <f>IFERROR(VLOOKUP(Tabla1[[#This Row],[COD SE]],PF_OCTUBRE,15,0),"0")</f>
        <v>1600</v>
      </c>
      <c r="DV222" s="76">
        <f>IFERROR(VLOOKUP(Tabla1[[#This Row],[COD SE]],PF_OCTUBRE,16,0),"0")</f>
        <v>4800</v>
      </c>
      <c r="DW222" s="76">
        <f>+SUM(Tabla1[[#This Row],[EJECUTADO 01]:[PF DICIEMBRE
]])</f>
        <v>20800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20800</v>
      </c>
      <c r="EB222" s="76">
        <f>IFERROR(VLOOKUP(Tabla1[[#This Row],[COD SE]],PF_OCTUBRE,22,0),"0")</f>
        <v>4800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20800</v>
      </c>
      <c r="EF222" s="76">
        <f>+Tabla1[[#This Row],[mto_pim]]-Tabla1[[#This Row],[TRANFS ESC 3 ]]</f>
        <v>20800</v>
      </c>
      <c r="EG222" s="76">
        <f>+IFERROR(VLOOKUP(Tabla1[[#This Row],[COD SE]],HISTORICO,4,0),0)</f>
        <v>1600</v>
      </c>
      <c r="EH222" s="76">
        <f>+IFERROR(VLOOKUP(Tabla1[[#This Row],[COD SE]],HISTORICO,5,0),0)</f>
        <v>1600</v>
      </c>
      <c r="EI222" s="76">
        <f>+IFERROR(VLOOKUP(Tabla1[[#This Row],[COD SE]],HISTORICO,6,0),0)</f>
        <v>1600</v>
      </c>
      <c r="EJ222" s="76">
        <f>+IFERROR(VLOOKUP(Tabla1[[#This Row],[COD SE]],HISTORICO,7,0),0)</f>
        <v>3200</v>
      </c>
      <c r="EK222" s="76">
        <f>+IFERROR(VLOOKUP(Tabla1[[#This Row],[COD SE]],HISTORICO,8,0),0)</f>
        <v>1600</v>
      </c>
      <c r="EL222" s="76">
        <f>+IFERROR(VLOOKUP(Tabla1[[#This Row],[COD SE]],HISTORICO,9,0),0)</f>
        <v>0</v>
      </c>
      <c r="EM222" s="76">
        <f>+IFERROR(VLOOKUP(Tabla1[[#This Row],[COD SE]],HISTORICO,10,0),0)</f>
        <v>1600</v>
      </c>
      <c r="EN222" s="76">
        <f>+IFERROR(VLOOKUP(Tabla1[[#This Row],[COD SE]],HISTORICO,11,0),0)</f>
        <v>3200</v>
      </c>
      <c r="EO222" s="76">
        <f>+IFERROR(VLOOKUP(Tabla1[[#This Row],[COD SE]],HISTORICO,12,0),0)</f>
        <v>1600</v>
      </c>
      <c r="EP222" s="58">
        <f>+SUM(Tabla1[[#This Row],[EJECUTADO 01]:[EJECUTADO 03]])</f>
        <v>3200</v>
      </c>
      <c r="EQ222" s="58">
        <f>+SUM(Tabla1[[#This Row],[EJECUTADO 04]:[EJECUTADO 06]])</f>
        <v>4800</v>
      </c>
      <c r="ER222" s="58">
        <f>+SUM(Tabla1[[#This Row],[EJECUTADO 07]:[EJECUTADO 09]])</f>
        <v>4800</v>
      </c>
      <c r="ES222" s="58">
        <f>+SUM(Tabla1[[#This Row],[PF OCTUBRE]:[PF DICIEMBRE
]])</f>
        <v>8000</v>
      </c>
      <c r="ET222" s="58">
        <f>+SUM(Tabla1[[#This Row],[EJECUTADO 01]:[EJECUTADO 09]])</f>
        <v>12800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2004</v>
      </c>
      <c r="AB223" s="369" t="s">
        <v>1986</v>
      </c>
      <c r="AC223" s="369" t="s">
        <v>1672</v>
      </c>
      <c r="AD223" s="369" t="s">
        <v>1673</v>
      </c>
      <c r="AE223" s="369" t="s">
        <v>1736</v>
      </c>
      <c r="AF223" s="369" t="s">
        <v>1782</v>
      </c>
      <c r="AG223" s="369" t="s">
        <v>1768</v>
      </c>
      <c r="AH223" s="369">
        <v>17097</v>
      </c>
      <c r="AI223" s="369">
        <v>-10395</v>
      </c>
      <c r="AJ223" s="369">
        <v>6702</v>
      </c>
      <c r="AK223" s="370">
        <v>6701.36</v>
      </c>
      <c r="AL223" s="370">
        <v>6701.36</v>
      </c>
      <c r="AM223" s="370">
        <v>697.89</v>
      </c>
      <c r="AN223" s="370">
        <v>0</v>
      </c>
      <c r="AO223" s="370">
        <v>0</v>
      </c>
      <c r="AP223" s="370">
        <v>0</v>
      </c>
      <c r="AQ223" s="370">
        <v>0</v>
      </c>
      <c r="AR223" s="370">
        <v>980</v>
      </c>
      <c r="AS223" s="370">
        <v>0</v>
      </c>
      <c r="AT223" s="370">
        <v>0</v>
      </c>
      <c r="AU223" s="370">
        <v>5023.47</v>
      </c>
      <c r="AV223" s="370">
        <v>0</v>
      </c>
      <c r="AW223" s="370">
        <v>0</v>
      </c>
      <c r="AX223" s="370">
        <v>0</v>
      </c>
      <c r="AY223" s="370">
        <v>0</v>
      </c>
      <c r="AZ223" s="370">
        <v>0</v>
      </c>
      <c r="BA223" s="370">
        <v>0</v>
      </c>
      <c r="BB223" s="370">
        <v>0</v>
      </c>
      <c r="BC223" s="370">
        <v>0</v>
      </c>
      <c r="BD223" s="370">
        <v>0</v>
      </c>
      <c r="BE223" s="370">
        <v>980</v>
      </c>
      <c r="BF223" s="370">
        <v>0</v>
      </c>
      <c r="BG223" s="370">
        <v>697.89</v>
      </c>
      <c r="BH223" s="370">
        <v>5023.47</v>
      </c>
      <c r="BI223" s="370">
        <v>0</v>
      </c>
      <c r="BJ223" s="370">
        <v>0</v>
      </c>
      <c r="BK223" s="370">
        <v>0</v>
      </c>
      <c r="BL223" s="370">
        <v>0</v>
      </c>
      <c r="BM223" s="370">
        <v>0</v>
      </c>
      <c r="BN223" s="370">
        <v>0</v>
      </c>
      <c r="BO223" s="370">
        <v>0</v>
      </c>
      <c r="BP223" s="370">
        <v>0</v>
      </c>
      <c r="BQ223" s="370">
        <v>0</v>
      </c>
      <c r="BR223" s="370">
        <v>980</v>
      </c>
      <c r="BS223" s="370">
        <v>697.89</v>
      </c>
      <c r="BT223" s="370">
        <v>5023.47</v>
      </c>
      <c r="BU223" s="370">
        <v>0</v>
      </c>
      <c r="BV223" s="370">
        <v>0</v>
      </c>
      <c r="BW223" s="370">
        <v>697.89</v>
      </c>
      <c r="BX223" s="370">
        <v>0</v>
      </c>
      <c r="BY223" s="370">
        <v>0</v>
      </c>
      <c r="BZ223" s="370">
        <v>0</v>
      </c>
      <c r="CA223" s="370">
        <v>0</v>
      </c>
      <c r="CB223" s="370">
        <v>980</v>
      </c>
      <c r="CC223" s="370">
        <v>0</v>
      </c>
      <c r="CD223" s="370">
        <v>0</v>
      </c>
      <c r="CE223" s="370">
        <v>5023.47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1991</v>
      </c>
      <c r="CK223" s="48" t="s">
        <v>1987</v>
      </c>
      <c r="CL223" s="48" t="s">
        <v>1993</v>
      </c>
      <c r="CM223" s="48" t="s">
        <v>2011</v>
      </c>
      <c r="CN223" s="48" t="s">
        <v>1990</v>
      </c>
      <c r="CO223" s="10" t="str">
        <f>+CONCATENATE(CI223,".",CJ223,".",CK223,".",CL223,".",CM223,".",CN223)</f>
        <v>2.3.2.4.5.1</v>
      </c>
      <c r="CP223" s="10" t="str">
        <f>+VLOOKUP(Tabla1[[#This Row],[ESPECÍFICA]],CLASIFICADOR_,2,0)</f>
        <v>2.3.2.4.5.1 - DE VEHICULOS</v>
      </c>
      <c r="CQ223" s="10" t="str">
        <f>+VLOOKUP(Tabla1[[#This Row],[ESPECÍFICA]],CLASIFICADOR_,3,0)</f>
        <v>2.3.2.4 - SERVICIO DE MANTENIMIENTO, ACONDICIONAMIENTO Y  REPARACIONES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Partidas restringidas</v>
      </c>
      <c r="CU223" s="10" t="str">
        <f>+VLOOKUP(Tabla1[[#This Row],[ESPECÍFICA]],CLASIFICADOR_,7,0)</f>
        <v>9.6 Hasta el 1er Semestre</v>
      </c>
      <c r="CV223" s="10">
        <f>+VLOOKUP(Tabla1[[#This Row],[ESPECÍFICA]],CLASIFICADOR_,8,0)</f>
        <v>3</v>
      </c>
      <c r="CW223" s="113" t="str">
        <f>+CONCATENATE("2.",Tabla1[[#This Row],[generica]])</f>
        <v>2.3.BIENES Y SERVICIOS</v>
      </c>
      <c r="CX223" s="10" t="str">
        <f t="shared" si="42"/>
        <v>0010-OA</v>
      </c>
      <c r="CY223" s="5" t="str">
        <f t="shared" si="43"/>
        <v>0010-OA</v>
      </c>
      <c r="CZ223" t="str">
        <f t="shared" si="44"/>
        <v>0010-OA</v>
      </c>
      <c r="DA223" s="113" t="str">
        <f>+CONCATENATE(Tabla1[[#This Row],[CC COMPLETO]],Tabla1[[#This Row],[ESPECÍFICA]])</f>
        <v>0010-OA2.3.2.4.5.1</v>
      </c>
      <c r="DB223" s="11">
        <f t="shared" si="45"/>
        <v>6701.3600000000006</v>
      </c>
      <c r="DC223" s="11">
        <f t="shared" si="46"/>
        <v>6701.3600000000006</v>
      </c>
      <c r="DD223" s="11">
        <f t="shared" si="47"/>
        <v>6701.3600000000006</v>
      </c>
      <c r="DE223" s="11">
        <f t="shared" si="48"/>
        <v>0.64000000000032742</v>
      </c>
      <c r="DF223" s="11">
        <f t="shared" si="49"/>
        <v>0</v>
      </c>
      <c r="DG223" s="11">
        <f t="shared" si="50"/>
        <v>0</v>
      </c>
      <c r="DH223" s="11">
        <f t="shared" si="51"/>
        <v>0.63999999999941792</v>
      </c>
      <c r="DI223" s="12">
        <f t="shared" si="52"/>
        <v>0.39196116277709542</v>
      </c>
      <c r="DJ223" s="77">
        <f>+SUM(Tabla1[[#This Row],[EJECUTADO 01]:[EJECUTADO 06]])</f>
        <v>0</v>
      </c>
      <c r="DK223" s="78">
        <f>+Tabla1[[#This Row],[mto_devenga_01]]</f>
        <v>0</v>
      </c>
      <c r="DL223" s="78">
        <f>+Tabla1[[#This Row],[mto_devenga_02]]</f>
        <v>0</v>
      </c>
      <c r="DM223" s="78">
        <f>+Tabla1[[#This Row],[mto_devenga_03]]</f>
        <v>0</v>
      </c>
      <c r="DN223" s="78">
        <f>+Tabla1[[#This Row],[mto_devenga_04]]</f>
        <v>0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980</v>
      </c>
      <c r="DR223" s="76">
        <f>+Tabla1[[#This Row],[mto_devenga_08]]</f>
        <v>0</v>
      </c>
      <c r="DS223" s="76">
        <f>+Tabla1[[#This Row],[mto_devenga_09]]</f>
        <v>697.89</v>
      </c>
      <c r="DT223" s="76">
        <f>IFERROR(VLOOKUP(Tabla1[[#This Row],[COD SE]],PF_OCTUBRE,14,0),"0")</f>
        <v>5023.47</v>
      </c>
      <c r="DU223" s="76">
        <f>IFERROR(VLOOKUP(Tabla1[[#This Row],[COD SE]],PF_OCTUBRE,15,0),"0")</f>
        <v>0</v>
      </c>
      <c r="DV223" s="76">
        <f>IFERROR(VLOOKUP(Tabla1[[#This Row],[COD SE]],PF_OCTUBRE,16,0),"0")</f>
        <v>17447.64</v>
      </c>
      <c r="DW223" s="76">
        <f>+SUM(Tabla1[[#This Row],[EJECUTADO 01]:[PF DICIEMBRE
]])</f>
        <v>24149</v>
      </c>
      <c r="DX223" s="76">
        <f>IFERROR(VLOOKUP(Tabla1[[#This Row],[COD SE]],PF_OCTUBRE,18,0),"0")</f>
        <v>0</v>
      </c>
      <c r="DY223" s="76">
        <f>IFERROR(VLOOKUP(Tabla1[[#This Row],[COD SE]],PF_OCTUBRE,19,0),"0")</f>
        <v>0</v>
      </c>
      <c r="DZ223" s="76">
        <f>IFERROR(VLOOKUP(Tabla1[[#This Row],[COD SE]],PF_OCTUBRE,20,0),"0")</f>
        <v>0</v>
      </c>
      <c r="EA223" s="76">
        <f>+Tabla1[[#This Row],[TOTAL EJEC REAL]]+Tabla1[[#This Row],[SALDO FINAL]]</f>
        <v>24149</v>
      </c>
      <c r="EB223" s="76">
        <f>IFERROR(VLOOKUP(Tabla1[[#This Row],[COD SE]],PF_OCTUBRE,22,0),"0")</f>
        <v>17447.64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6702</v>
      </c>
      <c r="EF223" s="76">
        <f>+Tabla1[[#This Row],[mto_pim]]-Tabla1[[#This Row],[TRANFS ESC 3 ]]</f>
        <v>6702</v>
      </c>
      <c r="EG223" s="76">
        <f>+IFERROR(VLOOKUP(Tabla1[[#This Row],[COD SE]],HISTORICO,4,0),0)</f>
        <v>6072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0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980</v>
      </c>
      <c r="EN223" s="76">
        <f>+IFERROR(VLOOKUP(Tabla1[[#This Row],[COD SE]],HISTORICO,11,0),0)</f>
        <v>1416.64</v>
      </c>
      <c r="EO223" s="76">
        <f>+IFERROR(VLOOKUP(Tabla1[[#This Row],[COD SE]],HISTORICO,12,0),0)</f>
        <v>697.89</v>
      </c>
      <c r="EP223" s="58">
        <f>+SUM(Tabla1[[#This Row],[EJECUTADO 01]:[EJECUTADO 03]])</f>
        <v>0</v>
      </c>
      <c r="EQ223" s="58">
        <f>+SUM(Tabla1[[#This Row],[EJECUTADO 04]:[EJECUTADO 06]])</f>
        <v>0</v>
      </c>
      <c r="ER223" s="58">
        <f>+SUM(Tabla1[[#This Row],[EJECUTADO 07]:[EJECUTADO 09]])</f>
        <v>1677.8899999999999</v>
      </c>
      <c r="ES223" s="58">
        <f>+SUM(Tabla1[[#This Row],[PF OCTUBRE]:[PF DICIEMBRE
]])</f>
        <v>22471.11</v>
      </c>
      <c r="ET223" s="58">
        <f>+SUM(Tabla1[[#This Row],[EJECUTADO 01]:[EJECUTADO 09]])</f>
        <v>1677.8899999999999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1745</v>
      </c>
      <c r="AD224" s="369" t="s">
        <v>1746</v>
      </c>
      <c r="AE224" s="369" t="s">
        <v>1747</v>
      </c>
      <c r="AF224" s="369" t="s">
        <v>2050</v>
      </c>
      <c r="AG224" s="369" t="s">
        <v>2050</v>
      </c>
      <c r="AH224" s="369">
        <v>0</v>
      </c>
      <c r="AI224" s="369">
        <v>916</v>
      </c>
      <c r="AJ224" s="369">
        <v>916</v>
      </c>
      <c r="AK224" s="370">
        <v>916</v>
      </c>
      <c r="AL224" s="370">
        <v>916</v>
      </c>
      <c r="AM224" s="370">
        <v>0</v>
      </c>
      <c r="AN224" s="370">
        <v>0</v>
      </c>
      <c r="AO224" s="370">
        <v>0</v>
      </c>
      <c r="AP224" s="370">
        <v>916</v>
      </c>
      <c r="AQ224" s="370">
        <v>0</v>
      </c>
      <c r="AR224" s="370">
        <v>0</v>
      </c>
      <c r="AS224" s="370">
        <v>0</v>
      </c>
      <c r="AT224" s="370">
        <v>0</v>
      </c>
      <c r="AU224" s="370">
        <v>0</v>
      </c>
      <c r="AV224" s="370">
        <v>0</v>
      </c>
      <c r="AW224" s="370">
        <v>0</v>
      </c>
      <c r="AX224" s="370">
        <v>0</v>
      </c>
      <c r="AY224" s="370">
        <v>0</v>
      </c>
      <c r="AZ224" s="370">
        <v>0</v>
      </c>
      <c r="BA224" s="370">
        <v>0</v>
      </c>
      <c r="BB224" s="370">
        <v>916</v>
      </c>
      <c r="BC224" s="370">
        <v>0</v>
      </c>
      <c r="BD224" s="370">
        <v>0</v>
      </c>
      <c r="BE224" s="370">
        <v>0</v>
      </c>
      <c r="BF224" s="370">
        <v>0</v>
      </c>
      <c r="BG224" s="370">
        <v>0</v>
      </c>
      <c r="BH224" s="370">
        <v>0</v>
      </c>
      <c r="BI224" s="370">
        <v>0</v>
      </c>
      <c r="BJ224" s="370">
        <v>0</v>
      </c>
      <c r="BK224" s="370">
        <v>0</v>
      </c>
      <c r="BL224" s="370">
        <v>0</v>
      </c>
      <c r="BM224" s="370">
        <v>0</v>
      </c>
      <c r="BN224" s="370">
        <v>916</v>
      </c>
      <c r="BO224" s="370">
        <v>0</v>
      </c>
      <c r="BP224" s="370">
        <v>0</v>
      </c>
      <c r="BQ224" s="370">
        <v>0</v>
      </c>
      <c r="BR224" s="370">
        <v>0</v>
      </c>
      <c r="BS224" s="370">
        <v>0</v>
      </c>
      <c r="BT224" s="370">
        <v>0</v>
      </c>
      <c r="BU224" s="370">
        <v>0</v>
      </c>
      <c r="BV224" s="370">
        <v>0</v>
      </c>
      <c r="BW224" s="370">
        <v>0</v>
      </c>
      <c r="BX224" s="370">
        <v>0</v>
      </c>
      <c r="BY224" s="370">
        <v>0</v>
      </c>
      <c r="BZ224" s="370">
        <v>916</v>
      </c>
      <c r="CA224" s="370">
        <v>0</v>
      </c>
      <c r="CB224" s="370">
        <v>0</v>
      </c>
      <c r="CC224" s="370">
        <v>0</v>
      </c>
      <c r="CD224" s="370">
        <v>0</v>
      </c>
      <c r="CE224" s="370">
        <v>0</v>
      </c>
      <c r="CF224" s="370">
        <v>0</v>
      </c>
      <c r="CG224" s="370">
        <v>0</v>
      </c>
      <c r="CH224" s="370">
        <v>0</v>
      </c>
      <c r="CI224" s="48" t="s">
        <v>1987</v>
      </c>
      <c r="CJ224" s="48" t="s">
        <v>2011</v>
      </c>
      <c r="CK224" s="48" t="s">
        <v>1993</v>
      </c>
      <c r="CL224" s="48" t="s">
        <v>1990</v>
      </c>
      <c r="CM224" s="48" t="s">
        <v>1990</v>
      </c>
      <c r="CN224" s="48" t="s">
        <v>1990</v>
      </c>
      <c r="CO224" s="48" t="str">
        <f t="shared" ref="CO224:CO246" si="57">+CONCATENATE(CI224,".",CJ224,".",CK224,".",CL224,".",CM224,".",CN224)</f>
        <v>2.5.4.1.1.1</v>
      </c>
      <c r="CP224" s="48" t="str">
        <f>+VLOOKUP(Tabla1[[#This Row],[ESPECÍFICA]],CLASIFICADOR_,2,0)</f>
        <v>2.5.4.1.1.1 - IMPUESTOS</v>
      </c>
      <c r="CQ224" s="48" t="str">
        <f>+VLOOKUP(Tabla1[[#This Row],[ESPECÍFICA]],CLASIFICADOR_,3,0)</f>
        <v>2.5.4.1 - AL GOBIERNO NACIONAL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2.5.OTROS GASTOS</v>
      </c>
      <c r="CX224" s="48" t="str">
        <f t="shared" si="42"/>
        <v>0010-OA</v>
      </c>
      <c r="CY224" s="113" t="str">
        <f t="shared" si="43"/>
        <v>0010-OA</v>
      </c>
      <c r="CZ224" s="20" t="str">
        <f t="shared" si="44"/>
        <v>0010-OA</v>
      </c>
      <c r="DA224" s="113" t="str">
        <f>+CONCATENATE(Tabla1[[#This Row],[CC COMPLETO]],Tabla1[[#This Row],[ESPECÍFICA]])</f>
        <v>0010-OA2.5.4.1.1.1</v>
      </c>
      <c r="DB224" s="49">
        <f t="shared" si="45"/>
        <v>916</v>
      </c>
      <c r="DC224" s="49">
        <f t="shared" si="46"/>
        <v>916</v>
      </c>
      <c r="DD224" s="49">
        <f t="shared" si="47"/>
        <v>916</v>
      </c>
      <c r="DE224" s="49">
        <f t="shared" si="48"/>
        <v>0</v>
      </c>
      <c r="DF224" s="49">
        <f t="shared" si="49"/>
        <v>0</v>
      </c>
      <c r="DG224" s="49">
        <f t="shared" si="50"/>
        <v>0</v>
      </c>
      <c r="DH224" s="49">
        <f t="shared" si="51"/>
        <v>0</v>
      </c>
      <c r="DI224" s="50">
        <f t="shared" si="52"/>
        <v>0</v>
      </c>
      <c r="DJ224" s="78">
        <f>+SUM(Tabla1[[#This Row],[EJECUTADO 01]:[EJECUTADO 06]])</f>
        <v>916</v>
      </c>
      <c r="DK224" s="78">
        <f>+Tabla1[[#This Row],[mto_devenga_01]]</f>
        <v>0</v>
      </c>
      <c r="DL224" s="78">
        <f>+Tabla1[[#This Row],[mto_devenga_02]]</f>
        <v>0</v>
      </c>
      <c r="DM224" s="78">
        <f>+Tabla1[[#This Row],[mto_devenga_03]]</f>
        <v>0</v>
      </c>
      <c r="DN224" s="78">
        <f>+Tabla1[[#This Row],[mto_devenga_04]]</f>
        <v>916</v>
      </c>
      <c r="DO224" s="78">
        <f>+Tabla1[[#This Row],[mto_devenga_05]]</f>
        <v>0</v>
      </c>
      <c r="DP224" s="76">
        <f>+Tabla1[[#This Row],[mto_devenga_06]]</f>
        <v>0</v>
      </c>
      <c r="DQ224" s="76">
        <f>+Tabla1[[#This Row],[mto_devenga_07]]</f>
        <v>0</v>
      </c>
      <c r="DR224" s="76">
        <f>+Tabla1[[#This Row],[mto_devenga_08]]</f>
        <v>0</v>
      </c>
      <c r="DS224" s="76">
        <f>+Tabla1[[#This Row],[mto_devenga_09]]</f>
        <v>0</v>
      </c>
      <c r="DT224" s="76">
        <f>IFERROR(VLOOKUP(Tabla1[[#This Row],[COD SE]],PF_OCTUBRE,14,0),"0")</f>
        <v>0</v>
      </c>
      <c r="DU224" s="76">
        <f>IFERROR(VLOOKUP(Tabla1[[#This Row],[COD SE]],PF_OCTUBRE,15,0),"0")</f>
        <v>0</v>
      </c>
      <c r="DV224" s="76">
        <f>IFERROR(VLOOKUP(Tabla1[[#This Row],[COD SE]],PF_OCTUBRE,16,0),"0")</f>
        <v>0</v>
      </c>
      <c r="DW224" s="76">
        <f>+SUM(Tabla1[[#This Row],[EJECUTADO 01]:[PF DICIEMBRE
]])</f>
        <v>916</v>
      </c>
      <c r="DX224" s="76">
        <f>IFERROR(VLOOKUP(Tabla1[[#This Row],[COD SE]],PF_OCTUBRE,18,0),"0")</f>
        <v>0</v>
      </c>
      <c r="DY224" s="76">
        <f>IFERROR(VLOOKUP(Tabla1[[#This Row],[COD SE]],PF_OCTUBRE,19,0),"0")</f>
        <v>0</v>
      </c>
      <c r="DZ224" s="76">
        <f>IFERROR(VLOOKUP(Tabla1[[#This Row],[COD SE]],PF_OCTUBRE,20,0),"0")</f>
        <v>0</v>
      </c>
      <c r="EA224" s="76">
        <f>+Tabla1[[#This Row],[TOTAL EJEC REAL]]+Tabla1[[#This Row],[SALDO FINAL]]</f>
        <v>916</v>
      </c>
      <c r="EB224" s="76">
        <f>IFERROR(VLOOKUP(Tabla1[[#This Row],[COD SE]],PF_OCTUBRE,22,0),"0")</f>
        <v>0</v>
      </c>
      <c r="EC224" s="76">
        <f>+IFERROR(VLOOKUP(Tabla1[[#This Row],[COD SE]],SALDO_ESC_2,7,0),0)</f>
        <v>0</v>
      </c>
      <c r="ED224" s="76">
        <f>+IFERROR(VLOOKUP(Tabla1[[#This Row],[COD SE]],SALDO_ESC_3,7,0),0)</f>
        <v>0</v>
      </c>
      <c r="EE224" s="76">
        <f>+Tabla1[[#This Row],[mto_pim]]-Tabla1[[#This Row],[TRANSF ESC2 ]]</f>
        <v>916</v>
      </c>
      <c r="EF224" s="76">
        <f>+Tabla1[[#This Row],[mto_pim]]-Tabla1[[#This Row],[TRANFS ESC 3 ]]</f>
        <v>916</v>
      </c>
      <c r="EG224" s="76">
        <f>+IFERROR(VLOOKUP(Tabla1[[#This Row],[COD SE]],HISTORICO,4,0),0)</f>
        <v>0</v>
      </c>
      <c r="EH224" s="76">
        <f>+IFERROR(VLOOKUP(Tabla1[[#This Row],[COD SE]],HISTORICO,5,0),0)</f>
        <v>0</v>
      </c>
      <c r="EI224" s="76">
        <f>+IFERROR(VLOOKUP(Tabla1[[#This Row],[COD SE]],HISTORICO,6,0),0)</f>
        <v>0</v>
      </c>
      <c r="EJ224" s="76">
        <f>+IFERROR(VLOOKUP(Tabla1[[#This Row],[COD SE]],HISTORICO,7,0),0)</f>
        <v>916</v>
      </c>
      <c r="EK224" s="76">
        <f>+IFERROR(VLOOKUP(Tabla1[[#This Row],[COD SE]],HISTORICO,8,0),0)</f>
        <v>0</v>
      </c>
      <c r="EL224" s="76">
        <f>+IFERROR(VLOOKUP(Tabla1[[#This Row],[COD SE]],HISTORICO,9,0),0)</f>
        <v>0</v>
      </c>
      <c r="EM224" s="76">
        <f>+IFERROR(VLOOKUP(Tabla1[[#This Row],[COD SE]],HISTORICO,10,0),0)</f>
        <v>0</v>
      </c>
      <c r="EN224" s="76">
        <f>+IFERROR(VLOOKUP(Tabla1[[#This Row],[COD SE]],HISTORICO,11,0),0)</f>
        <v>0</v>
      </c>
      <c r="EO224" s="76">
        <f>+IFERROR(VLOOKUP(Tabla1[[#This Row],[COD SE]],HISTORICO,12,0),0)</f>
        <v>0</v>
      </c>
      <c r="EP224" s="58">
        <f>+SUM(Tabla1[[#This Row],[EJECUTADO 01]:[EJECUTADO 03]])</f>
        <v>0</v>
      </c>
      <c r="EQ224" s="58">
        <f>+SUM(Tabla1[[#This Row],[EJECUTADO 04]:[EJECUTADO 06]])</f>
        <v>916</v>
      </c>
      <c r="ER224" s="58">
        <f>+SUM(Tabla1[[#This Row],[EJECUTADO 07]:[EJECUTADO 09]])</f>
        <v>0</v>
      </c>
      <c r="ES224" s="58">
        <f>+SUM(Tabla1[[#This Row],[PF OCTUBRE]:[PF DICIEMBRE
]])</f>
        <v>0</v>
      </c>
      <c r="ET224" s="58">
        <f>+SUM(Tabla1[[#This Row],[EJECUTADO 01]:[EJECUTADO 09]])</f>
        <v>916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1656</v>
      </c>
      <c r="AD225" s="369" t="s">
        <v>1668</v>
      </c>
      <c r="AE225" s="369" t="s">
        <v>1669</v>
      </c>
      <c r="AF225" s="369" t="s">
        <v>1669</v>
      </c>
      <c r="AG225" s="369" t="s">
        <v>1671</v>
      </c>
      <c r="AH225" s="369">
        <v>112634</v>
      </c>
      <c r="AI225" s="369">
        <v>-3705</v>
      </c>
      <c r="AJ225" s="369">
        <v>108929</v>
      </c>
      <c r="AK225" s="370">
        <v>104355.28</v>
      </c>
      <c r="AL225" s="370">
        <v>99252.160000000003</v>
      </c>
      <c r="AM225" s="370">
        <v>8233.84</v>
      </c>
      <c r="AN225" s="370">
        <v>7800.48</v>
      </c>
      <c r="AO225" s="370">
        <v>7676.05</v>
      </c>
      <c r="AP225" s="370">
        <v>8017.16</v>
      </c>
      <c r="AQ225" s="370">
        <v>8450.52</v>
      </c>
      <c r="AR225" s="370">
        <v>8450.52</v>
      </c>
      <c r="AS225" s="370">
        <v>8883.8799999999992</v>
      </c>
      <c r="AT225" s="370">
        <v>9317.24</v>
      </c>
      <c r="AU225" s="370">
        <v>9501.2800000000007</v>
      </c>
      <c r="AV225" s="370">
        <v>9225.09</v>
      </c>
      <c r="AW225" s="370">
        <v>0</v>
      </c>
      <c r="AX225" s="370">
        <v>0</v>
      </c>
      <c r="AY225" s="370">
        <v>8233.84</v>
      </c>
      <c r="AZ225" s="370">
        <v>7800.48</v>
      </c>
      <c r="BA225" s="370">
        <v>7676.05</v>
      </c>
      <c r="BB225" s="370">
        <v>8017.16</v>
      </c>
      <c r="BC225" s="370">
        <v>8450.52</v>
      </c>
      <c r="BD225" s="370">
        <v>8450.52</v>
      </c>
      <c r="BE225" s="370">
        <v>8883.8799999999992</v>
      </c>
      <c r="BF225" s="370">
        <v>9317.24</v>
      </c>
      <c r="BG225" s="370">
        <v>9501.2800000000007</v>
      </c>
      <c r="BH225" s="370">
        <v>9225.09</v>
      </c>
      <c r="BI225" s="370">
        <v>0</v>
      </c>
      <c r="BJ225" s="370">
        <v>0</v>
      </c>
      <c r="BK225" s="370">
        <v>8233.84</v>
      </c>
      <c r="BL225" s="370">
        <v>7800.48</v>
      </c>
      <c r="BM225" s="370">
        <v>7676.05</v>
      </c>
      <c r="BN225" s="370">
        <v>8017.16</v>
      </c>
      <c r="BO225" s="370">
        <v>8450.52</v>
      </c>
      <c r="BP225" s="370">
        <v>8450.52</v>
      </c>
      <c r="BQ225" s="370">
        <v>8883.8799999999992</v>
      </c>
      <c r="BR225" s="370">
        <v>9317.24</v>
      </c>
      <c r="BS225" s="370">
        <v>9317.24</v>
      </c>
      <c r="BT225" s="370">
        <v>9409.1299999999992</v>
      </c>
      <c r="BU225" s="370">
        <v>0</v>
      </c>
      <c r="BV225" s="370">
        <v>0</v>
      </c>
      <c r="BW225" s="370">
        <v>8233.84</v>
      </c>
      <c r="BX225" s="370">
        <v>7800.48</v>
      </c>
      <c r="BY225" s="370">
        <v>7676.05</v>
      </c>
      <c r="BZ225" s="370">
        <v>8017.16</v>
      </c>
      <c r="CA225" s="370">
        <v>8450.52</v>
      </c>
      <c r="CB225" s="370">
        <v>8450.52</v>
      </c>
      <c r="CC225" s="370">
        <v>8883.8799999999992</v>
      </c>
      <c r="CD225" s="370">
        <v>9317.24</v>
      </c>
      <c r="CE225" s="370">
        <v>9501.2800000000007</v>
      </c>
      <c r="CF225" s="370">
        <v>9225.09</v>
      </c>
      <c r="CG225" s="370">
        <v>0</v>
      </c>
      <c r="CH225" s="370">
        <v>0</v>
      </c>
      <c r="CI225" s="48" t="s">
        <v>1987</v>
      </c>
      <c r="CJ225" s="48" t="s">
        <v>1990</v>
      </c>
      <c r="CK225" s="48" t="s">
        <v>1991</v>
      </c>
      <c r="CL225" s="48" t="s">
        <v>1990</v>
      </c>
      <c r="CM225" s="48" t="s">
        <v>1990</v>
      </c>
      <c r="CN225" s="48" t="s">
        <v>2014</v>
      </c>
      <c r="CO225" s="48" t="str">
        <f t="shared" si="57"/>
        <v>2.1.3.1.1.15</v>
      </c>
      <c r="CP225" s="48" t="str">
        <f>+VLOOKUP(Tabla1[[#This Row],[ESPECÍFICA]],CLASIFICADOR_,2,0)</f>
        <v>2.1.3.1.1.15 - CONTRIBUCIONES A ESSALUD DE CONTRATO ADMINISTRATIVO DE SERVICIOS</v>
      </c>
      <c r="CQ225" s="48" t="str">
        <f>+VLOOKUP(Tabla1[[#This Row],[ESPECÍFICA]],CLASIFICADOR_,3,0)</f>
        <v>01.CAS</v>
      </c>
      <c r="CR225" s="48" t="str">
        <f>+VLOOKUP(Tabla1[[#This Row],[ESPECÍFICA]],CLASIFICADOR_,4,0)</f>
        <v xml:space="preserve"> </v>
      </c>
      <c r="CS225" s="48">
        <f>+VLOOKUP(Tabla1[[#This Row],[ESPECÍFICA]],CLASIFICADOR_,5,0)</f>
        <v>0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2.1.PERSONAL Y OBLIGACIONES SOCIALES</v>
      </c>
      <c r="CX225" s="48" t="str">
        <f t="shared" si="42"/>
        <v>0010-OA</v>
      </c>
      <c r="CY225" s="113" t="str">
        <f t="shared" si="43"/>
        <v>0010-OA</v>
      </c>
      <c r="CZ225" s="20" t="str">
        <f t="shared" si="44"/>
        <v>0010-OA</v>
      </c>
      <c r="DA225" s="113" t="str">
        <f>+CONCATENATE(Tabla1[[#This Row],[CC COMPLETO]],Tabla1[[#This Row],[ESPECÍFICA]])</f>
        <v>0010-OA2.1.3.1.1.15</v>
      </c>
      <c r="DB225" s="49">
        <f t="shared" si="45"/>
        <v>85556.06</v>
      </c>
      <c r="DC225" s="49">
        <f t="shared" si="46"/>
        <v>85556.06</v>
      </c>
      <c r="DD225" s="49">
        <f t="shared" si="47"/>
        <v>85556.060000000012</v>
      </c>
      <c r="DE225" s="49">
        <f t="shared" si="48"/>
        <v>4573.7200000000012</v>
      </c>
      <c r="DF225" s="49">
        <f t="shared" si="49"/>
        <v>5103.1199999999953</v>
      </c>
      <c r="DG225" s="49">
        <f t="shared" si="50"/>
        <v>13696.100000000006</v>
      </c>
      <c r="DH225" s="49">
        <f t="shared" si="51"/>
        <v>23372.940000000002</v>
      </c>
      <c r="DI225" s="50">
        <f t="shared" si="52"/>
        <v>0.75959355079283342</v>
      </c>
      <c r="DJ225" s="78">
        <f>+SUM(Tabla1[[#This Row],[EJECUTADO 01]:[EJECUTADO 06]])</f>
        <v>48628.570000000007</v>
      </c>
      <c r="DK225" s="78">
        <f>+Tabla1[[#This Row],[mto_devenga_01]]</f>
        <v>8233.84</v>
      </c>
      <c r="DL225" s="78">
        <f>+Tabla1[[#This Row],[mto_devenga_02]]</f>
        <v>7800.48</v>
      </c>
      <c r="DM225" s="78">
        <f>+Tabla1[[#This Row],[mto_devenga_03]]</f>
        <v>7676.05</v>
      </c>
      <c r="DN225" s="78">
        <f>+Tabla1[[#This Row],[mto_devenga_04]]</f>
        <v>8017.16</v>
      </c>
      <c r="DO225" s="78">
        <f>+Tabla1[[#This Row],[mto_devenga_05]]</f>
        <v>8450.52</v>
      </c>
      <c r="DP225" s="76">
        <f>+Tabla1[[#This Row],[mto_devenga_06]]</f>
        <v>8450.52</v>
      </c>
      <c r="DQ225" s="76">
        <f>+Tabla1[[#This Row],[mto_devenga_07]]</f>
        <v>8883.8799999999992</v>
      </c>
      <c r="DR225" s="76">
        <f>+Tabla1[[#This Row],[mto_devenga_08]]</f>
        <v>9317.24</v>
      </c>
      <c r="DS225" s="76">
        <f>+Tabla1[[#This Row],[mto_devenga_09]]</f>
        <v>9501.2800000000007</v>
      </c>
      <c r="DT225" s="76">
        <f>IFERROR(VLOOKUP(Tabla1[[#This Row],[COD SE]],PF_OCTUBRE,14,0),"0")</f>
        <v>9317.2400000000052</v>
      </c>
      <c r="DU225" s="76">
        <f>IFERROR(VLOOKUP(Tabla1[[#This Row],[COD SE]],PF_OCTUBRE,15,0),"0")</f>
        <v>9317.2400000000052</v>
      </c>
      <c r="DV225" s="76">
        <f>IFERROR(VLOOKUP(Tabla1[[#This Row],[COD SE]],PF_OCTUBRE,16,0),"0")</f>
        <v>9317.2400000000052</v>
      </c>
      <c r="DW225" s="76">
        <f>+SUM(Tabla1[[#This Row],[EJECUTADO 01]:[PF DICIEMBRE
]])</f>
        <v>104282.69000000002</v>
      </c>
      <c r="DX225" s="76">
        <f>IFERROR(VLOOKUP(Tabla1[[#This Row],[COD SE]],PF_OCTUBRE,18,0),"0")</f>
        <v>0</v>
      </c>
      <c r="DY225" s="76">
        <f>IFERROR(VLOOKUP(Tabla1[[#This Row],[COD SE]],PF_OCTUBRE,19,0),"0")</f>
        <v>4646.3099999999995</v>
      </c>
      <c r="DZ225" s="76">
        <f>IFERROR(VLOOKUP(Tabla1[[#This Row],[COD SE]],PF_OCTUBRE,20,0),"0")</f>
        <v>4646.3099999999995</v>
      </c>
      <c r="EA225" s="76">
        <f>+Tabla1[[#This Row],[TOTAL EJEC REAL]]+Tabla1[[#This Row],[SALDO FINAL]]</f>
        <v>108929.00000000001</v>
      </c>
      <c r="EB225" s="76">
        <f>IFERROR(VLOOKUP(Tabla1[[#This Row],[COD SE]],PF_OCTUBRE,22,0),"0")</f>
        <v>13963.550000000005</v>
      </c>
      <c r="EC225" s="76">
        <f>+IFERROR(VLOOKUP(Tabla1[[#This Row],[COD SE]],SALDO_ESC_2,7,0),0)</f>
        <v>0</v>
      </c>
      <c r="ED225" s="76">
        <f>+IFERROR(VLOOKUP(Tabla1[[#This Row],[COD SE]],SALDO_ESC_3,7,0),0)</f>
        <v>4646.3099999999995</v>
      </c>
      <c r="EE225" s="76">
        <f>+Tabla1[[#This Row],[mto_pim]]-Tabla1[[#This Row],[TRANSF ESC2 ]]</f>
        <v>108929</v>
      </c>
      <c r="EF225" s="76">
        <f>+Tabla1[[#This Row],[mto_pim]]-Tabla1[[#This Row],[TRANFS ESC 3 ]]</f>
        <v>104282.69</v>
      </c>
      <c r="EG225" s="76">
        <f>+IFERROR(VLOOKUP(Tabla1[[#This Row],[COD SE]],HISTORICO,4,0),0)</f>
        <v>9276.4600000000028</v>
      </c>
      <c r="EH225" s="76">
        <f>+IFERROR(VLOOKUP(Tabla1[[#This Row],[COD SE]],HISTORICO,5,0),0)</f>
        <v>8233.8400000000038</v>
      </c>
      <c r="EI225" s="76">
        <f>+IFERROR(VLOOKUP(Tabla1[[#This Row],[COD SE]],HISTORICO,6,0),0)</f>
        <v>8859.5800000000036</v>
      </c>
      <c r="EJ225" s="76">
        <f>+IFERROR(VLOOKUP(Tabla1[[#This Row],[COD SE]],HISTORICO,7,0),0)</f>
        <v>9068.1600000000035</v>
      </c>
      <c r="EK225" s="76">
        <f>+IFERROR(VLOOKUP(Tabla1[[#This Row],[COD SE]],HISTORICO,8,0),0)</f>
        <v>8434.3200000000052</v>
      </c>
      <c r="EL225" s="76">
        <f>+IFERROR(VLOOKUP(Tabla1[[#This Row],[COD SE]],HISTORICO,9,0),0)</f>
        <v>8434.3200000000052</v>
      </c>
      <c r="EM225" s="76">
        <f>+IFERROR(VLOOKUP(Tabla1[[#This Row],[COD SE]],HISTORICO,10,0),0)</f>
        <v>8667.2000000000044</v>
      </c>
      <c r="EN225" s="76">
        <f>+IFERROR(VLOOKUP(Tabla1[[#This Row],[COD SE]],HISTORICO,11,0),0)</f>
        <v>9100.5600000000049</v>
      </c>
      <c r="EO225" s="76">
        <f>+IFERROR(VLOOKUP(Tabla1[[#This Row],[COD SE]],HISTORICO,12,0),0)</f>
        <v>9317.2400000000052</v>
      </c>
      <c r="EP225" s="58">
        <f>+SUM(Tabla1[[#This Row],[EJECUTADO 01]:[EJECUTADO 03]])</f>
        <v>23710.37</v>
      </c>
      <c r="EQ225" s="58">
        <f>+SUM(Tabla1[[#This Row],[EJECUTADO 04]:[EJECUTADO 06]])</f>
        <v>24918.2</v>
      </c>
      <c r="ER225" s="58">
        <f>+SUM(Tabla1[[#This Row],[EJECUTADO 07]:[EJECUTADO 09]])</f>
        <v>27702.400000000001</v>
      </c>
      <c r="ES225" s="58">
        <f>+SUM(Tabla1[[#This Row],[PF OCTUBRE]:[PF DICIEMBRE
]])</f>
        <v>27951.720000000016</v>
      </c>
      <c r="ET225" s="58">
        <f>+SUM(Tabla1[[#This Row],[EJECUTADO 01]:[EJECUTADO 09]])</f>
        <v>76330.97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1673</v>
      </c>
      <c r="AE226" s="369" t="s">
        <v>1678</v>
      </c>
      <c r="AF226" s="369" t="s">
        <v>1679</v>
      </c>
      <c r="AG226" s="369" t="s">
        <v>1696</v>
      </c>
      <c r="AH226" s="369">
        <v>60000</v>
      </c>
      <c r="AI226" s="369">
        <v>-34818</v>
      </c>
      <c r="AJ226" s="369">
        <v>25182</v>
      </c>
      <c r="AK226" s="370">
        <v>24922.94</v>
      </c>
      <c r="AL226" s="370">
        <v>24922.94</v>
      </c>
      <c r="AM226" s="370">
        <v>0</v>
      </c>
      <c r="AN226" s="370">
        <v>0</v>
      </c>
      <c r="AO226" s="370">
        <v>8759.94</v>
      </c>
      <c r="AP226" s="370">
        <v>6592</v>
      </c>
      <c r="AQ226" s="370">
        <v>0</v>
      </c>
      <c r="AR226" s="370">
        <v>4720</v>
      </c>
      <c r="AS226" s="370">
        <v>0</v>
      </c>
      <c r="AT226" s="370">
        <v>4851</v>
      </c>
      <c r="AU226" s="370">
        <v>0</v>
      </c>
      <c r="AV226" s="370">
        <v>0</v>
      </c>
      <c r="AW226" s="370">
        <v>0</v>
      </c>
      <c r="AX226" s="370">
        <v>0</v>
      </c>
      <c r="AY226" s="370">
        <v>0</v>
      </c>
      <c r="AZ226" s="370">
        <v>0</v>
      </c>
      <c r="BA226" s="370">
        <v>0</v>
      </c>
      <c r="BB226" s="370">
        <v>8759.94</v>
      </c>
      <c r="BC226" s="370">
        <v>6592</v>
      </c>
      <c r="BD226" s="370">
        <v>4720</v>
      </c>
      <c r="BE226" s="370">
        <v>0</v>
      </c>
      <c r="BF226" s="370">
        <v>4851</v>
      </c>
      <c r="BG226" s="370">
        <v>0</v>
      </c>
      <c r="BH226" s="370">
        <v>0</v>
      </c>
      <c r="BI226" s="370">
        <v>0</v>
      </c>
      <c r="BJ226" s="370">
        <v>0</v>
      </c>
      <c r="BK226" s="370">
        <v>0</v>
      </c>
      <c r="BL226" s="370">
        <v>0</v>
      </c>
      <c r="BM226" s="370">
        <v>0</v>
      </c>
      <c r="BN226" s="370">
        <v>8759.94</v>
      </c>
      <c r="BO226" s="370">
        <v>6592</v>
      </c>
      <c r="BP226" s="370">
        <v>4720</v>
      </c>
      <c r="BQ226" s="370">
        <v>0</v>
      </c>
      <c r="BR226" s="370">
        <v>4851</v>
      </c>
      <c r="BS226" s="370">
        <v>0</v>
      </c>
      <c r="BT226" s="370">
        <v>0</v>
      </c>
      <c r="BU226" s="370">
        <v>0</v>
      </c>
      <c r="BV226" s="370">
        <v>0</v>
      </c>
      <c r="BW226" s="370">
        <v>0</v>
      </c>
      <c r="BX226" s="370">
        <v>0</v>
      </c>
      <c r="BY226" s="370">
        <v>8759.94</v>
      </c>
      <c r="BZ226" s="370">
        <v>6592</v>
      </c>
      <c r="CA226" s="370">
        <v>0</v>
      </c>
      <c r="CB226" s="370">
        <v>4720</v>
      </c>
      <c r="CC226" s="370">
        <v>0</v>
      </c>
      <c r="CD226" s="370">
        <v>4851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1987</v>
      </c>
      <c r="CL226" s="48" t="s">
        <v>1989</v>
      </c>
      <c r="CM226" s="48" t="s">
        <v>2013</v>
      </c>
      <c r="CN226" s="48" t="s">
        <v>1990</v>
      </c>
      <c r="CO226" s="48" t="str">
        <f t="shared" si="57"/>
        <v>2.3.2.7.10.1</v>
      </c>
      <c r="CP226" s="48" t="str">
        <f>+VLOOKUP(Tabla1[[#This Row],[ESPECÍFICA]],CLASIFICADOR_,2,0)</f>
        <v>2.3.2.7.10.1 - SEMINARIOS ,TALLERES Y SIMILARES ORGANIZADOS POR LA  INSTITUCION</v>
      </c>
      <c r="CQ226" s="48" t="str">
        <f>+VLOOKUP(Tabla1[[#This Row],[ESPECÍFICA]],CLASIFICADOR_,3,0)</f>
        <v>2.3.2.7 - SERVICIOS PROFESIONALES Y TECNICOS</v>
      </c>
      <c r="CR226" s="48" t="str">
        <f>+VLOOKUP(Tabla1[[#This Row],[ESPECÍFICA]],CLASIFICADOR_,4,0)</f>
        <v>Límite de Gasto</v>
      </c>
      <c r="CS226" s="48" t="str">
        <f>+VLOOKUP(Tabla1[[#This Row],[ESPECÍFICA]],CLASIFICADOR_,5,0)</f>
        <v>10.6 f)</v>
      </c>
      <c r="CT226" s="113" t="str">
        <f>+VLOOKUP(Tabla1[[#This Row],[ESPECÍFICA]],CLASIFICADOR_,6,0)</f>
        <v>N/R</v>
      </c>
      <c r="CU226" s="48" t="str">
        <f>+VLOOKUP(Tabla1[[#This Row],[ESPECÍFICA]],CLASIFICADOR_,7,0)</f>
        <v>N/R</v>
      </c>
      <c r="CV226" s="48">
        <f>+VLOOKUP(Tabla1[[#This Row],[ESPECÍFICA]],CLASIFICADOR_,8,0)</f>
        <v>0</v>
      </c>
      <c r="CW226" s="113" t="str">
        <f>+CONCATENATE("2.",Tabla1[[#This Row],[generica]])</f>
        <v>2.3.BIENES Y SERVICIOS</v>
      </c>
      <c r="CX226" s="48" t="str">
        <f t="shared" si="42"/>
        <v>0010-OA</v>
      </c>
      <c r="CY226" s="113" t="str">
        <f t="shared" si="43"/>
        <v>0010-OA</v>
      </c>
      <c r="CZ226" s="20" t="str">
        <f t="shared" si="44"/>
        <v>0010-OA</v>
      </c>
      <c r="DA226" s="113" t="str">
        <f>+CONCATENATE(Tabla1[[#This Row],[CC COMPLETO]],Tabla1[[#This Row],[ESPECÍFICA]])</f>
        <v>0010-OA2.3.2.7.10.1</v>
      </c>
      <c r="DB226" s="49">
        <f t="shared" si="45"/>
        <v>24922.940000000002</v>
      </c>
      <c r="DC226" s="49">
        <f t="shared" si="46"/>
        <v>24922.940000000002</v>
      </c>
      <c r="DD226" s="49">
        <f t="shared" si="47"/>
        <v>24922.940000000002</v>
      </c>
      <c r="DE226" s="49">
        <f t="shared" si="48"/>
        <v>259.06000000000131</v>
      </c>
      <c r="DF226" s="49">
        <f t="shared" si="49"/>
        <v>0</v>
      </c>
      <c r="DG226" s="49">
        <f t="shared" si="50"/>
        <v>0</v>
      </c>
      <c r="DH226" s="49">
        <f t="shared" si="51"/>
        <v>259.05999999999767</v>
      </c>
      <c r="DI226" s="50">
        <f t="shared" si="52"/>
        <v>0.41538233333333335</v>
      </c>
      <c r="DJ226" s="78">
        <f>+SUM(Tabla1[[#This Row],[EJECUTADO 01]:[EJECUTADO 06]])</f>
        <v>20071.940000000002</v>
      </c>
      <c r="DK226" s="78">
        <f>+Tabla1[[#This Row],[mto_devenga_01]]</f>
        <v>0</v>
      </c>
      <c r="DL226" s="78">
        <f>+Tabla1[[#This Row],[mto_devenga_02]]</f>
        <v>0</v>
      </c>
      <c r="DM226" s="78">
        <f>+Tabla1[[#This Row],[mto_devenga_03]]</f>
        <v>0</v>
      </c>
      <c r="DN226" s="78">
        <f>+Tabla1[[#This Row],[mto_devenga_04]]</f>
        <v>8759.94</v>
      </c>
      <c r="DO226" s="78">
        <f>+Tabla1[[#This Row],[mto_devenga_05]]</f>
        <v>6592</v>
      </c>
      <c r="DP226" s="76">
        <f>+Tabla1[[#This Row],[mto_devenga_06]]</f>
        <v>4720</v>
      </c>
      <c r="DQ226" s="76">
        <f>+Tabla1[[#This Row],[mto_devenga_07]]</f>
        <v>0</v>
      </c>
      <c r="DR226" s="76">
        <f>+Tabla1[[#This Row],[mto_devenga_08]]</f>
        <v>4851</v>
      </c>
      <c r="DS226" s="76">
        <f>+Tabla1[[#This Row],[mto_devenga_09]]</f>
        <v>0</v>
      </c>
      <c r="DT226" s="76">
        <f>IFERROR(VLOOKUP(Tabla1[[#This Row],[COD SE]],PF_OCTUBRE,14,0),"0")</f>
        <v>0</v>
      </c>
      <c r="DU226" s="76">
        <f>IFERROR(VLOOKUP(Tabla1[[#This Row],[COD SE]],PF_OCTUBRE,15,0),"0")</f>
        <v>0</v>
      </c>
      <c r="DV226" s="76">
        <f>IFERROR(VLOOKUP(Tabla1[[#This Row],[COD SE]],PF_OCTUBRE,16,0),"0")</f>
        <v>259.06</v>
      </c>
      <c r="DW226" s="76">
        <f>+SUM(Tabla1[[#This Row],[EJECUTADO 01]:[PF DICIEMBRE
]])</f>
        <v>25182.000000000004</v>
      </c>
      <c r="DX226" s="76">
        <f>IFERROR(VLOOKUP(Tabla1[[#This Row],[COD SE]],PF_OCTUBRE,18,0),"0")</f>
        <v>0</v>
      </c>
      <c r="DY226" s="76">
        <f>IFERROR(VLOOKUP(Tabla1[[#This Row],[COD SE]],PF_OCTUBRE,19,0),"0")</f>
        <v>0</v>
      </c>
      <c r="DZ226" s="76">
        <f>IFERROR(VLOOKUP(Tabla1[[#This Row],[COD SE]],PF_OCTUBRE,20,0),"0")</f>
        <v>0</v>
      </c>
      <c r="EA226" s="76">
        <f>+Tabla1[[#This Row],[TOTAL EJEC REAL]]+Tabla1[[#This Row],[SALDO FINAL]]</f>
        <v>25182.000000000004</v>
      </c>
      <c r="EB226" s="76">
        <f>IFERROR(VLOOKUP(Tabla1[[#This Row],[COD SE]],PF_OCTUBRE,22,0),"0")</f>
        <v>259.06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25182</v>
      </c>
      <c r="EF226" s="76">
        <f>+Tabla1[[#This Row],[mto_pim]]-Tabla1[[#This Row],[TRANFS ESC 3 ]]</f>
        <v>25182</v>
      </c>
      <c r="EG226" s="76">
        <f>+IFERROR(VLOOKUP(Tabla1[[#This Row],[COD SE]],HISTORICO,4,0),0)</f>
        <v>0</v>
      </c>
      <c r="EH226" s="76">
        <f>+IFERROR(VLOOKUP(Tabla1[[#This Row],[COD SE]],HISTORICO,5,0),0)</f>
        <v>0</v>
      </c>
      <c r="EI226" s="76">
        <f>+IFERROR(VLOOKUP(Tabla1[[#This Row],[COD SE]],HISTORICO,6,0),0)</f>
        <v>10000</v>
      </c>
      <c r="EJ226" s="76">
        <f>+IFERROR(VLOOKUP(Tabla1[[#This Row],[COD SE]],HISTORICO,7,0),0)</f>
        <v>8759.94</v>
      </c>
      <c r="EK226" s="76">
        <f>+IFERROR(VLOOKUP(Tabla1[[#This Row],[COD SE]],HISTORICO,8,0),0)</f>
        <v>6592</v>
      </c>
      <c r="EL226" s="76">
        <f>+IFERROR(VLOOKUP(Tabla1[[#This Row],[COD SE]],HISTORICO,9,0),0)</f>
        <v>4720</v>
      </c>
      <c r="EM226" s="76">
        <f>+IFERROR(VLOOKUP(Tabla1[[#This Row],[COD SE]],HISTORICO,10,0),0)</f>
        <v>0</v>
      </c>
      <c r="EN226" s="76">
        <f>+IFERROR(VLOOKUP(Tabla1[[#This Row],[COD SE]],HISTORICO,11,0),0)</f>
        <v>4851</v>
      </c>
      <c r="EO226" s="76">
        <f>+IFERROR(VLOOKUP(Tabla1[[#This Row],[COD SE]],HISTORICO,12,0),0)</f>
        <v>0</v>
      </c>
      <c r="EP226" s="58">
        <f>+SUM(Tabla1[[#This Row],[EJECUTADO 01]:[EJECUTADO 03]])</f>
        <v>0</v>
      </c>
      <c r="EQ226" s="58">
        <f>+SUM(Tabla1[[#This Row],[EJECUTADO 04]:[EJECUTADO 06]])</f>
        <v>20071.940000000002</v>
      </c>
      <c r="ER226" s="58">
        <f>+SUM(Tabla1[[#This Row],[EJECUTADO 07]:[EJECUTADO 09]])</f>
        <v>4851</v>
      </c>
      <c r="ES226" s="58">
        <f>+SUM(Tabla1[[#This Row],[PF OCTUBRE]:[PF DICIEMBRE
]])</f>
        <v>259.06</v>
      </c>
      <c r="ET226" s="58">
        <f>+SUM(Tabla1[[#This Row],[EJECUTADO 01]:[EJECUTADO 09]])</f>
        <v>24922.940000000002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3</v>
      </c>
      <c r="O227" s="369" t="s">
        <v>2046</v>
      </c>
      <c r="P227" s="369" t="s">
        <v>2032</v>
      </c>
      <c r="Q227" s="369">
        <v>43</v>
      </c>
      <c r="R227" s="369">
        <v>0</v>
      </c>
      <c r="S227" s="369">
        <v>0</v>
      </c>
      <c r="T227" s="369">
        <v>0</v>
      </c>
      <c r="U227" s="369">
        <v>10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1672</v>
      </c>
      <c r="AD227" s="369" t="s">
        <v>1673</v>
      </c>
      <c r="AE227" s="369" t="s">
        <v>1678</v>
      </c>
      <c r="AF227" s="369" t="s">
        <v>1798</v>
      </c>
      <c r="AG227" s="369" t="s">
        <v>1799</v>
      </c>
      <c r="AH227" s="369">
        <v>100000</v>
      </c>
      <c r="AI227" s="369">
        <v>-10000</v>
      </c>
      <c r="AJ227" s="369">
        <v>90000</v>
      </c>
      <c r="AK227" s="370">
        <v>90000</v>
      </c>
      <c r="AL227" s="370">
        <v>66460</v>
      </c>
      <c r="AM227" s="370">
        <v>0</v>
      </c>
      <c r="AN227" s="370">
        <v>0</v>
      </c>
      <c r="AO227" s="370">
        <v>0</v>
      </c>
      <c r="AP227" s="370">
        <v>0</v>
      </c>
      <c r="AQ227" s="370">
        <v>0</v>
      </c>
      <c r="AR227" s="370">
        <v>0</v>
      </c>
      <c r="AS227" s="370">
        <v>0</v>
      </c>
      <c r="AT227" s="370">
        <v>19770</v>
      </c>
      <c r="AU227" s="370">
        <v>35190</v>
      </c>
      <c r="AV227" s="370">
        <v>11500</v>
      </c>
      <c r="AW227" s="370">
        <v>0</v>
      </c>
      <c r="AX227" s="370">
        <v>0</v>
      </c>
      <c r="AY227" s="370">
        <v>0</v>
      </c>
      <c r="AZ227" s="370">
        <v>0</v>
      </c>
      <c r="BA227" s="370">
        <v>0</v>
      </c>
      <c r="BB227" s="370">
        <v>0</v>
      </c>
      <c r="BC227" s="370">
        <v>0</v>
      </c>
      <c r="BD227" s="370">
        <v>0</v>
      </c>
      <c r="BE227" s="370">
        <v>0</v>
      </c>
      <c r="BF227" s="370">
        <v>0</v>
      </c>
      <c r="BG227" s="370">
        <v>0</v>
      </c>
      <c r="BH227" s="370">
        <v>8000</v>
      </c>
      <c r="BI227" s="370">
        <v>0</v>
      </c>
      <c r="BJ227" s="370">
        <v>0</v>
      </c>
      <c r="BK227" s="370">
        <v>0</v>
      </c>
      <c r="BL227" s="370">
        <v>0</v>
      </c>
      <c r="BM227" s="370">
        <v>0</v>
      </c>
      <c r="BN227" s="370">
        <v>0</v>
      </c>
      <c r="BO227" s="370">
        <v>0</v>
      </c>
      <c r="BP227" s="370">
        <v>0</v>
      </c>
      <c r="BQ227" s="370">
        <v>0</v>
      </c>
      <c r="BR227" s="370">
        <v>0</v>
      </c>
      <c r="BS227" s="370">
        <v>0</v>
      </c>
      <c r="BT227" s="370">
        <v>8000</v>
      </c>
      <c r="BU227" s="370">
        <v>0</v>
      </c>
      <c r="BV227" s="370">
        <v>0</v>
      </c>
      <c r="BW227" s="370">
        <v>0</v>
      </c>
      <c r="BX227" s="370">
        <v>0</v>
      </c>
      <c r="BY227" s="370">
        <v>0</v>
      </c>
      <c r="BZ227" s="370">
        <v>0</v>
      </c>
      <c r="CA227" s="370">
        <v>0</v>
      </c>
      <c r="CB227" s="370">
        <v>0</v>
      </c>
      <c r="CC227" s="370">
        <v>0</v>
      </c>
      <c r="CD227" s="370">
        <v>8000</v>
      </c>
      <c r="CE227" s="370">
        <v>0</v>
      </c>
      <c r="CF227" s="370">
        <v>0</v>
      </c>
      <c r="CG227" s="370">
        <v>0</v>
      </c>
      <c r="CH227" s="370">
        <v>0</v>
      </c>
      <c r="CI227" s="48" t="s">
        <v>1987</v>
      </c>
      <c r="CJ227" s="48" t="s">
        <v>1991</v>
      </c>
      <c r="CK227" s="48" t="s">
        <v>1987</v>
      </c>
      <c r="CL227" s="48" t="s">
        <v>1989</v>
      </c>
      <c r="CM227" s="48" t="s">
        <v>1991</v>
      </c>
      <c r="CN227" s="48" t="s">
        <v>1990</v>
      </c>
      <c r="CO227" s="48" t="str">
        <f t="shared" si="57"/>
        <v>2.3.2.7.3.1</v>
      </c>
      <c r="CP227" s="48" t="str">
        <f>+VLOOKUP(Tabla1[[#This Row],[ESPECÍFICA]],CLASIFICADOR_,2,0)</f>
        <v>2.3.2.7.3.1 - REALIZADO POR PERSONAS JURIDICAS</v>
      </c>
      <c r="CQ227" s="48" t="str">
        <f>+VLOOKUP(Tabla1[[#This Row],[ESPECÍFICA]],CLASIFICADOR_,3,0)</f>
        <v>2.3.2.7 - SERVICIOS PROFESIONALES Y TECNICOS</v>
      </c>
      <c r="CR227" s="48" t="str">
        <f>+VLOOKUP(Tabla1[[#This Row],[ESPECÍFICA]],CLASIFICADOR_,4,0)</f>
        <v xml:space="preserve"> </v>
      </c>
      <c r="CS227" s="48">
        <f>+VLOOKUP(Tabla1[[#This Row],[ESPECÍFICA]],CLASIFICADOR_,5,0)</f>
        <v>0</v>
      </c>
      <c r="CT227" s="113" t="str">
        <f>+VLOOKUP(Tabla1[[#This Row],[ESPECÍFICA]],CLASIFICADOR_,6,0)</f>
        <v>N/R</v>
      </c>
      <c r="CU227" s="48" t="str">
        <f>+VLOOKUP(Tabla1[[#This Row],[ESPECÍFICA]],CLASIFICADOR_,7,0)</f>
        <v>N/R</v>
      </c>
      <c r="CV227" s="48">
        <f>+VLOOKUP(Tabla1[[#This Row],[ESPECÍFICA]],CLASIFICADOR_,8,0)</f>
        <v>0</v>
      </c>
      <c r="CW227" s="113" t="str">
        <f>+CONCATENATE("2.",Tabla1[[#This Row],[generica]])</f>
        <v>2.3.BIENES Y SERVICIOS</v>
      </c>
      <c r="CX227" s="48" t="str">
        <f t="shared" si="42"/>
        <v>0010-OA</v>
      </c>
      <c r="CY227" s="113" t="str">
        <f t="shared" si="43"/>
        <v>0010-OA</v>
      </c>
      <c r="CZ227" s="20" t="str">
        <f t="shared" si="44"/>
        <v>0010-OA</v>
      </c>
      <c r="DA227" s="113" t="str">
        <f>+CONCATENATE(Tabla1[[#This Row],[CC COMPLETO]],Tabla1[[#This Row],[ESPECÍFICA]])</f>
        <v>0010-OA2.3.2.7.3.1</v>
      </c>
      <c r="DB227" s="49">
        <f t="shared" si="45"/>
        <v>66460</v>
      </c>
      <c r="DC227" s="49">
        <f t="shared" si="46"/>
        <v>8000</v>
      </c>
      <c r="DD227" s="49">
        <f t="shared" si="47"/>
        <v>8000</v>
      </c>
      <c r="DE227" s="49">
        <f t="shared" si="48"/>
        <v>0</v>
      </c>
      <c r="DF227" s="49">
        <f t="shared" si="49"/>
        <v>23540</v>
      </c>
      <c r="DG227" s="49">
        <f t="shared" si="50"/>
        <v>58460</v>
      </c>
      <c r="DH227" s="49">
        <f t="shared" si="51"/>
        <v>82000</v>
      </c>
      <c r="DI227" s="50">
        <f t="shared" si="52"/>
        <v>0.08</v>
      </c>
      <c r="DJ227" s="78">
        <f>+SUM(Tabla1[[#This Row],[EJECUTADO 01]:[EJECUTADO 06]])</f>
        <v>0</v>
      </c>
      <c r="DK227" s="78">
        <f>+Tabla1[[#This Row],[mto_devenga_01]]</f>
        <v>0</v>
      </c>
      <c r="DL227" s="78">
        <f>+Tabla1[[#This Row],[mto_devenga_02]]</f>
        <v>0</v>
      </c>
      <c r="DM227" s="78">
        <f>+Tabla1[[#This Row],[mto_devenga_03]]</f>
        <v>0</v>
      </c>
      <c r="DN227" s="78">
        <f>+Tabla1[[#This Row],[mto_devenga_04]]</f>
        <v>0</v>
      </c>
      <c r="DO227" s="78">
        <f>+Tabla1[[#This Row],[mto_devenga_05]]</f>
        <v>0</v>
      </c>
      <c r="DP227" s="76">
        <f>+Tabla1[[#This Row],[mto_devenga_06]]</f>
        <v>0</v>
      </c>
      <c r="DQ227" s="76">
        <f>+Tabla1[[#This Row],[mto_devenga_07]]</f>
        <v>0</v>
      </c>
      <c r="DR227" s="76">
        <f>+Tabla1[[#This Row],[mto_devenga_08]]</f>
        <v>0</v>
      </c>
      <c r="DS227" s="76">
        <f>+Tabla1[[#This Row],[mto_devenga_09]]</f>
        <v>0</v>
      </c>
      <c r="DT227" s="76">
        <f>IFERROR(VLOOKUP(Tabla1[[#This Row],[COD SE]],PF_OCTUBRE,14,0),"0")</f>
        <v>0</v>
      </c>
      <c r="DU227" s="76">
        <f>IFERROR(VLOOKUP(Tabla1[[#This Row],[COD SE]],PF_OCTUBRE,15,0),"0")</f>
        <v>54960</v>
      </c>
      <c r="DV227" s="76">
        <f>IFERROR(VLOOKUP(Tabla1[[#This Row],[COD SE]],PF_OCTUBRE,16,0),"0")</f>
        <v>35040</v>
      </c>
      <c r="DW227" s="76">
        <f>+SUM(Tabla1[[#This Row],[EJECUTADO 01]:[PF DICIEMBRE
]])</f>
        <v>90000</v>
      </c>
      <c r="DX227" s="76">
        <f>IFERROR(VLOOKUP(Tabla1[[#This Row],[COD SE]],PF_OCTUBRE,18,0),"0")</f>
        <v>0</v>
      </c>
      <c r="DY227" s="76">
        <f>IFERROR(VLOOKUP(Tabla1[[#This Row],[COD SE]],PF_OCTUBRE,19,0),"0")</f>
        <v>0</v>
      </c>
      <c r="DZ227" s="76">
        <f>IFERROR(VLOOKUP(Tabla1[[#This Row],[COD SE]],PF_OCTUBRE,20,0),"0")</f>
        <v>0</v>
      </c>
      <c r="EA227" s="76">
        <f>+Tabla1[[#This Row],[TOTAL EJEC REAL]]+Tabla1[[#This Row],[SALDO FINAL]]</f>
        <v>90000</v>
      </c>
      <c r="EB227" s="76">
        <f>IFERROR(VLOOKUP(Tabla1[[#This Row],[COD SE]],PF_OCTUBRE,22,0),"0")</f>
        <v>35040</v>
      </c>
      <c r="EC227" s="76">
        <f>+IFERROR(VLOOKUP(Tabla1[[#This Row],[COD SE]],SALDO_ESC_2,7,0),0)</f>
        <v>0</v>
      </c>
      <c r="ED227" s="76">
        <f>+IFERROR(VLOOKUP(Tabla1[[#This Row],[COD SE]],SALDO_ESC_3,7,0),0)</f>
        <v>0</v>
      </c>
      <c r="EE227" s="76">
        <f>+Tabla1[[#This Row],[mto_pim]]-Tabla1[[#This Row],[TRANSF ESC2 ]]</f>
        <v>90000</v>
      </c>
      <c r="EF227" s="76">
        <f>+Tabla1[[#This Row],[mto_pim]]-Tabla1[[#This Row],[TRANFS ESC 3 ]]</f>
        <v>90000</v>
      </c>
      <c r="EG227" s="76">
        <f>+IFERROR(VLOOKUP(Tabla1[[#This Row],[COD SE]],HISTORICO,4,0),0)</f>
        <v>0</v>
      </c>
      <c r="EH227" s="76">
        <f>+IFERROR(VLOOKUP(Tabla1[[#This Row],[COD SE]],HISTORICO,5,0),0)</f>
        <v>18000</v>
      </c>
      <c r="EI227" s="76">
        <f>+IFERROR(VLOOKUP(Tabla1[[#This Row],[COD SE]],HISTORICO,6,0),0)</f>
        <v>0</v>
      </c>
      <c r="EJ227" s="76">
        <f>+IFERROR(VLOOKUP(Tabla1[[#This Row],[COD SE]],HISTORICO,7,0),0)</f>
        <v>0</v>
      </c>
      <c r="EK227" s="76">
        <f>+IFERROR(VLOOKUP(Tabla1[[#This Row],[COD SE]],HISTORICO,8,0),0)</f>
        <v>0</v>
      </c>
      <c r="EL227" s="76">
        <f>+IFERROR(VLOOKUP(Tabla1[[#This Row],[COD SE]],HISTORICO,9,0),0)</f>
        <v>0</v>
      </c>
      <c r="EM227" s="76">
        <f>+IFERROR(VLOOKUP(Tabla1[[#This Row],[COD SE]],HISTORICO,10,0),0)</f>
        <v>0</v>
      </c>
      <c r="EN227" s="76">
        <f>+IFERROR(VLOOKUP(Tabla1[[#This Row],[COD SE]],HISTORICO,11,0),0)</f>
        <v>0</v>
      </c>
      <c r="EO227" s="76">
        <f>+IFERROR(VLOOKUP(Tabla1[[#This Row],[COD SE]],HISTORICO,12,0),0)</f>
        <v>0</v>
      </c>
      <c r="EP227" s="58">
        <f>+SUM(Tabla1[[#This Row],[EJECUTADO 01]:[EJECUTADO 03]])</f>
        <v>0</v>
      </c>
      <c r="EQ227" s="58">
        <f>+SUM(Tabla1[[#This Row],[EJECUTADO 04]:[EJECUTADO 06]])</f>
        <v>0</v>
      </c>
      <c r="ER227" s="58">
        <f>+SUM(Tabla1[[#This Row],[EJECUTADO 07]:[EJECUTADO 09]])</f>
        <v>0</v>
      </c>
      <c r="ES227" s="58">
        <f>+SUM(Tabla1[[#This Row],[PF OCTUBRE]:[PF DICIEMBRE
]])</f>
        <v>90000</v>
      </c>
      <c r="ET227" s="58">
        <f>+SUM(Tabla1[[#This Row],[EJECUTADO 01]:[EJECUTADO 09]])</f>
        <v>0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1656</v>
      </c>
      <c r="AD228" s="369" t="s">
        <v>1668</v>
      </c>
      <c r="AE228" s="369" t="s">
        <v>1669</v>
      </c>
      <c r="AF228" s="369" t="s">
        <v>1669</v>
      </c>
      <c r="AG228" s="369" t="s">
        <v>1671</v>
      </c>
      <c r="AH228" s="369">
        <v>30036</v>
      </c>
      <c r="AI228" s="369">
        <v>-4033</v>
      </c>
      <c r="AJ228" s="369">
        <v>26003</v>
      </c>
      <c r="AK228" s="370">
        <v>23401.439999999999</v>
      </c>
      <c r="AL228" s="370">
        <v>23401.439999999999</v>
      </c>
      <c r="AM228" s="370">
        <v>1950.12</v>
      </c>
      <c r="AN228" s="370">
        <v>1950.12</v>
      </c>
      <c r="AO228" s="370">
        <v>1950.12</v>
      </c>
      <c r="AP228" s="370">
        <v>1733.44</v>
      </c>
      <c r="AQ228" s="370">
        <v>1733.44</v>
      </c>
      <c r="AR228" s="370">
        <v>1950.12</v>
      </c>
      <c r="AS228" s="370">
        <v>1950.12</v>
      </c>
      <c r="AT228" s="370">
        <v>2166.8000000000002</v>
      </c>
      <c r="AU228" s="370">
        <v>2166.8000000000002</v>
      </c>
      <c r="AV228" s="370">
        <v>2166.8000000000002</v>
      </c>
      <c r="AW228" s="370">
        <v>0</v>
      </c>
      <c r="AX228" s="370">
        <v>0</v>
      </c>
      <c r="AY228" s="370">
        <v>1950.12</v>
      </c>
      <c r="AZ228" s="370">
        <v>1950.12</v>
      </c>
      <c r="BA228" s="370">
        <v>1950.12</v>
      </c>
      <c r="BB228" s="370">
        <v>1733.44</v>
      </c>
      <c r="BC228" s="370">
        <v>1733.44</v>
      </c>
      <c r="BD228" s="370">
        <v>1950.12</v>
      </c>
      <c r="BE228" s="370">
        <v>1950.12</v>
      </c>
      <c r="BF228" s="370">
        <v>2166.8000000000002</v>
      </c>
      <c r="BG228" s="370">
        <v>2166.8000000000002</v>
      </c>
      <c r="BH228" s="370">
        <v>2166.8000000000002</v>
      </c>
      <c r="BI228" s="370">
        <v>0</v>
      </c>
      <c r="BJ228" s="370">
        <v>0</v>
      </c>
      <c r="BK228" s="370">
        <v>1950.12</v>
      </c>
      <c r="BL228" s="370">
        <v>1950.12</v>
      </c>
      <c r="BM228" s="370">
        <v>1950.12</v>
      </c>
      <c r="BN228" s="370">
        <v>1733.44</v>
      </c>
      <c r="BO228" s="370">
        <v>1733.44</v>
      </c>
      <c r="BP228" s="370">
        <v>1950.12</v>
      </c>
      <c r="BQ228" s="370">
        <v>1950.12</v>
      </c>
      <c r="BR228" s="370">
        <v>2166.8000000000002</v>
      </c>
      <c r="BS228" s="370">
        <v>2166.8000000000002</v>
      </c>
      <c r="BT228" s="370">
        <v>2166.8000000000002</v>
      </c>
      <c r="BU228" s="370">
        <v>0</v>
      </c>
      <c r="BV228" s="370">
        <v>0</v>
      </c>
      <c r="BW228" s="370">
        <v>1950.12</v>
      </c>
      <c r="BX228" s="370">
        <v>1950.12</v>
      </c>
      <c r="BY228" s="370">
        <v>1950.12</v>
      </c>
      <c r="BZ228" s="370">
        <v>1733.44</v>
      </c>
      <c r="CA228" s="370">
        <v>1733.44</v>
      </c>
      <c r="CB228" s="370">
        <v>1950.12</v>
      </c>
      <c r="CC228" s="370">
        <v>1950.12</v>
      </c>
      <c r="CD228" s="370">
        <v>2166.8000000000002</v>
      </c>
      <c r="CE228" s="370">
        <v>2166.8000000000002</v>
      </c>
      <c r="CF228" s="370">
        <v>2166.8000000000002</v>
      </c>
      <c r="CG228" s="370">
        <v>0</v>
      </c>
      <c r="CH228" s="370">
        <v>0</v>
      </c>
      <c r="CI228" s="48" t="s">
        <v>1987</v>
      </c>
      <c r="CJ228" s="48" t="s">
        <v>1990</v>
      </c>
      <c r="CK228" s="48" t="s">
        <v>1991</v>
      </c>
      <c r="CL228" s="48" t="s">
        <v>1990</v>
      </c>
      <c r="CM228" s="48" t="s">
        <v>1990</v>
      </c>
      <c r="CN228" s="48" t="s">
        <v>2014</v>
      </c>
      <c r="CO228" s="48" t="str">
        <f t="shared" si="57"/>
        <v>2.1.3.1.1.15</v>
      </c>
      <c r="CP228" s="48" t="str">
        <f>+VLOOKUP(Tabla1[[#This Row],[ESPECÍFICA]],CLASIFICADOR_,2,0)</f>
        <v>2.1.3.1.1.15 - CONTRIBUCIONES A ESSALUD DE CONTRATO ADMINISTRATIVO DE SERVICIOS</v>
      </c>
      <c r="CQ228" s="48" t="str">
        <f>+VLOOKUP(Tabla1[[#This Row],[ESPECÍFICA]],CLASIFICADOR_,3,0)</f>
        <v>01.CAS</v>
      </c>
      <c r="CR228" s="48" t="str">
        <f>+VLOOKUP(Tabla1[[#This Row],[ESPECÍFICA]],CLASIFICADOR_,4,0)</f>
        <v xml:space="preserve"> </v>
      </c>
      <c r="CS228" s="48">
        <f>+VLOOKUP(Tabla1[[#This Row],[ESPECÍFICA]],CLASIFICADOR_,5,0)</f>
        <v>0</v>
      </c>
      <c r="CT228" s="113" t="str">
        <f>+VLOOKUP(Tabla1[[#This Row],[ESPECÍFICA]],CLASIFICADOR_,6,0)</f>
        <v>N/R</v>
      </c>
      <c r="CU228" s="48" t="str">
        <f>+VLOOKUP(Tabla1[[#This Row],[ESPECÍFICA]],CLASIFICADOR_,7,0)</f>
        <v>N/R</v>
      </c>
      <c r="CV228" s="48">
        <f>+VLOOKUP(Tabla1[[#This Row],[ESPECÍFICA]],CLASIFICADOR_,8,0)</f>
        <v>0</v>
      </c>
      <c r="CW228" s="113" t="str">
        <f>+CONCATENATE("2.",Tabla1[[#This Row],[generica]])</f>
        <v>2.1.PERSONAL Y OBLIGACIONES SOCIALES</v>
      </c>
      <c r="CX228" s="48" t="str">
        <f t="shared" si="42"/>
        <v>0011-OC</v>
      </c>
      <c r="CY228" s="113" t="str">
        <f t="shared" si="43"/>
        <v>0011-OC</v>
      </c>
      <c r="CZ228" s="20" t="str">
        <f t="shared" si="44"/>
        <v>0011-OC</v>
      </c>
      <c r="DA228" s="113" t="str">
        <f>+CONCATENATE(Tabla1[[#This Row],[CC COMPLETO]],Tabla1[[#This Row],[ESPECÍFICA]])</f>
        <v>0011-OC2.1.3.1.1.15</v>
      </c>
      <c r="DB228" s="49">
        <f t="shared" si="45"/>
        <v>19717.879999999997</v>
      </c>
      <c r="DC228" s="49">
        <f t="shared" si="46"/>
        <v>19717.879999999997</v>
      </c>
      <c r="DD228" s="49">
        <f t="shared" si="47"/>
        <v>19717.879999999997</v>
      </c>
      <c r="DE228" s="49">
        <f t="shared" si="48"/>
        <v>2601.5600000000013</v>
      </c>
      <c r="DF228" s="49">
        <f t="shared" si="49"/>
        <v>0</v>
      </c>
      <c r="DG228" s="49">
        <f t="shared" si="50"/>
        <v>3683.5600000000013</v>
      </c>
      <c r="DH228" s="49">
        <f t="shared" si="51"/>
        <v>6285.1200000000026</v>
      </c>
      <c r="DI228" s="50">
        <f t="shared" si="52"/>
        <v>0.65647489679051796</v>
      </c>
      <c r="DJ228" s="78">
        <f>+SUM(Tabla1[[#This Row],[EJECUTADO 01]:[EJECUTADO 06]])</f>
        <v>11267.36</v>
      </c>
      <c r="DK228" s="78">
        <f>+Tabla1[[#This Row],[mto_devenga_01]]</f>
        <v>1950.12</v>
      </c>
      <c r="DL228" s="78">
        <f>+Tabla1[[#This Row],[mto_devenga_02]]</f>
        <v>1950.12</v>
      </c>
      <c r="DM228" s="78">
        <f>+Tabla1[[#This Row],[mto_devenga_03]]</f>
        <v>1950.12</v>
      </c>
      <c r="DN228" s="78">
        <f>+Tabla1[[#This Row],[mto_devenga_04]]</f>
        <v>1733.44</v>
      </c>
      <c r="DO228" s="78">
        <f>+Tabla1[[#This Row],[mto_devenga_05]]</f>
        <v>1733.44</v>
      </c>
      <c r="DP228" s="76">
        <f>+Tabla1[[#This Row],[mto_devenga_06]]</f>
        <v>1950.12</v>
      </c>
      <c r="DQ228" s="76">
        <f>+Tabla1[[#This Row],[mto_devenga_07]]</f>
        <v>1950.12</v>
      </c>
      <c r="DR228" s="76">
        <f>+Tabla1[[#This Row],[mto_devenga_08]]</f>
        <v>2166.8000000000002</v>
      </c>
      <c r="DS228" s="76">
        <f>+Tabla1[[#This Row],[mto_devenga_09]]</f>
        <v>2166.8000000000002</v>
      </c>
      <c r="DT228" s="76">
        <f>IFERROR(VLOOKUP(Tabla1[[#This Row],[COD SE]],PF_OCTUBRE,14,0),"0")</f>
        <v>2166.8000000000002</v>
      </c>
      <c r="DU228" s="76">
        <f>IFERROR(VLOOKUP(Tabla1[[#This Row],[COD SE]],PF_OCTUBRE,15,0),"0")</f>
        <v>2383.48</v>
      </c>
      <c r="DV228" s="76">
        <f>IFERROR(VLOOKUP(Tabla1[[#This Row],[COD SE]],PF_OCTUBRE,16,0),"0")</f>
        <v>2383.48</v>
      </c>
      <c r="DW228" s="76">
        <f>+SUM(Tabla1[[#This Row],[EJECUTADO 01]:[PF DICIEMBRE
]])</f>
        <v>24484.839999999997</v>
      </c>
      <c r="DX228" s="76">
        <f>IFERROR(VLOOKUP(Tabla1[[#This Row],[COD SE]],PF_OCTUBRE,18,0),"0")</f>
        <v>0</v>
      </c>
      <c r="DY228" s="76">
        <f>IFERROR(VLOOKUP(Tabla1[[#This Row],[COD SE]],PF_OCTUBRE,19,0),"0")</f>
        <v>1518.1599999999999</v>
      </c>
      <c r="DZ228" s="76">
        <f>IFERROR(VLOOKUP(Tabla1[[#This Row],[COD SE]],PF_OCTUBRE,20,0),"0")</f>
        <v>1518.1599999999999</v>
      </c>
      <c r="EA228" s="76">
        <f>+Tabla1[[#This Row],[TOTAL EJEC REAL]]+Tabla1[[#This Row],[SALDO FINAL]]</f>
        <v>26002.999999999996</v>
      </c>
      <c r="EB228" s="76">
        <f>IFERROR(VLOOKUP(Tabla1[[#This Row],[COD SE]],PF_OCTUBRE,22,0),"0")</f>
        <v>3901.6400000000003</v>
      </c>
      <c r="EC228" s="76">
        <f>+IFERROR(VLOOKUP(Tabla1[[#This Row],[COD SE]],SALDO_ESC_2,7,0),0)</f>
        <v>0</v>
      </c>
      <c r="ED228" s="76">
        <f>+IFERROR(VLOOKUP(Tabla1[[#This Row],[COD SE]],SALDO_ESC_3,7,0),0)</f>
        <v>1518.1599999999999</v>
      </c>
      <c r="EE228" s="76">
        <f>+Tabla1[[#This Row],[mto_pim]]-Tabla1[[#This Row],[TRANSF ESC2 ]]</f>
        <v>26003</v>
      </c>
      <c r="EF228" s="76">
        <f>+Tabla1[[#This Row],[mto_pim]]-Tabla1[[#This Row],[TRANFS ESC 3 ]]</f>
        <v>24484.84</v>
      </c>
      <c r="EG228" s="76">
        <f>+IFERROR(VLOOKUP(Tabla1[[#This Row],[COD SE]],HISTORICO,4,0),0)</f>
        <v>2167.7200000000003</v>
      </c>
      <c r="EH228" s="76">
        <f>+IFERROR(VLOOKUP(Tabla1[[#This Row],[COD SE]],HISTORICO,5,0),0)</f>
        <v>1950.1200000000003</v>
      </c>
      <c r="EI228" s="76">
        <f>+IFERROR(VLOOKUP(Tabla1[[#This Row],[COD SE]],HISTORICO,6,0),0)</f>
        <v>1950.1200000000003</v>
      </c>
      <c r="EJ228" s="76">
        <f>+IFERROR(VLOOKUP(Tabla1[[#This Row],[COD SE]],HISTORICO,7,0),0)</f>
        <v>1950.1200000000003</v>
      </c>
      <c r="EK228" s="76">
        <f>+IFERROR(VLOOKUP(Tabla1[[#This Row],[COD SE]],HISTORICO,8,0),0)</f>
        <v>1733.4400000000003</v>
      </c>
      <c r="EL228" s="76">
        <f>+IFERROR(VLOOKUP(Tabla1[[#This Row],[COD SE]],HISTORICO,9,0),0)</f>
        <v>1950.1200000000003</v>
      </c>
      <c r="EM228" s="76">
        <f>+IFERROR(VLOOKUP(Tabla1[[#This Row],[COD SE]],HISTORICO,10,0),0)</f>
        <v>1950.1200000000003</v>
      </c>
      <c r="EN228" s="76">
        <f>+IFERROR(VLOOKUP(Tabla1[[#This Row],[COD SE]],HISTORICO,11,0),0)</f>
        <v>1950.1200000000003</v>
      </c>
      <c r="EO228" s="76">
        <f>+IFERROR(VLOOKUP(Tabla1[[#This Row],[COD SE]],HISTORICO,12,0),0)</f>
        <v>2166.8000000000002</v>
      </c>
      <c r="EP228" s="58">
        <f>+SUM(Tabla1[[#This Row],[EJECUTADO 01]:[EJECUTADO 03]])</f>
        <v>5850.36</v>
      </c>
      <c r="EQ228" s="58">
        <f>+SUM(Tabla1[[#This Row],[EJECUTADO 04]:[EJECUTADO 06]])</f>
        <v>5417</v>
      </c>
      <c r="ER228" s="58">
        <f>+SUM(Tabla1[[#This Row],[EJECUTADO 07]:[EJECUTADO 09]])</f>
        <v>6283.72</v>
      </c>
      <c r="ES228" s="58">
        <f>+SUM(Tabla1[[#This Row],[PF OCTUBRE]:[PF DICIEMBRE
]])</f>
        <v>6933.76</v>
      </c>
      <c r="ET228" s="58">
        <f>+SUM(Tabla1[[#This Row],[EJECUTADO 01]:[EJECUTADO 09]])</f>
        <v>17551.079999999998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1656</v>
      </c>
      <c r="AD229" s="369" t="s">
        <v>1657</v>
      </c>
      <c r="AE229" s="369" t="s">
        <v>1660</v>
      </c>
      <c r="AF229" s="369" t="s">
        <v>1661</v>
      </c>
      <c r="AG229" s="369" t="s">
        <v>1662</v>
      </c>
      <c r="AH229" s="369">
        <v>823703</v>
      </c>
      <c r="AI229" s="369">
        <v>12000</v>
      </c>
      <c r="AJ229" s="369">
        <v>835703</v>
      </c>
      <c r="AK229" s="370">
        <v>652532.52</v>
      </c>
      <c r="AL229" s="370">
        <v>650369.89</v>
      </c>
      <c r="AM229" s="370">
        <v>54119.65</v>
      </c>
      <c r="AN229" s="370">
        <v>54138.98</v>
      </c>
      <c r="AO229" s="370">
        <v>51793.68</v>
      </c>
      <c r="AP229" s="370">
        <v>51329.09</v>
      </c>
      <c r="AQ229" s="370">
        <v>52052.62</v>
      </c>
      <c r="AR229" s="370">
        <v>54085.56</v>
      </c>
      <c r="AS229" s="370">
        <v>53520.76</v>
      </c>
      <c r="AT229" s="370">
        <v>53514.92</v>
      </c>
      <c r="AU229" s="370">
        <v>54011.31</v>
      </c>
      <c r="AV229" s="370">
        <v>54250.47</v>
      </c>
      <c r="AW229" s="370">
        <v>0</v>
      </c>
      <c r="AX229" s="370">
        <v>0</v>
      </c>
      <c r="AY229" s="370">
        <v>54119.65</v>
      </c>
      <c r="AZ229" s="370">
        <v>54138.98</v>
      </c>
      <c r="BA229" s="370">
        <v>53232.78</v>
      </c>
      <c r="BB229" s="370">
        <v>50613.52</v>
      </c>
      <c r="BC229" s="370">
        <v>51329.09</v>
      </c>
      <c r="BD229" s="370">
        <v>54085.56</v>
      </c>
      <c r="BE229" s="370">
        <v>53520.76</v>
      </c>
      <c r="BF229" s="370">
        <v>53514.92</v>
      </c>
      <c r="BG229" s="370">
        <v>54011.31</v>
      </c>
      <c r="BH229" s="370">
        <v>54250.47</v>
      </c>
      <c r="BI229" s="370">
        <v>0</v>
      </c>
      <c r="BJ229" s="370">
        <v>0</v>
      </c>
      <c r="BK229" s="370">
        <v>54005.69</v>
      </c>
      <c r="BL229" s="370">
        <v>54252.94</v>
      </c>
      <c r="BM229" s="370">
        <v>53232.78</v>
      </c>
      <c r="BN229" s="370">
        <v>44943.61</v>
      </c>
      <c r="BO229" s="370">
        <v>56999</v>
      </c>
      <c r="BP229" s="370">
        <v>54085.56</v>
      </c>
      <c r="BQ229" s="370">
        <v>53520.76</v>
      </c>
      <c r="BR229" s="370">
        <v>53514.92</v>
      </c>
      <c r="BS229" s="370">
        <v>54011.31</v>
      </c>
      <c r="BT229" s="370">
        <v>48168.65</v>
      </c>
      <c r="BU229" s="370">
        <v>0</v>
      </c>
      <c r="BV229" s="370">
        <v>0</v>
      </c>
      <c r="BW229" s="370">
        <v>54119.65</v>
      </c>
      <c r="BX229" s="370">
        <v>54138.98</v>
      </c>
      <c r="BY229" s="370">
        <v>53232.78</v>
      </c>
      <c r="BZ229" s="370">
        <v>50613.52</v>
      </c>
      <c r="CA229" s="370">
        <v>51329.09</v>
      </c>
      <c r="CB229" s="370">
        <v>54085.56</v>
      </c>
      <c r="CC229" s="370">
        <v>53520.76</v>
      </c>
      <c r="CD229" s="370">
        <v>53514.92</v>
      </c>
      <c r="CE229" s="370">
        <v>54011.31</v>
      </c>
      <c r="CF229" s="370">
        <v>48168.65</v>
      </c>
      <c r="CG229" s="370">
        <v>0</v>
      </c>
      <c r="CH229" s="370">
        <v>0</v>
      </c>
      <c r="CI229" s="48" t="s">
        <v>1987</v>
      </c>
      <c r="CJ229" s="48" t="s">
        <v>1990</v>
      </c>
      <c r="CK229" s="48" t="s">
        <v>1990</v>
      </c>
      <c r="CL229" s="48" t="s">
        <v>2010</v>
      </c>
      <c r="CM229" s="48" t="s">
        <v>1990</v>
      </c>
      <c r="CN229" s="48" t="s">
        <v>1990</v>
      </c>
      <c r="CO229" s="48" t="str">
        <f t="shared" si="57"/>
        <v>2.1.1.13.1.1</v>
      </c>
      <c r="CP229" s="48" t="str">
        <f>+VLOOKUP(Tabla1[[#This Row],[ESPECÍFICA]],CLASIFICADOR_,2,0)</f>
        <v>2.1.1.13.1.1 - CONTRATO ADMINISTRATIVO DE SERVICIOS - INDETERMINADO</v>
      </c>
      <c r="CQ229" s="48" t="str">
        <f>+VLOOKUP(Tabla1[[#This Row],[ESPECÍFICA]],CLASIFICADOR_,3,0)</f>
        <v>01.CAS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N/R</v>
      </c>
      <c r="CU229" s="48" t="str">
        <f>+VLOOKUP(Tabla1[[#This Row],[ESPECÍFICA]],CLASIFICADOR_,7,0)</f>
        <v>N/R</v>
      </c>
      <c r="CV229" s="48">
        <f>+VLOOKUP(Tabla1[[#This Row],[ESPECÍFICA]],CLASIFICADOR_,8,0)</f>
        <v>0</v>
      </c>
      <c r="CW229" s="113" t="str">
        <f>+CONCATENATE("2.",Tabla1[[#This Row],[generica]])</f>
        <v>2.1.PERSONAL Y OBLIGACIONES SOCIALES</v>
      </c>
      <c r="CX229" s="48" t="str">
        <f t="shared" si="42"/>
        <v>0011-OC</v>
      </c>
      <c r="CY229" s="113" t="str">
        <f t="shared" si="43"/>
        <v>0011-OC</v>
      </c>
      <c r="CZ229" s="20" t="str">
        <f t="shared" si="44"/>
        <v>0011-OC</v>
      </c>
      <c r="DA229" s="113" t="str">
        <f>+CONCATENATE(Tabla1[[#This Row],[CC COMPLETO]],Tabla1[[#This Row],[ESPECÍFICA]])</f>
        <v>0011-OC2.1.1.13.1.1</v>
      </c>
      <c r="DB229" s="49">
        <f t="shared" si="45"/>
        <v>532817.04</v>
      </c>
      <c r="DC229" s="49">
        <f t="shared" si="46"/>
        <v>532817.04</v>
      </c>
      <c r="DD229" s="49">
        <f t="shared" si="47"/>
        <v>526735.22</v>
      </c>
      <c r="DE229" s="49">
        <f t="shared" si="48"/>
        <v>183170.47999999998</v>
      </c>
      <c r="DF229" s="49">
        <f t="shared" si="49"/>
        <v>2162.6300000000047</v>
      </c>
      <c r="DG229" s="49">
        <f t="shared" si="50"/>
        <v>117552.84999999998</v>
      </c>
      <c r="DH229" s="49">
        <f t="shared" si="51"/>
        <v>302885.95999999996</v>
      </c>
      <c r="DI229" s="50">
        <f t="shared" si="52"/>
        <v>0.64685577204404987</v>
      </c>
      <c r="DJ229" s="78">
        <f>+SUM(Tabla1[[#This Row],[EJECUTADO 01]:[EJECUTADO 06]])</f>
        <v>317519.58</v>
      </c>
      <c r="DK229" s="78">
        <f>+Tabla1[[#This Row],[mto_devenga_01]]</f>
        <v>54119.65</v>
      </c>
      <c r="DL229" s="78">
        <f>+Tabla1[[#This Row],[mto_devenga_02]]</f>
        <v>54138.98</v>
      </c>
      <c r="DM229" s="78">
        <f>+Tabla1[[#This Row],[mto_devenga_03]]</f>
        <v>53232.78</v>
      </c>
      <c r="DN229" s="78">
        <f>+Tabla1[[#This Row],[mto_devenga_04]]</f>
        <v>50613.52</v>
      </c>
      <c r="DO229" s="78">
        <f>+Tabla1[[#This Row],[mto_devenga_05]]</f>
        <v>51329.09</v>
      </c>
      <c r="DP229" s="76">
        <f>+Tabla1[[#This Row],[mto_devenga_06]]</f>
        <v>54085.56</v>
      </c>
      <c r="DQ229" s="76">
        <f>+Tabla1[[#This Row],[mto_devenga_07]]</f>
        <v>53520.76</v>
      </c>
      <c r="DR229" s="76">
        <f>+Tabla1[[#This Row],[mto_devenga_08]]</f>
        <v>53514.92</v>
      </c>
      <c r="DS229" s="76">
        <f>+Tabla1[[#This Row],[mto_devenga_09]]</f>
        <v>54011.31</v>
      </c>
      <c r="DT229" s="76">
        <f>IFERROR(VLOOKUP(Tabla1[[#This Row],[COD SE]],PF_OCTUBRE,14,0),"0")</f>
        <v>54377.710000000006</v>
      </c>
      <c r="DU229" s="76">
        <f>IFERROR(VLOOKUP(Tabla1[[#This Row],[COD SE]],PF_OCTUBRE,15,0),"0")</f>
        <v>69641.900000000009</v>
      </c>
      <c r="DV229" s="76">
        <f>IFERROR(VLOOKUP(Tabla1[[#This Row],[COD SE]],PF_OCTUBRE,16,0),"0")</f>
        <v>69641.900000000009</v>
      </c>
      <c r="DW229" s="76">
        <f>+SUM(Tabla1[[#This Row],[EJECUTADO 01]:[PF DICIEMBRE
]])</f>
        <v>672228.08000000007</v>
      </c>
      <c r="DX229" s="76">
        <f>IFERROR(VLOOKUP(Tabla1[[#This Row],[COD SE]],PF_OCTUBRE,18,0),"0")</f>
        <v>0</v>
      </c>
      <c r="DY229" s="76">
        <f>IFERROR(VLOOKUP(Tabla1[[#This Row],[COD SE]],PF_OCTUBRE,19,0),"0")</f>
        <v>163474.92000000001</v>
      </c>
      <c r="DZ229" s="76">
        <f>IFERROR(VLOOKUP(Tabla1[[#This Row],[COD SE]],PF_OCTUBRE,20,0),"0")</f>
        <v>163474.92000000001</v>
      </c>
      <c r="EA229" s="76">
        <f>+Tabla1[[#This Row],[TOTAL EJEC REAL]]+Tabla1[[#This Row],[SALDO FINAL]]</f>
        <v>835703.00000000012</v>
      </c>
      <c r="EB229" s="76">
        <f>IFERROR(VLOOKUP(Tabla1[[#This Row],[COD SE]],PF_OCTUBRE,22,0),"0")</f>
        <v>233116.82</v>
      </c>
      <c r="EC229" s="76">
        <f>+IFERROR(VLOOKUP(Tabla1[[#This Row],[COD SE]],SALDO_ESC_2,7,0),0)</f>
        <v>0</v>
      </c>
      <c r="ED229" s="76">
        <f>+IFERROR(VLOOKUP(Tabla1[[#This Row],[COD SE]],SALDO_ESC_3,7,0),0)</f>
        <v>163474.92000000001</v>
      </c>
      <c r="EE229" s="76">
        <f>+Tabla1[[#This Row],[mto_pim]]-Tabla1[[#This Row],[TRANSF ESC2 ]]</f>
        <v>835703</v>
      </c>
      <c r="EF229" s="76">
        <f>+Tabla1[[#This Row],[mto_pim]]-Tabla1[[#This Row],[TRANFS ESC 3 ]]</f>
        <v>672228.08</v>
      </c>
      <c r="EG229" s="76">
        <f>+IFERROR(VLOOKUP(Tabla1[[#This Row],[COD SE]],HISTORICO,4,0),0)</f>
        <v>69641.900000000009</v>
      </c>
      <c r="EH229" s="76">
        <f>+IFERROR(VLOOKUP(Tabla1[[#This Row],[COD SE]],HISTORICO,5,0),0)</f>
        <v>54377.710000000006</v>
      </c>
      <c r="EI229" s="76">
        <f>+IFERROR(VLOOKUP(Tabla1[[#This Row],[COD SE]],HISTORICO,6,0),0)</f>
        <v>54377.710000000006</v>
      </c>
      <c r="EJ229" s="76">
        <f>+IFERROR(VLOOKUP(Tabla1[[#This Row],[COD SE]],HISTORICO,7,0),0)</f>
        <v>54377.710000000006</v>
      </c>
      <c r="EK229" s="76">
        <f>+IFERROR(VLOOKUP(Tabla1[[#This Row],[COD SE]],HISTORICO,8,0),0)</f>
        <v>50613.520000000004</v>
      </c>
      <c r="EL229" s="76">
        <f>+IFERROR(VLOOKUP(Tabla1[[#This Row],[COD SE]],HISTORICO,9,0),0)</f>
        <v>54377.710000000006</v>
      </c>
      <c r="EM229" s="76">
        <f>+IFERROR(VLOOKUP(Tabla1[[#This Row],[COD SE]],HISTORICO,10,0),0)</f>
        <v>54377.710000000006</v>
      </c>
      <c r="EN229" s="76">
        <f>+IFERROR(VLOOKUP(Tabla1[[#This Row],[COD SE]],HISTORICO,11,0),0)</f>
        <v>54377.710000000006</v>
      </c>
      <c r="EO229" s="76">
        <f>+IFERROR(VLOOKUP(Tabla1[[#This Row],[COD SE]],HISTORICO,12,0),0)</f>
        <v>54377.710000000006</v>
      </c>
      <c r="EP229" s="58">
        <f>+SUM(Tabla1[[#This Row],[EJECUTADO 01]:[EJECUTADO 03]])</f>
        <v>161491.41</v>
      </c>
      <c r="EQ229" s="58">
        <f>+SUM(Tabla1[[#This Row],[EJECUTADO 04]:[EJECUTADO 06]])</f>
        <v>156028.16999999998</v>
      </c>
      <c r="ER229" s="58">
        <f>+SUM(Tabla1[[#This Row],[EJECUTADO 07]:[EJECUTADO 09]])</f>
        <v>161046.99</v>
      </c>
      <c r="ES229" s="58">
        <f>+SUM(Tabla1[[#This Row],[PF OCTUBRE]:[PF DICIEMBRE
]])</f>
        <v>193661.51</v>
      </c>
      <c r="ET229" s="58">
        <f>+SUM(Tabla1[[#This Row],[EJECUTADO 01]:[EJECUTADO 09]])</f>
        <v>478566.57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1684</v>
      </c>
      <c r="AE230" s="369" t="s">
        <v>1719</v>
      </c>
      <c r="AF230" s="369" t="s">
        <v>1720</v>
      </c>
      <c r="AG230" s="369" t="s">
        <v>1721</v>
      </c>
      <c r="AH230" s="369">
        <v>0</v>
      </c>
      <c r="AI230" s="369">
        <v>0</v>
      </c>
      <c r="AJ230" s="369">
        <v>0</v>
      </c>
      <c r="AK230" s="370">
        <v>0</v>
      </c>
      <c r="AL230" s="370">
        <v>0</v>
      </c>
      <c r="AM230" s="370">
        <v>0</v>
      </c>
      <c r="AN230" s="370">
        <v>0</v>
      </c>
      <c r="AO230" s="370">
        <v>0</v>
      </c>
      <c r="AP230" s="370">
        <v>0</v>
      </c>
      <c r="AQ230" s="370">
        <v>0</v>
      </c>
      <c r="AR230" s="370">
        <v>0</v>
      </c>
      <c r="AS230" s="370">
        <v>0</v>
      </c>
      <c r="AT230" s="370">
        <v>0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0</v>
      </c>
      <c r="BC230" s="370">
        <v>0</v>
      </c>
      <c r="BD230" s="370">
        <v>0</v>
      </c>
      <c r="BE230" s="370">
        <v>0</v>
      </c>
      <c r="BF230" s="370">
        <v>0</v>
      </c>
      <c r="BG230" s="370">
        <v>0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0</v>
      </c>
      <c r="BO230" s="370">
        <v>0</v>
      </c>
      <c r="BP230" s="370">
        <v>0</v>
      </c>
      <c r="BQ230" s="370">
        <v>0</v>
      </c>
      <c r="BR230" s="370">
        <v>0</v>
      </c>
      <c r="BS230" s="370">
        <v>0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0</v>
      </c>
      <c r="CA230" s="370">
        <v>0</v>
      </c>
      <c r="CB230" s="370">
        <v>0</v>
      </c>
      <c r="CC230" s="370">
        <v>0</v>
      </c>
      <c r="CD230" s="370">
        <v>0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1990</v>
      </c>
      <c r="CL230" s="48" t="s">
        <v>1988</v>
      </c>
      <c r="CM230" s="48" t="s">
        <v>1990</v>
      </c>
      <c r="CN230" s="48" t="s">
        <v>1987</v>
      </c>
      <c r="CO230" s="48" t="str">
        <f t="shared" si="57"/>
        <v>2.3.1.6.1.2</v>
      </c>
      <c r="CP230" s="48" t="str">
        <f>+VLOOKUP(Tabla1[[#This Row],[ESPECÍFICA]],CLASIFICADOR_,2,0)</f>
        <v>2.3.1.6.1.2 - DE COMUNICACIONES Y TELECOMUNICACIONES</v>
      </c>
      <c r="CQ230" s="48" t="str">
        <f>+VLOOKUP(Tabla1[[#This Row],[ESPECÍFICA]],CLASIFICADOR_,3,0)</f>
        <v>2.3.1.6 - REPUESTOS Y ACCESORIOS</v>
      </c>
      <c r="CR230" s="48" t="str">
        <f>+VLOOKUP(Tabla1[[#This Row],[ESPECÍFICA]],CLASIFICADOR_,4,0)</f>
        <v xml:space="preserve"> </v>
      </c>
      <c r="CS230" s="48">
        <f>+VLOOKUP(Tabla1[[#This Row],[ESPECÍFICA]],CLASIFICADOR_,5,0)</f>
        <v>0</v>
      </c>
      <c r="CT230" s="113" t="str">
        <f>+VLOOKUP(Tabla1[[#This Row],[ESPECÍFICA]],CLASIFICADOR_,6,0)</f>
        <v>Partidas restringidas</v>
      </c>
      <c r="CU230" s="48" t="str">
        <f>+VLOOKUP(Tabla1[[#This Row],[ESPECÍFICA]],CLASIFICADOR_,7,0)</f>
        <v>9.6 Hasta el 1er Semestre</v>
      </c>
      <c r="CV230" s="48">
        <f>+VLOOKUP(Tabla1[[#This Row],[ESPECÍFICA]],CLASIFICADOR_,8,0)</f>
        <v>1</v>
      </c>
      <c r="CW230" s="113" t="str">
        <f>+CONCATENATE("2.",Tabla1[[#This Row],[generica]])</f>
        <v>2.3.BIENES Y SERVICIOS</v>
      </c>
      <c r="CX230" s="48" t="str">
        <f t="shared" si="42"/>
        <v>0011-OC</v>
      </c>
      <c r="CY230" s="113" t="str">
        <f t="shared" si="43"/>
        <v>0011-OC</v>
      </c>
      <c r="CZ230" s="20" t="str">
        <f t="shared" si="44"/>
        <v>0011-OC</v>
      </c>
      <c r="DA230" s="113" t="str">
        <f>+CONCATENATE(Tabla1[[#This Row],[CC COMPLETO]],Tabla1[[#This Row],[ESPECÍFICA]])</f>
        <v>0011-OC2.3.1.6.1.2</v>
      </c>
      <c r="DB230" s="49">
        <f t="shared" si="45"/>
        <v>0</v>
      </c>
      <c r="DC230" s="49">
        <f t="shared" si="46"/>
        <v>0</v>
      </c>
      <c r="DD230" s="49">
        <f t="shared" si="47"/>
        <v>0</v>
      </c>
      <c r="DE230" s="49">
        <f t="shared" si="48"/>
        <v>0</v>
      </c>
      <c r="DF230" s="49">
        <f t="shared" si="49"/>
        <v>0</v>
      </c>
      <c r="DG230" s="49">
        <f t="shared" si="50"/>
        <v>0</v>
      </c>
      <c r="DH230" s="49">
        <f t="shared" si="51"/>
        <v>0</v>
      </c>
      <c r="DI230" s="50">
        <f t="shared" si="52"/>
        <v>0</v>
      </c>
      <c r="DJ230" s="78">
        <f>+SUM(Tabla1[[#This Row],[EJECUTADO 01]:[EJECUTADO 06]])</f>
        <v>0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0</v>
      </c>
      <c r="DO230" s="78">
        <f>+Tabla1[[#This Row],[mto_devenga_05]]</f>
        <v>0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0</v>
      </c>
      <c r="DS230" s="76">
        <f>+Tabla1[[#This Row],[mto_devenga_09]]</f>
        <v>0</v>
      </c>
      <c r="DT230" s="76" t="str">
        <f>IFERROR(VLOOKUP(Tabla1[[#This Row],[COD SE]],PF_OCTUBRE,14,0),"0")</f>
        <v>0</v>
      </c>
      <c r="DU230" s="76" t="str">
        <f>IFERROR(VLOOKUP(Tabla1[[#This Row],[COD SE]],PF_OCTUBRE,15,0),"0")</f>
        <v>0</v>
      </c>
      <c r="DV230" s="76" t="str">
        <f>IFERROR(VLOOKUP(Tabla1[[#This Row],[COD SE]],PF_OCTUBRE,16,0),"0")</f>
        <v>0</v>
      </c>
      <c r="DW230" s="76">
        <f>+SUM(Tabla1[[#This Row],[EJECUTADO 01]:[PF DICIEMBRE
]])</f>
        <v>0</v>
      </c>
      <c r="DX230" s="76" t="str">
        <f>IFERROR(VLOOKUP(Tabla1[[#This Row],[COD SE]],PF_OCTUBRE,18,0),"0")</f>
        <v>0</v>
      </c>
      <c r="DY230" s="76" t="str">
        <f>IFERROR(VLOOKUP(Tabla1[[#This Row],[COD SE]],PF_OCTUBRE,19,0),"0")</f>
        <v>0</v>
      </c>
      <c r="DZ230" s="76" t="str">
        <f>IFERROR(VLOOKUP(Tabla1[[#This Row],[COD SE]],PF_OCTUBRE,20,0),"0")</f>
        <v>0</v>
      </c>
      <c r="EA230" s="76">
        <f>+Tabla1[[#This Row],[TOTAL EJEC REAL]]+Tabla1[[#This Row],[SALDO FINAL]]</f>
        <v>0</v>
      </c>
      <c r="EB230" s="76" t="str">
        <f>IFERROR(VLOOKUP(Tabla1[[#This Row],[COD SE]],PF_OCTUBRE,22,0),"0")</f>
        <v>0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0</v>
      </c>
      <c r="EF230" s="76">
        <f>+Tabla1[[#This Row],[mto_pim]]-Tabla1[[#This Row],[TRANFS ESC 3 ]]</f>
        <v>0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0</v>
      </c>
      <c r="EK230" s="76">
        <f>+IFERROR(VLOOKUP(Tabla1[[#This Row],[COD SE]],HISTORICO,8,0),0)</f>
        <v>0</v>
      </c>
      <c r="EL230" s="76">
        <f>+IFERROR(VLOOKUP(Tabla1[[#This Row],[COD SE]],HISTORICO,9,0),0)</f>
        <v>0</v>
      </c>
      <c r="EM230" s="76">
        <f>+IFERROR(VLOOKUP(Tabla1[[#This Row],[COD SE]],HISTORICO,10,0),0)</f>
        <v>0</v>
      </c>
      <c r="EN230" s="76">
        <f>+IFERROR(VLOOKUP(Tabla1[[#This Row],[COD SE]],HISTORICO,11,0),0)</f>
        <v>0</v>
      </c>
      <c r="EO230" s="76">
        <f>+IFERROR(VLOOKUP(Tabla1[[#This Row],[COD SE]],HISTORICO,12,0),0)</f>
        <v>0</v>
      </c>
      <c r="EP230" s="58">
        <f>+SUM(Tabla1[[#This Row],[EJECUTADO 01]:[EJECUTADO 03]])</f>
        <v>0</v>
      </c>
      <c r="EQ230" s="58">
        <f>+SUM(Tabla1[[#This Row],[EJECUTADO 04]:[EJECUTADO 06]])</f>
        <v>0</v>
      </c>
      <c r="ER230" s="58">
        <f>+SUM(Tabla1[[#This Row],[EJECUTADO 07]:[EJECUTADO 09]])</f>
        <v>0</v>
      </c>
      <c r="ES230" s="58">
        <f>+SUM(Tabla1[[#This Row],[PF OCTUBRE]:[PF DICIEMBRE
]])</f>
        <v>0</v>
      </c>
      <c r="ET230" s="58">
        <f>+SUM(Tabla1[[#This Row],[EJECUTADO 01]:[EJECUTADO 09]])</f>
        <v>0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2004</v>
      </c>
      <c r="AB231" s="369" t="s">
        <v>1986</v>
      </c>
      <c r="AC231" s="369" t="s">
        <v>1672</v>
      </c>
      <c r="AD231" s="369" t="s">
        <v>1673</v>
      </c>
      <c r="AE231" s="369" t="s">
        <v>1688</v>
      </c>
      <c r="AF231" s="369" t="s">
        <v>1689</v>
      </c>
      <c r="AG231" s="369" t="s">
        <v>1690</v>
      </c>
      <c r="AH231" s="369">
        <v>50000</v>
      </c>
      <c r="AI231" s="369">
        <v>-50000</v>
      </c>
      <c r="AJ231" s="369">
        <v>0</v>
      </c>
      <c r="AK231" s="370">
        <v>0</v>
      </c>
      <c r="AL231" s="370">
        <v>0</v>
      </c>
      <c r="AM231" s="370">
        <v>0</v>
      </c>
      <c r="AN231" s="370">
        <v>0</v>
      </c>
      <c r="AO231" s="370">
        <v>0</v>
      </c>
      <c r="AP231" s="370">
        <v>0</v>
      </c>
      <c r="AQ231" s="370">
        <v>0</v>
      </c>
      <c r="AR231" s="370">
        <v>0</v>
      </c>
      <c r="AS231" s="370">
        <v>0</v>
      </c>
      <c r="AT231" s="370">
        <v>0</v>
      </c>
      <c r="AU231" s="370">
        <v>0</v>
      </c>
      <c r="AV231" s="370">
        <v>0</v>
      </c>
      <c r="AW231" s="370">
        <v>0</v>
      </c>
      <c r="AX231" s="370">
        <v>0</v>
      </c>
      <c r="AY231" s="370">
        <v>0</v>
      </c>
      <c r="AZ231" s="370">
        <v>0</v>
      </c>
      <c r="BA231" s="370">
        <v>0</v>
      </c>
      <c r="BB231" s="370">
        <v>0</v>
      </c>
      <c r="BC231" s="370">
        <v>0</v>
      </c>
      <c r="BD231" s="370">
        <v>0</v>
      </c>
      <c r="BE231" s="370">
        <v>0</v>
      </c>
      <c r="BF231" s="370">
        <v>0</v>
      </c>
      <c r="BG231" s="370">
        <v>0</v>
      </c>
      <c r="BH231" s="370">
        <v>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0</v>
      </c>
      <c r="BN231" s="370">
        <v>0</v>
      </c>
      <c r="BO231" s="370">
        <v>0</v>
      </c>
      <c r="BP231" s="370">
        <v>0</v>
      </c>
      <c r="BQ231" s="370">
        <v>0</v>
      </c>
      <c r="BR231" s="370">
        <v>0</v>
      </c>
      <c r="BS231" s="370">
        <v>0</v>
      </c>
      <c r="BT231" s="370">
        <v>0</v>
      </c>
      <c r="BU231" s="370">
        <v>0</v>
      </c>
      <c r="BV231" s="370">
        <v>0</v>
      </c>
      <c r="BW231" s="370">
        <v>0</v>
      </c>
      <c r="BX231" s="370">
        <v>0</v>
      </c>
      <c r="BY231" s="370">
        <v>0</v>
      </c>
      <c r="BZ231" s="370">
        <v>0</v>
      </c>
      <c r="CA231" s="370">
        <v>0</v>
      </c>
      <c r="CB231" s="370">
        <v>0</v>
      </c>
      <c r="CC231" s="370">
        <v>0</v>
      </c>
      <c r="CD231" s="370">
        <v>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1991</v>
      </c>
      <c r="CK231" s="48" t="s">
        <v>1987</v>
      </c>
      <c r="CL231" s="48" t="s">
        <v>1987</v>
      </c>
      <c r="CM231" s="48" t="s">
        <v>1993</v>
      </c>
      <c r="CN231" s="48" t="s">
        <v>1990</v>
      </c>
      <c r="CO231" s="48" t="str">
        <f t="shared" si="57"/>
        <v>2.3.2.2.4.1</v>
      </c>
      <c r="CP231" s="48" t="str">
        <f>+VLOOKUP(Tabla1[[#This Row],[ESPECÍFICA]],CLASIFICADOR_,2,0)</f>
        <v>2.3.2.2.4.1 - SERVICIO DE PUBLICIDAD</v>
      </c>
      <c r="CQ231" s="48" t="str">
        <f>+VLOOKUP(Tabla1[[#This Row],[ESPECÍFICA]],CLASIFICADOR_,3,0)</f>
        <v>2.3.2.2 - SERVICIOS BASICOS, COMUNICACIONES, PUBLICIDAD Y DIFUSION</v>
      </c>
      <c r="CR231" s="48" t="str">
        <f>+VLOOKUP(Tabla1[[#This Row],[ESPECÍFICA]],CLASIFICADOR_,4,0)</f>
        <v>Límite de Gasto</v>
      </c>
      <c r="CS231" s="48" t="str">
        <f>+VLOOKUP(Tabla1[[#This Row],[ESPECÍFICA]],CLASIFICADOR_,5,0)</f>
        <v>10.6 d)</v>
      </c>
      <c r="CT231" s="113" t="str">
        <f>+VLOOKUP(Tabla1[[#This Row],[ESPECÍFICA]],CLASIFICADOR_,6,0)</f>
        <v>Partidas restringidas</v>
      </c>
      <c r="CU231" s="48">
        <f>+VLOOKUP(Tabla1[[#This Row],[ESPECÍFICA]],CLASIFICADOR_,7,0)</f>
        <v>9.1300000000000008</v>
      </c>
      <c r="CV231" s="48">
        <f>+VLOOKUP(Tabla1[[#This Row],[ESPECÍFICA]],CLASIFICADOR_,8,0)</f>
        <v>9</v>
      </c>
      <c r="CW231" s="113" t="str">
        <f>+CONCATENATE("2.",Tabla1[[#This Row],[generica]])</f>
        <v>2.3.BIENES Y SERVICIOS</v>
      </c>
      <c r="CX231" s="48" t="str">
        <f t="shared" si="42"/>
        <v>0011-OC</v>
      </c>
      <c r="CY231" s="113" t="str">
        <f t="shared" si="43"/>
        <v>0011-OC</v>
      </c>
      <c r="CZ231" s="20" t="str">
        <f t="shared" si="44"/>
        <v>0011-OC</v>
      </c>
      <c r="DA231" s="113" t="str">
        <f>+CONCATENATE(Tabla1[[#This Row],[CC COMPLETO]],Tabla1[[#This Row],[ESPECÍFICA]])</f>
        <v>0011-OC2.3.2.2.4.1</v>
      </c>
      <c r="DB231" s="49">
        <f t="shared" si="45"/>
        <v>0</v>
      </c>
      <c r="DC231" s="49">
        <f t="shared" si="46"/>
        <v>0</v>
      </c>
      <c r="DD231" s="49">
        <f t="shared" si="47"/>
        <v>0</v>
      </c>
      <c r="DE231" s="49">
        <f t="shared" si="48"/>
        <v>0</v>
      </c>
      <c r="DF231" s="49">
        <f t="shared" si="49"/>
        <v>0</v>
      </c>
      <c r="DG231" s="49">
        <f t="shared" si="50"/>
        <v>0</v>
      </c>
      <c r="DH231" s="49">
        <f t="shared" si="51"/>
        <v>0</v>
      </c>
      <c r="DI231" s="50">
        <f t="shared" si="52"/>
        <v>0</v>
      </c>
      <c r="DJ231" s="78">
        <f>+SUM(Tabla1[[#This Row],[EJECUTADO 01]:[EJECUTADO 06]])</f>
        <v>0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0</v>
      </c>
      <c r="DN231" s="78">
        <f>+Tabla1[[#This Row],[mto_devenga_04]]</f>
        <v>0</v>
      </c>
      <c r="DO231" s="78">
        <f>+Tabla1[[#This Row],[mto_devenga_05]]</f>
        <v>0</v>
      </c>
      <c r="DP231" s="76">
        <f>+Tabla1[[#This Row],[mto_devenga_06]]</f>
        <v>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0</v>
      </c>
      <c r="DT231" s="76">
        <f>IFERROR(VLOOKUP(Tabla1[[#This Row],[COD SE]],PF_OCTUBRE,14,0),"0")</f>
        <v>0</v>
      </c>
      <c r="DU231" s="76">
        <f>IFERROR(VLOOKUP(Tabla1[[#This Row],[COD SE]],PF_OCTUBRE,15,0),"0")</f>
        <v>0</v>
      </c>
      <c r="DV231" s="76">
        <f>IFERROR(VLOOKUP(Tabla1[[#This Row],[COD SE]],PF_OCTUBRE,16,0),"0")</f>
        <v>0</v>
      </c>
      <c r="DW231" s="76">
        <f>+SUM(Tabla1[[#This Row],[EJECUTADO 01]:[PF DICIEMBRE
]])</f>
        <v>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0</v>
      </c>
      <c r="EF231" s="76">
        <f>+Tabla1[[#This Row],[mto_pim]]-Tabla1[[#This Row],[TRANFS ESC 3 ]]</f>
        <v>0</v>
      </c>
      <c r="EG231" s="76">
        <f>+IFERROR(VLOOKUP(Tabla1[[#This Row],[COD SE]],HISTORICO,4,0),0)</f>
        <v>0</v>
      </c>
      <c r="EH231" s="76">
        <f>+IFERROR(VLOOKUP(Tabla1[[#This Row],[COD SE]],HISTORICO,5,0),0)</f>
        <v>0</v>
      </c>
      <c r="EI231" s="76">
        <f>+IFERROR(VLOOKUP(Tabla1[[#This Row],[COD SE]],HISTORICO,6,0),0)</f>
        <v>0</v>
      </c>
      <c r="EJ231" s="76">
        <f>+IFERROR(VLOOKUP(Tabla1[[#This Row],[COD SE]],HISTORICO,7,0),0)</f>
        <v>0</v>
      </c>
      <c r="EK231" s="76">
        <f>+IFERROR(VLOOKUP(Tabla1[[#This Row],[COD SE]],HISTORICO,8,0),0)</f>
        <v>0</v>
      </c>
      <c r="EL231" s="76">
        <f>+IFERROR(VLOOKUP(Tabla1[[#This Row],[COD SE]],HISTORICO,9,0),0)</f>
        <v>0</v>
      </c>
      <c r="EM231" s="76">
        <f>+IFERROR(VLOOKUP(Tabla1[[#This Row],[COD SE]],HISTORICO,10,0),0)</f>
        <v>0</v>
      </c>
      <c r="EN231" s="76">
        <f>+IFERROR(VLOOKUP(Tabla1[[#This Row],[COD SE]],HISTORICO,11,0),0)</f>
        <v>0</v>
      </c>
      <c r="EO231" s="76">
        <f>+IFERROR(VLOOKUP(Tabla1[[#This Row],[COD SE]],HISTORICO,12,0),0)</f>
        <v>0</v>
      </c>
      <c r="EP231" s="58">
        <f>+SUM(Tabla1[[#This Row],[EJECUTADO 01]:[EJECUTADO 03]])</f>
        <v>0</v>
      </c>
      <c r="EQ231" s="58">
        <f>+SUM(Tabla1[[#This Row],[EJECUTADO 04]:[EJECUTADO 06]])</f>
        <v>0</v>
      </c>
      <c r="ER231" s="58">
        <f>+SUM(Tabla1[[#This Row],[EJECUTADO 07]:[EJECUTADO 09]])</f>
        <v>0</v>
      </c>
      <c r="ES231" s="58">
        <f>+SUM(Tabla1[[#This Row],[PF OCTUBRE]:[PF DICIEMBRE
]])</f>
        <v>0</v>
      </c>
      <c r="ET231" s="58">
        <f>+SUM(Tabla1[[#This Row],[EJECUTADO 01]:[EJECUTADO 09]])</f>
        <v>0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1985</v>
      </c>
      <c r="AB232" s="369" t="s">
        <v>1986</v>
      </c>
      <c r="AC232" s="369" t="s">
        <v>1643</v>
      </c>
      <c r="AD232" s="369" t="s">
        <v>1702</v>
      </c>
      <c r="AE232" s="369" t="s">
        <v>1703</v>
      </c>
      <c r="AF232" s="369" t="s">
        <v>1704</v>
      </c>
      <c r="AG232" s="369" t="s">
        <v>1705</v>
      </c>
      <c r="AH232" s="369">
        <v>0</v>
      </c>
      <c r="AI232" s="369">
        <v>5880</v>
      </c>
      <c r="AJ232" s="369">
        <v>5880</v>
      </c>
      <c r="AK232" s="370">
        <v>0</v>
      </c>
      <c r="AL232" s="370">
        <v>0</v>
      </c>
      <c r="AM232" s="370">
        <v>0</v>
      </c>
      <c r="AN232" s="370">
        <v>0</v>
      </c>
      <c r="AO232" s="370">
        <v>0</v>
      </c>
      <c r="AP232" s="370">
        <v>0</v>
      </c>
      <c r="AQ232" s="370">
        <v>0</v>
      </c>
      <c r="AR232" s="370">
        <v>0</v>
      </c>
      <c r="AS232" s="370">
        <v>0</v>
      </c>
      <c r="AT232" s="370">
        <v>0</v>
      </c>
      <c r="AU232" s="370">
        <v>0</v>
      </c>
      <c r="AV232" s="370">
        <v>0</v>
      </c>
      <c r="AW232" s="370">
        <v>0</v>
      </c>
      <c r="AX232" s="370">
        <v>0</v>
      </c>
      <c r="AY232" s="370">
        <v>0</v>
      </c>
      <c r="AZ232" s="370">
        <v>0</v>
      </c>
      <c r="BA232" s="370">
        <v>0</v>
      </c>
      <c r="BB232" s="370">
        <v>0</v>
      </c>
      <c r="BC232" s="370">
        <v>0</v>
      </c>
      <c r="BD232" s="370">
        <v>0</v>
      </c>
      <c r="BE232" s="370">
        <v>0</v>
      </c>
      <c r="BF232" s="370">
        <v>0</v>
      </c>
      <c r="BG232" s="370">
        <v>0</v>
      </c>
      <c r="BH232" s="370">
        <v>0</v>
      </c>
      <c r="BI232" s="370">
        <v>0</v>
      </c>
      <c r="BJ232" s="370">
        <v>0</v>
      </c>
      <c r="BK232" s="370">
        <v>0</v>
      </c>
      <c r="BL232" s="370">
        <v>0</v>
      </c>
      <c r="BM232" s="370">
        <v>0</v>
      </c>
      <c r="BN232" s="370">
        <v>0</v>
      </c>
      <c r="BO232" s="370">
        <v>0</v>
      </c>
      <c r="BP232" s="370">
        <v>0</v>
      </c>
      <c r="BQ232" s="370">
        <v>0</v>
      </c>
      <c r="BR232" s="370">
        <v>0</v>
      </c>
      <c r="BS232" s="370">
        <v>0</v>
      </c>
      <c r="BT232" s="370">
        <v>0</v>
      </c>
      <c r="BU232" s="370">
        <v>0</v>
      </c>
      <c r="BV232" s="370">
        <v>0</v>
      </c>
      <c r="BW232" s="370">
        <v>0</v>
      </c>
      <c r="BX232" s="370">
        <v>0</v>
      </c>
      <c r="BY232" s="370">
        <v>0</v>
      </c>
      <c r="BZ232" s="370">
        <v>0</v>
      </c>
      <c r="CA232" s="370">
        <v>0</v>
      </c>
      <c r="CB232" s="370">
        <v>0</v>
      </c>
      <c r="CC232" s="370">
        <v>0</v>
      </c>
      <c r="CD232" s="370">
        <v>0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1988</v>
      </c>
      <c r="CK232" s="48" t="s">
        <v>1991</v>
      </c>
      <c r="CL232" s="48" t="s">
        <v>1987</v>
      </c>
      <c r="CM232" s="48" t="s">
        <v>1991</v>
      </c>
      <c r="CN232" s="48" t="s">
        <v>1990</v>
      </c>
      <c r="CO232" s="48" t="str">
        <f t="shared" si="57"/>
        <v>2.6.3.2.3.1</v>
      </c>
      <c r="CP232" s="48" t="str">
        <f>+VLOOKUP(Tabla1[[#This Row],[ESPECÍFICA]],CLASIFICADOR_,2,0)</f>
        <v>2.6.3.2.3.1 - EQUIPOS COMPUTACIONALES Y PERIFERICOS</v>
      </c>
      <c r="CQ232" s="48" t="str">
        <f>+VLOOKUP(Tabla1[[#This Row],[ESPECÍFICA]],CLASIFICADOR_,3,0)</f>
        <v>2.6.3.2 - ADQUISICION DE MAQUINARIAS, EQUIPO Y MOBILIARIO</v>
      </c>
      <c r="CR232" s="48" t="str">
        <f>+VLOOKUP(Tabla1[[#This Row],[ESPECÍFICA]],CLASIFICADOR_,4,0)</f>
        <v xml:space="preserve"> </v>
      </c>
      <c r="CS232" s="48">
        <f>+VLOOKUP(Tabla1[[#This Row],[ESPECÍFICA]],CLASIFICADOR_,5,0)</f>
        <v>0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2.6.ADQUISICION DE ACTIVOS NO FINANCIEROS</v>
      </c>
      <c r="CX232" s="48" t="str">
        <f t="shared" si="42"/>
        <v>0011-OC</v>
      </c>
      <c r="CY232" s="113" t="str">
        <f t="shared" si="43"/>
        <v>0011-OC</v>
      </c>
      <c r="CZ232" s="20" t="str">
        <f t="shared" si="44"/>
        <v>0011-OC</v>
      </c>
      <c r="DA232" s="113" t="str">
        <f>+CONCATENATE(Tabla1[[#This Row],[CC COMPLETO]],Tabla1[[#This Row],[ESPECÍFICA]])</f>
        <v>0011-OC2.6.3.2.3.1</v>
      </c>
      <c r="DB232" s="49">
        <f t="shared" si="45"/>
        <v>0</v>
      </c>
      <c r="DC232" s="49">
        <f t="shared" si="46"/>
        <v>0</v>
      </c>
      <c r="DD232" s="49">
        <f t="shared" si="47"/>
        <v>0</v>
      </c>
      <c r="DE232" s="49">
        <f t="shared" si="48"/>
        <v>5880</v>
      </c>
      <c r="DF232" s="49">
        <f t="shared" si="49"/>
        <v>0</v>
      </c>
      <c r="DG232" s="49">
        <f t="shared" si="50"/>
        <v>0</v>
      </c>
      <c r="DH232" s="49">
        <f t="shared" si="51"/>
        <v>5880</v>
      </c>
      <c r="DI232" s="50">
        <f t="shared" si="52"/>
        <v>0</v>
      </c>
      <c r="DJ232" s="78">
        <f>+SUM(Tabla1[[#This Row],[EJECUTADO 01]:[EJECUTADO 06]])</f>
        <v>0</v>
      </c>
      <c r="DK232" s="78">
        <f>+Tabla1[[#This Row],[mto_devenga_01]]</f>
        <v>0</v>
      </c>
      <c r="DL232" s="78">
        <f>+Tabla1[[#This Row],[mto_devenga_02]]</f>
        <v>0</v>
      </c>
      <c r="DM232" s="78">
        <f>+Tabla1[[#This Row],[mto_devenga_03]]</f>
        <v>0</v>
      </c>
      <c r="DN232" s="78">
        <f>+Tabla1[[#This Row],[mto_devenga_04]]</f>
        <v>0</v>
      </c>
      <c r="DO232" s="78">
        <f>+Tabla1[[#This Row],[mto_devenga_05]]</f>
        <v>0</v>
      </c>
      <c r="DP232" s="76">
        <f>+Tabla1[[#This Row],[mto_devenga_06]]</f>
        <v>0</v>
      </c>
      <c r="DQ232" s="76">
        <f>+Tabla1[[#This Row],[mto_devenga_07]]</f>
        <v>0</v>
      </c>
      <c r="DR232" s="76">
        <f>+Tabla1[[#This Row],[mto_devenga_08]]</f>
        <v>0</v>
      </c>
      <c r="DS232" s="76">
        <f>+Tabla1[[#This Row],[mto_devenga_09]]</f>
        <v>0</v>
      </c>
      <c r="DT232" s="76">
        <f>IFERROR(VLOOKUP(Tabla1[[#This Row],[COD SE]],PF_OCTUBRE,14,0),"0")</f>
        <v>5880</v>
      </c>
      <c r="DU232" s="76">
        <f>IFERROR(VLOOKUP(Tabla1[[#This Row],[COD SE]],PF_OCTUBRE,15,0),"0")</f>
        <v>0</v>
      </c>
      <c r="DV232" s="76">
        <f>IFERROR(VLOOKUP(Tabla1[[#This Row],[COD SE]],PF_OCTUBRE,16,0),"0")</f>
        <v>0</v>
      </c>
      <c r="DW232" s="76">
        <f>+SUM(Tabla1[[#This Row],[EJECUTADO 01]:[PF DICIEMBRE
]])</f>
        <v>5880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5880</v>
      </c>
      <c r="EB232" s="76">
        <f>IFERROR(VLOOKUP(Tabla1[[#This Row],[COD SE]],PF_OCTUBRE,22,0),"0")</f>
        <v>0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5880</v>
      </c>
      <c r="EF232" s="76">
        <f>+Tabla1[[#This Row],[mto_pim]]-Tabla1[[#This Row],[TRANFS ESC 3 ]]</f>
        <v>5880</v>
      </c>
      <c r="EG232" s="76">
        <f>+IFERROR(VLOOKUP(Tabla1[[#This Row],[COD SE]],HISTORICO,4,0),0)</f>
        <v>0</v>
      </c>
      <c r="EH232" s="76">
        <f>+IFERROR(VLOOKUP(Tabla1[[#This Row],[COD SE]],HISTORICO,5,0),0)</f>
        <v>0</v>
      </c>
      <c r="EI232" s="76">
        <f>+IFERROR(VLOOKUP(Tabla1[[#This Row],[COD SE]],HISTORICO,6,0),0)</f>
        <v>0</v>
      </c>
      <c r="EJ232" s="76">
        <f>+IFERROR(VLOOKUP(Tabla1[[#This Row],[COD SE]],HISTORICO,7,0),0)</f>
        <v>0</v>
      </c>
      <c r="EK232" s="76">
        <f>+IFERROR(VLOOKUP(Tabla1[[#This Row],[COD SE]],HISTORICO,8,0),0)</f>
        <v>0</v>
      </c>
      <c r="EL232" s="76">
        <f>+IFERROR(VLOOKUP(Tabla1[[#This Row],[COD SE]],HISTORICO,9,0),0)</f>
        <v>0</v>
      </c>
      <c r="EM232" s="76">
        <f>+IFERROR(VLOOKUP(Tabla1[[#This Row],[COD SE]],HISTORICO,10,0),0)</f>
        <v>0</v>
      </c>
      <c r="EN232" s="76">
        <f>+IFERROR(VLOOKUP(Tabla1[[#This Row],[COD SE]],HISTORICO,11,0),0)</f>
        <v>0</v>
      </c>
      <c r="EO232" s="76">
        <f>+IFERROR(VLOOKUP(Tabla1[[#This Row],[COD SE]],HISTORICO,12,0),0)</f>
        <v>0</v>
      </c>
      <c r="EP232" s="58">
        <f>+SUM(Tabla1[[#This Row],[EJECUTADO 01]:[EJECUTADO 03]])</f>
        <v>0</v>
      </c>
      <c r="EQ232" s="58">
        <f>+SUM(Tabla1[[#This Row],[EJECUTADO 04]:[EJECUTADO 06]])</f>
        <v>0</v>
      </c>
      <c r="ER232" s="58">
        <f>+SUM(Tabla1[[#This Row],[EJECUTADO 07]:[EJECUTADO 09]])</f>
        <v>0</v>
      </c>
      <c r="ES232" s="58">
        <f>+SUM(Tabla1[[#This Row],[PF OCTUBRE]:[PF DICIEMBRE
]])</f>
        <v>5880</v>
      </c>
      <c r="ET232" s="58">
        <f>+SUM(Tabla1[[#This Row],[EJECUTADO 01]:[EJECUTADO 09]])</f>
        <v>0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1672</v>
      </c>
      <c r="AD233" s="369" t="s">
        <v>1673</v>
      </c>
      <c r="AE233" s="369" t="s">
        <v>1674</v>
      </c>
      <c r="AF233" s="369" t="s">
        <v>1675</v>
      </c>
      <c r="AG233" s="369" t="s">
        <v>1676</v>
      </c>
      <c r="AH233" s="369">
        <v>30000</v>
      </c>
      <c r="AI233" s="369">
        <v>-15000</v>
      </c>
      <c r="AJ233" s="369">
        <v>15000</v>
      </c>
      <c r="AK233" s="370">
        <v>4498.51</v>
      </c>
      <c r="AL233" s="370">
        <v>4498.51</v>
      </c>
      <c r="AM233" s="370">
        <v>0</v>
      </c>
      <c r="AN233" s="370">
        <v>0</v>
      </c>
      <c r="AO233" s="370">
        <v>0</v>
      </c>
      <c r="AP233" s="370">
        <v>2266.96</v>
      </c>
      <c r="AQ233" s="370">
        <v>0</v>
      </c>
      <c r="AR233" s="370">
        <v>0</v>
      </c>
      <c r="AS233" s="370">
        <v>0</v>
      </c>
      <c r="AT233" s="370">
        <v>2231.5500000000002</v>
      </c>
      <c r="AU233" s="370">
        <v>0</v>
      </c>
      <c r="AV233" s="370">
        <v>0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2266.96</v>
      </c>
      <c r="BD233" s="370">
        <v>0</v>
      </c>
      <c r="BE233" s="370">
        <v>0</v>
      </c>
      <c r="BF233" s="370">
        <v>0</v>
      </c>
      <c r="BG233" s="370">
        <v>2231.5500000000002</v>
      </c>
      <c r="BH233" s="370">
        <v>0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2266.96</v>
      </c>
      <c r="BQ233" s="370">
        <v>0</v>
      </c>
      <c r="BR233" s="370">
        <v>0</v>
      </c>
      <c r="BS233" s="370">
        <v>2231.5500000000002</v>
      </c>
      <c r="BT233" s="370">
        <v>0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2266.96</v>
      </c>
      <c r="CA233" s="370">
        <v>0</v>
      </c>
      <c r="CB233" s="370">
        <v>0</v>
      </c>
      <c r="CC233" s="370">
        <v>0</v>
      </c>
      <c r="CD233" s="370">
        <v>2231.5500000000002</v>
      </c>
      <c r="CE233" s="370">
        <v>0</v>
      </c>
      <c r="CF233" s="370">
        <v>0</v>
      </c>
      <c r="CG233" s="370">
        <v>0</v>
      </c>
      <c r="CH233" s="370">
        <v>0</v>
      </c>
      <c r="CI233" s="48" t="s">
        <v>1987</v>
      </c>
      <c r="CJ233" s="48" t="s">
        <v>1991</v>
      </c>
      <c r="CK233" s="48" t="s">
        <v>1987</v>
      </c>
      <c r="CL233" s="48" t="s">
        <v>1990</v>
      </c>
      <c r="CM233" s="48" t="s">
        <v>1987</v>
      </c>
      <c r="CN233" s="48" t="s">
        <v>1990</v>
      </c>
      <c r="CO233" s="48" t="str">
        <f t="shared" si="57"/>
        <v>2.3.2.1.2.1</v>
      </c>
      <c r="CP233" s="48" t="str">
        <f>+VLOOKUP(Tabla1[[#This Row],[ESPECÍFICA]],CLASIFICADOR_,2,0)</f>
        <v>2.3.2.1.2.1 - PASAJES Y GASTOS DE TRANSPORTE</v>
      </c>
      <c r="CQ233" s="48" t="str">
        <f>+VLOOKUP(Tabla1[[#This Row],[ESPECÍFICA]],CLASIFICADOR_,3,0)</f>
        <v>2.3.2.1 - VIAJES</v>
      </c>
      <c r="CR233" s="48" t="str">
        <f>+VLOOKUP(Tabla1[[#This Row],[ESPECÍFICA]],CLASIFICADOR_,4,0)</f>
        <v>Límite de Gasto</v>
      </c>
      <c r="CS233" s="48" t="str">
        <f>+VLOOKUP(Tabla1[[#This Row],[ESPECÍFICA]],CLASIFICADOR_,5,0)</f>
        <v>10.6 b)</v>
      </c>
      <c r="CT233" s="113" t="str">
        <f>+VLOOKUP(Tabla1[[#This Row],[ESPECÍFICA]],CLASIFICADOR_,6,0)</f>
        <v>N/R</v>
      </c>
      <c r="CU233" s="48" t="str">
        <f>+VLOOKUP(Tabla1[[#This Row],[ESPECÍFICA]],CLASIFICADOR_,7,0)</f>
        <v>N/R</v>
      </c>
      <c r="CV233" s="48">
        <f>+VLOOKUP(Tabla1[[#This Row],[ESPECÍFICA]],CLASIFICADOR_,8,0)</f>
        <v>0</v>
      </c>
      <c r="CW233" s="113" t="str">
        <f>+CONCATENATE("2.",Tabla1[[#This Row],[generica]])</f>
        <v>2.3.BIENES Y SERVICIOS</v>
      </c>
      <c r="CX233" s="48" t="str">
        <f t="shared" si="42"/>
        <v>0011-OC</v>
      </c>
      <c r="CY233" s="113" t="str">
        <f t="shared" si="43"/>
        <v>0011-OC</v>
      </c>
      <c r="CZ233" s="20" t="str">
        <f t="shared" si="44"/>
        <v>0011-OC</v>
      </c>
      <c r="DA233" s="113" t="str">
        <f>+CONCATENATE(Tabla1[[#This Row],[CC COMPLETO]],Tabla1[[#This Row],[ESPECÍFICA]])</f>
        <v>0011-OC2.3.2.1.2.1</v>
      </c>
      <c r="DB233" s="49">
        <f t="shared" si="45"/>
        <v>4498.51</v>
      </c>
      <c r="DC233" s="49">
        <f t="shared" si="46"/>
        <v>4498.51</v>
      </c>
      <c r="DD233" s="49">
        <f t="shared" si="47"/>
        <v>4498.51</v>
      </c>
      <c r="DE233" s="49">
        <f t="shared" si="48"/>
        <v>10501.49</v>
      </c>
      <c r="DF233" s="49">
        <f t="shared" si="49"/>
        <v>0</v>
      </c>
      <c r="DG233" s="49">
        <f t="shared" si="50"/>
        <v>0</v>
      </c>
      <c r="DH233" s="49">
        <f t="shared" si="51"/>
        <v>10501.49</v>
      </c>
      <c r="DI233" s="50">
        <f t="shared" si="52"/>
        <v>0.14995033333333335</v>
      </c>
      <c r="DJ233" s="78">
        <f>+SUM(Tabla1[[#This Row],[EJECUTADO 01]:[EJECUTADO 06]])</f>
        <v>2266.96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2266.96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0</v>
      </c>
      <c r="DS233" s="76">
        <f>+Tabla1[[#This Row],[mto_devenga_09]]</f>
        <v>2231.5500000000002</v>
      </c>
      <c r="DT233" s="76">
        <f>IFERROR(VLOOKUP(Tabla1[[#This Row],[COD SE]],PF_OCTUBRE,14,0),"0")</f>
        <v>0</v>
      </c>
      <c r="DU233" s="76">
        <f>IFERROR(VLOOKUP(Tabla1[[#This Row],[COD SE]],PF_OCTUBRE,15,0),"0")</f>
        <v>10501.49</v>
      </c>
      <c r="DV233" s="76">
        <f>IFERROR(VLOOKUP(Tabla1[[#This Row],[COD SE]],PF_OCTUBRE,16,0),"0")</f>
        <v>0</v>
      </c>
      <c r="DW233" s="76">
        <f>+SUM(Tabla1[[#This Row],[EJECUTADO 01]:[PF DICIEMBRE
]])</f>
        <v>15000</v>
      </c>
      <c r="DX233" s="76">
        <f>IFERROR(VLOOKUP(Tabla1[[#This Row],[COD SE]],PF_OCTUBRE,18,0),"0")</f>
        <v>0</v>
      </c>
      <c r="DY233" s="76">
        <f>IFERROR(VLOOKUP(Tabla1[[#This Row],[COD SE]],PF_OCTUBRE,19,0),"0")</f>
        <v>0</v>
      </c>
      <c r="DZ233" s="76">
        <f>IFERROR(VLOOKUP(Tabla1[[#This Row],[COD SE]],PF_OCTUBRE,20,0),"0")</f>
        <v>0</v>
      </c>
      <c r="EA233" s="76">
        <f>+Tabla1[[#This Row],[TOTAL EJEC REAL]]+Tabla1[[#This Row],[SALDO FINAL]]</f>
        <v>15000</v>
      </c>
      <c r="EB233" s="76">
        <f>IFERROR(VLOOKUP(Tabla1[[#This Row],[COD SE]],PF_OCTUBRE,22,0),"0")</f>
        <v>0</v>
      </c>
      <c r="EC233" s="76">
        <f>+IFERROR(VLOOKUP(Tabla1[[#This Row],[COD SE]],SALDO_ESC_2,7,0),0)</f>
        <v>0</v>
      </c>
      <c r="ED233" s="76">
        <f>+IFERROR(VLOOKUP(Tabla1[[#This Row],[COD SE]],SALDO_ESC_3,7,0),0)</f>
        <v>0</v>
      </c>
      <c r="EE233" s="76">
        <f>+Tabla1[[#This Row],[mto_pim]]-Tabla1[[#This Row],[TRANSF ESC2 ]]</f>
        <v>15000</v>
      </c>
      <c r="EF233" s="76">
        <f>+Tabla1[[#This Row],[mto_pim]]-Tabla1[[#This Row],[TRANFS ESC 3 ]]</f>
        <v>15000</v>
      </c>
      <c r="EG233" s="76">
        <f>+IFERROR(VLOOKUP(Tabla1[[#This Row],[COD SE]],HISTORICO,4,0),0)</f>
        <v>0</v>
      </c>
      <c r="EH233" s="76">
        <f>+IFERROR(VLOOKUP(Tabla1[[#This Row],[COD SE]],HISTORICO,5,0),0)</f>
        <v>0</v>
      </c>
      <c r="EI233" s="76">
        <f>+IFERROR(VLOOKUP(Tabla1[[#This Row],[COD SE]],HISTORICO,6,0),0)</f>
        <v>0</v>
      </c>
      <c r="EJ233" s="76">
        <f>+IFERROR(VLOOKUP(Tabla1[[#This Row],[COD SE]],HISTORICO,7,0),0)</f>
        <v>3000</v>
      </c>
      <c r="EK233" s="76">
        <f>+IFERROR(VLOOKUP(Tabla1[[#This Row],[COD SE]],HISTORICO,8,0),0)</f>
        <v>3000</v>
      </c>
      <c r="EL233" s="76">
        <f>+IFERROR(VLOOKUP(Tabla1[[#This Row],[COD SE]],HISTORICO,9,0),0)</f>
        <v>4000</v>
      </c>
      <c r="EM233" s="76">
        <f>+IFERROR(VLOOKUP(Tabla1[[#This Row],[COD SE]],HISTORICO,10,0),0)</f>
        <v>0</v>
      </c>
      <c r="EN233" s="76">
        <f>+IFERROR(VLOOKUP(Tabla1[[#This Row],[COD SE]],HISTORICO,11,0),0)</f>
        <v>0</v>
      </c>
      <c r="EO233" s="76">
        <f>+IFERROR(VLOOKUP(Tabla1[[#This Row],[COD SE]],HISTORICO,12,0),0)</f>
        <v>0</v>
      </c>
      <c r="EP233" s="58">
        <f>+SUM(Tabla1[[#This Row],[EJECUTADO 01]:[EJECUTADO 03]])</f>
        <v>0</v>
      </c>
      <c r="EQ233" s="58">
        <f>+SUM(Tabla1[[#This Row],[EJECUTADO 04]:[EJECUTADO 06]])</f>
        <v>2266.96</v>
      </c>
      <c r="ER233" s="58">
        <f>+SUM(Tabla1[[#This Row],[EJECUTADO 07]:[EJECUTADO 09]])</f>
        <v>2231.5500000000002</v>
      </c>
      <c r="ES233" s="58">
        <f>+SUM(Tabla1[[#This Row],[PF OCTUBRE]:[PF DICIEMBRE
]])</f>
        <v>10501.49</v>
      </c>
      <c r="ET233" s="58">
        <f>+SUM(Tabla1[[#This Row],[EJECUTADO 01]:[EJECUTADO 09]])</f>
        <v>4498.51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1672</v>
      </c>
      <c r="AD234" s="369" t="s">
        <v>1673</v>
      </c>
      <c r="AE234" s="369" t="s">
        <v>1736</v>
      </c>
      <c r="AF234" s="369" t="s">
        <v>1737</v>
      </c>
      <c r="AG234" s="369" t="s">
        <v>1738</v>
      </c>
      <c r="AH234" s="369">
        <v>20000</v>
      </c>
      <c r="AI234" s="369">
        <v>-9000</v>
      </c>
      <c r="AJ234" s="369">
        <v>11000</v>
      </c>
      <c r="AK234" s="370">
        <v>0</v>
      </c>
      <c r="AL234" s="370">
        <v>0</v>
      </c>
      <c r="AM234" s="370">
        <v>0</v>
      </c>
      <c r="AN234" s="370">
        <v>0</v>
      </c>
      <c r="AO234" s="370">
        <v>0</v>
      </c>
      <c r="AP234" s="370">
        <v>0</v>
      </c>
      <c r="AQ234" s="370">
        <v>0</v>
      </c>
      <c r="AR234" s="370">
        <v>0</v>
      </c>
      <c r="AS234" s="370">
        <v>0</v>
      </c>
      <c r="AT234" s="370">
        <v>0</v>
      </c>
      <c r="AU234" s="370">
        <v>0</v>
      </c>
      <c r="AV234" s="370">
        <v>0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0</v>
      </c>
      <c r="BD234" s="370">
        <v>0</v>
      </c>
      <c r="BE234" s="370">
        <v>0</v>
      </c>
      <c r="BF234" s="370">
        <v>0</v>
      </c>
      <c r="BG234" s="370">
        <v>0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0</v>
      </c>
      <c r="BP234" s="370">
        <v>0</v>
      </c>
      <c r="BQ234" s="370">
        <v>0</v>
      </c>
      <c r="BR234" s="370">
        <v>0</v>
      </c>
      <c r="BS234" s="370">
        <v>0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0</v>
      </c>
      <c r="CA234" s="370">
        <v>0</v>
      </c>
      <c r="CB234" s="370">
        <v>0</v>
      </c>
      <c r="CC234" s="370">
        <v>0</v>
      </c>
      <c r="CD234" s="370">
        <v>0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1991</v>
      </c>
      <c r="CK234" s="48" t="s">
        <v>1987</v>
      </c>
      <c r="CL234" s="48" t="s">
        <v>1993</v>
      </c>
      <c r="CM234" s="48" t="s">
        <v>1989</v>
      </c>
      <c r="CN234" s="48" t="s">
        <v>1990</v>
      </c>
      <c r="CO234" s="48" t="str">
        <f t="shared" si="57"/>
        <v>2.3.2.4.7.1</v>
      </c>
      <c r="CP234" s="48" t="str">
        <f>+VLOOKUP(Tabla1[[#This Row],[ESPECÍFICA]],CLASIFICADOR_,2,0)</f>
        <v>2.3.2.4.7.1 - DE MAQUINARIAS Y EQUIPOS</v>
      </c>
      <c r="CQ234" s="48" t="str">
        <f>+VLOOKUP(Tabla1[[#This Row],[ESPECÍFICA]],CLASIFICADOR_,3,0)</f>
        <v>2.3.2.4 - SERVICIO DE MANTENIMIENTO, ACONDICIONAMIENTO Y  REPARACIONES</v>
      </c>
      <c r="CR234" s="48" t="str">
        <f>+VLOOKUP(Tabla1[[#This Row],[ESPECÍFICA]],CLASIFICADOR_,4,0)</f>
        <v xml:space="preserve"> </v>
      </c>
      <c r="CS234" s="48">
        <f>+VLOOKUP(Tabla1[[#This Row],[ESPECÍFICA]],CLASIFICADOR_,5,0)</f>
        <v>0</v>
      </c>
      <c r="CT234" s="113" t="str">
        <f>+VLOOKUP(Tabla1[[#This Row],[ESPECÍFICA]],CLASIFICADOR_,6,0)</f>
        <v>Partidas restringidas</v>
      </c>
      <c r="CU234" s="48" t="str">
        <f>+VLOOKUP(Tabla1[[#This Row],[ESPECÍFICA]],CLASIFICADOR_,7,0)</f>
        <v>9.6 Hasta el 1er Semestre</v>
      </c>
      <c r="CV234" s="48">
        <f>+VLOOKUP(Tabla1[[#This Row],[ESPECÍFICA]],CLASIFICADOR_,8,0)</f>
        <v>3</v>
      </c>
      <c r="CW234" s="113" t="str">
        <f>+CONCATENATE("2.",Tabla1[[#This Row],[generica]])</f>
        <v>2.3.BIENES Y SERVICIOS</v>
      </c>
      <c r="CX234" s="48" t="str">
        <f t="shared" si="42"/>
        <v>0011-OC</v>
      </c>
      <c r="CY234" s="113" t="str">
        <f t="shared" si="43"/>
        <v>0011-OC</v>
      </c>
      <c r="CZ234" s="20" t="str">
        <f t="shared" si="44"/>
        <v>0011-OC</v>
      </c>
      <c r="DA234" s="113" t="str">
        <f>+CONCATENATE(Tabla1[[#This Row],[CC COMPLETO]],Tabla1[[#This Row],[ESPECÍFICA]])</f>
        <v>0011-OC2.3.2.4.7.1</v>
      </c>
      <c r="DB234" s="49">
        <f t="shared" si="45"/>
        <v>0</v>
      </c>
      <c r="DC234" s="49">
        <f t="shared" si="46"/>
        <v>0</v>
      </c>
      <c r="DD234" s="49">
        <f t="shared" si="47"/>
        <v>0</v>
      </c>
      <c r="DE234" s="49">
        <f t="shared" si="48"/>
        <v>11000</v>
      </c>
      <c r="DF234" s="49">
        <f t="shared" si="49"/>
        <v>0</v>
      </c>
      <c r="DG234" s="49">
        <f t="shared" si="50"/>
        <v>0</v>
      </c>
      <c r="DH234" s="49">
        <f t="shared" si="51"/>
        <v>11000</v>
      </c>
      <c r="DI234" s="50">
        <f t="shared" si="52"/>
        <v>0</v>
      </c>
      <c r="DJ234" s="78">
        <f>+SUM(Tabla1[[#This Row],[EJECUTADO 01]:[EJECUTADO 06]])</f>
        <v>0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0</v>
      </c>
      <c r="DP234" s="76">
        <f>+Tabla1[[#This Row],[mto_devenga_06]]</f>
        <v>0</v>
      </c>
      <c r="DQ234" s="76">
        <f>+Tabla1[[#This Row],[mto_devenga_07]]</f>
        <v>0</v>
      </c>
      <c r="DR234" s="76">
        <f>+Tabla1[[#This Row],[mto_devenga_08]]</f>
        <v>0</v>
      </c>
      <c r="DS234" s="76">
        <f>+Tabla1[[#This Row],[mto_devenga_09]]</f>
        <v>0</v>
      </c>
      <c r="DT234" s="76">
        <f>IFERROR(VLOOKUP(Tabla1[[#This Row],[COD SE]],PF_OCTUBRE,14,0),"0")</f>
        <v>11000</v>
      </c>
      <c r="DU234" s="76">
        <f>IFERROR(VLOOKUP(Tabla1[[#This Row],[COD SE]],PF_OCTUBRE,15,0),"0")</f>
        <v>0</v>
      </c>
      <c r="DV234" s="76">
        <f>IFERROR(VLOOKUP(Tabla1[[#This Row],[COD SE]],PF_OCTUBRE,16,0),"0")</f>
        <v>0</v>
      </c>
      <c r="DW234" s="76">
        <f>+SUM(Tabla1[[#This Row],[EJECUTADO 01]:[PF DICIEMBRE
]])</f>
        <v>11000</v>
      </c>
      <c r="DX234" s="76">
        <f>IFERROR(VLOOKUP(Tabla1[[#This Row],[COD SE]],PF_OCTUBRE,18,0),"0")</f>
        <v>0</v>
      </c>
      <c r="DY234" s="76">
        <f>IFERROR(VLOOKUP(Tabla1[[#This Row],[COD SE]],PF_OCTUBRE,19,0),"0")</f>
        <v>0</v>
      </c>
      <c r="DZ234" s="76">
        <f>IFERROR(VLOOKUP(Tabla1[[#This Row],[COD SE]],PF_OCTUBRE,20,0),"0")</f>
        <v>0</v>
      </c>
      <c r="EA234" s="76">
        <f>+Tabla1[[#This Row],[TOTAL EJEC REAL]]+Tabla1[[#This Row],[SALDO FINAL]]</f>
        <v>11000</v>
      </c>
      <c r="EB234" s="76">
        <f>IFERROR(VLOOKUP(Tabla1[[#This Row],[COD SE]],PF_OCTUBRE,22,0),"0")</f>
        <v>0</v>
      </c>
      <c r="EC234" s="76">
        <f>+IFERROR(VLOOKUP(Tabla1[[#This Row],[COD SE]],SALDO_ESC_2,7,0),0)</f>
        <v>0</v>
      </c>
      <c r="ED234" s="76">
        <f>+IFERROR(VLOOKUP(Tabla1[[#This Row],[COD SE]],SALDO_ESC_3,7,0),0)</f>
        <v>0</v>
      </c>
      <c r="EE234" s="76">
        <f>+Tabla1[[#This Row],[mto_pim]]-Tabla1[[#This Row],[TRANSF ESC2 ]]</f>
        <v>11000</v>
      </c>
      <c r="EF234" s="76">
        <f>+Tabla1[[#This Row],[mto_pim]]-Tabla1[[#This Row],[TRANFS ESC 3 ]]</f>
        <v>11000</v>
      </c>
      <c r="EG234" s="76">
        <f>+IFERROR(VLOOKUP(Tabla1[[#This Row],[COD SE]],HISTORICO,4,0),0)</f>
        <v>0</v>
      </c>
      <c r="EH234" s="76">
        <f>+IFERROR(VLOOKUP(Tabla1[[#This Row],[COD SE]],HISTORICO,5,0),0)</f>
        <v>2000</v>
      </c>
      <c r="EI234" s="76">
        <f>+IFERROR(VLOOKUP(Tabla1[[#This Row],[COD SE]],HISTORICO,6,0),0)</f>
        <v>0</v>
      </c>
      <c r="EJ234" s="76">
        <f>+IFERROR(VLOOKUP(Tabla1[[#This Row],[COD SE]],HISTORICO,7,0),0)</f>
        <v>2000</v>
      </c>
      <c r="EK234" s="76">
        <f>+IFERROR(VLOOKUP(Tabla1[[#This Row],[COD SE]],HISTORICO,8,0),0)</f>
        <v>0</v>
      </c>
      <c r="EL234" s="76">
        <f>+IFERROR(VLOOKUP(Tabla1[[#This Row],[COD SE]],HISTORICO,9,0),0)</f>
        <v>2000</v>
      </c>
      <c r="EM234" s="76">
        <f>+IFERROR(VLOOKUP(Tabla1[[#This Row],[COD SE]],HISTORICO,10,0),0)</f>
        <v>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0</v>
      </c>
      <c r="ER234" s="58">
        <f>+SUM(Tabla1[[#This Row],[EJECUTADO 07]:[EJECUTADO 09]])</f>
        <v>0</v>
      </c>
      <c r="ES234" s="58">
        <f>+SUM(Tabla1[[#This Row],[PF OCTUBRE]:[PF DICIEMBRE
]])</f>
        <v>11000</v>
      </c>
      <c r="ET234" s="58">
        <f>+SUM(Tabla1[[#This Row],[EJECUTADO 01]:[EJECUTADO 09]])</f>
        <v>0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1656</v>
      </c>
      <c r="AD235" s="369" t="s">
        <v>1657</v>
      </c>
      <c r="AE235" s="369" t="s">
        <v>1664</v>
      </c>
      <c r="AF235" s="369" t="s">
        <v>1665</v>
      </c>
      <c r="AG235" s="369" t="s">
        <v>1667</v>
      </c>
      <c r="AH235" s="369">
        <v>7200</v>
      </c>
      <c r="AI235" s="369">
        <v>0</v>
      </c>
      <c r="AJ235" s="369">
        <v>7200</v>
      </c>
      <c r="AK235" s="370">
        <v>5400</v>
      </c>
      <c r="AL235" s="370">
        <v>5400</v>
      </c>
      <c r="AM235" s="370">
        <v>0</v>
      </c>
      <c r="AN235" s="370">
        <v>0</v>
      </c>
      <c r="AO235" s="370">
        <v>0</v>
      </c>
      <c r="AP235" s="370">
        <v>0</v>
      </c>
      <c r="AQ235" s="370">
        <v>0</v>
      </c>
      <c r="AR235" s="370">
        <v>0</v>
      </c>
      <c r="AS235" s="370">
        <v>2700</v>
      </c>
      <c r="AT235" s="370">
        <v>0</v>
      </c>
      <c r="AU235" s="370">
        <v>0</v>
      </c>
      <c r="AV235" s="370">
        <v>0</v>
      </c>
      <c r="AW235" s="370">
        <v>0</v>
      </c>
      <c r="AX235" s="370">
        <v>0</v>
      </c>
      <c r="AY235" s="370">
        <v>0</v>
      </c>
      <c r="AZ235" s="370">
        <v>0</v>
      </c>
      <c r="BA235" s="370">
        <v>0</v>
      </c>
      <c r="BB235" s="370">
        <v>0</v>
      </c>
      <c r="BC235" s="370">
        <v>0</v>
      </c>
      <c r="BD235" s="370">
        <v>0</v>
      </c>
      <c r="BE235" s="370">
        <v>2700</v>
      </c>
      <c r="BF235" s="370">
        <v>0</v>
      </c>
      <c r="BG235" s="370">
        <v>0</v>
      </c>
      <c r="BH235" s="370">
        <v>0</v>
      </c>
      <c r="BI235" s="370">
        <v>0</v>
      </c>
      <c r="BJ235" s="370">
        <v>0</v>
      </c>
      <c r="BK235" s="370">
        <v>0</v>
      </c>
      <c r="BL235" s="370">
        <v>0</v>
      </c>
      <c r="BM235" s="370">
        <v>0</v>
      </c>
      <c r="BN235" s="370">
        <v>0</v>
      </c>
      <c r="BO235" s="370">
        <v>0</v>
      </c>
      <c r="BP235" s="370">
        <v>0</v>
      </c>
      <c r="BQ235" s="370">
        <v>2700</v>
      </c>
      <c r="BR235" s="370">
        <v>0</v>
      </c>
      <c r="BS235" s="370">
        <v>0</v>
      </c>
      <c r="BT235" s="370">
        <v>0</v>
      </c>
      <c r="BU235" s="370">
        <v>0</v>
      </c>
      <c r="BV235" s="370">
        <v>0</v>
      </c>
      <c r="BW235" s="370">
        <v>0</v>
      </c>
      <c r="BX235" s="370">
        <v>0</v>
      </c>
      <c r="BY235" s="370">
        <v>0</v>
      </c>
      <c r="BZ235" s="370">
        <v>0</v>
      </c>
      <c r="CA235" s="370">
        <v>0</v>
      </c>
      <c r="CB235" s="370">
        <v>0</v>
      </c>
      <c r="CC235" s="370">
        <v>2700</v>
      </c>
      <c r="CD235" s="370">
        <v>0</v>
      </c>
      <c r="CE235" s="370">
        <v>0</v>
      </c>
      <c r="CF235" s="370">
        <v>0</v>
      </c>
      <c r="CG235" s="370">
        <v>0</v>
      </c>
      <c r="CH235" s="370">
        <v>0</v>
      </c>
      <c r="CI235" s="48" t="s">
        <v>1987</v>
      </c>
      <c r="CJ235" s="48" t="s">
        <v>1990</v>
      </c>
      <c r="CK235" s="48" t="s">
        <v>1990</v>
      </c>
      <c r="CL235" s="48" t="s">
        <v>2005</v>
      </c>
      <c r="CM235" s="48" t="s">
        <v>1990</v>
      </c>
      <c r="CN235" s="48" t="s">
        <v>1993</v>
      </c>
      <c r="CO235" s="48" t="str">
        <f t="shared" si="57"/>
        <v>2.1.1.9.1.4</v>
      </c>
      <c r="CP235" s="48" t="str">
        <f>+VLOOKUP(Tabla1[[#This Row],[ESPECÍFICA]],CLASIFICADOR_,2,0)</f>
        <v>2.1.1.9.1.4 - AGUINALDOS DE CONTRATO ADMINISTRATIVO DE SERVICIOS</v>
      </c>
      <c r="CQ235" s="48" t="str">
        <f>+VLOOKUP(Tabla1[[#This Row],[ESPECÍFICA]],CLASIFICADOR_,3,0)</f>
        <v>01.CAS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N/R</v>
      </c>
      <c r="CU235" s="48" t="str">
        <f>+VLOOKUP(Tabla1[[#This Row],[ESPECÍFICA]],CLASIFICADOR_,7,0)</f>
        <v>N/R</v>
      </c>
      <c r="CV235" s="48">
        <f>+VLOOKUP(Tabla1[[#This Row],[ESPECÍFICA]],CLASIFICADOR_,8,0)</f>
        <v>0</v>
      </c>
      <c r="CW235" s="113" t="str">
        <f>+CONCATENATE("2.",Tabla1[[#This Row],[generica]])</f>
        <v>2.1.PERSONAL Y OBLIGACIONES SOCIALES</v>
      </c>
      <c r="CX235" s="48" t="str">
        <f t="shared" si="42"/>
        <v>0011-OC</v>
      </c>
      <c r="CY235" s="113" t="str">
        <f t="shared" si="43"/>
        <v>0011-OC</v>
      </c>
      <c r="CZ235" s="20" t="str">
        <f t="shared" si="44"/>
        <v>0011-OC</v>
      </c>
      <c r="DA235" s="113" t="str">
        <f>+CONCATENATE(Tabla1[[#This Row],[CC COMPLETO]],Tabla1[[#This Row],[ESPECÍFICA]])</f>
        <v>0011-OC2.1.1.9.1.4</v>
      </c>
      <c r="DB235" s="49">
        <f t="shared" si="45"/>
        <v>2700</v>
      </c>
      <c r="DC235" s="49">
        <f t="shared" si="46"/>
        <v>2700</v>
      </c>
      <c r="DD235" s="49">
        <f t="shared" si="47"/>
        <v>2700</v>
      </c>
      <c r="DE235" s="49">
        <f t="shared" si="48"/>
        <v>1800</v>
      </c>
      <c r="DF235" s="49">
        <f t="shared" si="49"/>
        <v>0</v>
      </c>
      <c r="DG235" s="49">
        <f t="shared" si="50"/>
        <v>2700</v>
      </c>
      <c r="DH235" s="49">
        <f t="shared" si="51"/>
        <v>4500</v>
      </c>
      <c r="DI235" s="50">
        <f t="shared" si="52"/>
        <v>0.375</v>
      </c>
      <c r="DJ235" s="78">
        <f>+SUM(Tabla1[[#This Row],[EJECUTADO 01]:[EJECUTADO 06]])</f>
        <v>0</v>
      </c>
      <c r="DK235" s="78">
        <f>+Tabla1[[#This Row],[mto_devenga_01]]</f>
        <v>0</v>
      </c>
      <c r="DL235" s="78">
        <f>+Tabla1[[#This Row],[mto_devenga_02]]</f>
        <v>0</v>
      </c>
      <c r="DM235" s="78">
        <f>+Tabla1[[#This Row],[mto_devenga_03]]</f>
        <v>0</v>
      </c>
      <c r="DN235" s="78">
        <f>+Tabla1[[#This Row],[mto_devenga_04]]</f>
        <v>0</v>
      </c>
      <c r="DO235" s="78">
        <f>+Tabla1[[#This Row],[mto_devenga_05]]</f>
        <v>0</v>
      </c>
      <c r="DP235" s="76">
        <f>+Tabla1[[#This Row],[mto_devenga_06]]</f>
        <v>0</v>
      </c>
      <c r="DQ235" s="76">
        <f>+Tabla1[[#This Row],[mto_devenga_07]]</f>
        <v>2700</v>
      </c>
      <c r="DR235" s="76">
        <f>+Tabla1[[#This Row],[mto_devenga_08]]</f>
        <v>0</v>
      </c>
      <c r="DS235" s="76">
        <f>+Tabla1[[#This Row],[mto_devenga_09]]</f>
        <v>0</v>
      </c>
      <c r="DT235" s="76">
        <f>IFERROR(VLOOKUP(Tabla1[[#This Row],[COD SE]],PF_OCTUBRE,14,0),"0")</f>
        <v>0</v>
      </c>
      <c r="DU235" s="76">
        <f>IFERROR(VLOOKUP(Tabla1[[#This Row],[COD SE]],PF_OCTUBRE,15,0),"0")</f>
        <v>0</v>
      </c>
      <c r="DV235" s="76">
        <f>IFERROR(VLOOKUP(Tabla1[[#This Row],[COD SE]],PF_OCTUBRE,16,0),"0")</f>
        <v>3300</v>
      </c>
      <c r="DW235" s="76">
        <f>+SUM(Tabla1[[#This Row],[EJECUTADO 01]:[PF DICIEMBRE
]])</f>
        <v>6000</v>
      </c>
      <c r="DX235" s="76">
        <f>IFERROR(VLOOKUP(Tabla1[[#This Row],[COD SE]],PF_OCTUBRE,18,0),"0")</f>
        <v>0</v>
      </c>
      <c r="DY235" s="76">
        <f>IFERROR(VLOOKUP(Tabla1[[#This Row],[COD SE]],PF_OCTUBRE,19,0),"0")</f>
        <v>1200</v>
      </c>
      <c r="DZ235" s="76">
        <f>IFERROR(VLOOKUP(Tabla1[[#This Row],[COD SE]],PF_OCTUBRE,20,0),"0")</f>
        <v>1200</v>
      </c>
      <c r="EA235" s="76">
        <f>+Tabla1[[#This Row],[TOTAL EJEC REAL]]+Tabla1[[#This Row],[SALDO FINAL]]</f>
        <v>7200</v>
      </c>
      <c r="EB235" s="76">
        <f>IFERROR(VLOOKUP(Tabla1[[#This Row],[COD SE]],PF_OCTUBRE,22,0),"0")</f>
        <v>4500</v>
      </c>
      <c r="EC235" s="76">
        <f>+IFERROR(VLOOKUP(Tabla1[[#This Row],[COD SE]],SALDO_ESC_2,7,0),0)</f>
        <v>0</v>
      </c>
      <c r="ED235" s="76">
        <f>+IFERROR(VLOOKUP(Tabla1[[#This Row],[COD SE]],SALDO_ESC_3,7,0),0)</f>
        <v>1200</v>
      </c>
      <c r="EE235" s="76">
        <f>+Tabla1[[#This Row],[mto_pim]]-Tabla1[[#This Row],[TRANSF ESC2 ]]</f>
        <v>7200</v>
      </c>
      <c r="EF235" s="76">
        <f>+Tabla1[[#This Row],[mto_pim]]-Tabla1[[#This Row],[TRANFS ESC 3 ]]</f>
        <v>6000</v>
      </c>
      <c r="EG235" s="76">
        <f>+IFERROR(VLOOKUP(Tabla1[[#This Row],[COD SE]],HISTORICO,4,0),0)</f>
        <v>0</v>
      </c>
      <c r="EH235" s="76">
        <f>+IFERROR(VLOOKUP(Tabla1[[#This Row],[COD SE]],HISTORICO,5,0),0)</f>
        <v>0</v>
      </c>
      <c r="EI235" s="76">
        <f>+IFERROR(VLOOKUP(Tabla1[[#This Row],[COD SE]],HISTORICO,6,0),0)</f>
        <v>0</v>
      </c>
      <c r="EJ235" s="76">
        <f>+IFERROR(VLOOKUP(Tabla1[[#This Row],[COD SE]],HISTORICO,7,0),0)</f>
        <v>0</v>
      </c>
      <c r="EK235" s="76">
        <f>+IFERROR(VLOOKUP(Tabla1[[#This Row],[COD SE]],HISTORICO,8,0),0)</f>
        <v>0</v>
      </c>
      <c r="EL235" s="76">
        <f>+IFERROR(VLOOKUP(Tabla1[[#This Row],[COD SE]],HISTORICO,9,0),0)</f>
        <v>0</v>
      </c>
      <c r="EM235" s="76">
        <f>+IFERROR(VLOOKUP(Tabla1[[#This Row],[COD SE]],HISTORICO,10,0),0)</f>
        <v>3000</v>
      </c>
      <c r="EN235" s="76">
        <f>+IFERROR(VLOOKUP(Tabla1[[#This Row],[COD SE]],HISTORICO,11,0),0)</f>
        <v>0</v>
      </c>
      <c r="EO235" s="76">
        <f>+IFERROR(VLOOKUP(Tabla1[[#This Row],[COD SE]],HISTORICO,12,0),0)</f>
        <v>0</v>
      </c>
      <c r="EP235" s="58">
        <f>+SUM(Tabla1[[#This Row],[EJECUTADO 01]:[EJECUTADO 03]])</f>
        <v>0</v>
      </c>
      <c r="EQ235" s="58">
        <f>+SUM(Tabla1[[#This Row],[EJECUTADO 04]:[EJECUTADO 06]])</f>
        <v>0</v>
      </c>
      <c r="ER235" s="58">
        <f>+SUM(Tabla1[[#This Row],[EJECUTADO 07]:[EJECUTADO 09]])</f>
        <v>2700</v>
      </c>
      <c r="ES235" s="58">
        <f>+SUM(Tabla1[[#This Row],[PF OCTUBRE]:[PF DICIEMBRE
]])</f>
        <v>3300</v>
      </c>
      <c r="ET235" s="58">
        <f>+SUM(Tabla1[[#This Row],[EJECUTADO 01]:[EJECUTADO 09]])</f>
        <v>2700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1672</v>
      </c>
      <c r="AD236" s="369" t="s">
        <v>1673</v>
      </c>
      <c r="AE236" s="369" t="s">
        <v>1681</v>
      </c>
      <c r="AF236" s="369" t="s">
        <v>1682</v>
      </c>
      <c r="AG236" s="369" t="s">
        <v>1682</v>
      </c>
      <c r="AH236" s="369">
        <v>0</v>
      </c>
      <c r="AI236" s="369">
        <v>72000</v>
      </c>
      <c r="AJ236" s="369">
        <v>72000</v>
      </c>
      <c r="AK236" s="370">
        <v>70000</v>
      </c>
      <c r="AL236" s="370">
        <v>70000</v>
      </c>
      <c r="AM236" s="370">
        <v>0</v>
      </c>
      <c r="AN236" s="370">
        <v>52000</v>
      </c>
      <c r="AO236" s="370">
        <v>0</v>
      </c>
      <c r="AP236" s="370">
        <v>0</v>
      </c>
      <c r="AQ236" s="370">
        <v>0</v>
      </c>
      <c r="AR236" s="370">
        <v>0</v>
      </c>
      <c r="AS236" s="370">
        <v>0</v>
      </c>
      <c r="AT236" s="370">
        <v>18000</v>
      </c>
      <c r="AU236" s="370">
        <v>0</v>
      </c>
      <c r="AV236" s="370">
        <v>0</v>
      </c>
      <c r="AW236" s="370">
        <v>0</v>
      </c>
      <c r="AX236" s="370">
        <v>0</v>
      </c>
      <c r="AY236" s="370">
        <v>0</v>
      </c>
      <c r="AZ236" s="370">
        <v>0</v>
      </c>
      <c r="BA236" s="370">
        <v>13000</v>
      </c>
      <c r="BB236" s="370">
        <v>13000</v>
      </c>
      <c r="BC236" s="370">
        <v>13000</v>
      </c>
      <c r="BD236" s="370">
        <v>13000</v>
      </c>
      <c r="BE236" s="370">
        <v>0</v>
      </c>
      <c r="BF236" s="370">
        <v>0</v>
      </c>
      <c r="BG236" s="370">
        <v>6000</v>
      </c>
      <c r="BH236" s="370">
        <v>6000</v>
      </c>
      <c r="BI236" s="370">
        <v>0</v>
      </c>
      <c r="BJ236" s="370">
        <v>0</v>
      </c>
      <c r="BK236" s="370">
        <v>0</v>
      </c>
      <c r="BL236" s="370">
        <v>0</v>
      </c>
      <c r="BM236" s="370">
        <v>13000</v>
      </c>
      <c r="BN236" s="370">
        <v>13000</v>
      </c>
      <c r="BO236" s="370">
        <v>13000</v>
      </c>
      <c r="BP236" s="370">
        <v>13000</v>
      </c>
      <c r="BQ236" s="370">
        <v>0</v>
      </c>
      <c r="BR236" s="370">
        <v>0</v>
      </c>
      <c r="BS236" s="370">
        <v>6000</v>
      </c>
      <c r="BT236" s="370">
        <v>6000</v>
      </c>
      <c r="BU236" s="370">
        <v>0</v>
      </c>
      <c r="BV236" s="370">
        <v>0</v>
      </c>
      <c r="BW236" s="370">
        <v>0</v>
      </c>
      <c r="BX236" s="370">
        <v>52000</v>
      </c>
      <c r="BY236" s="370">
        <v>0</v>
      </c>
      <c r="BZ236" s="370">
        <v>0</v>
      </c>
      <c r="CA236" s="370">
        <v>0</v>
      </c>
      <c r="CB236" s="370">
        <v>0</v>
      </c>
      <c r="CC236" s="370">
        <v>0</v>
      </c>
      <c r="CD236" s="370">
        <v>12000</v>
      </c>
      <c r="CE236" s="370">
        <v>0</v>
      </c>
      <c r="CF236" s="370">
        <v>0</v>
      </c>
      <c r="CG236" s="370">
        <v>0</v>
      </c>
      <c r="CH236" s="370">
        <v>0</v>
      </c>
      <c r="CI236" s="48" t="s">
        <v>1987</v>
      </c>
      <c r="CJ236" s="48" t="s">
        <v>1991</v>
      </c>
      <c r="CK236" s="48" t="s">
        <v>1987</v>
      </c>
      <c r="CL236" s="48" t="s">
        <v>2005</v>
      </c>
      <c r="CM236" s="48" t="s">
        <v>1990</v>
      </c>
      <c r="CN236" s="48" t="s">
        <v>1990</v>
      </c>
      <c r="CO236" s="48" t="str">
        <f t="shared" si="57"/>
        <v>2.3.2.9.1.1</v>
      </c>
      <c r="CP236" s="48" t="str">
        <f>+VLOOKUP(Tabla1[[#This Row],[ESPECÍFICA]],CLASIFICADOR_,2,0)</f>
        <v>2.3.2.9.1.1 - LOCACIÓN DE SERVICIOS REALIZADOS POR PERSONA NATURAL</v>
      </c>
      <c r="CQ236" s="48" t="str">
        <f>+VLOOKUP(Tabla1[[#This Row],[ESPECÍFICA]],CLASIFICADOR_,3,0)</f>
        <v>2.3.2.9 - LOCACIÓN DE SERVICIOS REALIZADOS POR PERSONA NATURAL</v>
      </c>
      <c r="CR236" s="48" t="str">
        <f>+VLOOKUP(Tabla1[[#This Row],[ESPECÍFICA]],CLASIFICADOR_,4,0)</f>
        <v xml:space="preserve"> </v>
      </c>
      <c r="CS236" s="48">
        <f>+VLOOKUP(Tabla1[[#This Row],[ESPECÍFICA]],CLASIFICADOR_,5,0)</f>
        <v>0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2.3.BIENES Y SERVICIOS</v>
      </c>
      <c r="CX236" s="48" t="str">
        <f t="shared" si="42"/>
        <v>0011-OC</v>
      </c>
      <c r="CY236" s="113" t="str">
        <f t="shared" si="43"/>
        <v>0011-OC</v>
      </c>
      <c r="CZ236" s="20" t="str">
        <f t="shared" si="44"/>
        <v>0011-OC</v>
      </c>
      <c r="DA236" s="113" t="str">
        <f>+CONCATENATE(Tabla1[[#This Row],[CC COMPLETO]],Tabla1[[#This Row],[ESPECÍFICA]])</f>
        <v>0011-OC2.3.2.9.1.1</v>
      </c>
      <c r="DB236" s="49">
        <f t="shared" si="45"/>
        <v>70000</v>
      </c>
      <c r="DC236" s="49">
        <f t="shared" si="46"/>
        <v>64000</v>
      </c>
      <c r="DD236" s="49">
        <f t="shared" si="47"/>
        <v>64000</v>
      </c>
      <c r="DE236" s="49">
        <f t="shared" si="48"/>
        <v>2000</v>
      </c>
      <c r="DF236" s="49">
        <f t="shared" si="49"/>
        <v>0</v>
      </c>
      <c r="DG236" s="49">
        <f t="shared" si="50"/>
        <v>6000</v>
      </c>
      <c r="DH236" s="49">
        <f t="shared" si="51"/>
        <v>8000</v>
      </c>
      <c r="DI236" s="50">
        <f t="shared" si="52"/>
        <v>0</v>
      </c>
      <c r="DJ236" s="78">
        <f>+SUM(Tabla1[[#This Row],[EJECUTADO 01]:[EJECUTADO 06]])</f>
        <v>52000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13000</v>
      </c>
      <c r="DN236" s="78">
        <f>+Tabla1[[#This Row],[mto_devenga_04]]</f>
        <v>13000</v>
      </c>
      <c r="DO236" s="78">
        <f>+Tabla1[[#This Row],[mto_devenga_05]]</f>
        <v>13000</v>
      </c>
      <c r="DP236" s="76">
        <f>+Tabla1[[#This Row],[mto_devenga_06]]</f>
        <v>13000</v>
      </c>
      <c r="DQ236" s="76">
        <f>+Tabla1[[#This Row],[mto_devenga_07]]</f>
        <v>0</v>
      </c>
      <c r="DR236" s="76">
        <f>+Tabla1[[#This Row],[mto_devenga_08]]</f>
        <v>0</v>
      </c>
      <c r="DS236" s="76">
        <f>+Tabla1[[#This Row],[mto_devenga_09]]</f>
        <v>6000</v>
      </c>
      <c r="DT236" s="76">
        <f>IFERROR(VLOOKUP(Tabla1[[#This Row],[COD SE]],PF_OCTUBRE,14,0),"0")</f>
        <v>8000</v>
      </c>
      <c r="DU236" s="76">
        <f>IFERROR(VLOOKUP(Tabla1[[#This Row],[COD SE]],PF_OCTUBRE,15,0),"0")</f>
        <v>6000</v>
      </c>
      <c r="DV236" s="76">
        <f>IFERROR(VLOOKUP(Tabla1[[#This Row],[COD SE]],PF_OCTUBRE,16,0),"0")</f>
        <v>0</v>
      </c>
      <c r="DW236" s="76">
        <f>+SUM(Tabla1[[#This Row],[EJECUTADO 01]:[PF DICIEMBRE
]])</f>
        <v>72000</v>
      </c>
      <c r="DX236" s="76">
        <f>IFERROR(VLOOKUP(Tabla1[[#This Row],[COD SE]],PF_OCTUBRE,18,0),"0")</f>
        <v>0</v>
      </c>
      <c r="DY236" s="76">
        <f>IFERROR(VLOOKUP(Tabla1[[#This Row],[COD SE]],PF_OCTUBRE,19,0),"0")</f>
        <v>0</v>
      </c>
      <c r="DZ236" s="76">
        <f>IFERROR(VLOOKUP(Tabla1[[#This Row],[COD SE]],PF_OCTUBRE,20,0),"0")</f>
        <v>0</v>
      </c>
      <c r="EA236" s="76">
        <f>+Tabla1[[#This Row],[TOTAL EJEC REAL]]+Tabla1[[#This Row],[SALDO FINAL]]</f>
        <v>72000</v>
      </c>
      <c r="EB236" s="76">
        <f>IFERROR(VLOOKUP(Tabla1[[#This Row],[COD SE]],PF_OCTUBRE,22,0),"0")</f>
        <v>0</v>
      </c>
      <c r="EC236" s="76">
        <f>+IFERROR(VLOOKUP(Tabla1[[#This Row],[COD SE]],SALDO_ESC_2,7,0),0)</f>
        <v>0</v>
      </c>
      <c r="ED236" s="76">
        <f>+IFERROR(VLOOKUP(Tabla1[[#This Row],[COD SE]],SALDO_ESC_3,7,0),0)</f>
        <v>0</v>
      </c>
      <c r="EE236" s="76">
        <f>+Tabla1[[#This Row],[mto_pim]]-Tabla1[[#This Row],[TRANSF ESC2 ]]</f>
        <v>72000</v>
      </c>
      <c r="EF236" s="76">
        <f>+Tabla1[[#This Row],[mto_pim]]-Tabla1[[#This Row],[TRANFS ESC 3 ]]</f>
        <v>72000</v>
      </c>
      <c r="EG236" s="76">
        <f>+IFERROR(VLOOKUP(Tabla1[[#This Row],[COD SE]],HISTORICO,4,0),0)</f>
        <v>0</v>
      </c>
      <c r="EH236" s="76">
        <f>+IFERROR(VLOOKUP(Tabla1[[#This Row],[COD SE]],HISTORICO,5,0),0)</f>
        <v>13000</v>
      </c>
      <c r="EI236" s="76">
        <f>+IFERROR(VLOOKUP(Tabla1[[#This Row],[COD SE]],HISTORICO,6,0),0)</f>
        <v>13000</v>
      </c>
      <c r="EJ236" s="76">
        <f>+IFERROR(VLOOKUP(Tabla1[[#This Row],[COD SE]],HISTORICO,7,0),0)</f>
        <v>13000</v>
      </c>
      <c r="EK236" s="76">
        <f>+IFERROR(VLOOKUP(Tabla1[[#This Row],[COD SE]],HISTORICO,8,0),0)</f>
        <v>13000</v>
      </c>
      <c r="EL236" s="76">
        <f>+IFERROR(VLOOKUP(Tabla1[[#This Row],[COD SE]],HISTORICO,9,0),0)</f>
        <v>13000</v>
      </c>
      <c r="EM236" s="76">
        <f>+IFERROR(VLOOKUP(Tabla1[[#This Row],[COD SE]],HISTORICO,10,0),0)</f>
        <v>0</v>
      </c>
      <c r="EN236" s="76">
        <f>+IFERROR(VLOOKUP(Tabla1[[#This Row],[COD SE]],HISTORICO,11,0),0)</f>
        <v>6000</v>
      </c>
      <c r="EO236" s="76">
        <f>+IFERROR(VLOOKUP(Tabla1[[#This Row],[COD SE]],HISTORICO,12,0),0)</f>
        <v>6000</v>
      </c>
      <c r="EP236" s="58">
        <f>+SUM(Tabla1[[#This Row],[EJECUTADO 01]:[EJECUTADO 03]])</f>
        <v>13000</v>
      </c>
      <c r="EQ236" s="58">
        <f>+SUM(Tabla1[[#This Row],[EJECUTADO 04]:[EJECUTADO 06]])</f>
        <v>39000</v>
      </c>
      <c r="ER236" s="58">
        <f>+SUM(Tabla1[[#This Row],[EJECUTADO 07]:[EJECUTADO 09]])</f>
        <v>6000</v>
      </c>
      <c r="ES236" s="58">
        <f>+SUM(Tabla1[[#This Row],[PF OCTUBRE]:[PF DICIEMBRE
]])</f>
        <v>14000</v>
      </c>
      <c r="ET236" s="58">
        <f>+SUM(Tabla1[[#This Row],[EJECUTADO 01]:[EJECUTADO 09]])</f>
        <v>58000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1672</v>
      </c>
      <c r="AD237" s="369" t="s">
        <v>1673</v>
      </c>
      <c r="AE237" s="369" t="s">
        <v>1674</v>
      </c>
      <c r="AF237" s="369" t="s">
        <v>1675</v>
      </c>
      <c r="AG237" s="369" t="s">
        <v>1677</v>
      </c>
      <c r="AH237" s="369">
        <v>19200</v>
      </c>
      <c r="AI237" s="369">
        <v>-8000</v>
      </c>
      <c r="AJ237" s="369">
        <v>11200</v>
      </c>
      <c r="AK237" s="370">
        <v>4453.3999999999996</v>
      </c>
      <c r="AL237" s="370">
        <v>3813.4</v>
      </c>
      <c r="AM237" s="370">
        <v>0</v>
      </c>
      <c r="AN237" s="370">
        <v>0</v>
      </c>
      <c r="AO237" s="370">
        <v>0</v>
      </c>
      <c r="AP237" s="370">
        <v>3173.4</v>
      </c>
      <c r="AQ237" s="370">
        <v>0</v>
      </c>
      <c r="AR237" s="370">
        <v>0</v>
      </c>
      <c r="AS237" s="370">
        <v>0</v>
      </c>
      <c r="AT237" s="370">
        <v>640</v>
      </c>
      <c r="AU237" s="370">
        <v>0</v>
      </c>
      <c r="AV237" s="370">
        <v>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3280</v>
      </c>
      <c r="BC237" s="370">
        <v>-106.6</v>
      </c>
      <c r="BD237" s="370">
        <v>0</v>
      </c>
      <c r="BE237" s="370">
        <v>0</v>
      </c>
      <c r="BF237" s="370">
        <v>640</v>
      </c>
      <c r="BG237" s="370">
        <v>0</v>
      </c>
      <c r="BH237" s="370">
        <v>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3280</v>
      </c>
      <c r="BO237" s="370">
        <v>-106.6</v>
      </c>
      <c r="BP237" s="370">
        <v>0</v>
      </c>
      <c r="BQ237" s="370">
        <v>0</v>
      </c>
      <c r="BR237" s="370">
        <v>640</v>
      </c>
      <c r="BS237" s="370">
        <v>0</v>
      </c>
      <c r="BT237" s="370">
        <v>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3280</v>
      </c>
      <c r="CA237" s="370">
        <v>0</v>
      </c>
      <c r="CB237" s="370">
        <v>0</v>
      </c>
      <c r="CC237" s="370">
        <v>0</v>
      </c>
      <c r="CD237" s="370">
        <v>640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1991</v>
      </c>
      <c r="CK237" s="48" t="s">
        <v>1987</v>
      </c>
      <c r="CL237" s="48" t="s">
        <v>1990</v>
      </c>
      <c r="CM237" s="48" t="s">
        <v>1987</v>
      </c>
      <c r="CN237" s="48" t="s">
        <v>1987</v>
      </c>
      <c r="CO237" s="48" t="str">
        <f t="shared" si="57"/>
        <v>2.3.2.1.2.2</v>
      </c>
      <c r="CP237" s="48" t="str">
        <f>+VLOOKUP(Tabla1[[#This Row],[ESPECÍFICA]],CLASIFICADOR_,2,0)</f>
        <v>2.3.2.1.2.2 - VIATICOS Y ASIGNACIONES POR COMISION DE SERVICIO</v>
      </c>
      <c r="CQ237" s="48" t="str">
        <f>+VLOOKUP(Tabla1[[#This Row],[ESPECÍFICA]],CLASIFICADOR_,3,0)</f>
        <v>2.3.2.1 - VIAJES</v>
      </c>
      <c r="CR237" s="48" t="str">
        <f>+VLOOKUP(Tabla1[[#This Row],[ESPECÍFICA]],CLASIFICADOR_,4,0)</f>
        <v>Límite de Gasto</v>
      </c>
      <c r="CS237" s="48" t="str">
        <f>+VLOOKUP(Tabla1[[#This Row],[ESPECÍFICA]],CLASIFICADOR_,5,0)</f>
        <v>10.6 b)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2.3.BIENES Y SERVICIOS</v>
      </c>
      <c r="CX237" s="48" t="str">
        <f t="shared" si="42"/>
        <v>0011-OC</v>
      </c>
      <c r="CY237" s="113" t="str">
        <f t="shared" si="43"/>
        <v>0011-OC</v>
      </c>
      <c r="CZ237" s="20" t="str">
        <f t="shared" si="44"/>
        <v>0011-OC</v>
      </c>
      <c r="DA237" s="113" t="str">
        <f>+CONCATENATE(Tabla1[[#This Row],[CC COMPLETO]],Tabla1[[#This Row],[ESPECÍFICA]])</f>
        <v>0011-OC2.3.2.1.2.2</v>
      </c>
      <c r="DB237" s="49">
        <f t="shared" si="45"/>
        <v>3813.4</v>
      </c>
      <c r="DC237" s="49">
        <f t="shared" si="46"/>
        <v>3813.4</v>
      </c>
      <c r="DD237" s="49">
        <f t="shared" si="47"/>
        <v>3813.4</v>
      </c>
      <c r="DE237" s="49">
        <f t="shared" si="48"/>
        <v>6746.6</v>
      </c>
      <c r="DF237" s="49">
        <f t="shared" si="49"/>
        <v>639.99999999999955</v>
      </c>
      <c r="DG237" s="49">
        <f t="shared" si="50"/>
        <v>0</v>
      </c>
      <c r="DH237" s="49">
        <f t="shared" si="51"/>
        <v>7386.6</v>
      </c>
      <c r="DI237" s="50">
        <f t="shared" si="52"/>
        <v>0.19861458333333334</v>
      </c>
      <c r="DJ237" s="78">
        <f>+SUM(Tabla1[[#This Row],[EJECUTADO 01]:[EJECUTADO 06]])</f>
        <v>3173.4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3280</v>
      </c>
      <c r="DO237" s="78">
        <f>+Tabla1[[#This Row],[mto_devenga_05]]</f>
        <v>-106.6</v>
      </c>
      <c r="DP237" s="76">
        <f>+Tabla1[[#This Row],[mto_devenga_06]]</f>
        <v>0</v>
      </c>
      <c r="DQ237" s="76">
        <f>+Tabla1[[#This Row],[mto_devenga_07]]</f>
        <v>0</v>
      </c>
      <c r="DR237" s="76">
        <f>+Tabla1[[#This Row],[mto_devenga_08]]</f>
        <v>640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3573.2</v>
      </c>
      <c r="DV237" s="76">
        <f>IFERROR(VLOOKUP(Tabla1[[#This Row],[COD SE]],PF_OCTUBRE,16,0),"0")</f>
        <v>3813.4</v>
      </c>
      <c r="DW237" s="76">
        <f>+SUM(Tabla1[[#This Row],[EJECUTADO 01]:[PF DICIEMBRE
]])</f>
        <v>11200</v>
      </c>
      <c r="DX237" s="76">
        <f>IFERROR(VLOOKUP(Tabla1[[#This Row],[COD SE]],PF_OCTUBRE,18,0),"0")</f>
        <v>0</v>
      </c>
      <c r="DY237" s="76">
        <f>IFERROR(VLOOKUP(Tabla1[[#This Row],[COD SE]],PF_OCTUBRE,19,0),"0")</f>
        <v>0</v>
      </c>
      <c r="DZ237" s="76">
        <f>IFERROR(VLOOKUP(Tabla1[[#This Row],[COD SE]],PF_OCTUBRE,20,0),"0")</f>
        <v>0</v>
      </c>
      <c r="EA237" s="76">
        <f>+Tabla1[[#This Row],[TOTAL EJEC REAL]]+Tabla1[[#This Row],[SALDO FINAL]]</f>
        <v>11200</v>
      </c>
      <c r="EB237" s="76">
        <f>IFERROR(VLOOKUP(Tabla1[[#This Row],[COD SE]],PF_OCTUBRE,22,0),"0")</f>
        <v>3813.4</v>
      </c>
      <c r="EC237" s="76">
        <f>+IFERROR(VLOOKUP(Tabla1[[#This Row],[COD SE]],SALDO_ESC_2,7,0),0)</f>
        <v>0</v>
      </c>
      <c r="ED237" s="76">
        <f>+IFERROR(VLOOKUP(Tabla1[[#This Row],[COD SE]],SALDO_ESC_3,7,0),0)</f>
        <v>0</v>
      </c>
      <c r="EE237" s="76">
        <f>+Tabla1[[#This Row],[mto_pim]]-Tabla1[[#This Row],[TRANSF ESC2 ]]</f>
        <v>11200</v>
      </c>
      <c r="EF237" s="76">
        <f>+Tabla1[[#This Row],[mto_pim]]-Tabla1[[#This Row],[TRANFS ESC 3 ]]</f>
        <v>11200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1920</v>
      </c>
      <c r="EK237" s="76">
        <f>+IFERROR(VLOOKUP(Tabla1[[#This Row],[COD SE]],HISTORICO,8,0),0)</f>
        <v>1920</v>
      </c>
      <c r="EL237" s="76">
        <f>+IFERROR(VLOOKUP(Tabla1[[#This Row],[COD SE]],HISTORICO,9,0),0)</f>
        <v>1920</v>
      </c>
      <c r="EM237" s="76">
        <f>+IFERROR(VLOOKUP(Tabla1[[#This Row],[COD SE]],HISTORICO,10,0),0)</f>
        <v>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3173.4</v>
      </c>
      <c r="ER237" s="58">
        <f>+SUM(Tabla1[[#This Row],[EJECUTADO 07]:[EJECUTADO 09]])</f>
        <v>640</v>
      </c>
      <c r="ES237" s="58">
        <f>+SUM(Tabla1[[#This Row],[PF OCTUBRE]:[PF DICIEMBRE
]])</f>
        <v>7386.6</v>
      </c>
      <c r="ET237" s="58">
        <f>+SUM(Tabla1[[#This Row],[EJECUTADO 01]:[EJECUTADO 09]])</f>
        <v>3813.4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1678</v>
      </c>
      <c r="AF238" s="369" t="s">
        <v>1697</v>
      </c>
      <c r="AG238" s="369" t="s">
        <v>1814</v>
      </c>
      <c r="AH238" s="369">
        <v>15787</v>
      </c>
      <c r="AI238" s="369">
        <v>-14135</v>
      </c>
      <c r="AJ238" s="369">
        <v>1652</v>
      </c>
      <c r="AK238" s="370">
        <v>0</v>
      </c>
      <c r="AL238" s="370">
        <v>0</v>
      </c>
      <c r="AM238" s="370">
        <v>0</v>
      </c>
      <c r="AN238" s="370">
        <v>0</v>
      </c>
      <c r="AO238" s="370">
        <v>0</v>
      </c>
      <c r="AP238" s="370">
        <v>0</v>
      </c>
      <c r="AQ238" s="370">
        <v>0</v>
      </c>
      <c r="AR238" s="370">
        <v>0</v>
      </c>
      <c r="AS238" s="370">
        <v>0</v>
      </c>
      <c r="AT238" s="370">
        <v>0</v>
      </c>
      <c r="AU238" s="370">
        <v>0</v>
      </c>
      <c r="AV238" s="370">
        <v>0</v>
      </c>
      <c r="AW238" s="370">
        <v>0</v>
      </c>
      <c r="AX238" s="370">
        <v>0</v>
      </c>
      <c r="AY238" s="370">
        <v>0</v>
      </c>
      <c r="AZ238" s="370">
        <v>0</v>
      </c>
      <c r="BA238" s="370">
        <v>0</v>
      </c>
      <c r="BB238" s="370">
        <v>0</v>
      </c>
      <c r="BC238" s="370">
        <v>0</v>
      </c>
      <c r="BD238" s="370">
        <v>0</v>
      </c>
      <c r="BE238" s="370">
        <v>0</v>
      </c>
      <c r="BF238" s="370">
        <v>0</v>
      </c>
      <c r="BG238" s="370">
        <v>0</v>
      </c>
      <c r="BH238" s="370">
        <v>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0</v>
      </c>
      <c r="BN238" s="370">
        <v>0</v>
      </c>
      <c r="BO238" s="370">
        <v>0</v>
      </c>
      <c r="BP238" s="370">
        <v>0</v>
      </c>
      <c r="BQ238" s="370">
        <v>0</v>
      </c>
      <c r="BR238" s="370">
        <v>0</v>
      </c>
      <c r="BS238" s="370">
        <v>0</v>
      </c>
      <c r="BT238" s="370">
        <v>0</v>
      </c>
      <c r="BU238" s="370">
        <v>0</v>
      </c>
      <c r="BV238" s="370">
        <v>0</v>
      </c>
      <c r="BW238" s="370">
        <v>0</v>
      </c>
      <c r="BX238" s="370">
        <v>0</v>
      </c>
      <c r="BY238" s="370">
        <v>0</v>
      </c>
      <c r="BZ238" s="370">
        <v>0</v>
      </c>
      <c r="CA238" s="370">
        <v>0</v>
      </c>
      <c r="CB238" s="370">
        <v>0</v>
      </c>
      <c r="CC238" s="370">
        <v>0</v>
      </c>
      <c r="CD238" s="370">
        <v>0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1989</v>
      </c>
      <c r="CM238" s="48" t="s">
        <v>2021</v>
      </c>
      <c r="CN238" s="48" t="s">
        <v>1988</v>
      </c>
      <c r="CO238" s="48" t="str">
        <f t="shared" si="57"/>
        <v>2.3.2.7.11.6</v>
      </c>
      <c r="CP238" s="48" t="str">
        <f>+VLOOKUP(Tabla1[[#This Row],[ESPECÍFICA]],CLASIFICADOR_,2,0)</f>
        <v>2.3.2.7.11.6 - SERVICIO DE IMPRESIONES, ENCUADERNACION Y EMPASTADO</v>
      </c>
      <c r="CQ238" s="48" t="str">
        <f>+VLOOKUP(Tabla1[[#This Row],[ESPECÍFICA]],CLASIFICADOR_,3,0)</f>
        <v>2.3.2.7 - SERVICIOS PROFESIONALES Y TECNICOS</v>
      </c>
      <c r="CR238" s="48" t="str">
        <f>+VLOOKUP(Tabla1[[#This Row],[ESPECÍFICA]],CLASIFICADOR_,4,0)</f>
        <v xml:space="preserve"> </v>
      </c>
      <c r="CS238" s="48">
        <f>+VLOOKUP(Tabla1[[#This Row],[ESPECÍFICA]],CLASIFICADOR_,5,0)</f>
        <v>0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42"/>
        <v>0011-OC</v>
      </c>
      <c r="CY238" s="113" t="str">
        <f t="shared" si="43"/>
        <v>0011-OC</v>
      </c>
      <c r="CZ238" s="20" t="str">
        <f t="shared" si="44"/>
        <v>0011-OC</v>
      </c>
      <c r="DA238" s="113" t="str">
        <f>+CONCATENATE(Tabla1[[#This Row],[CC COMPLETO]],Tabla1[[#This Row],[ESPECÍFICA]])</f>
        <v>0011-OC2.3.2.7.11.6</v>
      </c>
      <c r="DB238" s="49">
        <f t="shared" si="45"/>
        <v>0</v>
      </c>
      <c r="DC238" s="49">
        <f t="shared" si="46"/>
        <v>0</v>
      </c>
      <c r="DD238" s="49">
        <f t="shared" si="47"/>
        <v>0</v>
      </c>
      <c r="DE238" s="49">
        <f t="shared" si="48"/>
        <v>1652</v>
      </c>
      <c r="DF238" s="49">
        <f t="shared" si="49"/>
        <v>0</v>
      </c>
      <c r="DG238" s="49">
        <f t="shared" si="50"/>
        <v>0</v>
      </c>
      <c r="DH238" s="49">
        <f t="shared" si="51"/>
        <v>1652</v>
      </c>
      <c r="DI238" s="50">
        <f t="shared" si="52"/>
        <v>0</v>
      </c>
      <c r="DJ238" s="78">
        <f>+SUM(Tabla1[[#This Row],[EJECUTADO 01]:[EJECUTADO 06]])</f>
        <v>0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0</v>
      </c>
      <c r="DN238" s="78">
        <f>+Tabla1[[#This Row],[mto_devenga_04]]</f>
        <v>0</v>
      </c>
      <c r="DO238" s="78">
        <f>+Tabla1[[#This Row],[mto_devenga_05]]</f>
        <v>0</v>
      </c>
      <c r="DP238" s="76">
        <f>+Tabla1[[#This Row],[mto_devenga_06]]</f>
        <v>0</v>
      </c>
      <c r="DQ238" s="76">
        <f>+Tabla1[[#This Row],[mto_devenga_07]]</f>
        <v>0</v>
      </c>
      <c r="DR238" s="76">
        <f>+Tabla1[[#This Row],[mto_devenga_08]]</f>
        <v>0</v>
      </c>
      <c r="DS238" s="76">
        <f>+Tabla1[[#This Row],[mto_devenga_09]]</f>
        <v>0</v>
      </c>
      <c r="DT238" s="76">
        <f>IFERROR(VLOOKUP(Tabla1[[#This Row],[COD SE]],PF_OCTUBRE,14,0),"0")</f>
        <v>0</v>
      </c>
      <c r="DU238" s="76">
        <f>IFERROR(VLOOKUP(Tabla1[[#This Row],[COD SE]],PF_OCTUBRE,15,0),"0")</f>
        <v>0</v>
      </c>
      <c r="DV238" s="76">
        <f>IFERROR(VLOOKUP(Tabla1[[#This Row],[COD SE]],PF_OCTUBRE,16,0),"0")</f>
        <v>0</v>
      </c>
      <c r="DW238" s="76">
        <f>+SUM(Tabla1[[#This Row],[EJECUTADO 01]:[PF DICIEMBRE
]])</f>
        <v>0</v>
      </c>
      <c r="DX238" s="76">
        <f>IFERROR(VLOOKUP(Tabla1[[#This Row],[COD SE]],PF_OCTUBRE,18,0),"0")</f>
        <v>0</v>
      </c>
      <c r="DY238" s="76">
        <f>IFERROR(VLOOKUP(Tabla1[[#This Row],[COD SE]],PF_OCTUBRE,19,0),"0")</f>
        <v>1752</v>
      </c>
      <c r="DZ238" s="76">
        <f>IFERROR(VLOOKUP(Tabla1[[#This Row],[COD SE]],PF_OCTUBRE,20,0),"0")</f>
        <v>1752</v>
      </c>
      <c r="EA238" s="76">
        <f>+Tabla1[[#This Row],[TOTAL EJEC REAL]]+Tabla1[[#This Row],[SALDO FINAL]]</f>
        <v>1752</v>
      </c>
      <c r="EB238" s="76">
        <f>IFERROR(VLOOKUP(Tabla1[[#This Row],[COD SE]],PF_OCTUBRE,22,0),"0")</f>
        <v>1752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1652</v>
      </c>
      <c r="EF238" s="76">
        <f>+Tabla1[[#This Row],[mto_pim]]-Tabla1[[#This Row],[TRANFS ESC 3 ]]</f>
        <v>1652</v>
      </c>
      <c r="EG238" s="76">
        <f>+IFERROR(VLOOKUP(Tabla1[[#This Row],[COD SE]],HISTORICO,4,0),0)</f>
        <v>0</v>
      </c>
      <c r="EH238" s="76">
        <f>+IFERROR(VLOOKUP(Tabla1[[#This Row],[COD SE]],HISTORICO,5,0),0)</f>
        <v>0</v>
      </c>
      <c r="EI238" s="76">
        <f>+IFERROR(VLOOKUP(Tabla1[[#This Row],[COD SE]],HISTORICO,6,0),0)</f>
        <v>0</v>
      </c>
      <c r="EJ238" s="76">
        <f>+IFERROR(VLOOKUP(Tabla1[[#This Row],[COD SE]],HISTORICO,7,0),0)</f>
        <v>8000</v>
      </c>
      <c r="EK238" s="76">
        <f>+IFERROR(VLOOKUP(Tabla1[[#This Row],[COD SE]],HISTORICO,8,0),0)</f>
        <v>0</v>
      </c>
      <c r="EL238" s="76">
        <f>+IFERROR(VLOOKUP(Tabla1[[#This Row],[COD SE]],HISTORICO,9,0),0)</f>
        <v>0</v>
      </c>
      <c r="EM238" s="76">
        <f>+IFERROR(VLOOKUP(Tabla1[[#This Row],[COD SE]],HISTORICO,10,0),0)</f>
        <v>0</v>
      </c>
      <c r="EN238" s="76">
        <f>+IFERROR(VLOOKUP(Tabla1[[#This Row],[COD SE]],HISTORICO,11,0),0)</f>
        <v>0</v>
      </c>
      <c r="EO238" s="76">
        <f>+IFERROR(VLOOKUP(Tabla1[[#This Row],[COD SE]],HISTORICO,12,0),0)</f>
        <v>0</v>
      </c>
      <c r="EP238" s="58">
        <f>+SUM(Tabla1[[#This Row],[EJECUTADO 01]:[EJECUTADO 03]])</f>
        <v>0</v>
      </c>
      <c r="EQ238" s="58">
        <f>+SUM(Tabla1[[#This Row],[EJECUTADO 04]:[EJECUTADO 06]])</f>
        <v>0</v>
      </c>
      <c r="ER238" s="58">
        <f>+SUM(Tabla1[[#This Row],[EJECUTADO 07]:[EJECUTADO 09]])</f>
        <v>0</v>
      </c>
      <c r="ES238" s="58">
        <f>+SUM(Tabla1[[#This Row],[PF OCTUBRE]:[PF DICIEMBRE
]])</f>
        <v>0</v>
      </c>
      <c r="ET238" s="58">
        <f>+SUM(Tabla1[[#This Row],[EJECUTADO 01]:[EJECUTADO 09]])</f>
        <v>0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1693</v>
      </c>
      <c r="AF239" s="369" t="s">
        <v>1694</v>
      </c>
      <c r="AG239" s="369" t="s">
        <v>1695</v>
      </c>
      <c r="AH239" s="369">
        <v>0</v>
      </c>
      <c r="AI239" s="369">
        <v>5100</v>
      </c>
      <c r="AJ239" s="369">
        <v>5100</v>
      </c>
      <c r="AK239" s="370">
        <v>5097.99</v>
      </c>
      <c r="AL239" s="370">
        <v>5097.99</v>
      </c>
      <c r="AM239" s="370">
        <v>0</v>
      </c>
      <c r="AN239" s="370">
        <v>0</v>
      </c>
      <c r="AO239" s="370">
        <v>0</v>
      </c>
      <c r="AP239" s="370">
        <v>3587</v>
      </c>
      <c r="AQ239" s="370">
        <v>0</v>
      </c>
      <c r="AR239" s="370">
        <v>0</v>
      </c>
      <c r="AS239" s="370">
        <v>0</v>
      </c>
      <c r="AT239" s="370">
        <v>0</v>
      </c>
      <c r="AU239" s="370">
        <v>0</v>
      </c>
      <c r="AV239" s="370">
        <v>1510.99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0</v>
      </c>
      <c r="BC239" s="370">
        <v>3587</v>
      </c>
      <c r="BD239" s="370">
        <v>0</v>
      </c>
      <c r="BE239" s="370">
        <v>0</v>
      </c>
      <c r="BF239" s="370">
        <v>0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0</v>
      </c>
      <c r="BO239" s="370">
        <v>3587</v>
      </c>
      <c r="BP239" s="370">
        <v>0</v>
      </c>
      <c r="BQ239" s="370">
        <v>0</v>
      </c>
      <c r="BR239" s="370">
        <v>0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3587</v>
      </c>
      <c r="CA239" s="370">
        <v>0</v>
      </c>
      <c r="CB239" s="370">
        <v>0</v>
      </c>
      <c r="CC239" s="370">
        <v>0</v>
      </c>
      <c r="CD239" s="370">
        <v>0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2011</v>
      </c>
      <c r="CM239" s="48" t="s">
        <v>1990</v>
      </c>
      <c r="CN239" s="48" t="s">
        <v>1998</v>
      </c>
      <c r="CO239" s="48" t="str">
        <f t="shared" si="57"/>
        <v>2.3.2.5.1.99</v>
      </c>
      <c r="CP239" s="48" t="str">
        <f>+VLOOKUP(Tabla1[[#This Row],[ESPECÍFICA]],CLASIFICADOR_,2,0)</f>
        <v>2.3.2.5.1.99 - DE OTROS BIENES Y ACTIVOS</v>
      </c>
      <c r="CQ239" s="48" t="str">
        <f>+VLOOKUP(Tabla1[[#This Row],[ESPECÍFICA]],CLASIFICADOR_,3,0)</f>
        <v>2.3.2.5 - ALQUILERES DE MUEBLES E INMUEBLES</v>
      </c>
      <c r="CR239" s="48" t="str">
        <f>+VLOOKUP(Tabla1[[#This Row],[ESPECÍFICA]],CLASIFICADOR_,4,0)</f>
        <v xml:space="preserve"> </v>
      </c>
      <c r="CS239" s="48">
        <f>+VLOOKUP(Tabla1[[#This Row],[ESPECÍFICA]],CLASIFICADOR_,5,0)</f>
        <v>0</v>
      </c>
      <c r="CT239" s="113" t="str">
        <f>+VLOOKUP(Tabla1[[#This Row],[ESPECÍFICA]],CLASIFICADOR_,6,0)</f>
        <v>N/R</v>
      </c>
      <c r="CU239" s="48" t="str">
        <f>+VLOOKUP(Tabla1[[#This Row],[ESPECÍFICA]],CLASIFICADOR_,7,0)</f>
        <v>N/R</v>
      </c>
      <c r="CV239" s="48">
        <f>+VLOOKUP(Tabla1[[#This Row],[ESPECÍFICA]],CLASIFICADOR_,8,0)</f>
        <v>0</v>
      </c>
      <c r="CW239" s="113" t="str">
        <f>+CONCATENATE("2.",Tabla1[[#This Row],[generica]])</f>
        <v>2.3.BIENES Y SERVICIOS</v>
      </c>
      <c r="CX239" s="48" t="str">
        <f t="shared" si="42"/>
        <v>0011-OC</v>
      </c>
      <c r="CY239" s="113" t="str">
        <f t="shared" si="43"/>
        <v>0011-OC</v>
      </c>
      <c r="CZ239" s="20" t="str">
        <f t="shared" si="44"/>
        <v>0011-OC</v>
      </c>
      <c r="DA239" s="113" t="str">
        <f>+CONCATENATE(Tabla1[[#This Row],[CC COMPLETO]],Tabla1[[#This Row],[ESPECÍFICA]])</f>
        <v>0011-OC2.3.2.5.1.99</v>
      </c>
      <c r="DB239" s="49">
        <f t="shared" si="45"/>
        <v>5097.99</v>
      </c>
      <c r="DC239" s="49">
        <f t="shared" si="46"/>
        <v>3587</v>
      </c>
      <c r="DD239" s="49">
        <f t="shared" si="47"/>
        <v>3587</v>
      </c>
      <c r="DE239" s="49">
        <f t="shared" si="48"/>
        <v>2.0100000000002183</v>
      </c>
      <c r="DF239" s="49">
        <f t="shared" si="49"/>
        <v>0</v>
      </c>
      <c r="DG239" s="49">
        <f t="shared" si="50"/>
        <v>1510.9899999999998</v>
      </c>
      <c r="DH239" s="49">
        <f t="shared" si="51"/>
        <v>1513</v>
      </c>
      <c r="DI239" s="50">
        <f t="shared" si="52"/>
        <v>0</v>
      </c>
      <c r="DJ239" s="78">
        <f>+SUM(Tabla1[[#This Row],[EJECUTADO 01]:[EJECUTADO 06]])</f>
        <v>3587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0</v>
      </c>
      <c r="DO239" s="78">
        <f>+Tabla1[[#This Row],[mto_devenga_05]]</f>
        <v>3587</v>
      </c>
      <c r="DP239" s="76">
        <f>+Tabla1[[#This Row],[mto_devenga_06]]</f>
        <v>0</v>
      </c>
      <c r="DQ239" s="76">
        <f>+Tabla1[[#This Row],[mto_devenga_07]]</f>
        <v>0</v>
      </c>
      <c r="DR239" s="76">
        <f>+Tabla1[[#This Row],[mto_devenga_08]]</f>
        <v>0</v>
      </c>
      <c r="DS239" s="76">
        <f>+Tabla1[[#This Row],[mto_devenga_09]]</f>
        <v>0</v>
      </c>
      <c r="DT239" s="76">
        <f>IFERROR(VLOOKUP(Tabla1[[#This Row],[COD SE]],PF_OCTUBRE,14,0),"0")</f>
        <v>1413</v>
      </c>
      <c r="DU239" s="76">
        <f>IFERROR(VLOOKUP(Tabla1[[#This Row],[COD SE]],PF_OCTUBRE,15,0),"0")</f>
        <v>0</v>
      </c>
      <c r="DV239" s="76">
        <f>IFERROR(VLOOKUP(Tabla1[[#This Row],[COD SE]],PF_OCTUBRE,16,0),"0")</f>
        <v>0</v>
      </c>
      <c r="DW239" s="76">
        <f>+SUM(Tabla1[[#This Row],[EJECUTADO 01]:[PF DICIEMBRE
]])</f>
        <v>5000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5000</v>
      </c>
      <c r="EB239" s="76">
        <f>IFERROR(VLOOKUP(Tabla1[[#This Row],[COD SE]],PF_OCTUBRE,22,0),"0")</f>
        <v>0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5100</v>
      </c>
      <c r="EF239" s="76">
        <f>+Tabla1[[#This Row],[mto_pim]]-Tabla1[[#This Row],[TRANFS ESC 3 ]]</f>
        <v>5100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5000</v>
      </c>
      <c r="EK239" s="76">
        <f>+IFERROR(VLOOKUP(Tabla1[[#This Row],[COD SE]],HISTORICO,8,0),0)</f>
        <v>5000</v>
      </c>
      <c r="EL239" s="76">
        <f>+IFERROR(VLOOKUP(Tabla1[[#This Row],[COD SE]],HISTORICO,9,0),0)</f>
        <v>0</v>
      </c>
      <c r="EM239" s="76">
        <f>+IFERROR(VLOOKUP(Tabla1[[#This Row],[COD SE]],HISTORICO,10,0),0)</f>
        <v>0</v>
      </c>
      <c r="EN239" s="76">
        <f>+IFERROR(VLOOKUP(Tabla1[[#This Row],[COD SE]],HISTORICO,11,0),0)</f>
        <v>0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3587</v>
      </c>
      <c r="ER239" s="58">
        <f>+SUM(Tabla1[[#This Row],[EJECUTADO 07]:[EJECUTADO 09]])</f>
        <v>0</v>
      </c>
      <c r="ES239" s="58">
        <f>+SUM(Tabla1[[#This Row],[PF OCTUBRE]:[PF DICIEMBRE
]])</f>
        <v>1413</v>
      </c>
      <c r="ET239" s="58">
        <f>+SUM(Tabla1[[#This Row],[EJECUTADO 01]:[EJECUTADO 09]])</f>
        <v>3587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1673</v>
      </c>
      <c r="AE240" s="369" t="s">
        <v>1678</v>
      </c>
      <c r="AF240" s="369" t="s">
        <v>1679</v>
      </c>
      <c r="AG240" s="369" t="s">
        <v>1696</v>
      </c>
      <c r="AH240" s="369">
        <v>10000</v>
      </c>
      <c r="AI240" s="369">
        <v>-9047</v>
      </c>
      <c r="AJ240" s="369">
        <v>953</v>
      </c>
      <c r="AK240" s="370">
        <v>952.61</v>
      </c>
      <c r="AL240" s="370">
        <v>952.61</v>
      </c>
      <c r="AM240" s="370">
        <v>0</v>
      </c>
      <c r="AN240" s="370">
        <v>0</v>
      </c>
      <c r="AO240" s="370">
        <v>0</v>
      </c>
      <c r="AP240" s="370">
        <v>0</v>
      </c>
      <c r="AQ240" s="370">
        <v>0</v>
      </c>
      <c r="AR240" s="370">
        <v>0</v>
      </c>
      <c r="AS240" s="370">
        <v>0</v>
      </c>
      <c r="AT240" s="370">
        <v>952.61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0</v>
      </c>
      <c r="BE240" s="370">
        <v>0</v>
      </c>
      <c r="BF240" s="370">
        <v>952.61</v>
      </c>
      <c r="BG240" s="370">
        <v>0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0</v>
      </c>
      <c r="BQ240" s="370">
        <v>0</v>
      </c>
      <c r="BR240" s="370">
        <v>952.61</v>
      </c>
      <c r="BS240" s="370">
        <v>0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0</v>
      </c>
      <c r="CA240" s="370">
        <v>0</v>
      </c>
      <c r="CB240" s="370">
        <v>0</v>
      </c>
      <c r="CC240" s="370">
        <v>0</v>
      </c>
      <c r="CD240" s="370">
        <v>952.61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1987</v>
      </c>
      <c r="CL240" s="48" t="s">
        <v>1989</v>
      </c>
      <c r="CM240" s="48" t="s">
        <v>2013</v>
      </c>
      <c r="CN240" s="48" t="s">
        <v>1990</v>
      </c>
      <c r="CO240" s="48" t="str">
        <f t="shared" si="57"/>
        <v>2.3.2.7.10.1</v>
      </c>
      <c r="CP240" s="48" t="str">
        <f>+VLOOKUP(Tabla1[[#This Row],[ESPECÍFICA]],CLASIFICADOR_,2,0)</f>
        <v>2.3.2.7.10.1 - SEMINARIOS ,TALLERES Y SIMILARES ORGANIZADOS POR LA  INSTITUCION</v>
      </c>
      <c r="CQ240" s="48" t="str">
        <f>+VLOOKUP(Tabla1[[#This Row],[ESPECÍFICA]],CLASIFICADOR_,3,0)</f>
        <v>2.3.2.7 - SERVICIOS PROFESIONALES Y TECNICOS</v>
      </c>
      <c r="CR240" s="48" t="str">
        <f>+VLOOKUP(Tabla1[[#This Row],[ESPECÍFICA]],CLASIFICADOR_,4,0)</f>
        <v>Límite de Gasto</v>
      </c>
      <c r="CS240" s="48" t="str">
        <f>+VLOOKUP(Tabla1[[#This Row],[ESPECÍFICA]],CLASIFICADOR_,5,0)</f>
        <v>10.6 f)</v>
      </c>
      <c r="CT240" s="113" t="str">
        <f>+VLOOKUP(Tabla1[[#This Row],[ESPECÍFICA]],CLASIFICADOR_,6,0)</f>
        <v>N/R</v>
      </c>
      <c r="CU240" s="48" t="str">
        <f>+VLOOKUP(Tabla1[[#This Row],[ESPECÍFICA]],CLASIFICADOR_,7,0)</f>
        <v>N/R</v>
      </c>
      <c r="CV240" s="48">
        <f>+VLOOKUP(Tabla1[[#This Row],[ESPECÍFICA]],CLASIFICADOR_,8,0)</f>
        <v>0</v>
      </c>
      <c r="CW240" s="113" t="str">
        <f>+CONCATENATE("2.",Tabla1[[#This Row],[generica]])</f>
        <v>2.3.BIENES Y SERVICIOS</v>
      </c>
      <c r="CX240" s="48" t="str">
        <f t="shared" si="42"/>
        <v>0011-OC</v>
      </c>
      <c r="CY240" s="113" t="str">
        <f t="shared" si="43"/>
        <v>0011-OC</v>
      </c>
      <c r="CZ240" s="20" t="str">
        <f t="shared" si="44"/>
        <v>0011-OC</v>
      </c>
      <c r="DA240" s="113" t="str">
        <f>+CONCATENATE(Tabla1[[#This Row],[CC COMPLETO]],Tabla1[[#This Row],[ESPECÍFICA]])</f>
        <v>0011-OC2.3.2.7.10.1</v>
      </c>
      <c r="DB240" s="49">
        <f t="shared" si="45"/>
        <v>952.61</v>
      </c>
      <c r="DC240" s="49">
        <f t="shared" si="46"/>
        <v>952.61</v>
      </c>
      <c r="DD240" s="49">
        <f t="shared" si="47"/>
        <v>952.61</v>
      </c>
      <c r="DE240" s="49">
        <f t="shared" si="48"/>
        <v>0.38999999999998636</v>
      </c>
      <c r="DF240" s="49">
        <f t="shared" si="49"/>
        <v>0</v>
      </c>
      <c r="DG240" s="49">
        <f t="shared" si="50"/>
        <v>0</v>
      </c>
      <c r="DH240" s="49">
        <f t="shared" si="51"/>
        <v>0.38999999999998636</v>
      </c>
      <c r="DI240" s="50">
        <f t="shared" si="52"/>
        <v>9.5260999999999998E-2</v>
      </c>
      <c r="DJ240" s="78">
        <f>+SUM(Tabla1[[#This Row],[EJECUTADO 01]:[EJECUTADO 06]])</f>
        <v>0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0</v>
      </c>
      <c r="DQ240" s="76">
        <f>+Tabla1[[#This Row],[mto_devenga_07]]</f>
        <v>0</v>
      </c>
      <c r="DR240" s="76">
        <f>+Tabla1[[#This Row],[mto_devenga_08]]</f>
        <v>952.61</v>
      </c>
      <c r="DS240" s="76">
        <f>+Tabla1[[#This Row],[mto_devenga_09]]</f>
        <v>0</v>
      </c>
      <c r="DT240" s="76">
        <f>IFERROR(VLOOKUP(Tabla1[[#This Row],[COD SE]],PF_OCTUBRE,14,0),"0")</f>
        <v>0</v>
      </c>
      <c r="DU240" s="76">
        <f>IFERROR(VLOOKUP(Tabla1[[#This Row],[COD SE]],PF_OCTUBRE,15,0),"0")</f>
        <v>0</v>
      </c>
      <c r="DV240" s="76">
        <f>IFERROR(VLOOKUP(Tabla1[[#This Row],[COD SE]],PF_OCTUBRE,16,0),"0")</f>
        <v>0.39</v>
      </c>
      <c r="DW240" s="76">
        <f>+SUM(Tabla1[[#This Row],[EJECUTADO 01]:[PF DICIEMBRE
]])</f>
        <v>953</v>
      </c>
      <c r="DX240" s="76">
        <f>IFERROR(VLOOKUP(Tabla1[[#This Row],[COD SE]],PF_OCTUBRE,18,0),"0")</f>
        <v>0</v>
      </c>
      <c r="DY240" s="76">
        <f>IFERROR(VLOOKUP(Tabla1[[#This Row],[COD SE]],PF_OCTUBRE,19,0),"0")</f>
        <v>0</v>
      </c>
      <c r="DZ240" s="76">
        <f>IFERROR(VLOOKUP(Tabla1[[#This Row],[COD SE]],PF_OCTUBRE,20,0),"0")</f>
        <v>0</v>
      </c>
      <c r="EA240" s="76">
        <f>+Tabla1[[#This Row],[TOTAL EJEC REAL]]+Tabla1[[#This Row],[SALDO FINAL]]</f>
        <v>953</v>
      </c>
      <c r="EB240" s="76">
        <f>IFERROR(VLOOKUP(Tabla1[[#This Row],[COD SE]],PF_OCTUBRE,22,0),"0")</f>
        <v>0.39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953</v>
      </c>
      <c r="EF240" s="76">
        <f>+Tabla1[[#This Row],[mto_pim]]-Tabla1[[#This Row],[TRANFS ESC 3 ]]</f>
        <v>953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0</v>
      </c>
      <c r="EK240" s="76">
        <f>+IFERROR(VLOOKUP(Tabla1[[#This Row],[COD SE]],HISTORICO,8,0),0)</f>
        <v>999</v>
      </c>
      <c r="EL240" s="76">
        <f>+IFERROR(VLOOKUP(Tabla1[[#This Row],[COD SE]],HISTORICO,9,0),0)</f>
        <v>0</v>
      </c>
      <c r="EM240" s="76">
        <f>+IFERROR(VLOOKUP(Tabla1[[#This Row],[COD SE]],HISTORICO,10,0),0)</f>
        <v>0</v>
      </c>
      <c r="EN240" s="76">
        <f>+IFERROR(VLOOKUP(Tabla1[[#This Row],[COD SE]],HISTORICO,11,0),0)</f>
        <v>999</v>
      </c>
      <c r="EO240" s="76">
        <f>+IFERROR(VLOOKUP(Tabla1[[#This Row],[COD SE]],HISTORICO,12,0),0)</f>
        <v>0</v>
      </c>
      <c r="EP240" s="58">
        <f>+SUM(Tabla1[[#This Row],[EJECUTADO 01]:[EJECUTADO 03]])</f>
        <v>0</v>
      </c>
      <c r="EQ240" s="58">
        <f>+SUM(Tabla1[[#This Row],[EJECUTADO 04]:[EJECUTADO 06]])</f>
        <v>0</v>
      </c>
      <c r="ER240" s="58">
        <f>+SUM(Tabla1[[#This Row],[EJECUTADO 07]:[EJECUTADO 09]])</f>
        <v>952.61</v>
      </c>
      <c r="ES240" s="58">
        <f>+SUM(Tabla1[[#This Row],[PF OCTUBRE]:[PF DICIEMBRE
]])</f>
        <v>0.39</v>
      </c>
      <c r="ET240" s="58">
        <f>+SUM(Tabla1[[#This Row],[EJECUTADO 01]:[EJECUTADO 09]])</f>
        <v>952.61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2004</v>
      </c>
      <c r="AB241" s="369" t="s">
        <v>1986</v>
      </c>
      <c r="AC241" s="369" t="s">
        <v>1672</v>
      </c>
      <c r="AD241" s="369" t="s">
        <v>1673</v>
      </c>
      <c r="AE241" s="369" t="s">
        <v>1678</v>
      </c>
      <c r="AF241" s="369" t="s">
        <v>1697</v>
      </c>
      <c r="AG241" s="369" t="s">
        <v>1698</v>
      </c>
      <c r="AH241" s="369">
        <v>0</v>
      </c>
      <c r="AI241" s="369">
        <v>62435</v>
      </c>
      <c r="AJ241" s="369">
        <v>62435</v>
      </c>
      <c r="AK241" s="370">
        <v>14035</v>
      </c>
      <c r="AL241" s="370">
        <v>14035</v>
      </c>
      <c r="AM241" s="370">
        <v>0</v>
      </c>
      <c r="AN241" s="370">
        <v>0</v>
      </c>
      <c r="AO241" s="370">
        <v>0</v>
      </c>
      <c r="AP241" s="370">
        <v>14035</v>
      </c>
      <c r="AQ241" s="370">
        <v>0</v>
      </c>
      <c r="AR241" s="370">
        <v>0</v>
      </c>
      <c r="AS241" s="370">
        <v>0</v>
      </c>
      <c r="AT241" s="370">
        <v>0</v>
      </c>
      <c r="AU241" s="370">
        <v>0</v>
      </c>
      <c r="AV241" s="370">
        <v>0</v>
      </c>
      <c r="AW241" s="370">
        <v>0</v>
      </c>
      <c r="AX241" s="370">
        <v>0</v>
      </c>
      <c r="AY241" s="370">
        <v>0</v>
      </c>
      <c r="AZ241" s="370">
        <v>0</v>
      </c>
      <c r="BA241" s="370">
        <v>0</v>
      </c>
      <c r="BB241" s="370">
        <v>0</v>
      </c>
      <c r="BC241" s="370">
        <v>0</v>
      </c>
      <c r="BD241" s="370">
        <v>14035</v>
      </c>
      <c r="BE241" s="370">
        <v>0</v>
      </c>
      <c r="BF241" s="370">
        <v>0</v>
      </c>
      <c r="BG241" s="370">
        <v>0</v>
      </c>
      <c r="BH241" s="370">
        <v>0</v>
      </c>
      <c r="BI241" s="370">
        <v>0</v>
      </c>
      <c r="BJ241" s="370">
        <v>0</v>
      </c>
      <c r="BK241" s="370">
        <v>0</v>
      </c>
      <c r="BL241" s="370">
        <v>0</v>
      </c>
      <c r="BM241" s="370">
        <v>0</v>
      </c>
      <c r="BN241" s="370">
        <v>0</v>
      </c>
      <c r="BO241" s="370">
        <v>0</v>
      </c>
      <c r="BP241" s="370">
        <v>14035</v>
      </c>
      <c r="BQ241" s="370">
        <v>0</v>
      </c>
      <c r="BR241" s="370">
        <v>0</v>
      </c>
      <c r="BS241" s="370">
        <v>0</v>
      </c>
      <c r="BT241" s="370">
        <v>0</v>
      </c>
      <c r="BU241" s="370">
        <v>0</v>
      </c>
      <c r="BV241" s="370">
        <v>0</v>
      </c>
      <c r="BW241" s="370">
        <v>0</v>
      </c>
      <c r="BX241" s="370">
        <v>0</v>
      </c>
      <c r="BY241" s="370">
        <v>0</v>
      </c>
      <c r="BZ241" s="370">
        <v>14035</v>
      </c>
      <c r="CA241" s="370">
        <v>0</v>
      </c>
      <c r="CB241" s="370">
        <v>0</v>
      </c>
      <c r="CC241" s="370">
        <v>0</v>
      </c>
      <c r="CD241" s="370">
        <v>0</v>
      </c>
      <c r="CE241" s="370">
        <v>0</v>
      </c>
      <c r="CF241" s="370">
        <v>0</v>
      </c>
      <c r="CG241" s="370">
        <v>0</v>
      </c>
      <c r="CH241" s="370">
        <v>0</v>
      </c>
      <c r="CI241" s="48" t="s">
        <v>1987</v>
      </c>
      <c r="CJ241" s="48" t="s">
        <v>1991</v>
      </c>
      <c r="CK241" s="48" t="s">
        <v>1987</v>
      </c>
      <c r="CL241" s="48" t="s">
        <v>1989</v>
      </c>
      <c r="CM241" s="48" t="s">
        <v>2021</v>
      </c>
      <c r="CN241" s="48" t="s">
        <v>1998</v>
      </c>
      <c r="CO241" s="48" t="str">
        <f t="shared" si="57"/>
        <v>2.3.2.7.11.99</v>
      </c>
      <c r="CP241" s="48" t="str">
        <f>+VLOOKUP(Tabla1[[#This Row],[ESPECÍFICA]],CLASIFICADOR_,2,0)</f>
        <v>2.3.2.7.11.99 - SERVICIOS DIVERSOS</v>
      </c>
      <c r="CQ241" s="48" t="str">
        <f>+VLOOKUP(Tabla1[[#This Row],[ESPECÍFICA]],CLASIFICADOR_,3,0)</f>
        <v>2.3.2.7 - SERVICIOS PROFESIONALES Y TECNICOS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Partidas restringidas</v>
      </c>
      <c r="CU241" s="48">
        <f>+VLOOKUP(Tabla1[[#This Row],[ESPECÍFICA]],CLASIFICADOR_,7,0)</f>
        <v>9.1300000000000008</v>
      </c>
      <c r="CV241" s="48">
        <f>+VLOOKUP(Tabla1[[#This Row],[ESPECÍFICA]],CLASIFICADOR_,8,0)</f>
        <v>10</v>
      </c>
      <c r="CW241" s="113" t="str">
        <f>+CONCATENATE("2.",Tabla1[[#This Row],[generica]])</f>
        <v>2.3.BIENES Y SERVICIOS</v>
      </c>
      <c r="CX241" s="48" t="str">
        <f t="shared" si="42"/>
        <v>0011-OC</v>
      </c>
      <c r="CY241" s="113" t="str">
        <f t="shared" si="43"/>
        <v>0011-OC</v>
      </c>
      <c r="CZ241" s="20" t="str">
        <f t="shared" si="44"/>
        <v>0011-OC</v>
      </c>
      <c r="DA241" s="113" t="str">
        <f>+CONCATENATE(Tabla1[[#This Row],[CC COMPLETO]],Tabla1[[#This Row],[ESPECÍFICA]])</f>
        <v>0011-OC2.3.2.7.11.99</v>
      </c>
      <c r="DB241" s="49">
        <f t="shared" si="45"/>
        <v>14035</v>
      </c>
      <c r="DC241" s="49">
        <f t="shared" si="46"/>
        <v>14035</v>
      </c>
      <c r="DD241" s="49">
        <f t="shared" si="47"/>
        <v>14035</v>
      </c>
      <c r="DE241" s="49">
        <f t="shared" si="48"/>
        <v>48400</v>
      </c>
      <c r="DF241" s="49">
        <f t="shared" si="49"/>
        <v>0</v>
      </c>
      <c r="DG241" s="49">
        <f t="shared" si="50"/>
        <v>0</v>
      </c>
      <c r="DH241" s="49">
        <f t="shared" si="51"/>
        <v>48400</v>
      </c>
      <c r="DI241" s="50">
        <f t="shared" si="52"/>
        <v>0</v>
      </c>
      <c r="DJ241" s="78">
        <f>+SUM(Tabla1[[#This Row],[EJECUTADO 01]:[EJECUTADO 06]])</f>
        <v>14035</v>
      </c>
      <c r="DK241" s="78">
        <f>+Tabla1[[#This Row],[mto_devenga_01]]</f>
        <v>0</v>
      </c>
      <c r="DL241" s="78">
        <f>+Tabla1[[#This Row],[mto_devenga_02]]</f>
        <v>0</v>
      </c>
      <c r="DM241" s="78">
        <f>+Tabla1[[#This Row],[mto_devenga_03]]</f>
        <v>0</v>
      </c>
      <c r="DN241" s="78">
        <f>+Tabla1[[#This Row],[mto_devenga_04]]</f>
        <v>0</v>
      </c>
      <c r="DO241" s="78">
        <f>+Tabla1[[#This Row],[mto_devenga_05]]</f>
        <v>0</v>
      </c>
      <c r="DP241" s="76">
        <f>+Tabla1[[#This Row],[mto_devenga_06]]</f>
        <v>14035</v>
      </c>
      <c r="DQ241" s="76">
        <f>+Tabla1[[#This Row],[mto_devenga_07]]</f>
        <v>0</v>
      </c>
      <c r="DR241" s="76">
        <f>+Tabla1[[#This Row],[mto_devenga_08]]</f>
        <v>0</v>
      </c>
      <c r="DS241" s="76">
        <f>+Tabla1[[#This Row],[mto_devenga_09]]</f>
        <v>0</v>
      </c>
      <c r="DT241" s="76">
        <f>IFERROR(VLOOKUP(Tabla1[[#This Row],[COD SE]],PF_OCTUBRE,14,0),"0")</f>
        <v>48400</v>
      </c>
      <c r="DU241" s="76">
        <f>IFERROR(VLOOKUP(Tabla1[[#This Row],[COD SE]],PF_OCTUBRE,15,0),"0")</f>
        <v>0</v>
      </c>
      <c r="DV241" s="76">
        <f>IFERROR(VLOOKUP(Tabla1[[#This Row],[COD SE]],PF_OCTUBRE,16,0),"0")</f>
        <v>0</v>
      </c>
      <c r="DW241" s="76">
        <f>+SUM(Tabla1[[#This Row],[EJECUTADO 01]:[PF DICIEMBRE
]])</f>
        <v>62435</v>
      </c>
      <c r="DX241" s="76">
        <f>IFERROR(VLOOKUP(Tabla1[[#This Row],[COD SE]],PF_OCTUBRE,18,0),"0")</f>
        <v>0</v>
      </c>
      <c r="DY241" s="76">
        <f>IFERROR(VLOOKUP(Tabla1[[#This Row],[COD SE]],PF_OCTUBRE,19,0),"0")</f>
        <v>0</v>
      </c>
      <c r="DZ241" s="76">
        <f>IFERROR(VLOOKUP(Tabla1[[#This Row],[COD SE]],PF_OCTUBRE,20,0),"0")</f>
        <v>0</v>
      </c>
      <c r="EA241" s="76">
        <f>+Tabla1[[#This Row],[TOTAL EJEC REAL]]+Tabla1[[#This Row],[SALDO FINAL]]</f>
        <v>62435</v>
      </c>
      <c r="EB241" s="76">
        <f>IFERROR(VLOOKUP(Tabla1[[#This Row],[COD SE]],PF_OCTUBRE,22,0),"0")</f>
        <v>0</v>
      </c>
      <c r="EC241" s="76">
        <f>+IFERROR(VLOOKUP(Tabla1[[#This Row],[COD SE]],SALDO_ESC_2,7,0),0)</f>
        <v>0</v>
      </c>
      <c r="ED241" s="76">
        <f>+IFERROR(VLOOKUP(Tabla1[[#This Row],[COD SE]],SALDO_ESC_3,7,0),0)</f>
        <v>0</v>
      </c>
      <c r="EE241" s="76">
        <f>+Tabla1[[#This Row],[mto_pim]]-Tabla1[[#This Row],[TRANSF ESC2 ]]</f>
        <v>62435</v>
      </c>
      <c r="EF241" s="76">
        <f>+Tabla1[[#This Row],[mto_pim]]-Tabla1[[#This Row],[TRANFS ESC 3 ]]</f>
        <v>62435</v>
      </c>
      <c r="EG241" s="76">
        <f>+IFERROR(VLOOKUP(Tabla1[[#This Row],[COD SE]],HISTORICO,4,0),0)</f>
        <v>0</v>
      </c>
      <c r="EH241" s="76">
        <f>+IFERROR(VLOOKUP(Tabla1[[#This Row],[COD SE]],HISTORICO,5,0),0)</f>
        <v>0</v>
      </c>
      <c r="EI241" s="76">
        <f>+IFERROR(VLOOKUP(Tabla1[[#This Row],[COD SE]],HISTORICO,6,0),0)</f>
        <v>0</v>
      </c>
      <c r="EJ241" s="76">
        <f>+IFERROR(VLOOKUP(Tabla1[[#This Row],[COD SE]],HISTORICO,7,0),0)</f>
        <v>0</v>
      </c>
      <c r="EK241" s="76">
        <f>+IFERROR(VLOOKUP(Tabla1[[#This Row],[COD SE]],HISTORICO,8,0),0)</f>
        <v>14035</v>
      </c>
      <c r="EL241" s="76">
        <f>+IFERROR(VLOOKUP(Tabla1[[#This Row],[COD SE]],HISTORICO,9,0),0)</f>
        <v>14035</v>
      </c>
      <c r="EM241" s="76">
        <f>+IFERROR(VLOOKUP(Tabla1[[#This Row],[COD SE]],HISTORICO,10,0),0)</f>
        <v>0</v>
      </c>
      <c r="EN241" s="76">
        <f>+IFERROR(VLOOKUP(Tabla1[[#This Row],[COD SE]],HISTORICO,11,0),0)</f>
        <v>0</v>
      </c>
      <c r="EO241" s="76">
        <f>+IFERROR(VLOOKUP(Tabla1[[#This Row],[COD SE]],HISTORICO,12,0),0)</f>
        <v>0</v>
      </c>
      <c r="EP241" s="58">
        <f>+SUM(Tabla1[[#This Row],[EJECUTADO 01]:[EJECUTADO 03]])</f>
        <v>0</v>
      </c>
      <c r="EQ241" s="58">
        <f>+SUM(Tabla1[[#This Row],[EJECUTADO 04]:[EJECUTADO 06]])</f>
        <v>14035</v>
      </c>
      <c r="ER241" s="58">
        <f>+SUM(Tabla1[[#This Row],[EJECUTADO 07]:[EJECUTADO 09]])</f>
        <v>0</v>
      </c>
      <c r="ES241" s="58">
        <f>+SUM(Tabla1[[#This Row],[PF OCTUBRE]:[PF DICIEMBRE
]])</f>
        <v>48400</v>
      </c>
      <c r="ET241" s="58">
        <f>+SUM(Tabla1[[#This Row],[EJECUTADO 01]:[EJECUTADO 09]])</f>
        <v>14035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1672</v>
      </c>
      <c r="AD242" s="369" t="s">
        <v>1684</v>
      </c>
      <c r="AE242" s="369" t="s">
        <v>1716</v>
      </c>
      <c r="AF242" s="369" t="s">
        <v>1717</v>
      </c>
      <c r="AG242" s="369" t="s">
        <v>1720</v>
      </c>
      <c r="AH242" s="369">
        <v>0</v>
      </c>
      <c r="AI242" s="369">
        <v>1386</v>
      </c>
      <c r="AJ242" s="369">
        <v>1386</v>
      </c>
      <c r="AK242" s="370">
        <v>1386</v>
      </c>
      <c r="AL242" s="370">
        <v>1386</v>
      </c>
      <c r="AM242" s="370">
        <v>0</v>
      </c>
      <c r="AN242" s="370">
        <v>0</v>
      </c>
      <c r="AO242" s="370">
        <v>0</v>
      </c>
      <c r="AP242" s="370">
        <v>0</v>
      </c>
      <c r="AQ242" s="370">
        <v>0</v>
      </c>
      <c r="AR242" s="370">
        <v>0</v>
      </c>
      <c r="AS242" s="370">
        <v>0</v>
      </c>
      <c r="AT242" s="370">
        <v>1386</v>
      </c>
      <c r="AU242" s="370">
        <v>0</v>
      </c>
      <c r="AV242" s="370">
        <v>0</v>
      </c>
      <c r="AW242" s="370">
        <v>0</v>
      </c>
      <c r="AX242" s="370">
        <v>0</v>
      </c>
      <c r="AY242" s="370">
        <v>0</v>
      </c>
      <c r="AZ242" s="370">
        <v>0</v>
      </c>
      <c r="BA242" s="370">
        <v>0</v>
      </c>
      <c r="BB242" s="370">
        <v>0</v>
      </c>
      <c r="BC242" s="370">
        <v>0</v>
      </c>
      <c r="BD242" s="370">
        <v>0</v>
      </c>
      <c r="BE242" s="370">
        <v>0</v>
      </c>
      <c r="BF242" s="370">
        <v>0</v>
      </c>
      <c r="BG242" s="370">
        <v>1386</v>
      </c>
      <c r="BH242" s="370">
        <v>0</v>
      </c>
      <c r="BI242" s="370">
        <v>0</v>
      </c>
      <c r="BJ242" s="370">
        <v>0</v>
      </c>
      <c r="BK242" s="370">
        <v>0</v>
      </c>
      <c r="BL242" s="370">
        <v>0</v>
      </c>
      <c r="BM242" s="370">
        <v>0</v>
      </c>
      <c r="BN242" s="370">
        <v>0</v>
      </c>
      <c r="BO242" s="370">
        <v>0</v>
      </c>
      <c r="BP242" s="370">
        <v>0</v>
      </c>
      <c r="BQ242" s="370">
        <v>0</v>
      </c>
      <c r="BR242" s="370">
        <v>0</v>
      </c>
      <c r="BS242" s="370">
        <v>1386</v>
      </c>
      <c r="BT242" s="370">
        <v>0</v>
      </c>
      <c r="BU242" s="370">
        <v>0</v>
      </c>
      <c r="BV242" s="370">
        <v>0</v>
      </c>
      <c r="BW242" s="370">
        <v>0</v>
      </c>
      <c r="BX242" s="370">
        <v>0</v>
      </c>
      <c r="BY242" s="370">
        <v>0</v>
      </c>
      <c r="BZ242" s="370">
        <v>0</v>
      </c>
      <c r="CA242" s="370">
        <v>0</v>
      </c>
      <c r="CB242" s="370">
        <v>0</v>
      </c>
      <c r="CC242" s="370">
        <v>0</v>
      </c>
      <c r="CD242" s="370">
        <v>1386</v>
      </c>
      <c r="CE242" s="370">
        <v>0</v>
      </c>
      <c r="CF242" s="370">
        <v>0</v>
      </c>
      <c r="CG242" s="370">
        <v>0</v>
      </c>
      <c r="CH242" s="370">
        <v>0</v>
      </c>
      <c r="CI242" s="48" t="s">
        <v>1987</v>
      </c>
      <c r="CJ242" s="48" t="s">
        <v>1991</v>
      </c>
      <c r="CK242" s="48" t="s">
        <v>1990</v>
      </c>
      <c r="CL242" s="48" t="s">
        <v>2011</v>
      </c>
      <c r="CM242" s="48" t="s">
        <v>1990</v>
      </c>
      <c r="CN242" s="48" t="s">
        <v>1990</v>
      </c>
      <c r="CO242" s="48" t="str">
        <f t="shared" si="57"/>
        <v>2.3.1.5.1.1</v>
      </c>
      <c r="CP242" s="48" t="str">
        <f>+VLOOKUP(Tabla1[[#This Row],[ESPECÍFICA]],CLASIFICADOR_,2,0)</f>
        <v>2.3.1.5.1.1 - REPUESTOS Y ACCESORIOS</v>
      </c>
      <c r="CQ242" s="48" t="str">
        <f>+VLOOKUP(Tabla1[[#This Row],[ESPECÍFICA]],CLASIFICADOR_,3,0)</f>
        <v>2.3.1.5 - MATERIALES Y  UTILES</v>
      </c>
      <c r="CR242" s="48" t="str">
        <f>+VLOOKUP(Tabla1[[#This Row],[ESPECÍFICA]],CLASIFICADOR_,4,0)</f>
        <v xml:space="preserve"> </v>
      </c>
      <c r="CS242" s="48">
        <f>+VLOOKUP(Tabla1[[#This Row],[ESPECÍFICA]],CLASIFICADOR_,5,0)</f>
        <v>0</v>
      </c>
      <c r="CT242" s="113" t="str">
        <f>+VLOOKUP(Tabla1[[#This Row],[ESPECÍFICA]],CLASIFICADOR_,6,0)</f>
        <v>N/R</v>
      </c>
      <c r="CU242" s="48" t="str">
        <f>+VLOOKUP(Tabla1[[#This Row],[ESPECÍFICA]],CLASIFICADOR_,7,0)</f>
        <v>N/R</v>
      </c>
      <c r="CV242" s="48">
        <f>+VLOOKUP(Tabla1[[#This Row],[ESPECÍFICA]],CLASIFICADOR_,8,0)</f>
        <v>0</v>
      </c>
      <c r="CW242" s="113" t="str">
        <f>+CONCATENATE("2.",Tabla1[[#This Row],[generica]])</f>
        <v>2.3.BIENES Y SERVICIOS</v>
      </c>
      <c r="CX242" s="48" t="str">
        <f t="shared" si="42"/>
        <v>0011-OC</v>
      </c>
      <c r="CY242" s="113" t="str">
        <f t="shared" si="43"/>
        <v>0011-OC</v>
      </c>
      <c r="CZ242" s="20" t="str">
        <f t="shared" si="44"/>
        <v>0011-OC</v>
      </c>
      <c r="DA242" s="113" t="str">
        <f>+CONCATENATE(Tabla1[[#This Row],[CC COMPLETO]],Tabla1[[#This Row],[ESPECÍFICA]])</f>
        <v>0011-OC2.3.1.5.1.1</v>
      </c>
      <c r="DB242" s="49">
        <f t="shared" si="45"/>
        <v>1386</v>
      </c>
      <c r="DC242" s="49">
        <f t="shared" si="46"/>
        <v>1386</v>
      </c>
      <c r="DD242" s="49">
        <f t="shared" si="47"/>
        <v>1386</v>
      </c>
      <c r="DE242" s="49">
        <f t="shared" si="48"/>
        <v>0</v>
      </c>
      <c r="DF242" s="49">
        <f t="shared" si="49"/>
        <v>0</v>
      </c>
      <c r="DG242" s="49">
        <f t="shared" si="50"/>
        <v>0</v>
      </c>
      <c r="DH242" s="49">
        <f t="shared" si="51"/>
        <v>0</v>
      </c>
      <c r="DI242" s="50">
        <f t="shared" si="52"/>
        <v>0</v>
      </c>
      <c r="DJ242" s="78">
        <f>+SUM(Tabla1[[#This Row],[EJECUTADO 01]:[EJECUTADO 06]])</f>
        <v>0</v>
      </c>
      <c r="DK242" s="78">
        <f>+Tabla1[[#This Row],[mto_devenga_01]]</f>
        <v>0</v>
      </c>
      <c r="DL242" s="78">
        <f>+Tabla1[[#This Row],[mto_devenga_02]]</f>
        <v>0</v>
      </c>
      <c r="DM242" s="78">
        <f>+Tabla1[[#This Row],[mto_devenga_03]]</f>
        <v>0</v>
      </c>
      <c r="DN242" s="78">
        <f>+Tabla1[[#This Row],[mto_devenga_04]]</f>
        <v>0</v>
      </c>
      <c r="DO242" s="78">
        <f>+Tabla1[[#This Row],[mto_devenga_05]]</f>
        <v>0</v>
      </c>
      <c r="DP242" s="76">
        <f>+Tabla1[[#This Row],[mto_devenga_06]]</f>
        <v>0</v>
      </c>
      <c r="DQ242" s="76">
        <f>+Tabla1[[#This Row],[mto_devenga_07]]</f>
        <v>0</v>
      </c>
      <c r="DR242" s="76">
        <f>+Tabla1[[#This Row],[mto_devenga_08]]</f>
        <v>0</v>
      </c>
      <c r="DS242" s="76">
        <f>+Tabla1[[#This Row],[mto_devenga_09]]</f>
        <v>1386</v>
      </c>
      <c r="DT242" s="76">
        <f>IFERROR(VLOOKUP(Tabla1[[#This Row],[COD SE]],PF_OCTUBRE,14,0),"0")</f>
        <v>0</v>
      </c>
      <c r="DU242" s="76">
        <f>IFERROR(VLOOKUP(Tabla1[[#This Row],[COD SE]],PF_OCTUBRE,15,0),"0")</f>
        <v>0</v>
      </c>
      <c r="DV242" s="76">
        <f>IFERROR(VLOOKUP(Tabla1[[#This Row],[COD SE]],PF_OCTUBRE,16,0),"0")</f>
        <v>0</v>
      </c>
      <c r="DW242" s="76">
        <f>+SUM(Tabla1[[#This Row],[EJECUTADO 01]:[PF DICIEMBRE
]])</f>
        <v>1386</v>
      </c>
      <c r="DX242" s="76">
        <f>IFERROR(VLOOKUP(Tabla1[[#This Row],[COD SE]],PF_OCTUBRE,18,0),"0")</f>
        <v>0</v>
      </c>
      <c r="DY242" s="76">
        <f>IFERROR(VLOOKUP(Tabla1[[#This Row],[COD SE]],PF_OCTUBRE,19,0),"0")</f>
        <v>0</v>
      </c>
      <c r="DZ242" s="76">
        <f>IFERROR(VLOOKUP(Tabla1[[#This Row],[COD SE]],PF_OCTUBRE,20,0),"0")</f>
        <v>0</v>
      </c>
      <c r="EA242" s="76">
        <f>+Tabla1[[#This Row],[TOTAL EJEC REAL]]+Tabla1[[#This Row],[SALDO FINAL]]</f>
        <v>1386</v>
      </c>
      <c r="EB242" s="76">
        <f>IFERROR(VLOOKUP(Tabla1[[#This Row],[COD SE]],PF_OCTUBRE,22,0),"0")</f>
        <v>0</v>
      </c>
      <c r="EC242" s="76">
        <f>+IFERROR(VLOOKUP(Tabla1[[#This Row],[COD SE]],SALDO_ESC_2,7,0),0)</f>
        <v>0</v>
      </c>
      <c r="ED242" s="76">
        <f>+IFERROR(VLOOKUP(Tabla1[[#This Row],[COD SE]],SALDO_ESC_3,7,0),0)</f>
        <v>0</v>
      </c>
      <c r="EE242" s="76">
        <f>+Tabla1[[#This Row],[mto_pim]]-Tabla1[[#This Row],[TRANSF ESC2 ]]</f>
        <v>1386</v>
      </c>
      <c r="EF242" s="76">
        <f>+Tabla1[[#This Row],[mto_pim]]-Tabla1[[#This Row],[TRANFS ESC 3 ]]</f>
        <v>1386</v>
      </c>
      <c r="EG242" s="76">
        <f>+IFERROR(VLOOKUP(Tabla1[[#This Row],[COD SE]],HISTORICO,4,0),0)</f>
        <v>0</v>
      </c>
      <c r="EH242" s="76">
        <f>+IFERROR(VLOOKUP(Tabla1[[#This Row],[COD SE]],HISTORICO,5,0),0)</f>
        <v>0</v>
      </c>
      <c r="EI242" s="76">
        <f>+IFERROR(VLOOKUP(Tabla1[[#This Row],[COD SE]],HISTORICO,6,0),0)</f>
        <v>0</v>
      </c>
      <c r="EJ242" s="76">
        <f>+IFERROR(VLOOKUP(Tabla1[[#This Row],[COD SE]],HISTORICO,7,0),0)</f>
        <v>0</v>
      </c>
      <c r="EK242" s="76">
        <f>+IFERROR(VLOOKUP(Tabla1[[#This Row],[COD SE]],HISTORICO,8,0),0)</f>
        <v>0</v>
      </c>
      <c r="EL242" s="76">
        <f>+IFERROR(VLOOKUP(Tabla1[[#This Row],[COD SE]],HISTORICO,9,0),0)</f>
        <v>0</v>
      </c>
      <c r="EM242" s="76">
        <f>+IFERROR(VLOOKUP(Tabla1[[#This Row],[COD SE]],HISTORICO,10,0),0)</f>
        <v>0</v>
      </c>
      <c r="EN242" s="76">
        <f>+IFERROR(VLOOKUP(Tabla1[[#This Row],[COD SE]],HISTORICO,11,0),0)</f>
        <v>1500</v>
      </c>
      <c r="EO242" s="76">
        <f>+IFERROR(VLOOKUP(Tabla1[[#This Row],[COD SE]],HISTORICO,12,0),0)</f>
        <v>1386</v>
      </c>
      <c r="EP242" s="58">
        <f>+SUM(Tabla1[[#This Row],[EJECUTADO 01]:[EJECUTADO 03]])</f>
        <v>0</v>
      </c>
      <c r="EQ242" s="58">
        <f>+SUM(Tabla1[[#This Row],[EJECUTADO 04]:[EJECUTADO 06]])</f>
        <v>0</v>
      </c>
      <c r="ER242" s="58">
        <f>+SUM(Tabla1[[#This Row],[EJECUTADO 07]:[EJECUTADO 09]])</f>
        <v>1386</v>
      </c>
      <c r="ES242" s="58">
        <f>+SUM(Tabla1[[#This Row],[PF OCTUBRE]:[PF DICIEMBRE
]])</f>
        <v>0</v>
      </c>
      <c r="ET242" s="58">
        <f>+SUM(Tabla1[[#This Row],[EJECUTADO 01]:[EJECUTADO 09]])</f>
        <v>1386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1672</v>
      </c>
      <c r="AD243" s="369" t="s">
        <v>1673</v>
      </c>
      <c r="AE243" s="369" t="s">
        <v>1678</v>
      </c>
      <c r="AF243" s="369" t="s">
        <v>1707</v>
      </c>
      <c r="AG243" s="369" t="s">
        <v>1708</v>
      </c>
      <c r="AH243" s="369">
        <v>33600</v>
      </c>
      <c r="AI243" s="369">
        <v>1</v>
      </c>
      <c r="AJ243" s="369">
        <v>33601</v>
      </c>
      <c r="AK243" s="370">
        <v>29299.98</v>
      </c>
      <c r="AL243" s="370">
        <v>29299.98</v>
      </c>
      <c r="AM243" s="370">
        <v>20999.98</v>
      </c>
      <c r="AN243" s="370">
        <v>0</v>
      </c>
      <c r="AO243" s="370">
        <v>0</v>
      </c>
      <c r="AP243" s="370">
        <v>0</v>
      </c>
      <c r="AQ243" s="370">
        <v>0</v>
      </c>
      <c r="AR243" s="370">
        <v>0</v>
      </c>
      <c r="AS243" s="370">
        <v>0</v>
      </c>
      <c r="AT243" s="370">
        <v>0</v>
      </c>
      <c r="AU243" s="370">
        <v>8300</v>
      </c>
      <c r="AV243" s="370">
        <v>0</v>
      </c>
      <c r="AW243" s="370">
        <v>0</v>
      </c>
      <c r="AX243" s="370">
        <v>0</v>
      </c>
      <c r="AY243" s="370">
        <v>2333.33</v>
      </c>
      <c r="AZ243" s="370">
        <v>2333.33</v>
      </c>
      <c r="BA243" s="370">
        <v>2333.33</v>
      </c>
      <c r="BB243" s="370">
        <v>2333.33</v>
      </c>
      <c r="BC243" s="370">
        <v>2333.33</v>
      </c>
      <c r="BD243" s="370">
        <v>2333.33</v>
      </c>
      <c r="BE243" s="370">
        <v>2333.33</v>
      </c>
      <c r="BF243" s="370">
        <v>2333.33</v>
      </c>
      <c r="BG243" s="370">
        <v>2333.34</v>
      </c>
      <c r="BH243" s="370">
        <v>0</v>
      </c>
      <c r="BI243" s="370">
        <v>0</v>
      </c>
      <c r="BJ243" s="370">
        <v>0</v>
      </c>
      <c r="BK243" s="370">
        <v>2333.33</v>
      </c>
      <c r="BL243" s="370">
        <v>2333.33</v>
      </c>
      <c r="BM243" s="370">
        <v>2333.33</v>
      </c>
      <c r="BN243" s="370">
        <v>2333.33</v>
      </c>
      <c r="BO243" s="370">
        <v>2333.33</v>
      </c>
      <c r="BP243" s="370">
        <v>2333.33</v>
      </c>
      <c r="BQ243" s="370">
        <v>2333.33</v>
      </c>
      <c r="BR243" s="370">
        <v>2333.33</v>
      </c>
      <c r="BS243" s="370">
        <v>2333.34</v>
      </c>
      <c r="BT243" s="370">
        <v>0</v>
      </c>
      <c r="BU243" s="370">
        <v>0</v>
      </c>
      <c r="BV243" s="370">
        <v>0</v>
      </c>
      <c r="BW243" s="370">
        <v>20999.98</v>
      </c>
      <c r="BX243" s="370">
        <v>0</v>
      </c>
      <c r="BY243" s="370">
        <v>0</v>
      </c>
      <c r="BZ243" s="370">
        <v>0</v>
      </c>
      <c r="CA243" s="370">
        <v>0</v>
      </c>
      <c r="CB243" s="370">
        <v>0</v>
      </c>
      <c r="CC243" s="370">
        <v>0</v>
      </c>
      <c r="CD243" s="370">
        <v>0</v>
      </c>
      <c r="CE243" s="370">
        <v>0</v>
      </c>
      <c r="CF243" s="370">
        <v>0</v>
      </c>
      <c r="CG243" s="370">
        <v>0</v>
      </c>
      <c r="CH243" s="370">
        <v>0</v>
      </c>
      <c r="CI243" s="48" t="s">
        <v>1987</v>
      </c>
      <c r="CJ243" s="48" t="s">
        <v>1991</v>
      </c>
      <c r="CK243" s="48" t="s">
        <v>1987</v>
      </c>
      <c r="CL243" s="48" t="s">
        <v>1989</v>
      </c>
      <c r="CM243" s="48" t="s">
        <v>2010</v>
      </c>
      <c r="CN243" s="48" t="s">
        <v>2012</v>
      </c>
      <c r="CO243" s="48" t="str">
        <f t="shared" si="57"/>
        <v>2.3.2.7.13.98</v>
      </c>
      <c r="CP243" s="48" t="str">
        <f>+VLOOKUP(Tabla1[[#This Row],[ESPECÍFICA]],CLASIFICADOR_,2,0)</f>
        <v>2.3.2.7.13.98 - OTROS SERVICIOS TÉCNICOS Y PROFESIONALES DESARROLLADOS POR PERSONAS JURÍDICAS</v>
      </c>
      <c r="CQ243" s="48" t="str">
        <f>+VLOOKUP(Tabla1[[#This Row],[ESPECÍFICA]],CLASIFICADOR_,3,0)</f>
        <v>2.3.2.7 - SERVICIOS PROFESIONALES Y TECNICOS</v>
      </c>
      <c r="CR243" s="48" t="str">
        <f>+VLOOKUP(Tabla1[[#This Row],[ESPECÍFICA]],CLASIFICADOR_,4,0)</f>
        <v xml:space="preserve"> </v>
      </c>
      <c r="CS243" s="48">
        <f>+VLOOKUP(Tabla1[[#This Row],[ESPECÍFICA]],CLASIFICADOR_,5,0)</f>
        <v>0</v>
      </c>
      <c r="CT243" s="113" t="str">
        <f>+VLOOKUP(Tabla1[[#This Row],[ESPECÍFICA]],CLASIFICADOR_,6,0)</f>
        <v>N/R</v>
      </c>
      <c r="CU243" s="48" t="str">
        <f>+VLOOKUP(Tabla1[[#This Row],[ESPECÍFICA]],CLASIFICADOR_,7,0)</f>
        <v>N/R</v>
      </c>
      <c r="CV243" s="48">
        <f>+VLOOKUP(Tabla1[[#This Row],[ESPECÍFICA]],CLASIFICADOR_,8,0)</f>
        <v>0</v>
      </c>
      <c r="CW243" s="113" t="str">
        <f>+CONCATENATE("2.",Tabla1[[#This Row],[generica]])</f>
        <v>2.3.BIENES Y SERVICIOS</v>
      </c>
      <c r="CX243" s="48" t="str">
        <f t="shared" si="42"/>
        <v>0011-OC</v>
      </c>
      <c r="CY243" s="113" t="str">
        <f t="shared" si="43"/>
        <v>0011-OC</v>
      </c>
      <c r="CZ243" s="20" t="str">
        <f t="shared" si="44"/>
        <v>0011-OC</v>
      </c>
      <c r="DA243" s="113" t="str">
        <f>+CONCATENATE(Tabla1[[#This Row],[CC COMPLETO]],Tabla1[[#This Row],[ESPECÍFICA]])</f>
        <v>0011-OC2.3.2.7.13.98</v>
      </c>
      <c r="DB243" s="49">
        <f t="shared" si="45"/>
        <v>29299.98</v>
      </c>
      <c r="DC243" s="49">
        <f t="shared" si="46"/>
        <v>20999.98</v>
      </c>
      <c r="DD243" s="49">
        <f t="shared" si="47"/>
        <v>20999.98</v>
      </c>
      <c r="DE243" s="49">
        <f t="shared" si="48"/>
        <v>4301.0200000000004</v>
      </c>
      <c r="DF243" s="49">
        <f t="shared" si="49"/>
        <v>0</v>
      </c>
      <c r="DG243" s="49">
        <f t="shared" si="50"/>
        <v>8300</v>
      </c>
      <c r="DH243" s="49">
        <f t="shared" si="51"/>
        <v>12601.02</v>
      </c>
      <c r="DI243" s="50">
        <f t="shared" si="52"/>
        <v>0.62499940476190474</v>
      </c>
      <c r="DJ243" s="78">
        <f>+SUM(Tabla1[[#This Row],[EJECUTADO 01]:[EJECUTADO 06]])</f>
        <v>13999.98</v>
      </c>
      <c r="DK243" s="78">
        <f>+Tabla1[[#This Row],[mto_devenga_01]]</f>
        <v>2333.33</v>
      </c>
      <c r="DL243" s="78">
        <f>+Tabla1[[#This Row],[mto_devenga_02]]</f>
        <v>2333.33</v>
      </c>
      <c r="DM243" s="78">
        <f>+Tabla1[[#This Row],[mto_devenga_03]]</f>
        <v>2333.33</v>
      </c>
      <c r="DN243" s="78">
        <f>+Tabla1[[#This Row],[mto_devenga_04]]</f>
        <v>2333.33</v>
      </c>
      <c r="DO243" s="78">
        <f>+Tabla1[[#This Row],[mto_devenga_05]]</f>
        <v>2333.33</v>
      </c>
      <c r="DP243" s="76">
        <f>+Tabla1[[#This Row],[mto_devenga_06]]</f>
        <v>2333.33</v>
      </c>
      <c r="DQ243" s="76">
        <f>+Tabla1[[#This Row],[mto_devenga_07]]</f>
        <v>2333.33</v>
      </c>
      <c r="DR243" s="76">
        <f>+Tabla1[[#This Row],[mto_devenga_08]]</f>
        <v>2333.33</v>
      </c>
      <c r="DS243" s="76">
        <f>+Tabla1[[#This Row],[mto_devenga_09]]</f>
        <v>2333.34</v>
      </c>
      <c r="DT243" s="76">
        <f>IFERROR(VLOOKUP(Tabla1[[#This Row],[COD SE]],PF_OCTUBRE,14,0),"0")</f>
        <v>3150</v>
      </c>
      <c r="DU243" s="76">
        <f>IFERROR(VLOOKUP(Tabla1[[#This Row],[COD SE]],PF_OCTUBRE,15,0),"0")</f>
        <v>3150</v>
      </c>
      <c r="DV243" s="76">
        <f>IFERROR(VLOOKUP(Tabla1[[#This Row],[COD SE]],PF_OCTUBRE,16,0),"0")</f>
        <v>6301.02</v>
      </c>
      <c r="DW243" s="76">
        <f>+SUM(Tabla1[[#This Row],[EJECUTADO 01]:[PF DICIEMBRE
]])</f>
        <v>33601</v>
      </c>
      <c r="DX243" s="76">
        <f>IFERROR(VLOOKUP(Tabla1[[#This Row],[COD SE]],PF_OCTUBRE,18,0),"0")</f>
        <v>0</v>
      </c>
      <c r="DY243" s="76">
        <f>IFERROR(VLOOKUP(Tabla1[[#This Row],[COD SE]],PF_OCTUBRE,19,0),"0")</f>
        <v>0</v>
      </c>
      <c r="DZ243" s="76">
        <f>IFERROR(VLOOKUP(Tabla1[[#This Row],[COD SE]],PF_OCTUBRE,20,0),"0")</f>
        <v>0</v>
      </c>
      <c r="EA243" s="76">
        <f>+Tabla1[[#This Row],[TOTAL EJEC REAL]]+Tabla1[[#This Row],[SALDO FINAL]]</f>
        <v>33601</v>
      </c>
      <c r="EB243" s="76">
        <f>IFERROR(VLOOKUP(Tabla1[[#This Row],[COD SE]],PF_OCTUBRE,22,0),"0")</f>
        <v>6301.02</v>
      </c>
      <c r="EC243" s="76">
        <f>+IFERROR(VLOOKUP(Tabla1[[#This Row],[COD SE]],SALDO_ESC_2,7,0),0)</f>
        <v>0</v>
      </c>
      <c r="ED243" s="76">
        <f>+IFERROR(VLOOKUP(Tabla1[[#This Row],[COD SE]],SALDO_ESC_3,7,0),0)</f>
        <v>0</v>
      </c>
      <c r="EE243" s="76">
        <f>+Tabla1[[#This Row],[mto_pim]]-Tabla1[[#This Row],[TRANSF ESC2 ]]</f>
        <v>33601</v>
      </c>
      <c r="EF243" s="76">
        <f>+Tabla1[[#This Row],[mto_pim]]-Tabla1[[#This Row],[TRANFS ESC 3 ]]</f>
        <v>33601</v>
      </c>
      <c r="EG243" s="76">
        <f>+IFERROR(VLOOKUP(Tabla1[[#This Row],[COD SE]],HISTORICO,4,0),0)</f>
        <v>2334.33</v>
      </c>
      <c r="EH243" s="76">
        <f>+IFERROR(VLOOKUP(Tabla1[[#This Row],[COD SE]],HISTORICO,5,0),0)</f>
        <v>2333.33</v>
      </c>
      <c r="EI243" s="76">
        <f>+IFERROR(VLOOKUP(Tabla1[[#This Row],[COD SE]],HISTORICO,6,0),0)</f>
        <v>2333.33</v>
      </c>
      <c r="EJ243" s="76">
        <f>+IFERROR(VLOOKUP(Tabla1[[#This Row],[COD SE]],HISTORICO,7,0),0)</f>
        <v>2333.33</v>
      </c>
      <c r="EK243" s="76">
        <f>+IFERROR(VLOOKUP(Tabla1[[#This Row],[COD SE]],HISTORICO,8,0),0)</f>
        <v>2333.33</v>
      </c>
      <c r="EL243" s="76">
        <f>+IFERROR(VLOOKUP(Tabla1[[#This Row],[COD SE]],HISTORICO,9,0),0)</f>
        <v>2333.33</v>
      </c>
      <c r="EM243" s="76">
        <f>+IFERROR(VLOOKUP(Tabla1[[#This Row],[COD SE]],HISTORICO,10,0),0)</f>
        <v>2333.34</v>
      </c>
      <c r="EN243" s="76">
        <f>+IFERROR(VLOOKUP(Tabla1[[#This Row],[COD SE]],HISTORICO,11,0),0)</f>
        <v>2333.4</v>
      </c>
      <c r="EO243" s="76">
        <f>+IFERROR(VLOOKUP(Tabla1[[#This Row],[COD SE]],HISTORICO,12,0),0)</f>
        <v>0</v>
      </c>
      <c r="EP243" s="58">
        <f>+SUM(Tabla1[[#This Row],[EJECUTADO 01]:[EJECUTADO 03]])</f>
        <v>6999.99</v>
      </c>
      <c r="EQ243" s="58">
        <f>+SUM(Tabla1[[#This Row],[EJECUTADO 04]:[EJECUTADO 06]])</f>
        <v>6999.99</v>
      </c>
      <c r="ER243" s="58">
        <f>+SUM(Tabla1[[#This Row],[EJECUTADO 07]:[EJECUTADO 09]])</f>
        <v>7000</v>
      </c>
      <c r="ES243" s="58">
        <f>+SUM(Tabla1[[#This Row],[PF OCTUBRE]:[PF DICIEMBRE
]])</f>
        <v>12601.02</v>
      </c>
      <c r="ET243" s="58">
        <f>+SUM(Tabla1[[#This Row],[EJECUTADO 01]:[EJECUTADO 09]])</f>
        <v>20999.98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2004</v>
      </c>
      <c r="AB244" s="369" t="s">
        <v>1986</v>
      </c>
      <c r="AC244" s="369" t="s">
        <v>1672</v>
      </c>
      <c r="AD244" s="369" t="s">
        <v>1673</v>
      </c>
      <c r="AE244" s="369" t="s">
        <v>1678</v>
      </c>
      <c r="AF244" s="369" t="s">
        <v>1740</v>
      </c>
      <c r="AG244" s="369" t="s">
        <v>1815</v>
      </c>
      <c r="AH244" s="369">
        <v>0</v>
      </c>
      <c r="AI244" s="369">
        <v>1120</v>
      </c>
      <c r="AJ244" s="369">
        <v>1120</v>
      </c>
      <c r="AK244" s="370">
        <v>1120</v>
      </c>
      <c r="AL244" s="370">
        <v>1120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1120</v>
      </c>
      <c r="AS244" s="370">
        <v>0</v>
      </c>
      <c r="AT244" s="370">
        <v>0</v>
      </c>
      <c r="AU244" s="370">
        <v>0</v>
      </c>
      <c r="AV244" s="370">
        <v>0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1120</v>
      </c>
      <c r="BF244" s="370">
        <v>0</v>
      </c>
      <c r="BG244" s="370">
        <v>0</v>
      </c>
      <c r="BH244" s="370">
        <v>0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1120</v>
      </c>
      <c r="BR244" s="370">
        <v>0</v>
      </c>
      <c r="BS244" s="370">
        <v>0</v>
      </c>
      <c r="BT244" s="370">
        <v>0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1120</v>
      </c>
      <c r="CC244" s="370">
        <v>0</v>
      </c>
      <c r="CD244" s="370">
        <v>0</v>
      </c>
      <c r="CE244" s="370">
        <v>0</v>
      </c>
      <c r="CF244" s="370">
        <v>0</v>
      </c>
      <c r="CG244" s="370">
        <v>0</v>
      </c>
      <c r="CH244" s="370">
        <v>0</v>
      </c>
      <c r="CI244" s="48" t="s">
        <v>1987</v>
      </c>
      <c r="CJ244" s="48" t="s">
        <v>1991</v>
      </c>
      <c r="CK244" s="48" t="s">
        <v>1987</v>
      </c>
      <c r="CL244" s="48" t="s">
        <v>1989</v>
      </c>
      <c r="CM244" s="48" t="s">
        <v>1993</v>
      </c>
      <c r="CN244" s="48" t="s">
        <v>1991</v>
      </c>
      <c r="CO244" s="48" t="str">
        <f t="shared" si="57"/>
        <v>2.3.2.7.4.3</v>
      </c>
      <c r="CP244" s="48" t="str">
        <f>+VLOOKUP(Tabla1[[#This Row],[ESPECÍFICA]],CLASIFICADOR_,2,0)</f>
        <v>2.3.2.7.4.3 - SOPORTE TECNICO</v>
      </c>
      <c r="CQ244" s="48" t="str">
        <f>+VLOOKUP(Tabla1[[#This Row],[ESPECÍFICA]],CLASIFICADOR_,3,0)</f>
        <v>2.3.2.7 - SERVICIOS PROFESIONALES Y TECNICOS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2.3.BIENES Y SERVICIOS</v>
      </c>
      <c r="CX244" s="48" t="str">
        <f t="shared" si="42"/>
        <v>0011-OC</v>
      </c>
      <c r="CY244" s="113" t="str">
        <f t="shared" si="43"/>
        <v>0011-OC</v>
      </c>
      <c r="CZ244" s="20" t="str">
        <f t="shared" si="44"/>
        <v>0011-OC</v>
      </c>
      <c r="DA244" s="113" t="str">
        <f>+CONCATENATE(Tabla1[[#This Row],[CC COMPLETO]],Tabla1[[#This Row],[ESPECÍFICA]])</f>
        <v>0011-OC2.3.2.7.4.3</v>
      </c>
      <c r="DB244" s="49">
        <f t="shared" si="45"/>
        <v>1120</v>
      </c>
      <c r="DC244" s="49">
        <f t="shared" si="46"/>
        <v>1120</v>
      </c>
      <c r="DD244" s="49">
        <f t="shared" si="47"/>
        <v>1120</v>
      </c>
      <c r="DE244" s="49">
        <f t="shared" si="48"/>
        <v>0</v>
      </c>
      <c r="DF244" s="49">
        <f t="shared" si="49"/>
        <v>0</v>
      </c>
      <c r="DG244" s="49">
        <f t="shared" si="50"/>
        <v>0</v>
      </c>
      <c r="DH244" s="49">
        <f t="shared" si="51"/>
        <v>0</v>
      </c>
      <c r="DI244" s="50">
        <f t="shared" si="52"/>
        <v>0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1120</v>
      </c>
      <c r="DR244" s="76">
        <f>+Tabla1[[#This Row],[mto_devenga_08]]</f>
        <v>0</v>
      </c>
      <c r="DS244" s="76">
        <f>+Tabla1[[#This Row],[mto_devenga_09]]</f>
        <v>0</v>
      </c>
      <c r="DT244" s="76">
        <f>IFERROR(VLOOKUP(Tabla1[[#This Row],[COD SE]],PF_OCTUBRE,14,0),"0")</f>
        <v>0</v>
      </c>
      <c r="DU244" s="76">
        <f>IFERROR(VLOOKUP(Tabla1[[#This Row],[COD SE]],PF_OCTUBRE,15,0),"0")</f>
        <v>0</v>
      </c>
      <c r="DV244" s="76">
        <f>IFERROR(VLOOKUP(Tabla1[[#This Row],[COD SE]],PF_OCTUBRE,16,0),"0")</f>
        <v>0</v>
      </c>
      <c r="DW244" s="76">
        <f>+SUM(Tabla1[[#This Row],[EJECUTADO 01]:[PF DICIEMBRE
]])</f>
        <v>1120</v>
      </c>
      <c r="DX244" s="76">
        <f>IFERROR(VLOOKUP(Tabla1[[#This Row],[COD SE]],PF_OCTUBRE,18,0),"0")</f>
        <v>0</v>
      </c>
      <c r="DY244" s="76">
        <f>IFERROR(VLOOKUP(Tabla1[[#This Row],[COD SE]],PF_OCTUBRE,19,0),"0")</f>
        <v>0</v>
      </c>
      <c r="DZ244" s="76">
        <f>IFERROR(VLOOKUP(Tabla1[[#This Row],[COD SE]],PF_OCTUBRE,20,0),"0")</f>
        <v>0</v>
      </c>
      <c r="EA244" s="76">
        <f>+Tabla1[[#This Row],[TOTAL EJEC REAL]]+Tabla1[[#This Row],[SALDO FINAL]]</f>
        <v>1120</v>
      </c>
      <c r="EB244" s="76">
        <f>IFERROR(VLOOKUP(Tabla1[[#This Row],[COD SE]],PF_OCTUBRE,22,0),"0")</f>
        <v>0</v>
      </c>
      <c r="EC244" s="76">
        <f>+IFERROR(VLOOKUP(Tabla1[[#This Row],[COD SE]],SALDO_ESC_2,7,0),0)</f>
        <v>0</v>
      </c>
      <c r="ED244" s="76">
        <f>+IFERROR(VLOOKUP(Tabla1[[#This Row],[COD SE]],SALDO_ESC_3,7,0),0)</f>
        <v>0</v>
      </c>
      <c r="EE244" s="76">
        <f>+Tabla1[[#This Row],[mto_pim]]-Tabla1[[#This Row],[TRANSF ESC2 ]]</f>
        <v>1120</v>
      </c>
      <c r="EF244" s="76">
        <f>+Tabla1[[#This Row],[mto_pim]]-Tabla1[[#This Row],[TRANFS ESC 3 ]]</f>
        <v>1120</v>
      </c>
      <c r="EG244" s="76">
        <f>+IFERROR(VLOOKUP(Tabla1[[#This Row],[COD SE]],HISTORICO,4,0),0)</f>
        <v>0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7000</v>
      </c>
      <c r="EL244" s="76">
        <f>+IFERROR(VLOOKUP(Tabla1[[#This Row],[COD SE]],HISTORICO,9,0),0)</f>
        <v>0</v>
      </c>
      <c r="EM244" s="76">
        <f>+IFERROR(VLOOKUP(Tabla1[[#This Row],[COD SE]],HISTORICO,10,0),0)</f>
        <v>1400</v>
      </c>
      <c r="EN244" s="76">
        <f>+IFERROR(VLOOKUP(Tabla1[[#This Row],[COD SE]],HISTORICO,11,0),0)</f>
        <v>0</v>
      </c>
      <c r="EO244" s="76">
        <f>+IFERROR(VLOOKUP(Tabla1[[#This Row],[COD SE]],HISTORICO,12,0),0)</f>
        <v>0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1120</v>
      </c>
      <c r="ES244" s="58">
        <f>+SUM(Tabla1[[#This Row],[PF OCTUBRE]:[PF DICIEMBRE
]])</f>
        <v>0</v>
      </c>
      <c r="ET244" s="58">
        <f>+SUM(Tabla1[[#This Row],[EJECUTADO 01]:[EJECUTADO 09]])</f>
        <v>1120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1656</v>
      </c>
      <c r="AD245" s="369" t="s">
        <v>1657</v>
      </c>
      <c r="AE245" s="369" t="s">
        <v>1660</v>
      </c>
      <c r="AF245" s="369" t="s">
        <v>1661</v>
      </c>
      <c r="AG245" s="369" t="s">
        <v>1663</v>
      </c>
      <c r="AH245" s="369">
        <v>171941</v>
      </c>
      <c r="AI245" s="369">
        <v>0</v>
      </c>
      <c r="AJ245" s="369">
        <v>171941</v>
      </c>
      <c r="AK245" s="370">
        <v>45000</v>
      </c>
      <c r="AL245" s="370">
        <v>44907</v>
      </c>
      <c r="AM245" s="370">
        <v>0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9000</v>
      </c>
      <c r="AU245" s="370">
        <v>9000</v>
      </c>
      <c r="AV245" s="370">
        <v>8906.25</v>
      </c>
      <c r="AW245" s="370">
        <v>0</v>
      </c>
      <c r="AX245" s="370">
        <v>0</v>
      </c>
      <c r="AY245" s="370">
        <v>0</v>
      </c>
      <c r="AZ245" s="370">
        <v>0</v>
      </c>
      <c r="BA245" s="370">
        <v>0</v>
      </c>
      <c r="BB245" s="370">
        <v>0</v>
      </c>
      <c r="BC245" s="370">
        <v>0</v>
      </c>
      <c r="BD245" s="370">
        <v>0</v>
      </c>
      <c r="BE245" s="370">
        <v>0</v>
      </c>
      <c r="BF245" s="370">
        <v>9000</v>
      </c>
      <c r="BG245" s="370">
        <v>9000</v>
      </c>
      <c r="BH245" s="370">
        <v>8906.25</v>
      </c>
      <c r="BI245" s="370">
        <v>0</v>
      </c>
      <c r="BJ245" s="370">
        <v>0</v>
      </c>
      <c r="BK245" s="370">
        <v>0</v>
      </c>
      <c r="BL245" s="370">
        <v>0</v>
      </c>
      <c r="BM245" s="370">
        <v>0</v>
      </c>
      <c r="BN245" s="370">
        <v>0</v>
      </c>
      <c r="BO245" s="370">
        <v>0</v>
      </c>
      <c r="BP245" s="370">
        <v>0</v>
      </c>
      <c r="BQ245" s="370">
        <v>0</v>
      </c>
      <c r="BR245" s="370">
        <v>9000</v>
      </c>
      <c r="BS245" s="370">
        <v>9000</v>
      </c>
      <c r="BT245" s="370">
        <v>7893.6</v>
      </c>
      <c r="BU245" s="370">
        <v>0</v>
      </c>
      <c r="BV245" s="370">
        <v>0</v>
      </c>
      <c r="BW245" s="370">
        <v>0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9000</v>
      </c>
      <c r="CE245" s="370">
        <v>9000</v>
      </c>
      <c r="CF245" s="370">
        <v>7893.6</v>
      </c>
      <c r="CG245" s="370">
        <v>0</v>
      </c>
      <c r="CH245" s="370">
        <v>0</v>
      </c>
      <c r="CI245" s="48" t="s">
        <v>1987</v>
      </c>
      <c r="CJ245" s="48" t="s">
        <v>1990</v>
      </c>
      <c r="CK245" s="48" t="s">
        <v>1990</v>
      </c>
      <c r="CL245" s="48" t="s">
        <v>2010</v>
      </c>
      <c r="CM245" s="48" t="s">
        <v>1990</v>
      </c>
      <c r="CN245" s="48" t="s">
        <v>1987</v>
      </c>
      <c r="CO245" s="48" t="str">
        <f t="shared" si="57"/>
        <v>2.1.1.13.1.2</v>
      </c>
      <c r="CP245" s="48" t="str">
        <f>+VLOOKUP(Tabla1[[#This Row],[ESPECÍFICA]],CLASIFICADOR_,2,0)</f>
        <v>2.1.1.13.1.2 - CONTRATO ADMINISTRATIVO DE SERVICIOS - TRANSITORIO</v>
      </c>
      <c r="CQ245" s="48" t="str">
        <f>+VLOOKUP(Tabla1[[#This Row],[ESPECÍFICA]],CLASIFICADOR_,3,0)</f>
        <v>01.CAS</v>
      </c>
      <c r="CR245" s="48" t="str">
        <f>+VLOOKUP(Tabla1[[#This Row],[ESPECÍFICA]],CLASIFICADOR_,4,0)</f>
        <v xml:space="preserve"> </v>
      </c>
      <c r="CS245" s="48">
        <f>+VLOOKUP(Tabla1[[#This Row],[ESPECÍFICA]],CLASIFICADOR_,5,0)</f>
        <v>0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2.1.PERSONAL Y OBLIGACIONES SOCIALES</v>
      </c>
      <c r="CX245" s="48" t="str">
        <f t="shared" si="42"/>
        <v>0011-OC</v>
      </c>
      <c r="CY245" s="113" t="str">
        <f t="shared" si="43"/>
        <v>0011-OC</v>
      </c>
      <c r="CZ245" s="20" t="str">
        <f t="shared" si="44"/>
        <v>0011-OC</v>
      </c>
      <c r="DA245" s="113" t="str">
        <f>+CONCATENATE(Tabla1[[#This Row],[CC COMPLETO]],Tabla1[[#This Row],[ESPECÍFICA]])</f>
        <v>0011-OC2.1.1.13.1.2</v>
      </c>
      <c r="DB245" s="49">
        <f t="shared" si="45"/>
        <v>26906.25</v>
      </c>
      <c r="DC245" s="49">
        <f t="shared" si="46"/>
        <v>26906.25</v>
      </c>
      <c r="DD245" s="49">
        <f t="shared" si="47"/>
        <v>25893.599999999999</v>
      </c>
      <c r="DE245" s="49">
        <f t="shared" si="48"/>
        <v>126941</v>
      </c>
      <c r="DF245" s="49">
        <f t="shared" si="49"/>
        <v>93</v>
      </c>
      <c r="DG245" s="49">
        <f t="shared" si="50"/>
        <v>18000.75</v>
      </c>
      <c r="DH245" s="49">
        <f t="shared" si="51"/>
        <v>145034.75</v>
      </c>
      <c r="DI245" s="50">
        <f t="shared" si="52"/>
        <v>0.15648536416561495</v>
      </c>
      <c r="DJ245" s="78">
        <f>+SUM(Tabla1[[#This Row],[EJECUTADO 01]:[EJECUTADO 06]])</f>
        <v>0</v>
      </c>
      <c r="DK245" s="78">
        <f>+Tabla1[[#This Row],[mto_devenga_01]]</f>
        <v>0</v>
      </c>
      <c r="DL245" s="78">
        <f>+Tabla1[[#This Row],[mto_devenga_02]]</f>
        <v>0</v>
      </c>
      <c r="DM245" s="78">
        <f>+Tabla1[[#This Row],[mto_devenga_03]]</f>
        <v>0</v>
      </c>
      <c r="DN245" s="78">
        <f>+Tabla1[[#This Row],[mto_devenga_04]]</f>
        <v>0</v>
      </c>
      <c r="DO245" s="78">
        <f>+Tabla1[[#This Row],[mto_devenga_05]]</f>
        <v>0</v>
      </c>
      <c r="DP245" s="76">
        <f>+Tabla1[[#This Row],[mto_devenga_06]]</f>
        <v>0</v>
      </c>
      <c r="DQ245" s="76">
        <f>+Tabla1[[#This Row],[mto_devenga_07]]</f>
        <v>0</v>
      </c>
      <c r="DR245" s="76">
        <f>+Tabla1[[#This Row],[mto_devenga_08]]</f>
        <v>9000</v>
      </c>
      <c r="DS245" s="76">
        <f>+Tabla1[[#This Row],[mto_devenga_09]]</f>
        <v>9000</v>
      </c>
      <c r="DT245" s="76">
        <f>IFERROR(VLOOKUP(Tabla1[[#This Row],[COD SE]],PF_OCTUBRE,14,0),"0")</f>
        <v>16164.189999999999</v>
      </c>
      <c r="DU245" s="76">
        <f>IFERROR(VLOOKUP(Tabla1[[#This Row],[COD SE]],PF_OCTUBRE,15,0),"0")</f>
        <v>16164.189999999999</v>
      </c>
      <c r="DV245" s="76">
        <f>IFERROR(VLOOKUP(Tabla1[[#This Row],[COD SE]],PF_OCTUBRE,16,0),"0")</f>
        <v>16164.190000000002</v>
      </c>
      <c r="DW245" s="76">
        <f>+SUM(Tabla1[[#This Row],[EJECUTADO 01]:[PF DICIEMBRE
]])</f>
        <v>66492.570000000007</v>
      </c>
      <c r="DX245" s="76">
        <f>IFERROR(VLOOKUP(Tabla1[[#This Row],[COD SE]],PF_OCTUBRE,18,0),"0")</f>
        <v>0</v>
      </c>
      <c r="DY245" s="76">
        <f>IFERROR(VLOOKUP(Tabla1[[#This Row],[COD SE]],PF_OCTUBRE,19,0),"0")</f>
        <v>105448.43</v>
      </c>
      <c r="DZ245" s="76">
        <f>IFERROR(VLOOKUP(Tabla1[[#This Row],[COD SE]],PF_OCTUBRE,20,0),"0")</f>
        <v>105448.43</v>
      </c>
      <c r="EA245" s="76">
        <f>+Tabla1[[#This Row],[TOTAL EJEC REAL]]+Tabla1[[#This Row],[SALDO FINAL]]</f>
        <v>171941</v>
      </c>
      <c r="EB245" s="76">
        <f>IFERROR(VLOOKUP(Tabla1[[#This Row],[COD SE]],PF_OCTUBRE,22,0),"0")</f>
        <v>121612.62</v>
      </c>
      <c r="EC245" s="76">
        <f>+IFERROR(VLOOKUP(Tabla1[[#This Row],[COD SE]],SALDO_ESC_2,7,0),0)</f>
        <v>0</v>
      </c>
      <c r="ED245" s="76">
        <f>+IFERROR(VLOOKUP(Tabla1[[#This Row],[COD SE]],SALDO_ESC_3,7,0),0)</f>
        <v>105448.43</v>
      </c>
      <c r="EE245" s="76">
        <f>+Tabla1[[#This Row],[mto_pim]]-Tabla1[[#This Row],[TRANSF ESC2 ]]</f>
        <v>171941</v>
      </c>
      <c r="EF245" s="76">
        <f>+Tabla1[[#This Row],[mto_pim]]-Tabla1[[#This Row],[TRANFS ESC 3 ]]</f>
        <v>66492.570000000007</v>
      </c>
      <c r="EG245" s="76">
        <f>+IFERROR(VLOOKUP(Tabla1[[#This Row],[COD SE]],HISTORICO,4,0),0)</f>
        <v>14328.38</v>
      </c>
      <c r="EH245" s="76">
        <f>+IFERROR(VLOOKUP(Tabla1[[#This Row],[COD SE]],HISTORICO,5,0),0)</f>
        <v>0</v>
      </c>
      <c r="EI245" s="76">
        <f>+IFERROR(VLOOKUP(Tabla1[[#This Row],[COD SE]],HISTORICO,6,0),0)</f>
        <v>0</v>
      </c>
      <c r="EJ245" s="76">
        <f>+IFERROR(VLOOKUP(Tabla1[[#This Row],[COD SE]],HISTORICO,7,0),0)</f>
        <v>0</v>
      </c>
      <c r="EK245" s="76">
        <f>+IFERROR(VLOOKUP(Tabla1[[#This Row],[COD SE]],HISTORICO,8,0),0)</f>
        <v>0</v>
      </c>
      <c r="EL245" s="76">
        <f>+IFERROR(VLOOKUP(Tabla1[[#This Row],[COD SE]],HISTORICO,9,0),0)</f>
        <v>0</v>
      </c>
      <c r="EM245" s="76">
        <f>+IFERROR(VLOOKUP(Tabla1[[#This Row],[COD SE]],HISTORICO,10,0),0)</f>
        <v>50149.33</v>
      </c>
      <c r="EN245" s="76">
        <f>+IFERROR(VLOOKUP(Tabla1[[#This Row],[COD SE]],HISTORICO,11,0),0)</f>
        <v>7164.19</v>
      </c>
      <c r="EO245" s="76">
        <f>+IFERROR(VLOOKUP(Tabla1[[#This Row],[COD SE]],HISTORICO,12,0),0)</f>
        <v>16164.189999999999</v>
      </c>
      <c r="EP245" s="58">
        <f>+SUM(Tabla1[[#This Row],[EJECUTADO 01]:[EJECUTADO 03]])</f>
        <v>0</v>
      </c>
      <c r="EQ245" s="58">
        <f>+SUM(Tabla1[[#This Row],[EJECUTADO 04]:[EJECUTADO 06]])</f>
        <v>0</v>
      </c>
      <c r="ER245" s="58">
        <f>+SUM(Tabla1[[#This Row],[EJECUTADO 07]:[EJECUTADO 09]])</f>
        <v>18000</v>
      </c>
      <c r="ES245" s="58">
        <f>+SUM(Tabla1[[#This Row],[PF OCTUBRE]:[PF DICIEMBRE
]])</f>
        <v>48492.57</v>
      </c>
      <c r="ET245" s="58">
        <f>+SUM(Tabla1[[#This Row],[EJECUTADO 01]:[EJECUTADO 09]])</f>
        <v>18000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2037</v>
      </c>
      <c r="K246" s="369" t="s">
        <v>1975</v>
      </c>
      <c r="L246" s="369" t="s">
        <v>2034</v>
      </c>
      <c r="M246" s="369" t="s">
        <v>2038</v>
      </c>
      <c r="N246" s="369">
        <v>4</v>
      </c>
      <c r="O246" s="369" t="s">
        <v>2054</v>
      </c>
      <c r="P246" s="369" t="s">
        <v>2055</v>
      </c>
      <c r="Q246" s="369">
        <v>55</v>
      </c>
      <c r="R246" s="369">
        <v>0</v>
      </c>
      <c r="S246" s="369">
        <v>0</v>
      </c>
      <c r="T246" s="369">
        <v>0</v>
      </c>
      <c r="U246" s="369">
        <v>11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1684</v>
      </c>
      <c r="AE246" s="369" t="s">
        <v>1716</v>
      </c>
      <c r="AF246" s="369" t="s">
        <v>1766</v>
      </c>
      <c r="AG246" s="369" t="s">
        <v>1767</v>
      </c>
      <c r="AH246" s="369">
        <v>0</v>
      </c>
      <c r="AI246" s="369">
        <v>4833</v>
      </c>
      <c r="AJ246" s="369">
        <v>4833</v>
      </c>
      <c r="AK246" s="370">
        <v>4833</v>
      </c>
      <c r="AL246" s="370">
        <v>4833</v>
      </c>
      <c r="AM246" s="370">
        <v>0</v>
      </c>
      <c r="AN246" s="370">
        <v>0</v>
      </c>
      <c r="AO246" s="370">
        <v>0</v>
      </c>
      <c r="AP246" s="370">
        <v>0</v>
      </c>
      <c r="AQ246" s="370">
        <v>0</v>
      </c>
      <c r="AR246" s="370">
        <v>0</v>
      </c>
      <c r="AS246" s="370">
        <v>0</v>
      </c>
      <c r="AT246" s="370">
        <v>4833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0</v>
      </c>
      <c r="BC246" s="370">
        <v>0</v>
      </c>
      <c r="BD246" s="370">
        <v>0</v>
      </c>
      <c r="BE246" s="370">
        <v>0</v>
      </c>
      <c r="BF246" s="370">
        <v>0</v>
      </c>
      <c r="BG246" s="370">
        <v>4833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0</v>
      </c>
      <c r="BO246" s="370">
        <v>0</v>
      </c>
      <c r="BP246" s="370">
        <v>0</v>
      </c>
      <c r="BQ246" s="370">
        <v>0</v>
      </c>
      <c r="BR246" s="370">
        <v>0</v>
      </c>
      <c r="BS246" s="370">
        <v>4833</v>
      </c>
      <c r="BT246" s="370">
        <v>0</v>
      </c>
      <c r="BU246" s="370">
        <v>0</v>
      </c>
      <c r="BV246" s="370">
        <v>0</v>
      </c>
      <c r="BW246" s="370">
        <v>0</v>
      </c>
      <c r="BX246" s="370">
        <v>0</v>
      </c>
      <c r="BY246" s="370">
        <v>0</v>
      </c>
      <c r="BZ246" s="370">
        <v>0</v>
      </c>
      <c r="CA246" s="370">
        <v>0</v>
      </c>
      <c r="CB246" s="370">
        <v>0</v>
      </c>
      <c r="CC246" s="370">
        <v>0</v>
      </c>
      <c r="CD246" s="370">
        <v>4833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1990</v>
      </c>
      <c r="CL246" s="48" t="s">
        <v>2011</v>
      </c>
      <c r="CM246" s="48" t="s">
        <v>1993</v>
      </c>
      <c r="CN246" s="48" t="s">
        <v>1990</v>
      </c>
      <c r="CO246" s="48" t="str">
        <f t="shared" si="57"/>
        <v>2.3.1.5.4.1</v>
      </c>
      <c r="CP246" s="48" t="str">
        <f>+VLOOKUP(Tabla1[[#This Row],[ESPECÍFICA]],CLASIFICADOR_,2,0)</f>
        <v>2.3.1.5.4.1 - ELECTRICIDAD, ILUMINACION Y ELECTRONICA</v>
      </c>
      <c r="CQ246" s="48" t="str">
        <f>+VLOOKUP(Tabla1[[#This Row],[ESPECÍFICA]],CLASIFICADOR_,3,0)</f>
        <v>2.3.1.5 - MATERIALES Y  UTILES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N/R</v>
      </c>
      <c r="CU246" s="48" t="str">
        <f>+VLOOKUP(Tabla1[[#This Row],[ESPECÍFICA]],CLASIFICADOR_,7,0)</f>
        <v>N/R</v>
      </c>
      <c r="CV246" s="48">
        <f>+VLOOKUP(Tabla1[[#This Row],[ESPECÍFICA]],CLASIFICADOR_,8,0)</f>
        <v>0</v>
      </c>
      <c r="CW246" s="113" t="str">
        <f>+CONCATENATE("2.",Tabla1[[#This Row],[generica]])</f>
        <v>2.3.BIENES Y SERVICIOS</v>
      </c>
      <c r="CX246" s="48" t="str">
        <f t="shared" si="42"/>
        <v>0011-OC</v>
      </c>
      <c r="CY246" s="113" t="str">
        <f t="shared" si="43"/>
        <v>0011-OC</v>
      </c>
      <c r="CZ246" s="20" t="str">
        <f t="shared" si="44"/>
        <v>0011-OC</v>
      </c>
      <c r="DA246" s="113" t="str">
        <f>+CONCATENATE(Tabla1[[#This Row],[CC COMPLETO]],Tabla1[[#This Row],[ESPECÍFICA]])</f>
        <v>0011-OC2.3.1.5.4.1</v>
      </c>
      <c r="DB246" s="49">
        <f t="shared" si="45"/>
        <v>4833</v>
      </c>
      <c r="DC246" s="49">
        <f t="shared" si="46"/>
        <v>4833</v>
      </c>
      <c r="DD246" s="49">
        <f t="shared" si="47"/>
        <v>4833</v>
      </c>
      <c r="DE246" s="49">
        <f t="shared" si="48"/>
        <v>0</v>
      </c>
      <c r="DF246" s="49">
        <f t="shared" si="49"/>
        <v>0</v>
      </c>
      <c r="DG246" s="49">
        <f t="shared" si="50"/>
        <v>0</v>
      </c>
      <c r="DH246" s="49">
        <f t="shared" si="51"/>
        <v>0</v>
      </c>
      <c r="DI246" s="50">
        <f t="shared" si="52"/>
        <v>0</v>
      </c>
      <c r="DJ246" s="78">
        <f>+SUM(Tabla1[[#This Row],[EJECUTADO 01]:[EJECUTADO 06]])</f>
        <v>0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0</v>
      </c>
      <c r="DO246" s="78">
        <f>+Tabla1[[#This Row],[mto_devenga_05]]</f>
        <v>0</v>
      </c>
      <c r="DP246" s="76">
        <f>+Tabla1[[#This Row],[mto_devenga_06]]</f>
        <v>0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4833</v>
      </c>
      <c r="DT246" s="76">
        <f>IFERROR(VLOOKUP(Tabla1[[#This Row],[COD SE]],PF_OCTUBRE,14,0),"0")</f>
        <v>0</v>
      </c>
      <c r="DU246" s="76">
        <f>IFERROR(VLOOKUP(Tabla1[[#This Row],[COD SE]],PF_OCTUBRE,15,0),"0")</f>
        <v>0</v>
      </c>
      <c r="DV246" s="76">
        <f>IFERROR(VLOOKUP(Tabla1[[#This Row],[COD SE]],PF_OCTUBRE,16,0),"0")</f>
        <v>-667</v>
      </c>
      <c r="DW246" s="76">
        <f>+SUM(Tabla1[[#This Row],[EJECUTADO 01]:[PF DICIEMBRE
]])</f>
        <v>4166</v>
      </c>
      <c r="DX246" s="76">
        <f>IFERROR(VLOOKUP(Tabla1[[#This Row],[COD SE]],PF_OCTUBRE,18,0),"0")</f>
        <v>0</v>
      </c>
      <c r="DY246" s="76">
        <f>IFERROR(VLOOKUP(Tabla1[[#This Row],[COD SE]],PF_OCTUBRE,19,0),"0")</f>
        <v>667</v>
      </c>
      <c r="DZ246" s="76">
        <f>IFERROR(VLOOKUP(Tabla1[[#This Row],[COD SE]],PF_OCTUBRE,20,0),"0")</f>
        <v>667</v>
      </c>
      <c r="EA246" s="76">
        <f>+Tabla1[[#This Row],[TOTAL EJEC REAL]]+Tabla1[[#This Row],[SALDO FINAL]]</f>
        <v>4833</v>
      </c>
      <c r="EB246" s="76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4833</v>
      </c>
      <c r="EF246" s="76">
        <f>+Tabla1[[#This Row],[mto_pim]]-Tabla1[[#This Row],[TRANFS ESC 3 ]]</f>
        <v>4833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0</v>
      </c>
      <c r="EJ246" s="76">
        <f>+IFERROR(VLOOKUP(Tabla1[[#This Row],[COD SE]],HISTORICO,7,0),0)</f>
        <v>0</v>
      </c>
      <c r="EK246" s="76">
        <f>+IFERROR(VLOOKUP(Tabla1[[#This Row],[COD SE]],HISTORICO,8,0),0)</f>
        <v>0</v>
      </c>
      <c r="EL246" s="76">
        <f>+IFERROR(VLOOKUP(Tabla1[[#This Row],[COD SE]],HISTORICO,9,0),0)</f>
        <v>0</v>
      </c>
      <c r="EM246" s="76">
        <f>+IFERROR(VLOOKUP(Tabla1[[#This Row],[COD SE]],HISTORICO,10,0),0)</f>
        <v>0</v>
      </c>
      <c r="EN246" s="76">
        <f>+IFERROR(VLOOKUP(Tabla1[[#This Row],[COD SE]],HISTORICO,11,0),0)</f>
        <v>5500</v>
      </c>
      <c r="EO246" s="76">
        <f>+IFERROR(VLOOKUP(Tabla1[[#This Row],[COD SE]],HISTORICO,12,0),0)</f>
        <v>4833</v>
      </c>
      <c r="EP246" s="58">
        <f>+SUM(Tabla1[[#This Row],[EJECUTADO 01]:[EJECUTADO 03]])</f>
        <v>0</v>
      </c>
      <c r="EQ246" s="58">
        <f>+SUM(Tabla1[[#This Row],[EJECUTADO 04]:[EJECUTADO 06]])</f>
        <v>0</v>
      </c>
      <c r="ER246" s="58">
        <f>+SUM(Tabla1[[#This Row],[EJECUTADO 07]:[EJECUTADO 09]])</f>
        <v>4833</v>
      </c>
      <c r="ES246" s="58">
        <f>+SUM(Tabla1[[#This Row],[PF OCTUBRE]:[PF DICIEMBRE
]])</f>
        <v>-667</v>
      </c>
      <c r="ET246" s="58">
        <f>+SUM(Tabla1[[#This Row],[EJECUTADO 01]:[EJECUTADO 09]])</f>
        <v>4833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1672</v>
      </c>
      <c r="AD247" s="369" t="s">
        <v>1673</v>
      </c>
      <c r="AE247" s="369" t="s">
        <v>1678</v>
      </c>
      <c r="AF247" s="369" t="s">
        <v>1707</v>
      </c>
      <c r="AG247" s="369" t="s">
        <v>1708</v>
      </c>
      <c r="AH247" s="369">
        <v>11000</v>
      </c>
      <c r="AI247" s="369">
        <v>-5420</v>
      </c>
      <c r="AJ247" s="369">
        <v>5580</v>
      </c>
      <c r="AK247" s="370">
        <v>5580</v>
      </c>
      <c r="AL247" s="370">
        <v>5580</v>
      </c>
      <c r="AM247" s="370">
        <v>0</v>
      </c>
      <c r="AN247" s="370">
        <v>5580</v>
      </c>
      <c r="AO247" s="370">
        <v>0</v>
      </c>
      <c r="AP247" s="370">
        <v>0</v>
      </c>
      <c r="AQ247" s="370">
        <v>0</v>
      </c>
      <c r="AR247" s="370">
        <v>0</v>
      </c>
      <c r="AS247" s="370">
        <v>0</v>
      </c>
      <c r="AT247" s="370">
        <v>0</v>
      </c>
      <c r="AU247" s="370">
        <v>0</v>
      </c>
      <c r="AV247" s="370">
        <v>0</v>
      </c>
      <c r="AW247" s="370">
        <v>0</v>
      </c>
      <c r="AX247" s="370">
        <v>0</v>
      </c>
      <c r="AY247" s="370">
        <v>0</v>
      </c>
      <c r="AZ247" s="370">
        <v>0</v>
      </c>
      <c r="BA247" s="370">
        <v>0</v>
      </c>
      <c r="BB247" s="370">
        <v>5580</v>
      </c>
      <c r="BC247" s="370">
        <v>0</v>
      </c>
      <c r="BD247" s="370">
        <v>0</v>
      </c>
      <c r="BE247" s="370">
        <v>0</v>
      </c>
      <c r="BF247" s="370">
        <v>0</v>
      </c>
      <c r="BG247" s="370">
        <v>0</v>
      </c>
      <c r="BH247" s="370">
        <v>0</v>
      </c>
      <c r="BI247" s="370">
        <v>0</v>
      </c>
      <c r="BJ247" s="370">
        <v>0</v>
      </c>
      <c r="BK247" s="370">
        <v>0</v>
      </c>
      <c r="BL247" s="370">
        <v>0</v>
      </c>
      <c r="BM247" s="370">
        <v>0</v>
      </c>
      <c r="BN247" s="370">
        <v>5580</v>
      </c>
      <c r="BO247" s="370">
        <v>0</v>
      </c>
      <c r="BP247" s="370">
        <v>0</v>
      </c>
      <c r="BQ247" s="370">
        <v>0</v>
      </c>
      <c r="BR247" s="370">
        <v>0</v>
      </c>
      <c r="BS247" s="370">
        <v>0</v>
      </c>
      <c r="BT247" s="370">
        <v>0</v>
      </c>
      <c r="BU247" s="370">
        <v>0</v>
      </c>
      <c r="BV247" s="370">
        <v>0</v>
      </c>
      <c r="BW247" s="370">
        <v>0</v>
      </c>
      <c r="BX247" s="370">
        <v>5580</v>
      </c>
      <c r="BY247" s="370">
        <v>0</v>
      </c>
      <c r="BZ247" s="370">
        <v>0</v>
      </c>
      <c r="CA247" s="370">
        <v>0</v>
      </c>
      <c r="CB247" s="370">
        <v>0</v>
      </c>
      <c r="CC247" s="370">
        <v>0</v>
      </c>
      <c r="CD247" s="370">
        <v>0</v>
      </c>
      <c r="CE247" s="370">
        <v>0</v>
      </c>
      <c r="CF247" s="370">
        <v>0</v>
      </c>
      <c r="CG247" s="370">
        <v>0</v>
      </c>
      <c r="CH247" s="370">
        <v>0</v>
      </c>
      <c r="CI247" s="48" t="s">
        <v>1987</v>
      </c>
      <c r="CJ247" s="48" t="s">
        <v>1991</v>
      </c>
      <c r="CK247" s="48" t="s">
        <v>1987</v>
      </c>
      <c r="CL247" s="48" t="s">
        <v>1989</v>
      </c>
      <c r="CM247" s="48" t="s">
        <v>2010</v>
      </c>
      <c r="CN247" s="48" t="s">
        <v>2012</v>
      </c>
      <c r="CO247" s="10" t="str">
        <f>+CONCATENATE(CI247,".",CJ247,".",CK247,".",CL247,".",CM247,".",CN247)</f>
        <v>2.3.2.7.13.98</v>
      </c>
      <c r="CP247" s="10" t="str">
        <f>+VLOOKUP(Tabla1[[#This Row],[ESPECÍFICA]],CLASIFICADOR_,2,0)</f>
        <v>2.3.2.7.13.98 - OTROS SERVICIOS TÉCNICOS Y PROFESIONALES DESARROLLADOS POR PERSONAS JURÍDICAS</v>
      </c>
      <c r="CQ247" s="10" t="str">
        <f>+VLOOKUP(Tabla1[[#This Row],[ESPECÍFICA]],CLASIFICADOR_,3,0)</f>
        <v>2.3.2.7 - SERVICIOS PROFESIONALES Y TECNICOS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2.3.BIENES Y SERVICIOS</v>
      </c>
      <c r="CX247" s="10" t="str">
        <f t="shared" si="42"/>
        <v>0012-OAJ</v>
      </c>
      <c r="CY247" s="5" t="str">
        <f t="shared" si="43"/>
        <v>0012-OAJ</v>
      </c>
      <c r="CZ247" t="str">
        <f t="shared" si="44"/>
        <v>0012-OAJ</v>
      </c>
      <c r="DA247" s="113" t="str">
        <f>+CONCATENATE(Tabla1[[#This Row],[CC COMPLETO]],Tabla1[[#This Row],[ESPECÍFICA]])</f>
        <v>0012-OAJ2.3.2.7.13.98</v>
      </c>
      <c r="DB247" s="11">
        <f t="shared" si="45"/>
        <v>5580</v>
      </c>
      <c r="DC247" s="11">
        <f t="shared" si="46"/>
        <v>5580</v>
      </c>
      <c r="DD247" s="11">
        <f t="shared" si="47"/>
        <v>5580</v>
      </c>
      <c r="DE247" s="11">
        <f t="shared" si="48"/>
        <v>0</v>
      </c>
      <c r="DF247" s="11">
        <f t="shared" si="49"/>
        <v>0</v>
      </c>
      <c r="DG247" s="11">
        <f t="shared" si="50"/>
        <v>0</v>
      </c>
      <c r="DH247" s="11">
        <f t="shared" si="51"/>
        <v>0</v>
      </c>
      <c r="DI247" s="12">
        <f t="shared" si="52"/>
        <v>0.50727272727272732</v>
      </c>
      <c r="DJ247" s="77">
        <f>+SUM(Tabla1[[#This Row],[EJECUTADO 01]:[EJECUTADO 06]])</f>
        <v>5580</v>
      </c>
      <c r="DK247" s="78">
        <f>+Tabla1[[#This Row],[mto_devenga_01]]</f>
        <v>0</v>
      </c>
      <c r="DL247" s="78">
        <f>+Tabla1[[#This Row],[mto_devenga_02]]</f>
        <v>0</v>
      </c>
      <c r="DM247" s="78">
        <f>+Tabla1[[#This Row],[mto_devenga_03]]</f>
        <v>0</v>
      </c>
      <c r="DN247" s="78">
        <f>+Tabla1[[#This Row],[mto_devenga_04]]</f>
        <v>5580</v>
      </c>
      <c r="DO247" s="78">
        <f>+Tabla1[[#This Row],[mto_devenga_05]]</f>
        <v>0</v>
      </c>
      <c r="DP247" s="76">
        <f>+Tabla1[[#This Row],[mto_devenga_06]]</f>
        <v>0</v>
      </c>
      <c r="DQ247" s="76">
        <f>+Tabla1[[#This Row],[mto_devenga_07]]</f>
        <v>0</v>
      </c>
      <c r="DR247" s="76">
        <f>+Tabla1[[#This Row],[mto_devenga_08]]</f>
        <v>0</v>
      </c>
      <c r="DS247" s="76">
        <f>+Tabla1[[#This Row],[mto_devenga_09]]</f>
        <v>0</v>
      </c>
      <c r="DT247" s="76">
        <f>IFERROR(VLOOKUP(Tabla1[[#This Row],[COD SE]],PF_OCTUBRE,14,0),"0")</f>
        <v>0</v>
      </c>
      <c r="DU247" s="76">
        <f>IFERROR(VLOOKUP(Tabla1[[#This Row],[COD SE]],PF_OCTUBRE,15,0),"0")</f>
        <v>0</v>
      </c>
      <c r="DV247" s="76">
        <f>IFERROR(VLOOKUP(Tabla1[[#This Row],[COD SE]],PF_OCTUBRE,16,0),"0")</f>
        <v>0</v>
      </c>
      <c r="DW247" s="76">
        <f>+SUM(Tabla1[[#This Row],[EJECUTADO 01]:[PF DICIEMBRE
]])</f>
        <v>5580</v>
      </c>
      <c r="DX247" s="76">
        <f>IFERROR(VLOOKUP(Tabla1[[#This Row],[COD SE]],PF_OCTUBRE,18,0),"0")</f>
        <v>0</v>
      </c>
      <c r="DY247" s="76">
        <f>IFERROR(VLOOKUP(Tabla1[[#This Row],[COD SE]],PF_OCTUBRE,19,0),"0")</f>
        <v>0</v>
      </c>
      <c r="DZ247" s="76">
        <f>IFERROR(VLOOKUP(Tabla1[[#This Row],[COD SE]],PF_OCTUBRE,20,0),"0")</f>
        <v>0</v>
      </c>
      <c r="EA247" s="76">
        <f>+Tabla1[[#This Row],[TOTAL EJEC REAL]]+Tabla1[[#This Row],[SALDO FINAL]]</f>
        <v>5580</v>
      </c>
      <c r="EB247" s="76">
        <f>IFERROR(VLOOKUP(Tabla1[[#This Row],[COD SE]],PF_OCTUBRE,22,0),"0")</f>
        <v>0</v>
      </c>
      <c r="EC247" s="76">
        <f>+IFERROR(VLOOKUP(Tabla1[[#This Row],[COD SE]],SALDO_ESC_2,7,0),0)</f>
        <v>0</v>
      </c>
      <c r="ED247" s="76">
        <f>+IFERROR(VLOOKUP(Tabla1[[#This Row],[COD SE]],SALDO_ESC_3,7,0),0)</f>
        <v>0</v>
      </c>
      <c r="EE247" s="76">
        <f>+Tabla1[[#This Row],[mto_pim]]-Tabla1[[#This Row],[TRANSF ESC2 ]]</f>
        <v>5580</v>
      </c>
      <c r="EF247" s="76">
        <f>+Tabla1[[#This Row],[mto_pim]]-Tabla1[[#This Row],[TRANFS ESC 3 ]]</f>
        <v>5580</v>
      </c>
      <c r="EG247" s="76">
        <f>+IFERROR(VLOOKUP(Tabla1[[#This Row],[COD SE]],HISTORICO,4,0),0)</f>
        <v>0</v>
      </c>
      <c r="EH247" s="76">
        <f>+IFERROR(VLOOKUP(Tabla1[[#This Row],[COD SE]],HISTORICO,5,0),0)</f>
        <v>0</v>
      </c>
      <c r="EI247" s="76">
        <f>+IFERROR(VLOOKUP(Tabla1[[#This Row],[COD SE]],HISTORICO,6,0),0)</f>
        <v>11000</v>
      </c>
      <c r="EJ247" s="76">
        <f>+IFERROR(VLOOKUP(Tabla1[[#This Row],[COD SE]],HISTORICO,7,0),0)</f>
        <v>5420</v>
      </c>
      <c r="EK247" s="76">
        <f>+IFERROR(VLOOKUP(Tabla1[[#This Row],[COD SE]],HISTORICO,8,0),0)</f>
        <v>0</v>
      </c>
      <c r="EL247" s="76">
        <f>+IFERROR(VLOOKUP(Tabla1[[#This Row],[COD SE]],HISTORICO,9,0),0)</f>
        <v>0</v>
      </c>
      <c r="EM247" s="76">
        <f>+IFERROR(VLOOKUP(Tabla1[[#This Row],[COD SE]],HISTORICO,10,0),0)</f>
        <v>0</v>
      </c>
      <c r="EN247" s="76">
        <f>+IFERROR(VLOOKUP(Tabla1[[#This Row],[COD SE]],HISTORICO,11,0),0)</f>
        <v>0</v>
      </c>
      <c r="EO247" s="76">
        <f>+IFERROR(VLOOKUP(Tabla1[[#This Row],[COD SE]],HISTORICO,12,0),0)</f>
        <v>0</v>
      </c>
      <c r="EP247" s="58">
        <f>+SUM(Tabla1[[#This Row],[EJECUTADO 01]:[EJECUTADO 03]])</f>
        <v>0</v>
      </c>
      <c r="EQ247" s="58">
        <f>+SUM(Tabla1[[#This Row],[EJECUTADO 04]:[EJECUTADO 06]])</f>
        <v>5580</v>
      </c>
      <c r="ER247" s="58">
        <f>+SUM(Tabla1[[#This Row],[EJECUTADO 07]:[EJECUTADO 09]])</f>
        <v>0</v>
      </c>
      <c r="ES247" s="58">
        <f>+SUM(Tabla1[[#This Row],[PF OCTUBRE]:[PF DICIEMBRE
]])</f>
        <v>0</v>
      </c>
      <c r="ET247" s="58">
        <f>+SUM(Tabla1[[#This Row],[EJECUTADO 01]:[EJECUTADO 09]])</f>
        <v>5580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1656</v>
      </c>
      <c r="AD248" s="369" t="s">
        <v>1668</v>
      </c>
      <c r="AE248" s="369" t="s">
        <v>1669</v>
      </c>
      <c r="AF248" s="369" t="s">
        <v>1669</v>
      </c>
      <c r="AG248" s="369" t="s">
        <v>1671</v>
      </c>
      <c r="AH248" s="369">
        <v>22527</v>
      </c>
      <c r="AI248" s="369">
        <v>-1822</v>
      </c>
      <c r="AJ248" s="369">
        <v>20705</v>
      </c>
      <c r="AK248" s="370">
        <v>18634.48</v>
      </c>
      <c r="AL248" s="370">
        <v>16685</v>
      </c>
      <c r="AM248" s="370">
        <v>1300.08</v>
      </c>
      <c r="AN248" s="370">
        <v>1300.08</v>
      </c>
      <c r="AO248" s="370">
        <v>1300.08</v>
      </c>
      <c r="AP248" s="370">
        <v>1300.08</v>
      </c>
      <c r="AQ248" s="370">
        <v>1516.76</v>
      </c>
      <c r="AR248" s="370">
        <v>1300.08</v>
      </c>
      <c r="AS248" s="370">
        <v>1300.08</v>
      </c>
      <c r="AT248" s="370">
        <v>1300.08</v>
      </c>
      <c r="AU248" s="370">
        <v>1516.76</v>
      </c>
      <c r="AV248" s="370">
        <v>1516.76</v>
      </c>
      <c r="AW248" s="370">
        <v>0</v>
      </c>
      <c r="AX248" s="370">
        <v>0</v>
      </c>
      <c r="AY248" s="370">
        <v>1300.08</v>
      </c>
      <c r="AZ248" s="370">
        <v>1300.08</v>
      </c>
      <c r="BA248" s="370">
        <v>1300.08</v>
      </c>
      <c r="BB248" s="370">
        <v>1300.08</v>
      </c>
      <c r="BC248" s="370">
        <v>1516.76</v>
      </c>
      <c r="BD248" s="370">
        <v>1300.08</v>
      </c>
      <c r="BE248" s="370">
        <v>1300.08</v>
      </c>
      <c r="BF248" s="370">
        <v>1300.08</v>
      </c>
      <c r="BG248" s="370">
        <v>1516.76</v>
      </c>
      <c r="BH248" s="370">
        <v>1516.76</v>
      </c>
      <c r="BI248" s="370">
        <v>0</v>
      </c>
      <c r="BJ248" s="370">
        <v>0</v>
      </c>
      <c r="BK248" s="370">
        <v>1300.08</v>
      </c>
      <c r="BL248" s="370">
        <v>1300.08</v>
      </c>
      <c r="BM248" s="370">
        <v>1300.08</v>
      </c>
      <c r="BN248" s="370">
        <v>1300.08</v>
      </c>
      <c r="BO248" s="370">
        <v>1516.76</v>
      </c>
      <c r="BP248" s="370">
        <v>1300.08</v>
      </c>
      <c r="BQ248" s="370">
        <v>1300.08</v>
      </c>
      <c r="BR248" s="370">
        <v>1300.08</v>
      </c>
      <c r="BS248" s="370">
        <v>1516.76</v>
      </c>
      <c r="BT248" s="370">
        <v>1516.76</v>
      </c>
      <c r="BU248" s="370">
        <v>0</v>
      </c>
      <c r="BV248" s="370">
        <v>0</v>
      </c>
      <c r="BW248" s="370">
        <v>1300.08</v>
      </c>
      <c r="BX248" s="370">
        <v>1300.08</v>
      </c>
      <c r="BY248" s="370">
        <v>1300.08</v>
      </c>
      <c r="BZ248" s="370">
        <v>1300.08</v>
      </c>
      <c r="CA248" s="370">
        <v>1516.76</v>
      </c>
      <c r="CB248" s="370">
        <v>1300.08</v>
      </c>
      <c r="CC248" s="370">
        <v>1300.08</v>
      </c>
      <c r="CD248" s="370">
        <v>1300.08</v>
      </c>
      <c r="CE248" s="370">
        <v>1516.76</v>
      </c>
      <c r="CF248" s="370">
        <v>1516.76</v>
      </c>
      <c r="CG248" s="370">
        <v>0</v>
      </c>
      <c r="CH248" s="370">
        <v>0</v>
      </c>
      <c r="CI248" s="48" t="s">
        <v>1987</v>
      </c>
      <c r="CJ248" s="48" t="s">
        <v>1990</v>
      </c>
      <c r="CK248" s="48" t="s">
        <v>1991</v>
      </c>
      <c r="CL248" s="48" t="s">
        <v>1990</v>
      </c>
      <c r="CM248" s="48" t="s">
        <v>1990</v>
      </c>
      <c r="CN248" s="48" t="s">
        <v>2014</v>
      </c>
      <c r="CO248" s="48" t="str">
        <f>+CONCATENATE(CI248,".",CJ248,".",CK248,".",CL248,".",CM248,".",CN248)</f>
        <v>2.1.3.1.1.15</v>
      </c>
      <c r="CP248" s="48" t="str">
        <f>+VLOOKUP(Tabla1[[#This Row],[ESPECÍFICA]],CLASIFICADOR_,2,0)</f>
        <v>2.1.3.1.1.15 - CONTRIBUCIONES A ESSALUD DE CONTRATO ADMINISTRATIVO DE SERVICIOS</v>
      </c>
      <c r="CQ248" s="48" t="str">
        <f>+VLOOKUP(Tabla1[[#This Row],[ESPECÍFICA]],CLASIFICADOR_,3,0)</f>
        <v>01.CAS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2.1.PERSONAL Y OBLIGACIONES SOCIALES</v>
      </c>
      <c r="CX248" s="48" t="str">
        <f t="shared" si="42"/>
        <v>0012-OAJ</v>
      </c>
      <c r="CY248" s="113" t="str">
        <f t="shared" si="43"/>
        <v>0012-OAJ</v>
      </c>
      <c r="CZ248" s="20" t="str">
        <f t="shared" si="44"/>
        <v>0012-OAJ</v>
      </c>
      <c r="DA248" s="113" t="str">
        <f>+CONCATENATE(Tabla1[[#This Row],[CC COMPLETO]],Tabla1[[#This Row],[ESPECÍFICA]])</f>
        <v>0012-OAJ2.1.3.1.1.15</v>
      </c>
      <c r="DB248" s="49">
        <f t="shared" si="45"/>
        <v>13650.84</v>
      </c>
      <c r="DC248" s="49">
        <f t="shared" si="46"/>
        <v>13650.84</v>
      </c>
      <c r="DD248" s="49">
        <f t="shared" si="47"/>
        <v>13650.84</v>
      </c>
      <c r="DE248" s="49">
        <f t="shared" si="48"/>
        <v>2070.5200000000004</v>
      </c>
      <c r="DF248" s="49">
        <f t="shared" si="49"/>
        <v>1949.4799999999996</v>
      </c>
      <c r="DG248" s="49">
        <f t="shared" si="50"/>
        <v>3034.16</v>
      </c>
      <c r="DH248" s="49">
        <f t="shared" si="51"/>
        <v>7054.16</v>
      </c>
      <c r="DI248" s="50">
        <f t="shared" si="52"/>
        <v>0.60597682780663209</v>
      </c>
      <c r="DJ248" s="78">
        <f>+SUM(Tabla1[[#This Row],[EJECUTADO 01]:[EJECUTADO 06]])</f>
        <v>8017.16</v>
      </c>
      <c r="DK248" s="78">
        <f>+Tabla1[[#This Row],[mto_devenga_01]]</f>
        <v>1300.08</v>
      </c>
      <c r="DL248" s="78">
        <f>+Tabla1[[#This Row],[mto_devenga_02]]</f>
        <v>1300.08</v>
      </c>
      <c r="DM248" s="78">
        <f>+Tabla1[[#This Row],[mto_devenga_03]]</f>
        <v>1300.08</v>
      </c>
      <c r="DN248" s="78">
        <f>+Tabla1[[#This Row],[mto_devenga_04]]</f>
        <v>1300.08</v>
      </c>
      <c r="DO248" s="78">
        <f>+Tabla1[[#This Row],[mto_devenga_05]]</f>
        <v>1516.76</v>
      </c>
      <c r="DP248" s="76">
        <f>+Tabla1[[#This Row],[mto_devenga_06]]</f>
        <v>1300.08</v>
      </c>
      <c r="DQ248" s="76">
        <f>+Tabla1[[#This Row],[mto_devenga_07]]</f>
        <v>1300.08</v>
      </c>
      <c r="DR248" s="76">
        <f>+Tabla1[[#This Row],[mto_devenga_08]]</f>
        <v>1300.08</v>
      </c>
      <c r="DS248" s="76">
        <f>+Tabla1[[#This Row],[mto_devenga_09]]</f>
        <v>1516.76</v>
      </c>
      <c r="DT248" s="76">
        <f>IFERROR(VLOOKUP(Tabla1[[#This Row],[COD SE]],PF_OCTUBRE,14,0),"0")</f>
        <v>1516.7600000000002</v>
      </c>
      <c r="DU248" s="76">
        <f>IFERROR(VLOOKUP(Tabla1[[#This Row],[COD SE]],PF_OCTUBRE,15,0),"0")</f>
        <v>1516.7600000000002</v>
      </c>
      <c r="DV248" s="76">
        <f>IFERROR(VLOOKUP(Tabla1[[#This Row],[COD SE]],PF_OCTUBRE,16,0),"0")</f>
        <v>1516.7600000000002</v>
      </c>
      <c r="DW248" s="76">
        <f>+SUM(Tabla1[[#This Row],[EJECUTADO 01]:[PF DICIEMBRE
]])</f>
        <v>16684.36</v>
      </c>
      <c r="DX248" s="76">
        <f>IFERROR(VLOOKUP(Tabla1[[#This Row],[COD SE]],PF_OCTUBRE,18,0),"0")</f>
        <v>0</v>
      </c>
      <c r="DY248" s="76">
        <f>IFERROR(VLOOKUP(Tabla1[[#This Row],[COD SE]],PF_OCTUBRE,19,0),"0")</f>
        <v>4020.6400000000003</v>
      </c>
      <c r="DZ248" s="76">
        <f>IFERROR(VLOOKUP(Tabla1[[#This Row],[COD SE]],PF_OCTUBRE,20,0),"0")</f>
        <v>4020.6400000000003</v>
      </c>
      <c r="EA248" s="76">
        <f>+Tabla1[[#This Row],[TOTAL EJEC REAL]]+Tabla1[[#This Row],[SALDO FINAL]]</f>
        <v>20705</v>
      </c>
      <c r="EB248" s="76">
        <f>IFERROR(VLOOKUP(Tabla1[[#This Row],[COD SE]],PF_OCTUBRE,22,0),"0")</f>
        <v>5537.4</v>
      </c>
      <c r="EC248" s="76">
        <f>+IFERROR(VLOOKUP(Tabla1[[#This Row],[COD SE]],SALDO_ESC_2,7,0),0)</f>
        <v>0</v>
      </c>
      <c r="ED248" s="76">
        <f>+IFERROR(VLOOKUP(Tabla1[[#This Row],[COD SE]],SALDO_ESC_3,7,0),0)</f>
        <v>4020.6400000000003</v>
      </c>
      <c r="EE248" s="76">
        <f>+Tabla1[[#This Row],[mto_pim]]-Tabla1[[#This Row],[TRANSF ESC2 ]]</f>
        <v>20705</v>
      </c>
      <c r="EF248" s="76">
        <f>+Tabla1[[#This Row],[mto_pim]]-Tabla1[[#This Row],[TRANFS ESC 3 ]]</f>
        <v>16684.36</v>
      </c>
      <c r="EG248" s="76">
        <f>+IFERROR(VLOOKUP(Tabla1[[#This Row],[COD SE]],HISTORICO,4,0),0)</f>
        <v>1606.5800000000002</v>
      </c>
      <c r="EH248" s="76">
        <f>+IFERROR(VLOOKUP(Tabla1[[#This Row],[COD SE]],HISTORICO,5,0),0)</f>
        <v>1508.66</v>
      </c>
      <c r="EI248" s="76">
        <f>+IFERROR(VLOOKUP(Tabla1[[#This Row],[COD SE]],HISTORICO,6,0),0)</f>
        <v>1614.6800000000003</v>
      </c>
      <c r="EJ248" s="76">
        <f>+IFERROR(VLOOKUP(Tabla1[[#This Row],[COD SE]],HISTORICO,7,0),0)</f>
        <v>1300.0800000000002</v>
      </c>
      <c r="EK248" s="76">
        <f>+IFERROR(VLOOKUP(Tabla1[[#This Row],[COD SE]],HISTORICO,8,0),0)</f>
        <v>1508.66</v>
      </c>
      <c r="EL248" s="76">
        <f>+IFERROR(VLOOKUP(Tabla1[[#This Row],[COD SE]],HISTORICO,9,0),0)</f>
        <v>1300.0800000000002</v>
      </c>
      <c r="EM248" s="76">
        <f>+IFERROR(VLOOKUP(Tabla1[[#This Row],[COD SE]],HISTORICO,10,0),0)</f>
        <v>1083.4000000000001</v>
      </c>
      <c r="EN248" s="76">
        <f>+IFERROR(VLOOKUP(Tabla1[[#This Row],[COD SE]],HISTORICO,11,0),0)</f>
        <v>1300.0800000000002</v>
      </c>
      <c r="EO248" s="76">
        <f>+IFERROR(VLOOKUP(Tabla1[[#This Row],[COD SE]],HISTORICO,12,0),0)</f>
        <v>1516.7600000000002</v>
      </c>
      <c r="EP248" s="58">
        <f>+SUM(Tabla1[[#This Row],[EJECUTADO 01]:[EJECUTADO 03]])</f>
        <v>3900.24</v>
      </c>
      <c r="EQ248" s="58">
        <f>+SUM(Tabla1[[#This Row],[EJECUTADO 04]:[EJECUTADO 06]])</f>
        <v>4116.92</v>
      </c>
      <c r="ER248" s="58">
        <f>+SUM(Tabla1[[#This Row],[EJECUTADO 07]:[EJECUTADO 09]])</f>
        <v>4116.92</v>
      </c>
      <c r="ES248" s="58">
        <f>+SUM(Tabla1[[#This Row],[PF OCTUBRE]:[PF DICIEMBRE
]])</f>
        <v>4550.2800000000007</v>
      </c>
      <c r="ET248" s="58">
        <f>+SUM(Tabla1[[#This Row],[EJECUTADO 01]:[EJECUTADO 09]])</f>
        <v>12134.08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1656</v>
      </c>
      <c r="AD249" s="369" t="s">
        <v>1657</v>
      </c>
      <c r="AE249" s="369" t="s">
        <v>1664</v>
      </c>
      <c r="AF249" s="369" t="s">
        <v>1665</v>
      </c>
      <c r="AG249" s="369" t="s">
        <v>1667</v>
      </c>
      <c r="AH249" s="369">
        <v>5400</v>
      </c>
      <c r="AI249" s="369">
        <v>0</v>
      </c>
      <c r="AJ249" s="369">
        <v>5400</v>
      </c>
      <c r="AK249" s="370">
        <v>4500</v>
      </c>
      <c r="AL249" s="370">
        <v>3450</v>
      </c>
      <c r="AM249" s="370">
        <v>0</v>
      </c>
      <c r="AN249" s="370">
        <v>0</v>
      </c>
      <c r="AO249" s="370">
        <v>0</v>
      </c>
      <c r="AP249" s="370">
        <v>0</v>
      </c>
      <c r="AQ249" s="370">
        <v>0</v>
      </c>
      <c r="AR249" s="370">
        <v>0</v>
      </c>
      <c r="AS249" s="370">
        <v>1350</v>
      </c>
      <c r="AT249" s="370">
        <v>0</v>
      </c>
      <c r="AU249" s="370">
        <v>0</v>
      </c>
      <c r="AV249" s="370">
        <v>0</v>
      </c>
      <c r="AW249" s="370">
        <v>0</v>
      </c>
      <c r="AX249" s="370">
        <v>0</v>
      </c>
      <c r="AY249" s="370">
        <v>0</v>
      </c>
      <c r="AZ249" s="370">
        <v>0</v>
      </c>
      <c r="BA249" s="370">
        <v>0</v>
      </c>
      <c r="BB249" s="370">
        <v>0</v>
      </c>
      <c r="BC249" s="370">
        <v>0</v>
      </c>
      <c r="BD249" s="370">
        <v>0</v>
      </c>
      <c r="BE249" s="370">
        <v>1350</v>
      </c>
      <c r="BF249" s="370">
        <v>0</v>
      </c>
      <c r="BG249" s="370">
        <v>0</v>
      </c>
      <c r="BH249" s="370">
        <v>0</v>
      </c>
      <c r="BI249" s="370">
        <v>0</v>
      </c>
      <c r="BJ249" s="370">
        <v>0</v>
      </c>
      <c r="BK249" s="370">
        <v>0</v>
      </c>
      <c r="BL249" s="370">
        <v>0</v>
      </c>
      <c r="BM249" s="370">
        <v>0</v>
      </c>
      <c r="BN249" s="370">
        <v>0</v>
      </c>
      <c r="BO249" s="370">
        <v>0</v>
      </c>
      <c r="BP249" s="370">
        <v>0</v>
      </c>
      <c r="BQ249" s="370">
        <v>1350</v>
      </c>
      <c r="BR249" s="370">
        <v>0</v>
      </c>
      <c r="BS249" s="370">
        <v>0</v>
      </c>
      <c r="BT249" s="370">
        <v>0</v>
      </c>
      <c r="BU249" s="370">
        <v>0</v>
      </c>
      <c r="BV249" s="370">
        <v>0</v>
      </c>
      <c r="BW249" s="370">
        <v>0</v>
      </c>
      <c r="BX249" s="370">
        <v>0</v>
      </c>
      <c r="BY249" s="370">
        <v>0</v>
      </c>
      <c r="BZ249" s="370">
        <v>0</v>
      </c>
      <c r="CA249" s="370">
        <v>0</v>
      </c>
      <c r="CB249" s="370">
        <v>0</v>
      </c>
      <c r="CC249" s="370">
        <v>1350</v>
      </c>
      <c r="CD249" s="370">
        <v>0</v>
      </c>
      <c r="CE249" s="370">
        <v>0</v>
      </c>
      <c r="CF249" s="370">
        <v>0</v>
      </c>
      <c r="CG249" s="370">
        <v>0</v>
      </c>
      <c r="CH249" s="370">
        <v>0</v>
      </c>
      <c r="CI249" s="48" t="s">
        <v>1987</v>
      </c>
      <c r="CJ249" s="48" t="s">
        <v>1990</v>
      </c>
      <c r="CK249" s="48" t="s">
        <v>1990</v>
      </c>
      <c r="CL249" s="48" t="s">
        <v>2005</v>
      </c>
      <c r="CM249" s="48" t="s">
        <v>1990</v>
      </c>
      <c r="CN249" s="48" t="s">
        <v>1993</v>
      </c>
      <c r="CO249" s="48" t="str">
        <f t="shared" ref="CO249:CO253" si="58">+CONCATENATE(CI249,".",CJ249,".",CK249,".",CL249,".",CM249,".",CN249)</f>
        <v>2.1.1.9.1.4</v>
      </c>
      <c r="CP249" s="48" t="str">
        <f>+VLOOKUP(Tabla1[[#This Row],[ESPECÍFICA]],CLASIFICADOR_,2,0)</f>
        <v>2.1.1.9.1.4 - AGUINALDOS DE CONTRATO ADMINISTRATIVO DE SERVICIOS</v>
      </c>
      <c r="CQ249" s="48" t="str">
        <f>+VLOOKUP(Tabla1[[#This Row],[ESPECÍFICA]],CLASIFICADOR_,3,0)</f>
        <v>01.CAS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2.1.PERSONAL Y OBLIGACIONES SOCIALES</v>
      </c>
      <c r="CX249" s="48" t="str">
        <f t="shared" si="42"/>
        <v>0012-OAJ</v>
      </c>
      <c r="CY249" s="113" t="str">
        <f t="shared" si="43"/>
        <v>0012-OAJ</v>
      </c>
      <c r="CZ249" s="20" t="str">
        <f t="shared" si="44"/>
        <v>0012-OAJ</v>
      </c>
      <c r="DA249" s="113" t="str">
        <f>+CONCATENATE(Tabla1[[#This Row],[CC COMPLETO]],Tabla1[[#This Row],[ESPECÍFICA]])</f>
        <v>0012-OAJ2.1.1.9.1.4</v>
      </c>
      <c r="DB249" s="49">
        <f t="shared" si="45"/>
        <v>1350</v>
      </c>
      <c r="DC249" s="49">
        <f t="shared" si="46"/>
        <v>1350</v>
      </c>
      <c r="DD249" s="49">
        <f t="shared" si="47"/>
        <v>1350</v>
      </c>
      <c r="DE249" s="49">
        <f t="shared" si="48"/>
        <v>900</v>
      </c>
      <c r="DF249" s="49">
        <f t="shared" si="49"/>
        <v>1050</v>
      </c>
      <c r="DG249" s="49">
        <f t="shared" si="50"/>
        <v>2100</v>
      </c>
      <c r="DH249" s="49">
        <f t="shared" si="51"/>
        <v>4050</v>
      </c>
      <c r="DI249" s="50">
        <f t="shared" si="52"/>
        <v>0.25</v>
      </c>
      <c r="DJ249" s="78">
        <f>+SUM(Tabla1[[#This Row],[EJECUTADO 01]:[EJECUTADO 06]])</f>
        <v>0</v>
      </c>
      <c r="DK249" s="78">
        <f>+Tabla1[[#This Row],[mto_devenga_01]]</f>
        <v>0</v>
      </c>
      <c r="DL249" s="78">
        <f>+Tabla1[[#This Row],[mto_devenga_02]]</f>
        <v>0</v>
      </c>
      <c r="DM249" s="78">
        <f>+Tabla1[[#This Row],[mto_devenga_03]]</f>
        <v>0</v>
      </c>
      <c r="DN249" s="78">
        <f>+Tabla1[[#This Row],[mto_devenga_04]]</f>
        <v>0</v>
      </c>
      <c r="DO249" s="78">
        <f>+Tabla1[[#This Row],[mto_devenga_05]]</f>
        <v>0</v>
      </c>
      <c r="DP249" s="76">
        <f>+Tabla1[[#This Row],[mto_devenga_06]]</f>
        <v>0</v>
      </c>
      <c r="DQ249" s="76">
        <f>+Tabla1[[#This Row],[mto_devenga_07]]</f>
        <v>1350</v>
      </c>
      <c r="DR249" s="76">
        <f>+Tabla1[[#This Row],[mto_devenga_08]]</f>
        <v>0</v>
      </c>
      <c r="DS249" s="76">
        <f>+Tabla1[[#This Row],[mto_devenga_09]]</f>
        <v>0</v>
      </c>
      <c r="DT249" s="76">
        <f>IFERROR(VLOOKUP(Tabla1[[#This Row],[COD SE]],PF_OCTUBRE,14,0),"0")</f>
        <v>0</v>
      </c>
      <c r="DU249" s="76">
        <f>IFERROR(VLOOKUP(Tabla1[[#This Row],[COD SE]],PF_OCTUBRE,15,0),"0")</f>
        <v>0</v>
      </c>
      <c r="DV249" s="76">
        <f>IFERROR(VLOOKUP(Tabla1[[#This Row],[COD SE]],PF_OCTUBRE,16,0),"0")</f>
        <v>2100</v>
      </c>
      <c r="DW249" s="76">
        <f>+SUM(Tabla1[[#This Row],[EJECUTADO 01]:[PF DICIEMBRE
]])</f>
        <v>3450</v>
      </c>
      <c r="DX249" s="76">
        <f>IFERROR(VLOOKUP(Tabla1[[#This Row],[COD SE]],PF_OCTUBRE,18,0),"0")</f>
        <v>0</v>
      </c>
      <c r="DY249" s="76">
        <f>IFERROR(VLOOKUP(Tabla1[[#This Row],[COD SE]],PF_OCTUBRE,19,0),"0")</f>
        <v>1950</v>
      </c>
      <c r="DZ249" s="76">
        <f>IFERROR(VLOOKUP(Tabla1[[#This Row],[COD SE]],PF_OCTUBRE,20,0),"0")</f>
        <v>1950</v>
      </c>
      <c r="EA249" s="76">
        <f>+Tabla1[[#This Row],[TOTAL EJEC REAL]]+Tabla1[[#This Row],[SALDO FINAL]]</f>
        <v>5400</v>
      </c>
      <c r="EB249" s="76">
        <f>IFERROR(VLOOKUP(Tabla1[[#This Row],[COD SE]],PF_OCTUBRE,22,0),"0")</f>
        <v>4050</v>
      </c>
      <c r="EC249" s="76">
        <f>+IFERROR(VLOOKUP(Tabla1[[#This Row],[COD SE]],SALDO_ESC_2,7,0),0)</f>
        <v>0</v>
      </c>
      <c r="ED249" s="76">
        <f>+IFERROR(VLOOKUP(Tabla1[[#This Row],[COD SE]],SALDO_ESC_3,7,0),0)</f>
        <v>1950</v>
      </c>
      <c r="EE249" s="76">
        <f>+Tabla1[[#This Row],[mto_pim]]-Tabla1[[#This Row],[TRANSF ESC2 ]]</f>
        <v>5400</v>
      </c>
      <c r="EF249" s="76">
        <f>+Tabla1[[#This Row],[mto_pim]]-Tabla1[[#This Row],[TRANFS ESC 3 ]]</f>
        <v>3450</v>
      </c>
      <c r="EG249" s="76">
        <f>+IFERROR(VLOOKUP(Tabla1[[#This Row],[COD SE]],HISTORICO,4,0),0)</f>
        <v>0</v>
      </c>
      <c r="EH249" s="76">
        <f>+IFERROR(VLOOKUP(Tabla1[[#This Row],[COD SE]],HISTORICO,5,0),0)</f>
        <v>0</v>
      </c>
      <c r="EI249" s="76">
        <f>+IFERROR(VLOOKUP(Tabla1[[#This Row],[COD SE]],HISTORICO,6,0),0)</f>
        <v>0</v>
      </c>
      <c r="EJ249" s="76">
        <f>+IFERROR(VLOOKUP(Tabla1[[#This Row],[COD SE]],HISTORICO,7,0),0)</f>
        <v>0</v>
      </c>
      <c r="EK249" s="76">
        <f>+IFERROR(VLOOKUP(Tabla1[[#This Row],[COD SE]],HISTORICO,8,0),0)</f>
        <v>0</v>
      </c>
      <c r="EL249" s="76">
        <f>+IFERROR(VLOOKUP(Tabla1[[#This Row],[COD SE]],HISTORICO,9,0),0)</f>
        <v>0</v>
      </c>
      <c r="EM249" s="76">
        <f>+IFERROR(VLOOKUP(Tabla1[[#This Row],[COD SE]],HISTORICO,10,0),0)</f>
        <v>1500</v>
      </c>
      <c r="EN249" s="76">
        <f>+IFERROR(VLOOKUP(Tabla1[[#This Row],[COD SE]],HISTORICO,11,0),0)</f>
        <v>0</v>
      </c>
      <c r="EO249" s="76">
        <f>+IFERROR(VLOOKUP(Tabla1[[#This Row],[COD SE]],HISTORICO,12,0),0)</f>
        <v>0</v>
      </c>
      <c r="EP249" s="58">
        <f>+SUM(Tabla1[[#This Row],[EJECUTADO 01]:[EJECUTADO 03]])</f>
        <v>0</v>
      </c>
      <c r="EQ249" s="58">
        <f>+SUM(Tabla1[[#This Row],[EJECUTADO 04]:[EJECUTADO 06]])</f>
        <v>0</v>
      </c>
      <c r="ER249" s="58">
        <f>+SUM(Tabla1[[#This Row],[EJECUTADO 07]:[EJECUTADO 09]])</f>
        <v>1350</v>
      </c>
      <c r="ES249" s="58">
        <f>+SUM(Tabla1[[#This Row],[PF OCTUBRE]:[PF DICIEMBRE
]])</f>
        <v>2100</v>
      </c>
      <c r="ET249" s="58">
        <f>+SUM(Tabla1[[#This Row],[EJECUTADO 01]:[EJECUTADO 09]])</f>
        <v>1350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1656</v>
      </c>
      <c r="AD250" s="369" t="s">
        <v>1657</v>
      </c>
      <c r="AE250" s="369" t="s">
        <v>1658</v>
      </c>
      <c r="AF250" s="369" t="s">
        <v>1658</v>
      </c>
      <c r="AG250" s="369" t="s">
        <v>1659</v>
      </c>
      <c r="AH250" s="369">
        <v>0</v>
      </c>
      <c r="AI250" s="369">
        <v>166913</v>
      </c>
      <c r="AJ250" s="369">
        <v>166913</v>
      </c>
      <c r="AK250" s="370">
        <v>115264</v>
      </c>
      <c r="AL250" s="370">
        <v>115264</v>
      </c>
      <c r="AM250" s="370">
        <v>0</v>
      </c>
      <c r="AN250" s="370">
        <v>0</v>
      </c>
      <c r="AO250" s="370">
        <v>0</v>
      </c>
      <c r="AP250" s="370">
        <v>4602.38</v>
      </c>
      <c r="AQ250" s="370">
        <v>13807.14</v>
      </c>
      <c r="AR250" s="370">
        <v>13807.14</v>
      </c>
      <c r="AS250" s="370">
        <v>13807.14</v>
      </c>
      <c r="AT250" s="370">
        <v>13807.14</v>
      </c>
      <c r="AU250" s="370">
        <v>13807.14</v>
      </c>
      <c r="AV250" s="370">
        <v>13807.14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4602.38</v>
      </c>
      <c r="BC250" s="370">
        <v>13807.14</v>
      </c>
      <c r="BD250" s="370">
        <v>13807.14</v>
      </c>
      <c r="BE250" s="370">
        <v>13807.14</v>
      </c>
      <c r="BF250" s="370">
        <v>13807.14</v>
      </c>
      <c r="BG250" s="370">
        <v>13807.14</v>
      </c>
      <c r="BH250" s="370">
        <v>13807.14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18409.52</v>
      </c>
      <c r="BP250" s="370">
        <v>13807.14</v>
      </c>
      <c r="BQ250" s="370">
        <v>13807.14</v>
      </c>
      <c r="BR250" s="370">
        <v>13807.14</v>
      </c>
      <c r="BS250" s="370">
        <v>13807.14</v>
      </c>
      <c r="BT250" s="370">
        <v>12038.67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4602.38</v>
      </c>
      <c r="CA250" s="370">
        <v>13807.14</v>
      </c>
      <c r="CB250" s="370">
        <v>13807.14</v>
      </c>
      <c r="CC250" s="370">
        <v>13807.14</v>
      </c>
      <c r="CD250" s="370">
        <v>13807.14</v>
      </c>
      <c r="CE250" s="370">
        <v>13807.14</v>
      </c>
      <c r="CF250" s="370">
        <v>12038.67</v>
      </c>
      <c r="CG250" s="370">
        <v>0</v>
      </c>
      <c r="CH250" s="370">
        <v>0</v>
      </c>
      <c r="CI250" s="48" t="s">
        <v>1987</v>
      </c>
      <c r="CJ250" s="48" t="s">
        <v>1990</v>
      </c>
      <c r="CK250" s="48" t="s">
        <v>1990</v>
      </c>
      <c r="CL250" s="48" t="s">
        <v>1990</v>
      </c>
      <c r="CM250" s="48" t="s">
        <v>1990</v>
      </c>
      <c r="CN250" s="48" t="s">
        <v>1992</v>
      </c>
      <c r="CO250" s="48" t="str">
        <f t="shared" si="58"/>
        <v>2.1.1.1.1.8</v>
      </c>
      <c r="CP250" s="48" t="str">
        <f>+VLOOKUP(Tabla1[[#This Row],[ESPECÍFICA]],CLASIFICADOR_,2,0)</f>
        <v>2.1.1.1.1.8 - PERSONAL DE LA LEY SERVIR (RÉGIMEN DEL SERVICIO CIVIL)</v>
      </c>
      <c r="CQ250" s="48" t="str">
        <f>+VLOOKUP(Tabla1[[#This Row],[ESPECÍFICA]],CLASIFICADOR_,3,0)</f>
        <v>02.SERVIR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2.1.PERSONAL Y OBLIGACIONES SOCIALES</v>
      </c>
      <c r="CX250" s="48" t="str">
        <f t="shared" si="42"/>
        <v>0012-OAJ</v>
      </c>
      <c r="CY250" s="113" t="str">
        <f t="shared" si="43"/>
        <v>0012-OAJ</v>
      </c>
      <c r="CZ250" s="20" t="str">
        <f t="shared" si="44"/>
        <v>0012-OAJ</v>
      </c>
      <c r="DA250" s="113" t="str">
        <f>+CONCATENATE(Tabla1[[#This Row],[CC COMPLETO]],Tabla1[[#This Row],[ESPECÍFICA]])</f>
        <v>0012-OAJ2.1.1.1.1.8</v>
      </c>
      <c r="DB250" s="49">
        <f t="shared" si="45"/>
        <v>87445.22</v>
      </c>
      <c r="DC250" s="49">
        <f t="shared" si="46"/>
        <v>87445.22</v>
      </c>
      <c r="DD250" s="49">
        <f t="shared" si="47"/>
        <v>85676.75</v>
      </c>
      <c r="DE250" s="49">
        <f t="shared" si="48"/>
        <v>51649</v>
      </c>
      <c r="DF250" s="49">
        <f t="shared" si="49"/>
        <v>0</v>
      </c>
      <c r="DG250" s="49">
        <f t="shared" si="50"/>
        <v>27818.78</v>
      </c>
      <c r="DH250" s="49">
        <f t="shared" si="51"/>
        <v>79467.78</v>
      </c>
      <c r="DI250" s="50">
        <f t="shared" si="52"/>
        <v>0</v>
      </c>
      <c r="DJ250" s="78">
        <f>+SUM(Tabla1[[#This Row],[EJECUTADO 01]:[EJECUTADO 06]])</f>
        <v>32216.66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4602.38</v>
      </c>
      <c r="DO250" s="78">
        <f>+Tabla1[[#This Row],[mto_devenga_05]]</f>
        <v>13807.14</v>
      </c>
      <c r="DP250" s="76">
        <f>+Tabla1[[#This Row],[mto_devenga_06]]</f>
        <v>13807.14</v>
      </c>
      <c r="DQ250" s="76">
        <f>+Tabla1[[#This Row],[mto_devenga_07]]</f>
        <v>13807.14</v>
      </c>
      <c r="DR250" s="76">
        <f>+Tabla1[[#This Row],[mto_devenga_08]]</f>
        <v>13807.14</v>
      </c>
      <c r="DS250" s="76">
        <f>+Tabla1[[#This Row],[mto_devenga_09]]</f>
        <v>13807.14</v>
      </c>
      <c r="DT250" s="76">
        <f>IFERROR(VLOOKUP(Tabla1[[#This Row],[COD SE]],PF_OCTUBRE,14,0),"0")</f>
        <v>13909.35</v>
      </c>
      <c r="DU250" s="76">
        <f>IFERROR(VLOOKUP(Tabla1[[#This Row],[COD SE]],PF_OCTUBRE,15,0),"0")</f>
        <v>13909.35</v>
      </c>
      <c r="DV250" s="76">
        <f>IFERROR(VLOOKUP(Tabla1[[#This Row],[COD SE]],PF_OCTUBRE,16,0),"0")</f>
        <v>13909.349999999999</v>
      </c>
      <c r="DW250" s="76">
        <f>+SUM(Tabla1[[#This Row],[EJECUTADO 01]:[PF DICIEMBRE
]])</f>
        <v>115366.13</v>
      </c>
      <c r="DX250" s="76">
        <f>IFERROR(VLOOKUP(Tabla1[[#This Row],[COD SE]],PF_OCTUBRE,18,0),"0")</f>
        <v>0</v>
      </c>
      <c r="DY250" s="76">
        <f>IFERROR(VLOOKUP(Tabla1[[#This Row],[COD SE]],PF_OCTUBRE,19,0),"0")</f>
        <v>51546.87</v>
      </c>
      <c r="DZ250" s="76">
        <f>IFERROR(VLOOKUP(Tabla1[[#This Row],[COD SE]],PF_OCTUBRE,20,0),"0")</f>
        <v>51546.87</v>
      </c>
      <c r="EA250" s="76">
        <f>+Tabla1[[#This Row],[TOTAL EJEC REAL]]+Tabla1[[#This Row],[SALDO FINAL]]</f>
        <v>166913</v>
      </c>
      <c r="EB250" s="76">
        <f>IFERROR(VLOOKUP(Tabla1[[#This Row],[COD SE]],PF_OCTUBRE,22,0),"0")</f>
        <v>65456.22</v>
      </c>
      <c r="EC250" s="76">
        <f>+IFERROR(VLOOKUP(Tabla1[[#This Row],[COD SE]],SALDO_ESC_2,7,0),0)</f>
        <v>0</v>
      </c>
      <c r="ED250" s="76">
        <f>+IFERROR(VLOOKUP(Tabla1[[#This Row],[COD SE]],SALDO_ESC_3,7,0),0)</f>
        <v>51546.87</v>
      </c>
      <c r="EE250" s="76">
        <f>+Tabla1[[#This Row],[mto_pim]]-Tabla1[[#This Row],[TRANSF ESC2 ]]</f>
        <v>166913</v>
      </c>
      <c r="EF250" s="76">
        <f>+Tabla1[[#This Row],[mto_pim]]-Tabla1[[#This Row],[TRANFS ESC 3 ]]</f>
        <v>115366.13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0</v>
      </c>
      <c r="EL250" s="76">
        <f>+IFERROR(VLOOKUP(Tabla1[[#This Row],[COD SE]],HISTORICO,9,0),0)</f>
        <v>13909.35</v>
      </c>
      <c r="EM250" s="76">
        <f>+IFERROR(VLOOKUP(Tabla1[[#This Row],[COD SE]],HISTORICO,10,0),0)</f>
        <v>13909.35</v>
      </c>
      <c r="EN250" s="76">
        <f>+IFERROR(VLOOKUP(Tabla1[[#This Row],[COD SE]],HISTORICO,11,0),0)</f>
        <v>13909.35</v>
      </c>
      <c r="EO250" s="76">
        <f>+IFERROR(VLOOKUP(Tabla1[[#This Row],[COD SE]],HISTORICO,12,0),0)</f>
        <v>13909.35</v>
      </c>
      <c r="EP250" s="58">
        <f>+SUM(Tabla1[[#This Row],[EJECUTADO 01]:[EJECUTADO 03]])</f>
        <v>0</v>
      </c>
      <c r="EQ250" s="58">
        <f>+SUM(Tabla1[[#This Row],[EJECUTADO 04]:[EJECUTADO 06]])</f>
        <v>32216.66</v>
      </c>
      <c r="ER250" s="58">
        <f>+SUM(Tabla1[[#This Row],[EJECUTADO 07]:[EJECUTADO 09]])</f>
        <v>41421.42</v>
      </c>
      <c r="ES250" s="58">
        <f>+SUM(Tabla1[[#This Row],[PF OCTUBRE]:[PF DICIEMBRE
]])</f>
        <v>41728.050000000003</v>
      </c>
      <c r="ET250" s="58">
        <f>+SUM(Tabla1[[#This Row],[EJECUTADO 01]:[EJECUTADO 09]])</f>
        <v>73638.080000000002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1656</v>
      </c>
      <c r="AD251" s="369" t="s">
        <v>2006</v>
      </c>
      <c r="AE251" s="369" t="s">
        <v>2007</v>
      </c>
      <c r="AF251" s="369" t="s">
        <v>2007</v>
      </c>
      <c r="AG251" s="369" t="s">
        <v>2015</v>
      </c>
      <c r="AH251" s="369">
        <v>0</v>
      </c>
      <c r="AI251" s="369">
        <v>11188</v>
      </c>
      <c r="AJ251" s="369">
        <v>11188</v>
      </c>
      <c r="AK251" s="370">
        <v>11188</v>
      </c>
      <c r="AL251" s="370">
        <v>11188</v>
      </c>
      <c r="AM251" s="370">
        <v>0</v>
      </c>
      <c r="AN251" s="370">
        <v>0</v>
      </c>
      <c r="AO251" s="370">
        <v>0</v>
      </c>
      <c r="AP251" s="370">
        <v>0</v>
      </c>
      <c r="AQ251" s="370">
        <v>5849.52</v>
      </c>
      <c r="AR251" s="370">
        <v>0</v>
      </c>
      <c r="AS251" s="370">
        <v>5337.5</v>
      </c>
      <c r="AT251" s="370">
        <v>0</v>
      </c>
      <c r="AU251" s="370">
        <v>0</v>
      </c>
      <c r="AV251" s="370">
        <v>0</v>
      </c>
      <c r="AW251" s="370">
        <v>0</v>
      </c>
      <c r="AX251" s="370">
        <v>0</v>
      </c>
      <c r="AY251" s="370">
        <v>0</v>
      </c>
      <c r="AZ251" s="370">
        <v>0</v>
      </c>
      <c r="BA251" s="370">
        <v>0</v>
      </c>
      <c r="BB251" s="370">
        <v>0</v>
      </c>
      <c r="BC251" s="370">
        <v>5849.52</v>
      </c>
      <c r="BD251" s="370">
        <v>0</v>
      </c>
      <c r="BE251" s="370">
        <v>5337.5</v>
      </c>
      <c r="BF251" s="370">
        <v>0</v>
      </c>
      <c r="BG251" s="370">
        <v>0</v>
      </c>
      <c r="BH251" s="370">
        <v>0</v>
      </c>
      <c r="BI251" s="370">
        <v>0</v>
      </c>
      <c r="BJ251" s="370">
        <v>0</v>
      </c>
      <c r="BK251" s="370">
        <v>0</v>
      </c>
      <c r="BL251" s="370">
        <v>0</v>
      </c>
      <c r="BM251" s="370">
        <v>0</v>
      </c>
      <c r="BN251" s="370">
        <v>0</v>
      </c>
      <c r="BO251" s="370">
        <v>5849.52</v>
      </c>
      <c r="BP251" s="370">
        <v>0</v>
      </c>
      <c r="BQ251" s="370">
        <v>5337.5</v>
      </c>
      <c r="BR251" s="370">
        <v>0</v>
      </c>
      <c r="BS251" s="370">
        <v>0</v>
      </c>
      <c r="BT251" s="370">
        <v>0</v>
      </c>
      <c r="BU251" s="370">
        <v>0</v>
      </c>
      <c r="BV251" s="370">
        <v>0</v>
      </c>
      <c r="BW251" s="370">
        <v>0</v>
      </c>
      <c r="BX251" s="370">
        <v>0</v>
      </c>
      <c r="BY251" s="370">
        <v>0</v>
      </c>
      <c r="BZ251" s="370">
        <v>0</v>
      </c>
      <c r="CA251" s="370">
        <v>5849.52</v>
      </c>
      <c r="CB251" s="370">
        <v>0</v>
      </c>
      <c r="CC251" s="370">
        <v>5337.5</v>
      </c>
      <c r="CD251" s="370">
        <v>0</v>
      </c>
      <c r="CE251" s="370">
        <v>0</v>
      </c>
      <c r="CF251" s="370">
        <v>0</v>
      </c>
      <c r="CG251" s="370">
        <v>0</v>
      </c>
      <c r="CH251" s="370">
        <v>0</v>
      </c>
      <c r="CI251" s="48" t="s">
        <v>1987</v>
      </c>
      <c r="CJ251" s="48" t="s">
        <v>1990</v>
      </c>
      <c r="CK251" s="48" t="s">
        <v>1993</v>
      </c>
      <c r="CL251" s="48" t="s">
        <v>1990</v>
      </c>
      <c r="CM251" s="48" t="s">
        <v>1990</v>
      </c>
      <c r="CN251" s="48" t="s">
        <v>1989</v>
      </c>
      <c r="CO251" s="48" t="str">
        <f t="shared" si="58"/>
        <v>2.1.4.1.1.7</v>
      </c>
      <c r="CP251" s="48" t="str">
        <f>+VLOOKUP(Tabla1[[#This Row],[ESPECÍFICA]],CLASIFICADOR_,2,0)</f>
        <v>2.1.4.1.1.7 - VACACIONES TRUNCAS PERSONAL CAS</v>
      </c>
      <c r="CQ251" s="48" t="str">
        <f>+VLOOKUP(Tabla1[[#This Row],[ESPECÍFICA]],CLASIFICADOR_,3,0)</f>
        <v>01.CAS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2.1.PERSONAL Y OBLIGACIONES SOCIALES</v>
      </c>
      <c r="CX251" s="48" t="str">
        <f t="shared" si="42"/>
        <v>0012-OAJ</v>
      </c>
      <c r="CY251" s="113" t="str">
        <f t="shared" si="43"/>
        <v>0012-OAJ</v>
      </c>
      <c r="CZ251" s="20" t="str">
        <f t="shared" si="44"/>
        <v>0012-OAJ</v>
      </c>
      <c r="DA251" s="113" t="str">
        <f>+CONCATENATE(Tabla1[[#This Row],[CC COMPLETO]],Tabla1[[#This Row],[ESPECÍFICA]])</f>
        <v>0012-OAJ2.1.4.1.1.7</v>
      </c>
      <c r="DB251" s="49">
        <f t="shared" si="45"/>
        <v>11187.02</v>
      </c>
      <c r="DC251" s="49">
        <f t="shared" si="46"/>
        <v>11187.02</v>
      </c>
      <c r="DD251" s="49">
        <f t="shared" si="47"/>
        <v>11187.02</v>
      </c>
      <c r="DE251" s="49">
        <f t="shared" si="48"/>
        <v>0</v>
      </c>
      <c r="DF251" s="49">
        <f t="shared" si="49"/>
        <v>0</v>
      </c>
      <c r="DG251" s="49">
        <f t="shared" si="50"/>
        <v>0.97999999999956344</v>
      </c>
      <c r="DH251" s="49">
        <f t="shared" si="51"/>
        <v>0.97999999999956344</v>
      </c>
      <c r="DI251" s="50">
        <f t="shared" si="52"/>
        <v>0</v>
      </c>
      <c r="DJ251" s="78">
        <f>+SUM(Tabla1[[#This Row],[EJECUTADO 01]:[EJECUTADO 06]])</f>
        <v>5849.52</v>
      </c>
      <c r="DK251" s="78">
        <f>+Tabla1[[#This Row],[mto_devenga_01]]</f>
        <v>0</v>
      </c>
      <c r="DL251" s="78">
        <f>+Tabla1[[#This Row],[mto_devenga_02]]</f>
        <v>0</v>
      </c>
      <c r="DM251" s="78">
        <f>+Tabla1[[#This Row],[mto_devenga_03]]</f>
        <v>0</v>
      </c>
      <c r="DN251" s="78">
        <f>+Tabla1[[#This Row],[mto_devenga_04]]</f>
        <v>0</v>
      </c>
      <c r="DO251" s="78">
        <f>+Tabla1[[#This Row],[mto_devenga_05]]</f>
        <v>5849.52</v>
      </c>
      <c r="DP251" s="76">
        <f>+Tabla1[[#This Row],[mto_devenga_06]]</f>
        <v>0</v>
      </c>
      <c r="DQ251" s="76">
        <f>+Tabla1[[#This Row],[mto_devenga_07]]</f>
        <v>5337.5</v>
      </c>
      <c r="DR251" s="76">
        <f>+Tabla1[[#This Row],[mto_devenga_08]]</f>
        <v>0</v>
      </c>
      <c r="DS251" s="76">
        <f>+Tabla1[[#This Row],[mto_devenga_09]]</f>
        <v>0</v>
      </c>
      <c r="DT251" s="76">
        <f>IFERROR(VLOOKUP(Tabla1[[#This Row],[COD SE]],PF_OCTUBRE,14,0),"0")</f>
        <v>0</v>
      </c>
      <c r="DU251" s="76">
        <f>IFERROR(VLOOKUP(Tabla1[[#This Row],[COD SE]],PF_OCTUBRE,15,0),"0")</f>
        <v>0</v>
      </c>
      <c r="DV251" s="76">
        <f>IFERROR(VLOOKUP(Tabla1[[#This Row],[COD SE]],PF_OCTUBRE,16,0),"0")</f>
        <v>0</v>
      </c>
      <c r="DW251" s="76">
        <f>+SUM(Tabla1[[#This Row],[EJECUTADO 01]:[PF DICIEMBRE
]])</f>
        <v>11187.02</v>
      </c>
      <c r="DX251" s="76">
        <f>IFERROR(VLOOKUP(Tabla1[[#This Row],[COD SE]],PF_OCTUBRE,18,0),"0")</f>
        <v>0</v>
      </c>
      <c r="DY251" s="76">
        <f>IFERROR(VLOOKUP(Tabla1[[#This Row],[COD SE]],PF_OCTUBRE,19,0),"0")</f>
        <v>0.98</v>
      </c>
      <c r="DZ251" s="76">
        <f>IFERROR(VLOOKUP(Tabla1[[#This Row],[COD SE]],PF_OCTUBRE,20,0),"0")</f>
        <v>0.98</v>
      </c>
      <c r="EA251" s="76">
        <f>+Tabla1[[#This Row],[TOTAL EJEC REAL]]+Tabla1[[#This Row],[SALDO FINAL]]</f>
        <v>11188</v>
      </c>
      <c r="EB251" s="76">
        <f>IFERROR(VLOOKUP(Tabla1[[#This Row],[COD SE]],PF_OCTUBRE,22,0),"0")</f>
        <v>0.98</v>
      </c>
      <c r="EC251" s="76">
        <f>+IFERROR(VLOOKUP(Tabla1[[#This Row],[COD SE]],SALDO_ESC_2,7,0),0)</f>
        <v>0</v>
      </c>
      <c r="ED251" s="76">
        <f>+IFERROR(VLOOKUP(Tabla1[[#This Row],[COD SE]],SALDO_ESC_3,7,0),0)</f>
        <v>0.98</v>
      </c>
      <c r="EE251" s="76">
        <f>+Tabla1[[#This Row],[mto_pim]]-Tabla1[[#This Row],[TRANSF ESC2 ]]</f>
        <v>11188</v>
      </c>
      <c r="EF251" s="76">
        <f>+Tabla1[[#This Row],[mto_pim]]-Tabla1[[#This Row],[TRANFS ESC 3 ]]</f>
        <v>11187.02</v>
      </c>
      <c r="EG251" s="76">
        <f>+IFERROR(VLOOKUP(Tabla1[[#This Row],[COD SE]],HISTORICO,4,0),0)</f>
        <v>0</v>
      </c>
      <c r="EH251" s="76">
        <f>+IFERROR(VLOOKUP(Tabla1[[#This Row],[COD SE]],HISTORICO,5,0),0)</f>
        <v>0</v>
      </c>
      <c r="EI251" s="76">
        <f>+IFERROR(VLOOKUP(Tabla1[[#This Row],[COD SE]],HISTORICO,6,0),0)</f>
        <v>0</v>
      </c>
      <c r="EJ251" s="76">
        <f>+IFERROR(VLOOKUP(Tabla1[[#This Row],[COD SE]],HISTORICO,7,0),0)</f>
        <v>0</v>
      </c>
      <c r="EK251" s="76">
        <f>+IFERROR(VLOOKUP(Tabla1[[#This Row],[COD SE]],HISTORICO,8,0),0)</f>
        <v>5850</v>
      </c>
      <c r="EL251" s="76">
        <f>+IFERROR(VLOOKUP(Tabla1[[#This Row],[COD SE]],HISTORICO,9,0),0)</f>
        <v>0</v>
      </c>
      <c r="EM251" s="76">
        <f>+IFERROR(VLOOKUP(Tabla1[[#This Row],[COD SE]],HISTORICO,10,0),0)</f>
        <v>0</v>
      </c>
      <c r="EN251" s="76">
        <f>+IFERROR(VLOOKUP(Tabla1[[#This Row],[COD SE]],HISTORICO,11,0),0)</f>
        <v>0</v>
      </c>
      <c r="EO251" s="76">
        <f>+IFERROR(VLOOKUP(Tabla1[[#This Row],[COD SE]],HISTORICO,12,0),0)</f>
        <v>0</v>
      </c>
      <c r="EP251" s="58">
        <f>+SUM(Tabla1[[#This Row],[EJECUTADO 01]:[EJECUTADO 03]])</f>
        <v>0</v>
      </c>
      <c r="EQ251" s="58">
        <f>+SUM(Tabla1[[#This Row],[EJECUTADO 04]:[EJECUTADO 06]])</f>
        <v>5849.52</v>
      </c>
      <c r="ER251" s="58">
        <f>+SUM(Tabla1[[#This Row],[EJECUTADO 07]:[EJECUTADO 09]])</f>
        <v>5337.5</v>
      </c>
      <c r="ES251" s="58">
        <f>+SUM(Tabla1[[#This Row],[PF OCTUBRE]:[PF DICIEMBRE
]])</f>
        <v>0</v>
      </c>
      <c r="ET251" s="58">
        <f>+SUM(Tabla1[[#This Row],[EJECUTADO 01]:[EJECUTADO 09]])</f>
        <v>11187.02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1672</v>
      </c>
      <c r="AD252" s="369" t="s">
        <v>1684</v>
      </c>
      <c r="AE252" s="369" t="s">
        <v>1685</v>
      </c>
      <c r="AF252" s="369" t="s">
        <v>1686</v>
      </c>
      <c r="AG252" s="369" t="s">
        <v>1687</v>
      </c>
      <c r="AH252" s="369">
        <v>0</v>
      </c>
      <c r="AI252" s="369">
        <v>2760</v>
      </c>
      <c r="AJ252" s="369">
        <v>2760</v>
      </c>
      <c r="AK252" s="370">
        <v>2760</v>
      </c>
      <c r="AL252" s="370">
        <v>2760</v>
      </c>
      <c r="AM252" s="370">
        <v>0</v>
      </c>
      <c r="AN252" s="370">
        <v>2760</v>
      </c>
      <c r="AO252" s="370">
        <v>0</v>
      </c>
      <c r="AP252" s="370">
        <v>0</v>
      </c>
      <c r="AQ252" s="370">
        <v>0</v>
      </c>
      <c r="AR252" s="370">
        <v>0</v>
      </c>
      <c r="AS252" s="370">
        <v>0</v>
      </c>
      <c r="AT252" s="370">
        <v>0</v>
      </c>
      <c r="AU252" s="370">
        <v>0</v>
      </c>
      <c r="AV252" s="370">
        <v>0</v>
      </c>
      <c r="AW252" s="370">
        <v>0</v>
      </c>
      <c r="AX252" s="370">
        <v>0</v>
      </c>
      <c r="AY252" s="370">
        <v>0</v>
      </c>
      <c r="AZ252" s="370">
        <v>2760</v>
      </c>
      <c r="BA252" s="370">
        <v>0</v>
      </c>
      <c r="BB252" s="370">
        <v>0</v>
      </c>
      <c r="BC252" s="370">
        <v>0</v>
      </c>
      <c r="BD252" s="370">
        <v>0</v>
      </c>
      <c r="BE252" s="370">
        <v>0</v>
      </c>
      <c r="BF252" s="370">
        <v>0</v>
      </c>
      <c r="BG252" s="370">
        <v>0</v>
      </c>
      <c r="BH252" s="370">
        <v>0</v>
      </c>
      <c r="BI252" s="370">
        <v>0</v>
      </c>
      <c r="BJ252" s="370">
        <v>0</v>
      </c>
      <c r="BK252" s="370">
        <v>0</v>
      </c>
      <c r="BL252" s="370">
        <v>0</v>
      </c>
      <c r="BM252" s="370">
        <v>2760</v>
      </c>
      <c r="BN252" s="370">
        <v>0</v>
      </c>
      <c r="BO252" s="370">
        <v>0</v>
      </c>
      <c r="BP252" s="370">
        <v>0</v>
      </c>
      <c r="BQ252" s="370">
        <v>0</v>
      </c>
      <c r="BR252" s="370">
        <v>0</v>
      </c>
      <c r="BS252" s="370">
        <v>0</v>
      </c>
      <c r="BT252" s="370">
        <v>0</v>
      </c>
      <c r="BU252" s="370">
        <v>0</v>
      </c>
      <c r="BV252" s="370">
        <v>0</v>
      </c>
      <c r="BW252" s="370">
        <v>0</v>
      </c>
      <c r="BX252" s="370">
        <v>2760</v>
      </c>
      <c r="BY252" s="370">
        <v>0</v>
      </c>
      <c r="BZ252" s="370">
        <v>0</v>
      </c>
      <c r="CA252" s="370">
        <v>0</v>
      </c>
      <c r="CB252" s="370">
        <v>0</v>
      </c>
      <c r="CC252" s="370">
        <v>0</v>
      </c>
      <c r="CD252" s="370">
        <v>0</v>
      </c>
      <c r="CE252" s="370">
        <v>0</v>
      </c>
      <c r="CF252" s="370">
        <v>0</v>
      </c>
      <c r="CG252" s="370">
        <v>0</v>
      </c>
      <c r="CH252" s="370">
        <v>0</v>
      </c>
      <c r="CI252" s="48" t="s">
        <v>1987</v>
      </c>
      <c r="CJ252" s="48" t="s">
        <v>1991</v>
      </c>
      <c r="CK252" s="48" t="s">
        <v>1990</v>
      </c>
      <c r="CL252" s="48" t="s">
        <v>1998</v>
      </c>
      <c r="CM252" s="48" t="s">
        <v>1990</v>
      </c>
      <c r="CN252" s="48" t="s">
        <v>1991</v>
      </c>
      <c r="CO252" s="48" t="str">
        <f t="shared" si="58"/>
        <v>2.3.1.99.1.3</v>
      </c>
      <c r="CP252" s="48" t="str">
        <f>+VLOOKUP(Tabla1[[#This Row],[ESPECÍFICA]],CLASIFICADOR_,2,0)</f>
        <v>2.3.1.99.1.3 - LIBROS, DIARIOS, REVISTAS Y OTROS BIENES IMPRESOS NO VINCULADOS A ENSEÑANZA</v>
      </c>
      <c r="CQ252" s="48" t="str">
        <f>+VLOOKUP(Tabla1[[#This Row],[ESPECÍFICA]],CLASIFICADOR_,3,0)</f>
        <v>2.3.1.99 - COMPRA DE OTROS BIENES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2.3.BIENES Y SERVICIOS</v>
      </c>
      <c r="CX252" s="48" t="str">
        <f t="shared" si="42"/>
        <v>0012-OAJ</v>
      </c>
      <c r="CY252" s="113" t="str">
        <f t="shared" si="43"/>
        <v>0012-OAJ</v>
      </c>
      <c r="CZ252" s="20" t="str">
        <f t="shared" si="44"/>
        <v>0012-OAJ</v>
      </c>
      <c r="DA252" s="113" t="str">
        <f>+CONCATENATE(Tabla1[[#This Row],[CC COMPLETO]],Tabla1[[#This Row],[ESPECÍFICA]])</f>
        <v>0012-OAJ2.3.1.99.1.3</v>
      </c>
      <c r="DB252" s="49">
        <f t="shared" si="45"/>
        <v>2760</v>
      </c>
      <c r="DC252" s="49">
        <f t="shared" si="46"/>
        <v>2760</v>
      </c>
      <c r="DD252" s="49">
        <f t="shared" si="47"/>
        <v>2760</v>
      </c>
      <c r="DE252" s="49">
        <f t="shared" si="48"/>
        <v>0</v>
      </c>
      <c r="DF252" s="49">
        <f t="shared" si="49"/>
        <v>0</v>
      </c>
      <c r="DG252" s="49">
        <f t="shared" si="50"/>
        <v>0</v>
      </c>
      <c r="DH252" s="49">
        <f t="shared" si="51"/>
        <v>0</v>
      </c>
      <c r="DI252" s="50">
        <f t="shared" si="52"/>
        <v>0</v>
      </c>
      <c r="DJ252" s="78">
        <f>+SUM(Tabla1[[#This Row],[EJECUTADO 01]:[EJECUTADO 06]])</f>
        <v>2760</v>
      </c>
      <c r="DK252" s="78">
        <f>+Tabla1[[#This Row],[mto_devenga_01]]</f>
        <v>0</v>
      </c>
      <c r="DL252" s="78">
        <f>+Tabla1[[#This Row],[mto_devenga_02]]</f>
        <v>2760</v>
      </c>
      <c r="DM252" s="78">
        <f>+Tabla1[[#This Row],[mto_devenga_03]]</f>
        <v>0</v>
      </c>
      <c r="DN252" s="78">
        <f>+Tabla1[[#This Row],[mto_devenga_04]]</f>
        <v>0</v>
      </c>
      <c r="DO252" s="78">
        <f>+Tabla1[[#This Row],[mto_devenga_05]]</f>
        <v>0</v>
      </c>
      <c r="DP252" s="76">
        <f>+Tabla1[[#This Row],[mto_devenga_06]]</f>
        <v>0</v>
      </c>
      <c r="DQ252" s="76">
        <f>+Tabla1[[#This Row],[mto_devenga_07]]</f>
        <v>0</v>
      </c>
      <c r="DR252" s="76">
        <f>+Tabla1[[#This Row],[mto_devenga_08]]</f>
        <v>0</v>
      </c>
      <c r="DS252" s="76">
        <f>+Tabla1[[#This Row],[mto_devenga_09]]</f>
        <v>0</v>
      </c>
      <c r="DT252" s="76">
        <f>IFERROR(VLOOKUP(Tabla1[[#This Row],[COD SE]],PF_OCTUBRE,14,0),"0")</f>
        <v>0</v>
      </c>
      <c r="DU252" s="76">
        <f>IFERROR(VLOOKUP(Tabla1[[#This Row],[COD SE]],PF_OCTUBRE,15,0),"0")</f>
        <v>0</v>
      </c>
      <c r="DV252" s="76">
        <f>IFERROR(VLOOKUP(Tabla1[[#This Row],[COD SE]],PF_OCTUBRE,16,0),"0")</f>
        <v>0</v>
      </c>
      <c r="DW252" s="76">
        <f>+SUM(Tabla1[[#This Row],[EJECUTADO 01]:[PF DICIEMBRE
]])</f>
        <v>2760</v>
      </c>
      <c r="DX252" s="76">
        <f>IFERROR(VLOOKUP(Tabla1[[#This Row],[COD SE]],PF_OCTUBRE,18,0),"0")</f>
        <v>0</v>
      </c>
      <c r="DY252" s="76">
        <f>IFERROR(VLOOKUP(Tabla1[[#This Row],[COD SE]],PF_OCTUBRE,19,0),"0")</f>
        <v>0</v>
      </c>
      <c r="DZ252" s="76">
        <f>IFERROR(VLOOKUP(Tabla1[[#This Row],[COD SE]],PF_OCTUBRE,20,0),"0")</f>
        <v>0</v>
      </c>
      <c r="EA252" s="76">
        <f>+Tabla1[[#This Row],[TOTAL EJEC REAL]]+Tabla1[[#This Row],[SALDO FINAL]]</f>
        <v>2760</v>
      </c>
      <c r="EB252" s="76">
        <f>IFERROR(VLOOKUP(Tabla1[[#This Row],[COD SE]],PF_OCTUBRE,22,0),"0")</f>
        <v>0</v>
      </c>
      <c r="EC252" s="76">
        <f>+IFERROR(VLOOKUP(Tabla1[[#This Row],[COD SE]],SALDO_ESC_2,7,0),0)</f>
        <v>0</v>
      </c>
      <c r="ED252" s="76">
        <f>+IFERROR(VLOOKUP(Tabla1[[#This Row],[COD SE]],SALDO_ESC_3,7,0),0)</f>
        <v>0</v>
      </c>
      <c r="EE252" s="76">
        <f>+Tabla1[[#This Row],[mto_pim]]-Tabla1[[#This Row],[TRANSF ESC2 ]]</f>
        <v>2760</v>
      </c>
      <c r="EF252" s="76">
        <f>+Tabla1[[#This Row],[mto_pim]]-Tabla1[[#This Row],[TRANFS ESC 3 ]]</f>
        <v>2760</v>
      </c>
      <c r="EG252" s="76">
        <f>+IFERROR(VLOOKUP(Tabla1[[#This Row],[COD SE]],HISTORICO,4,0),0)</f>
        <v>0</v>
      </c>
      <c r="EH252" s="76">
        <f>+IFERROR(VLOOKUP(Tabla1[[#This Row],[COD SE]],HISTORICO,5,0),0)</f>
        <v>3147</v>
      </c>
      <c r="EI252" s="76">
        <f>+IFERROR(VLOOKUP(Tabla1[[#This Row],[COD SE]],HISTORICO,6,0),0)</f>
        <v>0</v>
      </c>
      <c r="EJ252" s="76">
        <f>+IFERROR(VLOOKUP(Tabla1[[#This Row],[COD SE]],HISTORICO,7,0),0)</f>
        <v>0</v>
      </c>
      <c r="EK252" s="76">
        <f>+IFERROR(VLOOKUP(Tabla1[[#This Row],[COD SE]],HISTORICO,8,0),0)</f>
        <v>0</v>
      </c>
      <c r="EL252" s="76">
        <f>+IFERROR(VLOOKUP(Tabla1[[#This Row],[COD SE]],HISTORICO,9,0),0)</f>
        <v>0</v>
      </c>
      <c r="EM252" s="76">
        <f>+IFERROR(VLOOKUP(Tabla1[[#This Row],[COD SE]],HISTORICO,10,0),0)</f>
        <v>0</v>
      </c>
      <c r="EN252" s="76">
        <f>+IFERROR(VLOOKUP(Tabla1[[#This Row],[COD SE]],HISTORICO,11,0),0)</f>
        <v>0</v>
      </c>
      <c r="EO252" s="76">
        <f>+IFERROR(VLOOKUP(Tabla1[[#This Row],[COD SE]],HISTORICO,12,0),0)</f>
        <v>0</v>
      </c>
      <c r="EP252" s="58">
        <f>+SUM(Tabla1[[#This Row],[EJECUTADO 01]:[EJECUTADO 03]])</f>
        <v>2760</v>
      </c>
      <c r="EQ252" s="58">
        <f>+SUM(Tabla1[[#This Row],[EJECUTADO 04]:[EJECUTADO 06]])</f>
        <v>0</v>
      </c>
      <c r="ER252" s="58">
        <f>+SUM(Tabla1[[#This Row],[EJECUTADO 07]:[EJECUTADO 09]])</f>
        <v>0</v>
      </c>
      <c r="ES252" s="58">
        <f>+SUM(Tabla1[[#This Row],[PF OCTUBRE]:[PF DICIEMBRE
]])</f>
        <v>0</v>
      </c>
      <c r="ET252" s="58">
        <f>+SUM(Tabla1[[#This Row],[EJECUTADO 01]:[EJECUTADO 09]])</f>
        <v>2760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1672</v>
      </c>
      <c r="AD253" s="369" t="s">
        <v>1673</v>
      </c>
      <c r="AE253" s="369" t="s">
        <v>1678</v>
      </c>
      <c r="AF253" s="369" t="s">
        <v>1810</v>
      </c>
      <c r="AG253" s="369" t="s">
        <v>1812</v>
      </c>
      <c r="AH253" s="369">
        <v>1200</v>
      </c>
      <c r="AI253" s="369">
        <v>-1200</v>
      </c>
      <c r="AJ253" s="369">
        <v>0</v>
      </c>
      <c r="AK253" s="370">
        <v>0</v>
      </c>
      <c r="AL253" s="370">
        <v>0</v>
      </c>
      <c r="AM253" s="370">
        <v>0</v>
      </c>
      <c r="AN253" s="370">
        <v>0</v>
      </c>
      <c r="AO253" s="370">
        <v>0</v>
      </c>
      <c r="AP253" s="370">
        <v>0</v>
      </c>
      <c r="AQ253" s="370">
        <v>0</v>
      </c>
      <c r="AR253" s="370">
        <v>0</v>
      </c>
      <c r="AS253" s="370">
        <v>0</v>
      </c>
      <c r="AT253" s="370">
        <v>0</v>
      </c>
      <c r="AU253" s="370">
        <v>0</v>
      </c>
      <c r="AV253" s="370">
        <v>0</v>
      </c>
      <c r="AW253" s="370">
        <v>0</v>
      </c>
      <c r="AX253" s="370">
        <v>0</v>
      </c>
      <c r="AY253" s="370">
        <v>0</v>
      </c>
      <c r="AZ253" s="370">
        <v>0</v>
      </c>
      <c r="BA253" s="370">
        <v>0</v>
      </c>
      <c r="BB253" s="370">
        <v>0</v>
      </c>
      <c r="BC253" s="370">
        <v>0</v>
      </c>
      <c r="BD253" s="370">
        <v>0</v>
      </c>
      <c r="BE253" s="370">
        <v>0</v>
      </c>
      <c r="BF253" s="370">
        <v>0</v>
      </c>
      <c r="BG253" s="370">
        <v>0</v>
      </c>
      <c r="BH253" s="370">
        <v>0</v>
      </c>
      <c r="BI253" s="370">
        <v>0</v>
      </c>
      <c r="BJ253" s="370">
        <v>0</v>
      </c>
      <c r="BK253" s="370">
        <v>0</v>
      </c>
      <c r="BL253" s="370">
        <v>0</v>
      </c>
      <c r="BM253" s="370">
        <v>0</v>
      </c>
      <c r="BN253" s="370">
        <v>0</v>
      </c>
      <c r="BO253" s="370">
        <v>0</v>
      </c>
      <c r="BP253" s="370">
        <v>0</v>
      </c>
      <c r="BQ253" s="370">
        <v>0</v>
      </c>
      <c r="BR253" s="370">
        <v>0</v>
      </c>
      <c r="BS253" s="370">
        <v>0</v>
      </c>
      <c r="BT253" s="370">
        <v>0</v>
      </c>
      <c r="BU253" s="370">
        <v>0</v>
      </c>
      <c r="BV253" s="370">
        <v>0</v>
      </c>
      <c r="BW253" s="370">
        <v>0</v>
      </c>
      <c r="BX253" s="370">
        <v>0</v>
      </c>
      <c r="BY253" s="370">
        <v>0</v>
      </c>
      <c r="BZ253" s="370">
        <v>0</v>
      </c>
      <c r="CA253" s="370">
        <v>0</v>
      </c>
      <c r="CB253" s="370">
        <v>0</v>
      </c>
      <c r="CC253" s="370">
        <v>0</v>
      </c>
      <c r="CD253" s="370">
        <v>0</v>
      </c>
      <c r="CE253" s="370">
        <v>0</v>
      </c>
      <c r="CF253" s="370">
        <v>0</v>
      </c>
      <c r="CG253" s="370">
        <v>0</v>
      </c>
      <c r="CH253" s="370">
        <v>0</v>
      </c>
      <c r="CI253" s="48" t="s">
        <v>1987</v>
      </c>
      <c r="CJ253" s="48" t="s">
        <v>1991</v>
      </c>
      <c r="CK253" s="48" t="s">
        <v>1987</v>
      </c>
      <c r="CL253" s="48" t="s">
        <v>1989</v>
      </c>
      <c r="CM253" s="48" t="s">
        <v>2011</v>
      </c>
      <c r="CN253" s="48" t="s">
        <v>1992</v>
      </c>
      <c r="CO253" s="48" t="str">
        <f t="shared" si="58"/>
        <v>2.3.2.7.5.8</v>
      </c>
      <c r="CP253" s="48" t="str">
        <f>+VLOOKUP(Tabla1[[#This Row],[ESPECÍFICA]],CLASIFICADOR_,2,0)</f>
        <v>2.3.2.7.5.8 - CONTRIBUCIONES A LOS SEGUROS DE SALUD</v>
      </c>
      <c r="CQ253" s="48" t="str">
        <f>+VLOOKUP(Tabla1[[#This Row],[ESPECÍFICA]],CLASIFICADOR_,3,0)</f>
        <v>2.3.2.7 - SERVICIOS PROFESIONALES Y TECNICOS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2.3.BIENES Y SERVICIOS</v>
      </c>
      <c r="CX253" s="48" t="str">
        <f t="shared" si="42"/>
        <v>0012-OAJ</v>
      </c>
      <c r="CY253" s="113" t="str">
        <f t="shared" si="43"/>
        <v>0012-OAJ</v>
      </c>
      <c r="CZ253" s="20" t="str">
        <f t="shared" si="44"/>
        <v>0012-OAJ</v>
      </c>
      <c r="DA253" s="113" t="str">
        <f>+CONCATENATE(Tabla1[[#This Row],[CC COMPLETO]],Tabla1[[#This Row],[ESPECÍFICA]])</f>
        <v>0012-OAJ2.3.2.7.5.8</v>
      </c>
      <c r="DB253" s="49">
        <f t="shared" si="45"/>
        <v>0</v>
      </c>
      <c r="DC253" s="49">
        <f t="shared" si="46"/>
        <v>0</v>
      </c>
      <c r="DD253" s="49">
        <f t="shared" si="47"/>
        <v>0</v>
      </c>
      <c r="DE253" s="49">
        <f t="shared" si="48"/>
        <v>0</v>
      </c>
      <c r="DF253" s="49">
        <f t="shared" si="49"/>
        <v>0</v>
      </c>
      <c r="DG253" s="49">
        <f t="shared" si="50"/>
        <v>0</v>
      </c>
      <c r="DH253" s="49">
        <f t="shared" si="51"/>
        <v>0</v>
      </c>
      <c r="DI253" s="50">
        <f t="shared" si="52"/>
        <v>0</v>
      </c>
      <c r="DJ253" s="78">
        <f>+SUM(Tabla1[[#This Row],[EJECUTADO 01]:[EJECUTADO 06]])</f>
        <v>0</v>
      </c>
      <c r="DK253" s="78">
        <f>+Tabla1[[#This Row],[mto_devenga_01]]</f>
        <v>0</v>
      </c>
      <c r="DL253" s="78">
        <f>+Tabla1[[#This Row],[mto_devenga_02]]</f>
        <v>0</v>
      </c>
      <c r="DM253" s="78">
        <f>+Tabla1[[#This Row],[mto_devenga_03]]</f>
        <v>0</v>
      </c>
      <c r="DN253" s="78">
        <f>+Tabla1[[#This Row],[mto_devenga_04]]</f>
        <v>0</v>
      </c>
      <c r="DO253" s="78">
        <f>+Tabla1[[#This Row],[mto_devenga_05]]</f>
        <v>0</v>
      </c>
      <c r="DP253" s="76">
        <f>+Tabla1[[#This Row],[mto_devenga_06]]</f>
        <v>0</v>
      </c>
      <c r="DQ253" s="76">
        <f>+Tabla1[[#This Row],[mto_devenga_07]]</f>
        <v>0</v>
      </c>
      <c r="DR253" s="76">
        <f>+Tabla1[[#This Row],[mto_devenga_08]]</f>
        <v>0</v>
      </c>
      <c r="DS253" s="76">
        <f>+Tabla1[[#This Row],[mto_devenga_09]]</f>
        <v>0</v>
      </c>
      <c r="DT253" s="76" t="str">
        <f>IFERROR(VLOOKUP(Tabla1[[#This Row],[COD SE]],PF_OCTUBRE,14,0),"0")</f>
        <v>0</v>
      </c>
      <c r="DU253" s="76" t="str">
        <f>IFERROR(VLOOKUP(Tabla1[[#This Row],[COD SE]],PF_OCTUBRE,15,0),"0")</f>
        <v>0</v>
      </c>
      <c r="DV253" s="76" t="str">
        <f>IFERROR(VLOOKUP(Tabla1[[#This Row],[COD SE]],PF_OCTUBRE,16,0),"0")</f>
        <v>0</v>
      </c>
      <c r="DW253" s="76">
        <f>+SUM(Tabla1[[#This Row],[EJECUTADO 01]:[PF DICIEMBRE
]])</f>
        <v>0</v>
      </c>
      <c r="DX253" s="76" t="str">
        <f>IFERROR(VLOOKUP(Tabla1[[#This Row],[COD SE]],PF_OCTUBRE,18,0),"0")</f>
        <v>0</v>
      </c>
      <c r="DY253" s="76" t="str">
        <f>IFERROR(VLOOKUP(Tabla1[[#This Row],[COD SE]],PF_OCTUBRE,19,0),"0")</f>
        <v>0</v>
      </c>
      <c r="DZ253" s="76" t="str">
        <f>IFERROR(VLOOKUP(Tabla1[[#This Row],[COD SE]],PF_OCTUBRE,20,0),"0")</f>
        <v>0</v>
      </c>
      <c r="EA253" s="76">
        <f>+Tabla1[[#This Row],[TOTAL EJEC REAL]]+Tabla1[[#This Row],[SALDO FINAL]]</f>
        <v>0</v>
      </c>
      <c r="EB253" s="76" t="str">
        <f>IFERROR(VLOOKUP(Tabla1[[#This Row],[COD SE]],PF_OCTUBRE,22,0),"0")</f>
        <v>0</v>
      </c>
      <c r="EC253" s="76">
        <f>+IFERROR(VLOOKUP(Tabla1[[#This Row],[COD SE]],SALDO_ESC_2,7,0),0)</f>
        <v>0</v>
      </c>
      <c r="ED253" s="76">
        <f>+IFERROR(VLOOKUP(Tabla1[[#This Row],[COD SE]],SALDO_ESC_3,7,0),0)</f>
        <v>0</v>
      </c>
      <c r="EE253" s="76">
        <f>+Tabla1[[#This Row],[mto_pim]]-Tabla1[[#This Row],[TRANSF ESC2 ]]</f>
        <v>0</v>
      </c>
      <c r="EF253" s="76">
        <f>+Tabla1[[#This Row],[mto_pim]]-Tabla1[[#This Row],[TRANFS ESC 3 ]]</f>
        <v>0</v>
      </c>
      <c r="EG253" s="76">
        <f>+IFERROR(VLOOKUP(Tabla1[[#This Row],[COD SE]],HISTORICO,4,0),0)</f>
        <v>0</v>
      </c>
      <c r="EH253" s="76">
        <f>+IFERROR(VLOOKUP(Tabla1[[#This Row],[COD SE]],HISTORICO,5,0),0)</f>
        <v>0</v>
      </c>
      <c r="EI253" s="76">
        <f>+IFERROR(VLOOKUP(Tabla1[[#This Row],[COD SE]],HISTORICO,6,0),0)</f>
        <v>0</v>
      </c>
      <c r="EJ253" s="76">
        <f>+IFERROR(VLOOKUP(Tabla1[[#This Row],[COD SE]],HISTORICO,7,0),0)</f>
        <v>0</v>
      </c>
      <c r="EK253" s="76">
        <f>+IFERROR(VLOOKUP(Tabla1[[#This Row],[COD SE]],HISTORICO,8,0),0)</f>
        <v>890</v>
      </c>
      <c r="EL253" s="76">
        <f>+IFERROR(VLOOKUP(Tabla1[[#This Row],[COD SE]],HISTORICO,9,0),0)</f>
        <v>890</v>
      </c>
      <c r="EM253" s="76">
        <f>+IFERROR(VLOOKUP(Tabla1[[#This Row],[COD SE]],HISTORICO,10,0),0)</f>
        <v>0</v>
      </c>
      <c r="EN253" s="76">
        <f>+IFERROR(VLOOKUP(Tabla1[[#This Row],[COD SE]],HISTORICO,11,0),0)</f>
        <v>0</v>
      </c>
      <c r="EO253" s="76">
        <f>+IFERROR(VLOOKUP(Tabla1[[#This Row],[COD SE]],HISTORICO,12,0),0)</f>
        <v>0</v>
      </c>
      <c r="EP253" s="58">
        <f>+SUM(Tabla1[[#This Row],[EJECUTADO 01]:[EJECUTADO 03]])</f>
        <v>0</v>
      </c>
      <c r="EQ253" s="58">
        <f>+SUM(Tabla1[[#This Row],[EJECUTADO 04]:[EJECUTADO 06]])</f>
        <v>0</v>
      </c>
      <c r="ER253" s="58">
        <f>+SUM(Tabla1[[#This Row],[EJECUTADO 07]:[EJECUTADO 09]])</f>
        <v>0</v>
      </c>
      <c r="ES253" s="58">
        <f>+SUM(Tabla1[[#This Row],[PF OCTUBRE]:[PF DICIEMBRE
]])</f>
        <v>0</v>
      </c>
      <c r="ET253" s="58">
        <f>+SUM(Tabla1[[#This Row],[EJECUTADO 01]:[EJECUTADO 09]])</f>
        <v>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1656</v>
      </c>
      <c r="AD254" s="369" t="s">
        <v>1657</v>
      </c>
      <c r="AE254" s="369" t="s">
        <v>1660</v>
      </c>
      <c r="AF254" s="369" t="s">
        <v>1661</v>
      </c>
      <c r="AG254" s="369" t="s">
        <v>1663</v>
      </c>
      <c r="AH254" s="369">
        <v>499882</v>
      </c>
      <c r="AI254" s="369">
        <v>66802</v>
      </c>
      <c r="AJ254" s="369">
        <v>566684</v>
      </c>
      <c r="AK254" s="370">
        <v>404340.56</v>
      </c>
      <c r="AL254" s="370">
        <v>233686.71</v>
      </c>
      <c r="AM254" s="370">
        <v>24300</v>
      </c>
      <c r="AN254" s="370">
        <v>24300</v>
      </c>
      <c r="AO254" s="370">
        <v>24300</v>
      </c>
      <c r="AP254" s="370">
        <v>19863.71</v>
      </c>
      <c r="AQ254" s="370">
        <v>12650</v>
      </c>
      <c r="AR254" s="370">
        <v>14320</v>
      </c>
      <c r="AS254" s="370">
        <v>7000</v>
      </c>
      <c r="AT254" s="370">
        <v>12400</v>
      </c>
      <c r="AU254" s="370">
        <v>24100</v>
      </c>
      <c r="AV254" s="370">
        <v>24974.240000000002</v>
      </c>
      <c r="AW254" s="370">
        <v>0</v>
      </c>
      <c r="AX254" s="370">
        <v>0</v>
      </c>
      <c r="AY254" s="370">
        <v>24300</v>
      </c>
      <c r="AZ254" s="370">
        <v>24300</v>
      </c>
      <c r="BA254" s="370">
        <v>24300</v>
      </c>
      <c r="BB254" s="370">
        <v>24300</v>
      </c>
      <c r="BC254" s="370">
        <v>8617.7099999999991</v>
      </c>
      <c r="BD254" s="370">
        <v>14320</v>
      </c>
      <c r="BE254" s="370">
        <v>5982.29</v>
      </c>
      <c r="BF254" s="370">
        <v>12400</v>
      </c>
      <c r="BG254" s="370">
        <v>24100</v>
      </c>
      <c r="BH254" s="370">
        <v>24974.240000000002</v>
      </c>
      <c r="BI254" s="370">
        <v>0</v>
      </c>
      <c r="BJ254" s="370">
        <v>0</v>
      </c>
      <c r="BK254" s="370">
        <v>24300</v>
      </c>
      <c r="BL254" s="370">
        <v>24300</v>
      </c>
      <c r="BM254" s="370">
        <v>24300</v>
      </c>
      <c r="BN254" s="370">
        <v>21335.96</v>
      </c>
      <c r="BO254" s="370">
        <v>10968.04</v>
      </c>
      <c r="BP254" s="370">
        <v>14320</v>
      </c>
      <c r="BQ254" s="370">
        <v>6596</v>
      </c>
      <c r="BR254" s="370">
        <v>12400</v>
      </c>
      <c r="BS254" s="370">
        <v>24100</v>
      </c>
      <c r="BT254" s="370">
        <v>22927.64</v>
      </c>
      <c r="BU254" s="370">
        <v>0</v>
      </c>
      <c r="BV254" s="370">
        <v>0</v>
      </c>
      <c r="BW254" s="370">
        <v>24300</v>
      </c>
      <c r="BX254" s="370">
        <v>24300</v>
      </c>
      <c r="BY254" s="370">
        <v>24300</v>
      </c>
      <c r="BZ254" s="370">
        <v>23686.29</v>
      </c>
      <c r="CA254" s="370">
        <v>12650</v>
      </c>
      <c r="CB254" s="370">
        <v>14320</v>
      </c>
      <c r="CC254" s="370">
        <v>7000</v>
      </c>
      <c r="CD254" s="370">
        <v>12400</v>
      </c>
      <c r="CE254" s="370">
        <v>24100</v>
      </c>
      <c r="CF254" s="370">
        <v>22927.64</v>
      </c>
      <c r="CG254" s="370">
        <v>0</v>
      </c>
      <c r="CH254" s="370">
        <v>0</v>
      </c>
      <c r="CI254" s="48" t="s">
        <v>1987</v>
      </c>
      <c r="CJ254" s="48" t="s">
        <v>1990</v>
      </c>
      <c r="CK254" s="48" t="s">
        <v>1990</v>
      </c>
      <c r="CL254" s="48" t="s">
        <v>2010</v>
      </c>
      <c r="CM254" s="48" t="s">
        <v>1990</v>
      </c>
      <c r="CN254" s="48" t="s">
        <v>1987</v>
      </c>
      <c r="CO254" s="10" t="str">
        <f t="shared" ref="CO254:CO255" si="59">+CONCATENATE(CI254,".",CJ254,".",CK254,".",CL254,".",CM254,".",CN254)</f>
        <v>2.1.1.13.1.2</v>
      </c>
      <c r="CP254" s="10" t="str">
        <f>+VLOOKUP(Tabla1[[#This Row],[ESPECÍFICA]],CLASIFICADOR_,2,0)</f>
        <v>2.1.1.13.1.2 - CONTRATO ADMINISTRATIVO DE SERVICIOS - TRANSITORIO</v>
      </c>
      <c r="CQ254" s="10" t="str">
        <f>+VLOOKUP(Tabla1[[#This Row],[ESPECÍFICA]],CLASIFICADOR_,3,0)</f>
        <v>01.CAS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2.1.PERSONAL Y OBLIGACIONES SOCIALES</v>
      </c>
      <c r="CX254" s="10" t="str">
        <f t="shared" si="42"/>
        <v>0012-OAJ</v>
      </c>
      <c r="CY254" s="5" t="str">
        <f t="shared" si="43"/>
        <v>0012-OAJ</v>
      </c>
      <c r="CZ254" t="str">
        <f t="shared" si="44"/>
        <v>0012-OAJ</v>
      </c>
      <c r="DA254" s="113" t="str">
        <f>+CONCATENATE(Tabla1[[#This Row],[CC COMPLETO]],Tabla1[[#This Row],[ESPECÍFICA]])</f>
        <v>0012-OAJ2.1.1.13.1.2</v>
      </c>
      <c r="DB254" s="11">
        <f t="shared" si="45"/>
        <v>188207.94999999998</v>
      </c>
      <c r="DC254" s="11">
        <f t="shared" si="46"/>
        <v>187594.23999999999</v>
      </c>
      <c r="DD254" s="11">
        <f t="shared" si="47"/>
        <v>185547.64</v>
      </c>
      <c r="DE254" s="11">
        <f t="shared" si="48"/>
        <v>162343.44</v>
      </c>
      <c r="DF254" s="11">
        <f t="shared" si="49"/>
        <v>170653.85</v>
      </c>
      <c r="DG254" s="11">
        <f t="shared" si="50"/>
        <v>46092.47</v>
      </c>
      <c r="DH254" s="11">
        <f t="shared" si="51"/>
        <v>379089.76</v>
      </c>
      <c r="DI254" s="12">
        <f t="shared" si="52"/>
        <v>0.37527704538271028</v>
      </c>
      <c r="DJ254" s="77">
        <f>+SUM(Tabla1[[#This Row],[EJECUTADO 01]:[EJECUTADO 06]])</f>
        <v>120137.70999999999</v>
      </c>
      <c r="DK254" s="78">
        <f>+Tabla1[[#This Row],[mto_devenga_01]]</f>
        <v>24300</v>
      </c>
      <c r="DL254" s="78">
        <f>+Tabla1[[#This Row],[mto_devenga_02]]</f>
        <v>24300</v>
      </c>
      <c r="DM254" s="78">
        <f>+Tabla1[[#This Row],[mto_devenga_03]]</f>
        <v>24300</v>
      </c>
      <c r="DN254" s="78">
        <f>+Tabla1[[#This Row],[mto_devenga_04]]</f>
        <v>24300</v>
      </c>
      <c r="DO254" s="78">
        <f>+Tabla1[[#This Row],[mto_devenga_05]]</f>
        <v>8617.7099999999991</v>
      </c>
      <c r="DP254" s="76">
        <f>+Tabla1[[#This Row],[mto_devenga_06]]</f>
        <v>14320</v>
      </c>
      <c r="DQ254" s="76">
        <f>+Tabla1[[#This Row],[mto_devenga_07]]</f>
        <v>5982.29</v>
      </c>
      <c r="DR254" s="76">
        <f>+Tabla1[[#This Row],[mto_devenga_08]]</f>
        <v>12400</v>
      </c>
      <c r="DS254" s="76">
        <f>+Tabla1[[#This Row],[mto_devenga_09]]</f>
        <v>24100</v>
      </c>
      <c r="DT254" s="76">
        <f>IFERROR(VLOOKUP(Tabla1[[#This Row],[COD SE]],PF_OCTUBRE,14,0),"0")</f>
        <v>25264.19</v>
      </c>
      <c r="DU254" s="76">
        <f>IFERROR(VLOOKUP(Tabla1[[#This Row],[COD SE]],PF_OCTUBRE,15,0),"0")</f>
        <v>25264.19</v>
      </c>
      <c r="DV254" s="76">
        <f>IFERROR(VLOOKUP(Tabla1[[#This Row],[COD SE]],PF_OCTUBRE,16,0),"0")</f>
        <v>25264.19</v>
      </c>
      <c r="DW254" s="76">
        <f>+SUM(Tabla1[[#This Row],[EJECUTADO 01]:[PF DICIEMBRE
]])</f>
        <v>238412.57</v>
      </c>
      <c r="DX254" s="76">
        <f>IFERROR(VLOOKUP(Tabla1[[#This Row],[COD SE]],PF_OCTUBRE,18,0),"0")</f>
        <v>0</v>
      </c>
      <c r="DY254" s="76">
        <f>IFERROR(VLOOKUP(Tabla1[[#This Row],[COD SE]],PF_OCTUBRE,19,0),"0")</f>
        <v>328271.43000000005</v>
      </c>
      <c r="DZ254" s="76">
        <f>IFERROR(VLOOKUP(Tabla1[[#This Row],[COD SE]],PF_OCTUBRE,20,0),"0")</f>
        <v>328271.43000000005</v>
      </c>
      <c r="EA254" s="76">
        <f>+Tabla1[[#This Row],[TOTAL EJEC REAL]]+Tabla1[[#This Row],[SALDO FINAL]]</f>
        <v>566684</v>
      </c>
      <c r="EB254" s="76">
        <f>IFERROR(VLOOKUP(Tabla1[[#This Row],[COD SE]],PF_OCTUBRE,22,0),"0")</f>
        <v>353535.62</v>
      </c>
      <c r="EC254" s="76">
        <f>+IFERROR(VLOOKUP(Tabla1[[#This Row],[COD SE]],SALDO_ESC_2,7,0),0)</f>
        <v>0</v>
      </c>
      <c r="ED254" s="76">
        <f>+IFERROR(VLOOKUP(Tabla1[[#This Row],[COD SE]],SALDO_ESC_3,7,0),0)</f>
        <v>328271.43000000005</v>
      </c>
      <c r="EE254" s="76">
        <f>+Tabla1[[#This Row],[mto_pim]]-Tabla1[[#This Row],[TRANSF ESC2 ]]</f>
        <v>566684</v>
      </c>
      <c r="EF254" s="76">
        <f>+Tabla1[[#This Row],[mto_pim]]-Tabla1[[#This Row],[TRANFS ESC 3 ]]</f>
        <v>238412.56999999995</v>
      </c>
      <c r="EG254" s="76">
        <f>+IFERROR(VLOOKUP(Tabla1[[#This Row],[COD SE]],HISTORICO,4,0),0)</f>
        <v>41856.76</v>
      </c>
      <c r="EH254" s="76">
        <f>+IFERROR(VLOOKUP(Tabla1[[#This Row],[COD SE]],HISTORICO,5,0),0)</f>
        <v>24528.38</v>
      </c>
      <c r="EI254" s="76">
        <f>+IFERROR(VLOOKUP(Tabla1[[#This Row],[COD SE]],HISTORICO,6,0),0)</f>
        <v>41856.76</v>
      </c>
      <c r="EJ254" s="76">
        <f>+IFERROR(VLOOKUP(Tabla1[[#This Row],[COD SE]],HISTORICO,7,0),0)</f>
        <v>24528.38</v>
      </c>
      <c r="EK254" s="76">
        <f>+IFERROR(VLOOKUP(Tabla1[[#This Row],[COD SE]],HISTORICO,8,0),0)</f>
        <v>24528.38</v>
      </c>
      <c r="EL254" s="76">
        <f>+IFERROR(VLOOKUP(Tabla1[[#This Row],[COD SE]],HISTORICO,9,0),0)</f>
        <v>16528.38</v>
      </c>
      <c r="EM254" s="76">
        <f>+IFERROR(VLOOKUP(Tabla1[[#This Row],[COD SE]],HISTORICO,10,0),0)</f>
        <v>7264.19</v>
      </c>
      <c r="EN254" s="76">
        <f>+IFERROR(VLOOKUP(Tabla1[[#This Row],[COD SE]],HISTORICO,11,0),0)</f>
        <v>11764.189999999999</v>
      </c>
      <c r="EO254" s="76">
        <f>+IFERROR(VLOOKUP(Tabla1[[#This Row],[COD SE]],HISTORICO,12,0),0)</f>
        <v>25264.19</v>
      </c>
      <c r="EP254" s="58">
        <f>+SUM(Tabla1[[#This Row],[EJECUTADO 01]:[EJECUTADO 03]])</f>
        <v>72900</v>
      </c>
      <c r="EQ254" s="58">
        <f>+SUM(Tabla1[[#This Row],[EJECUTADO 04]:[EJECUTADO 06]])</f>
        <v>47237.71</v>
      </c>
      <c r="ER254" s="58">
        <f>+SUM(Tabla1[[#This Row],[EJECUTADO 07]:[EJECUTADO 09]])</f>
        <v>42482.29</v>
      </c>
      <c r="ES254" s="58">
        <f>+SUM(Tabla1[[#This Row],[PF OCTUBRE]:[PF DICIEMBRE
]])</f>
        <v>75792.569999999992</v>
      </c>
      <c r="ET254" s="58">
        <f>+SUM(Tabla1[[#This Row],[EJECUTADO 01]:[EJECUTADO 09]])</f>
        <v>162620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1657</v>
      </c>
      <c r="AE255" s="369" t="s">
        <v>1660</v>
      </c>
      <c r="AF255" s="369" t="s">
        <v>1661</v>
      </c>
      <c r="AG255" s="369" t="s">
        <v>1662</v>
      </c>
      <c r="AH255" s="369">
        <v>447852</v>
      </c>
      <c r="AI255" s="369">
        <v>-81170</v>
      </c>
      <c r="AJ255" s="369">
        <v>366682</v>
      </c>
      <c r="AK255" s="370">
        <v>365287</v>
      </c>
      <c r="AL255" s="370">
        <v>363892.88</v>
      </c>
      <c r="AM255" s="370">
        <v>30360.16</v>
      </c>
      <c r="AN255" s="370">
        <v>30432.61</v>
      </c>
      <c r="AO255" s="370">
        <v>30356.1</v>
      </c>
      <c r="AP255" s="370">
        <v>30556.76</v>
      </c>
      <c r="AQ255" s="370">
        <v>30556.76</v>
      </c>
      <c r="AR255" s="370">
        <v>30298.74</v>
      </c>
      <c r="AS255" s="370">
        <v>30473.54</v>
      </c>
      <c r="AT255" s="370">
        <v>30350.29</v>
      </c>
      <c r="AU255" s="370">
        <v>30385.46</v>
      </c>
      <c r="AV255" s="370">
        <v>30402.5</v>
      </c>
      <c r="AW255" s="370">
        <v>0</v>
      </c>
      <c r="AX255" s="370">
        <v>0</v>
      </c>
      <c r="AY255" s="370">
        <v>30360.16</v>
      </c>
      <c r="AZ255" s="370">
        <v>30432.61</v>
      </c>
      <c r="BA255" s="370">
        <v>30356.1</v>
      </c>
      <c r="BB255" s="370">
        <v>30556.76</v>
      </c>
      <c r="BC255" s="370">
        <v>30556.76</v>
      </c>
      <c r="BD255" s="370">
        <v>30298.74</v>
      </c>
      <c r="BE255" s="370">
        <v>30473.54</v>
      </c>
      <c r="BF255" s="370">
        <v>30350.29</v>
      </c>
      <c r="BG255" s="370">
        <v>30385.46</v>
      </c>
      <c r="BH255" s="370">
        <v>30402.5</v>
      </c>
      <c r="BI255" s="370">
        <v>0</v>
      </c>
      <c r="BJ255" s="370">
        <v>0</v>
      </c>
      <c r="BK255" s="370">
        <v>30360.16</v>
      </c>
      <c r="BL255" s="370">
        <v>30432.61</v>
      </c>
      <c r="BM255" s="370">
        <v>30356.1</v>
      </c>
      <c r="BN255" s="370">
        <v>28415.55</v>
      </c>
      <c r="BO255" s="370">
        <v>32697.97</v>
      </c>
      <c r="BP255" s="370">
        <v>30298.74</v>
      </c>
      <c r="BQ255" s="370">
        <v>30473.54</v>
      </c>
      <c r="BR255" s="370">
        <v>30350.29</v>
      </c>
      <c r="BS255" s="370">
        <v>30385.46</v>
      </c>
      <c r="BT255" s="370">
        <v>28272.720000000001</v>
      </c>
      <c r="BU255" s="370">
        <v>0</v>
      </c>
      <c r="BV255" s="370">
        <v>0</v>
      </c>
      <c r="BW255" s="370">
        <v>30360.16</v>
      </c>
      <c r="BX255" s="370">
        <v>30432.61</v>
      </c>
      <c r="BY255" s="370">
        <v>30356.1</v>
      </c>
      <c r="BZ255" s="370">
        <v>30556.76</v>
      </c>
      <c r="CA255" s="370">
        <v>30556.76</v>
      </c>
      <c r="CB255" s="370">
        <v>30298.74</v>
      </c>
      <c r="CC255" s="370">
        <v>30473.54</v>
      </c>
      <c r="CD255" s="370">
        <v>30350.29</v>
      </c>
      <c r="CE255" s="370">
        <v>30385.46</v>
      </c>
      <c r="CF255" s="370">
        <v>28272.720000000001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1990</v>
      </c>
      <c r="CL255" s="48" t="s">
        <v>2010</v>
      </c>
      <c r="CM255" s="48" t="s">
        <v>1990</v>
      </c>
      <c r="CN255" s="48" t="s">
        <v>1990</v>
      </c>
      <c r="CO255" s="10" t="str">
        <f t="shared" si="59"/>
        <v>2.1.1.13.1.1</v>
      </c>
      <c r="CP255" s="10" t="str">
        <f>+VLOOKUP(Tabla1[[#This Row],[ESPECÍFICA]],CLASIFICADOR_,2,0)</f>
        <v>2.1.1.13.1.1 - CONTRATO ADMINISTRATIVO DE SERVICIOS - INDETERMINADO</v>
      </c>
      <c r="CQ255" s="10" t="str">
        <f>+VLOOKUP(Tabla1[[#This Row],[ESPECÍFICA]],CLASIFICADOR_,3,0)</f>
        <v>01.CAS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42"/>
        <v>0012-OAJ</v>
      </c>
      <c r="CY255" s="5" t="str">
        <f t="shared" si="43"/>
        <v>0012-OAJ</v>
      </c>
      <c r="CZ255" t="str">
        <f t="shared" si="44"/>
        <v>0012-OAJ</v>
      </c>
      <c r="DA255" s="113" t="str">
        <f>+CONCATENATE(Tabla1[[#This Row],[CC COMPLETO]],Tabla1[[#This Row],[ESPECÍFICA]])</f>
        <v>0012-OAJ2.1.1.13.1.1</v>
      </c>
      <c r="DB255" s="11">
        <f t="shared" si="45"/>
        <v>304172.92</v>
      </c>
      <c r="DC255" s="11">
        <f t="shared" si="46"/>
        <v>304172.92</v>
      </c>
      <c r="DD255" s="11">
        <f t="shared" si="47"/>
        <v>302043.14</v>
      </c>
      <c r="DE255" s="11">
        <f t="shared" si="48"/>
        <v>1395</v>
      </c>
      <c r="DF255" s="11">
        <f t="shared" si="49"/>
        <v>1394.1199999999953</v>
      </c>
      <c r="DG255" s="11">
        <f t="shared" si="50"/>
        <v>59719.960000000021</v>
      </c>
      <c r="DH255" s="11">
        <f t="shared" si="51"/>
        <v>62509.080000000016</v>
      </c>
      <c r="DI255" s="12">
        <f t="shared" si="52"/>
        <v>0.67918178326768663</v>
      </c>
      <c r="DJ255" s="77">
        <f>+SUM(Tabla1[[#This Row],[EJECUTADO 01]:[EJECUTADO 06]])</f>
        <v>182561.12999999998</v>
      </c>
      <c r="DK255" s="78">
        <f>+Tabla1[[#This Row],[mto_devenga_01]]</f>
        <v>30360.16</v>
      </c>
      <c r="DL255" s="78">
        <f>+Tabla1[[#This Row],[mto_devenga_02]]</f>
        <v>30432.61</v>
      </c>
      <c r="DM255" s="78">
        <f>+Tabla1[[#This Row],[mto_devenga_03]]</f>
        <v>30356.1</v>
      </c>
      <c r="DN255" s="78">
        <f>+Tabla1[[#This Row],[mto_devenga_04]]</f>
        <v>30556.76</v>
      </c>
      <c r="DO255" s="78">
        <f>+Tabla1[[#This Row],[mto_devenga_05]]</f>
        <v>30556.76</v>
      </c>
      <c r="DP255" s="76">
        <f>+Tabla1[[#This Row],[mto_devenga_06]]</f>
        <v>30298.74</v>
      </c>
      <c r="DQ255" s="76">
        <f>+Tabla1[[#This Row],[mto_devenga_07]]</f>
        <v>30473.54</v>
      </c>
      <c r="DR255" s="76">
        <f>+Tabla1[[#This Row],[mto_devenga_08]]</f>
        <v>30350.29</v>
      </c>
      <c r="DS255" s="76">
        <f>+Tabla1[[#This Row],[mto_devenga_09]]</f>
        <v>30385.46</v>
      </c>
      <c r="DT255" s="76">
        <f>IFERROR(VLOOKUP(Tabla1[[#This Row],[COD SE]],PF_OCTUBRE,14,0),"0")</f>
        <v>30556.76</v>
      </c>
      <c r="DU255" s="76">
        <f>IFERROR(VLOOKUP(Tabla1[[#This Row],[COD SE]],PF_OCTUBRE,15,0),"0")</f>
        <v>30556.76</v>
      </c>
      <c r="DV255" s="76">
        <f>IFERROR(VLOOKUP(Tabla1[[#This Row],[COD SE]],PF_OCTUBRE,16,0),"0")</f>
        <v>30556.76</v>
      </c>
      <c r="DW255" s="76">
        <f>+SUM(Tabla1[[#This Row],[EJECUTADO 01]:[PF DICIEMBRE
]])</f>
        <v>365440.7</v>
      </c>
      <c r="DX255" s="76">
        <f>IFERROR(VLOOKUP(Tabla1[[#This Row],[COD SE]],PF_OCTUBRE,18,0),"0")</f>
        <v>0</v>
      </c>
      <c r="DY255" s="76">
        <f>IFERROR(VLOOKUP(Tabla1[[#This Row],[COD SE]],PF_OCTUBRE,19,0),"0")</f>
        <v>1241.2999999999986</v>
      </c>
      <c r="DZ255" s="76">
        <f>IFERROR(VLOOKUP(Tabla1[[#This Row],[COD SE]],PF_OCTUBRE,20,0),"0")</f>
        <v>1241.2999999999986</v>
      </c>
      <c r="EA255" s="76">
        <f>+Tabla1[[#This Row],[TOTAL EJEC REAL]]+Tabla1[[#This Row],[SALDO FINAL]]</f>
        <v>366682</v>
      </c>
      <c r="EB255" s="76">
        <f>IFERROR(VLOOKUP(Tabla1[[#This Row],[COD SE]],PF_OCTUBRE,22,0),"0")</f>
        <v>31798.059999999998</v>
      </c>
      <c r="EC255" s="76">
        <f>+IFERROR(VLOOKUP(Tabla1[[#This Row],[COD SE]],SALDO_ESC_2,7,0),0)</f>
        <v>0</v>
      </c>
      <c r="ED255" s="76">
        <f>+IFERROR(VLOOKUP(Tabla1[[#This Row],[COD SE]],SALDO_ESC_3,7,0),0)</f>
        <v>1241.2999999999986</v>
      </c>
      <c r="EE255" s="76">
        <f>+Tabla1[[#This Row],[mto_pim]]-Tabla1[[#This Row],[TRANSF ESC2 ]]</f>
        <v>366682</v>
      </c>
      <c r="EF255" s="76">
        <f>+Tabla1[[#This Row],[mto_pim]]-Tabla1[[#This Row],[TRANFS ESC 3 ]]</f>
        <v>365440.7</v>
      </c>
      <c r="EG255" s="76">
        <f>+IFERROR(VLOOKUP(Tabla1[[#This Row],[COD SE]],HISTORICO,4,0),0)</f>
        <v>37720.950000000004</v>
      </c>
      <c r="EH255" s="76">
        <f>+IFERROR(VLOOKUP(Tabla1[[#This Row],[COD SE]],HISTORICO,5,0),0)</f>
        <v>30556.760000000002</v>
      </c>
      <c r="EI255" s="76">
        <f>+IFERROR(VLOOKUP(Tabla1[[#This Row],[COD SE]],HISTORICO,6,0),0)</f>
        <v>37720.950000000004</v>
      </c>
      <c r="EJ255" s="76">
        <f>+IFERROR(VLOOKUP(Tabla1[[#This Row],[COD SE]],HISTORICO,7,0),0)</f>
        <v>30556.76</v>
      </c>
      <c r="EK255" s="76">
        <f>+IFERROR(VLOOKUP(Tabla1[[#This Row],[COD SE]],HISTORICO,8,0),0)</f>
        <v>36556.76</v>
      </c>
      <c r="EL255" s="76">
        <f>+IFERROR(VLOOKUP(Tabla1[[#This Row],[COD SE]],HISTORICO,9,0),0)</f>
        <v>30556.76</v>
      </c>
      <c r="EM255" s="76">
        <f>+IFERROR(VLOOKUP(Tabla1[[#This Row],[COD SE]],HISTORICO,10,0),0)</f>
        <v>30556.76</v>
      </c>
      <c r="EN255" s="76">
        <f>+IFERROR(VLOOKUP(Tabla1[[#This Row],[COD SE]],HISTORICO,11,0),0)</f>
        <v>30556.76</v>
      </c>
      <c r="EO255" s="76">
        <f>+IFERROR(VLOOKUP(Tabla1[[#This Row],[COD SE]],HISTORICO,12,0),0)</f>
        <v>30556.76</v>
      </c>
      <c r="EP255" s="58">
        <f>+SUM(Tabla1[[#This Row],[EJECUTADO 01]:[EJECUTADO 03]])</f>
        <v>91148.87</v>
      </c>
      <c r="EQ255" s="58">
        <f>+SUM(Tabla1[[#This Row],[EJECUTADO 04]:[EJECUTADO 06]])</f>
        <v>91412.26</v>
      </c>
      <c r="ER255" s="58">
        <f>+SUM(Tabla1[[#This Row],[EJECUTADO 07]:[EJECUTADO 09]])</f>
        <v>91209.290000000008</v>
      </c>
      <c r="ES255" s="58">
        <f>+SUM(Tabla1[[#This Row],[PF OCTUBRE]:[PF DICIEMBRE
]])</f>
        <v>91670.28</v>
      </c>
      <c r="ET255" s="58">
        <f>+SUM(Tabla1[[#This Row],[EJECUTADO 01]:[EJECUTADO 09]])</f>
        <v>273770.42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1656</v>
      </c>
      <c r="AD256" s="369" t="s">
        <v>1657</v>
      </c>
      <c r="AE256" s="369" t="s">
        <v>1664</v>
      </c>
      <c r="AF256" s="369" t="s">
        <v>1665</v>
      </c>
      <c r="AG256" s="369" t="s">
        <v>1666</v>
      </c>
      <c r="AH256" s="369">
        <v>0</v>
      </c>
      <c r="AI256" s="369">
        <v>27819</v>
      </c>
      <c r="AJ256" s="369">
        <v>27819</v>
      </c>
      <c r="AK256" s="370">
        <v>19279</v>
      </c>
      <c r="AL256" s="370">
        <v>19279</v>
      </c>
      <c r="AM256" s="370">
        <v>0</v>
      </c>
      <c r="AN256" s="370">
        <v>0</v>
      </c>
      <c r="AO256" s="370">
        <v>0</v>
      </c>
      <c r="AP256" s="370">
        <v>0</v>
      </c>
      <c r="AQ256" s="370">
        <v>0</v>
      </c>
      <c r="AR256" s="370">
        <v>0</v>
      </c>
      <c r="AS256" s="370">
        <v>5369.44</v>
      </c>
      <c r="AT256" s="370">
        <v>0</v>
      </c>
      <c r="AU256" s="370">
        <v>0</v>
      </c>
      <c r="AV256" s="370">
        <v>0</v>
      </c>
      <c r="AW256" s="370">
        <v>0</v>
      </c>
      <c r="AX256" s="370">
        <v>0</v>
      </c>
      <c r="AY256" s="370">
        <v>0</v>
      </c>
      <c r="AZ256" s="370">
        <v>0</v>
      </c>
      <c r="BA256" s="370">
        <v>0</v>
      </c>
      <c r="BB256" s="370">
        <v>0</v>
      </c>
      <c r="BC256" s="370">
        <v>0</v>
      </c>
      <c r="BD256" s="370">
        <v>0</v>
      </c>
      <c r="BE256" s="370">
        <v>5369.44</v>
      </c>
      <c r="BF256" s="370">
        <v>0</v>
      </c>
      <c r="BG256" s="370">
        <v>0</v>
      </c>
      <c r="BH256" s="370">
        <v>0</v>
      </c>
      <c r="BI256" s="370">
        <v>0</v>
      </c>
      <c r="BJ256" s="370">
        <v>0</v>
      </c>
      <c r="BK256" s="370">
        <v>0</v>
      </c>
      <c r="BL256" s="370">
        <v>0</v>
      </c>
      <c r="BM256" s="370">
        <v>0</v>
      </c>
      <c r="BN256" s="370">
        <v>0</v>
      </c>
      <c r="BO256" s="370">
        <v>0</v>
      </c>
      <c r="BP256" s="370">
        <v>0</v>
      </c>
      <c r="BQ256" s="370">
        <v>5369.44</v>
      </c>
      <c r="BR256" s="370">
        <v>0</v>
      </c>
      <c r="BS256" s="370">
        <v>0</v>
      </c>
      <c r="BT256" s="370">
        <v>0</v>
      </c>
      <c r="BU256" s="370">
        <v>0</v>
      </c>
      <c r="BV256" s="370">
        <v>0</v>
      </c>
      <c r="BW256" s="370">
        <v>0</v>
      </c>
      <c r="BX256" s="370">
        <v>0</v>
      </c>
      <c r="BY256" s="370">
        <v>0</v>
      </c>
      <c r="BZ256" s="370">
        <v>0</v>
      </c>
      <c r="CA256" s="370">
        <v>0</v>
      </c>
      <c r="CB256" s="370">
        <v>0</v>
      </c>
      <c r="CC256" s="370">
        <v>5369.44</v>
      </c>
      <c r="CD256" s="370">
        <v>0</v>
      </c>
      <c r="CE256" s="370">
        <v>0</v>
      </c>
      <c r="CF256" s="370">
        <v>0</v>
      </c>
      <c r="CG256" s="370">
        <v>0</v>
      </c>
      <c r="CH256" s="370">
        <v>0</v>
      </c>
      <c r="CI256" s="48" t="s">
        <v>1987</v>
      </c>
      <c r="CJ256" s="48" t="s">
        <v>1990</v>
      </c>
      <c r="CK256" s="48" t="s">
        <v>1990</v>
      </c>
      <c r="CL256" s="48" t="s">
        <v>2005</v>
      </c>
      <c r="CM256" s="48" t="s">
        <v>1990</v>
      </c>
      <c r="CN256" s="48" t="s">
        <v>1987</v>
      </c>
      <c r="CO256" s="10" t="str">
        <f t="shared" ref="CO256:CO257" si="60">+CONCATENATE(CI256,".",CJ256,".",CK256,".",CL256,".",CM256,".",CN256)</f>
        <v>2.1.1.9.1.2</v>
      </c>
      <c r="CP256" s="10" t="str">
        <f>+VLOOKUP(Tabla1[[#This Row],[ESPECÍFICA]],CLASIFICADOR_,2,0)</f>
        <v>2.1.1.9.1.2 - AGUINALDOS</v>
      </c>
      <c r="CQ256" s="10" t="str">
        <f>+VLOOKUP(Tabla1[[#This Row],[ESPECÍFICA]],CLASIFICADOR_,3,0)</f>
        <v>02.SERVIR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2.1.PERSONAL Y OBLIGACIONES SOCIALES</v>
      </c>
      <c r="CX256" s="10" t="str">
        <f t="shared" si="42"/>
        <v>0012-OAJ</v>
      </c>
      <c r="CY256" s="5" t="str">
        <f t="shared" si="43"/>
        <v>0012-OAJ</v>
      </c>
      <c r="CZ256" t="str">
        <f t="shared" si="44"/>
        <v>0012-OAJ</v>
      </c>
      <c r="DA256" s="113" t="str">
        <f>+CONCATENATE(Tabla1[[#This Row],[CC COMPLETO]],Tabla1[[#This Row],[ESPECÍFICA]])</f>
        <v>0012-OAJ2.1.1.9.1.2</v>
      </c>
      <c r="DB256" s="11">
        <f t="shared" si="45"/>
        <v>5369.44</v>
      </c>
      <c r="DC256" s="11">
        <f t="shared" si="46"/>
        <v>5369.44</v>
      </c>
      <c r="DD256" s="11">
        <f t="shared" si="47"/>
        <v>5369.44</v>
      </c>
      <c r="DE256" s="11">
        <f t="shared" si="48"/>
        <v>8540</v>
      </c>
      <c r="DF256" s="11">
        <f t="shared" si="49"/>
        <v>0</v>
      </c>
      <c r="DG256" s="11">
        <f t="shared" si="50"/>
        <v>13909.560000000001</v>
      </c>
      <c r="DH256" s="11">
        <f t="shared" si="51"/>
        <v>22449.56</v>
      </c>
      <c r="DI256" s="12">
        <f t="shared" si="52"/>
        <v>0</v>
      </c>
      <c r="DJ256" s="77">
        <f>+SUM(Tabla1[[#This Row],[EJECUTADO 01]:[EJECUTADO 06]])</f>
        <v>0</v>
      </c>
      <c r="DK256" s="78">
        <f>+Tabla1[[#This Row],[mto_devenga_01]]</f>
        <v>0</v>
      </c>
      <c r="DL256" s="78">
        <f>+Tabla1[[#This Row],[mto_devenga_02]]</f>
        <v>0</v>
      </c>
      <c r="DM256" s="78">
        <f>+Tabla1[[#This Row],[mto_devenga_03]]</f>
        <v>0</v>
      </c>
      <c r="DN256" s="78">
        <f>+Tabla1[[#This Row],[mto_devenga_04]]</f>
        <v>0</v>
      </c>
      <c r="DO256" s="78">
        <f>+Tabla1[[#This Row],[mto_devenga_05]]</f>
        <v>0</v>
      </c>
      <c r="DP256" s="76">
        <f>+Tabla1[[#This Row],[mto_devenga_06]]</f>
        <v>0</v>
      </c>
      <c r="DQ256" s="76">
        <f>+Tabla1[[#This Row],[mto_devenga_07]]</f>
        <v>5369.44</v>
      </c>
      <c r="DR256" s="76">
        <f>+Tabla1[[#This Row],[mto_devenga_08]]</f>
        <v>0</v>
      </c>
      <c r="DS256" s="76">
        <f>+Tabla1[[#This Row],[mto_devenga_09]]</f>
        <v>0</v>
      </c>
      <c r="DT256" s="76">
        <f>IFERROR(VLOOKUP(Tabla1[[#This Row],[COD SE]],PF_OCTUBRE,14,0),"0")</f>
        <v>0</v>
      </c>
      <c r="DU256" s="76">
        <f>IFERROR(VLOOKUP(Tabla1[[#This Row],[COD SE]],PF_OCTUBRE,15,0),"0")</f>
        <v>0</v>
      </c>
      <c r="DV256" s="76">
        <f>IFERROR(VLOOKUP(Tabla1[[#This Row],[COD SE]],PF_OCTUBRE,16,0),"0")</f>
        <v>13909.35</v>
      </c>
      <c r="DW256" s="76">
        <f>+SUM(Tabla1[[#This Row],[EJECUTADO 01]:[PF DICIEMBRE
]])</f>
        <v>19278.79</v>
      </c>
      <c r="DX256" s="76">
        <f>IFERROR(VLOOKUP(Tabla1[[#This Row],[COD SE]],PF_OCTUBRE,18,0),"0")</f>
        <v>0</v>
      </c>
      <c r="DY256" s="76">
        <f>IFERROR(VLOOKUP(Tabla1[[#This Row],[COD SE]],PF_OCTUBRE,19,0),"0")</f>
        <v>8540.2100000000009</v>
      </c>
      <c r="DZ256" s="76">
        <f>IFERROR(VLOOKUP(Tabla1[[#This Row],[COD SE]],PF_OCTUBRE,20,0),"0")</f>
        <v>8540.2100000000009</v>
      </c>
      <c r="EA256" s="76">
        <f>+Tabla1[[#This Row],[TOTAL EJEC REAL]]+Tabla1[[#This Row],[SALDO FINAL]]</f>
        <v>27819</v>
      </c>
      <c r="EB256" s="76">
        <f>IFERROR(VLOOKUP(Tabla1[[#This Row],[COD SE]],PF_OCTUBRE,22,0),"0")</f>
        <v>22449.56</v>
      </c>
      <c r="EC256" s="76">
        <f>+IFERROR(VLOOKUP(Tabla1[[#This Row],[COD SE]],SALDO_ESC_2,7,0),0)</f>
        <v>0</v>
      </c>
      <c r="ED256" s="76">
        <f>+IFERROR(VLOOKUP(Tabla1[[#This Row],[COD SE]],SALDO_ESC_3,7,0),0)</f>
        <v>8540.2100000000009</v>
      </c>
      <c r="EE256" s="76">
        <f>+Tabla1[[#This Row],[mto_pim]]-Tabla1[[#This Row],[TRANSF ESC2 ]]</f>
        <v>27819</v>
      </c>
      <c r="EF256" s="76">
        <f>+Tabla1[[#This Row],[mto_pim]]-Tabla1[[#This Row],[TRANFS ESC 3 ]]</f>
        <v>19278.79</v>
      </c>
      <c r="EG256" s="76">
        <f>+IFERROR(VLOOKUP(Tabla1[[#This Row],[COD SE]],HISTORICO,4,0),0)</f>
        <v>0</v>
      </c>
      <c r="EH256" s="76">
        <f>+IFERROR(VLOOKUP(Tabla1[[#This Row],[COD SE]],HISTORICO,5,0),0)</f>
        <v>0</v>
      </c>
      <c r="EI256" s="76">
        <f>+IFERROR(VLOOKUP(Tabla1[[#This Row],[COD SE]],HISTORICO,6,0),0)</f>
        <v>0</v>
      </c>
      <c r="EJ256" s="76">
        <f>+IFERROR(VLOOKUP(Tabla1[[#This Row],[COD SE]],HISTORICO,7,0),0)</f>
        <v>0</v>
      </c>
      <c r="EK256" s="76">
        <f>+IFERROR(VLOOKUP(Tabla1[[#This Row],[COD SE]],HISTORICO,8,0),0)</f>
        <v>0</v>
      </c>
      <c r="EL256" s="76">
        <f>+IFERROR(VLOOKUP(Tabla1[[#This Row],[COD SE]],HISTORICO,9,0),0)</f>
        <v>0</v>
      </c>
      <c r="EM256" s="76">
        <f>+IFERROR(VLOOKUP(Tabla1[[#This Row],[COD SE]],HISTORICO,10,0),0)</f>
        <v>13909.35</v>
      </c>
      <c r="EN256" s="76">
        <f>+IFERROR(VLOOKUP(Tabla1[[#This Row],[COD SE]],HISTORICO,11,0),0)</f>
        <v>0</v>
      </c>
      <c r="EO256" s="76">
        <f>+IFERROR(VLOOKUP(Tabla1[[#This Row],[COD SE]],HISTORICO,12,0),0)</f>
        <v>0</v>
      </c>
      <c r="EP256" s="58">
        <f>+SUM(Tabla1[[#This Row],[EJECUTADO 01]:[EJECUTADO 03]])</f>
        <v>0</v>
      </c>
      <c r="EQ256" s="58">
        <f>+SUM(Tabla1[[#This Row],[EJECUTADO 04]:[EJECUTADO 06]])</f>
        <v>0</v>
      </c>
      <c r="ER256" s="58">
        <f>+SUM(Tabla1[[#This Row],[EJECUTADO 07]:[EJECUTADO 09]])</f>
        <v>5369.44</v>
      </c>
      <c r="ES256" s="58">
        <f>+SUM(Tabla1[[#This Row],[PF OCTUBRE]:[PF DICIEMBRE
]])</f>
        <v>13909.35</v>
      </c>
      <c r="ET256" s="58">
        <f>+SUM(Tabla1[[#This Row],[EJECUTADO 01]:[EJECUTADO 09]])</f>
        <v>5369.44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1681</v>
      </c>
      <c r="AF257" s="369" t="s">
        <v>1682</v>
      </c>
      <c r="AG257" s="369" t="s">
        <v>1682</v>
      </c>
      <c r="AH257" s="369">
        <v>0</v>
      </c>
      <c r="AI257" s="369">
        <v>76000</v>
      </c>
      <c r="AJ257" s="369">
        <v>76000</v>
      </c>
      <c r="AK257" s="370">
        <v>76000</v>
      </c>
      <c r="AL257" s="370">
        <v>76000</v>
      </c>
      <c r="AM257" s="370">
        <v>36000</v>
      </c>
      <c r="AN257" s="370">
        <v>0</v>
      </c>
      <c r="AO257" s="370">
        <v>10000</v>
      </c>
      <c r="AP257" s="370">
        <v>30000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24000</v>
      </c>
      <c r="AZ257" s="370">
        <v>12000</v>
      </c>
      <c r="BA257" s="370">
        <v>0</v>
      </c>
      <c r="BB257" s="370">
        <v>0</v>
      </c>
      <c r="BC257" s="370">
        <v>30000</v>
      </c>
      <c r="BD257" s="370">
        <v>10000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24000</v>
      </c>
      <c r="BL257" s="370">
        <v>12000</v>
      </c>
      <c r="BM257" s="370">
        <v>0</v>
      </c>
      <c r="BN257" s="370">
        <v>0</v>
      </c>
      <c r="BO257" s="370">
        <v>30000</v>
      </c>
      <c r="BP257" s="370">
        <v>10000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36000</v>
      </c>
      <c r="BX257" s="370">
        <v>0</v>
      </c>
      <c r="BY257" s="370">
        <v>10000</v>
      </c>
      <c r="BZ257" s="370">
        <v>30000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2005</v>
      </c>
      <c r="CM257" s="48" t="s">
        <v>1990</v>
      </c>
      <c r="CN257" s="48" t="s">
        <v>1990</v>
      </c>
      <c r="CO257" s="10" t="str">
        <f t="shared" si="60"/>
        <v>2.3.2.9.1.1</v>
      </c>
      <c r="CP257" s="10" t="str">
        <f>+VLOOKUP(Tabla1[[#This Row],[ESPECÍFICA]],CLASIFICADOR_,2,0)</f>
        <v>2.3.2.9.1.1 - LOCACIÓN DE SERVICIOS REALIZADOS POR PERSONA NATURAL</v>
      </c>
      <c r="CQ257" s="10" t="str">
        <f>+VLOOKUP(Tabla1[[#This Row],[ESPECÍFICA]],CLASIFICADOR_,3,0)</f>
        <v>2.3.2.9 - LOCACIÓN DE SERVICIOS REALIZADOS POR PERSONA NATURAL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42"/>
        <v>0012-OAJ</v>
      </c>
      <c r="CY257" s="5" t="str">
        <f t="shared" si="43"/>
        <v>0012-OAJ</v>
      </c>
      <c r="CZ257" t="str">
        <f t="shared" si="44"/>
        <v>0012-OAJ</v>
      </c>
      <c r="DA257" s="113" t="str">
        <f>+CONCATENATE(Tabla1[[#This Row],[CC COMPLETO]],Tabla1[[#This Row],[ESPECÍFICA]])</f>
        <v>0012-OAJ2.3.2.9.1.1</v>
      </c>
      <c r="DB257" s="11">
        <f t="shared" si="45"/>
        <v>76000</v>
      </c>
      <c r="DC257" s="11">
        <f t="shared" si="46"/>
        <v>76000</v>
      </c>
      <c r="DD257" s="11">
        <f t="shared" si="47"/>
        <v>76000</v>
      </c>
      <c r="DE257" s="11">
        <f t="shared" si="48"/>
        <v>0</v>
      </c>
      <c r="DF257" s="11">
        <f t="shared" si="49"/>
        <v>0</v>
      </c>
      <c r="DG257" s="11">
        <f t="shared" si="50"/>
        <v>0</v>
      </c>
      <c r="DH257" s="11">
        <f t="shared" si="51"/>
        <v>0</v>
      </c>
      <c r="DI257" s="12">
        <f t="shared" si="52"/>
        <v>0</v>
      </c>
      <c r="DJ257" s="77">
        <f>+SUM(Tabla1[[#This Row],[EJECUTADO 01]:[EJECUTADO 06]])</f>
        <v>76000</v>
      </c>
      <c r="DK257" s="78">
        <f>+Tabla1[[#This Row],[mto_devenga_01]]</f>
        <v>24000</v>
      </c>
      <c r="DL257" s="78">
        <f>+Tabla1[[#This Row],[mto_devenga_02]]</f>
        <v>12000</v>
      </c>
      <c r="DM257" s="78">
        <f>+Tabla1[[#This Row],[mto_devenga_03]]</f>
        <v>0</v>
      </c>
      <c r="DN257" s="78">
        <f>+Tabla1[[#This Row],[mto_devenga_04]]</f>
        <v>0</v>
      </c>
      <c r="DO257" s="78">
        <f>+Tabla1[[#This Row],[mto_devenga_05]]</f>
        <v>30000</v>
      </c>
      <c r="DP257" s="76">
        <f>+Tabla1[[#This Row],[mto_devenga_06]]</f>
        <v>10000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0</v>
      </c>
      <c r="DV257" s="76">
        <f>IFERROR(VLOOKUP(Tabla1[[#This Row],[COD SE]],PF_OCTUBRE,16,0),"0")</f>
        <v>0</v>
      </c>
      <c r="DW257" s="76">
        <f>+SUM(Tabla1[[#This Row],[EJECUTADO 01]:[PF DICIEMBRE
]])</f>
        <v>76000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76000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76000</v>
      </c>
      <c r="EF257" s="76">
        <f>+Tabla1[[#This Row],[mto_pim]]-Tabla1[[#This Row],[TRANFS ESC 3 ]]</f>
        <v>76000</v>
      </c>
      <c r="EG257" s="76">
        <f>+IFERROR(VLOOKUP(Tabla1[[#This Row],[COD SE]],HISTORICO,4,0),0)</f>
        <v>24000</v>
      </c>
      <c r="EH257" s="76">
        <f>+IFERROR(VLOOKUP(Tabla1[[#This Row],[COD SE]],HISTORICO,5,0),0)</f>
        <v>12000</v>
      </c>
      <c r="EI257" s="76">
        <f>+IFERROR(VLOOKUP(Tabla1[[#This Row],[COD SE]],HISTORICO,6,0),0)</f>
        <v>0</v>
      </c>
      <c r="EJ257" s="76">
        <f>+IFERROR(VLOOKUP(Tabla1[[#This Row],[COD SE]],HISTORICO,7,0),0)</f>
        <v>20000</v>
      </c>
      <c r="EK257" s="76">
        <f>+IFERROR(VLOOKUP(Tabla1[[#This Row],[COD SE]],HISTORICO,8,0),0)</f>
        <v>20000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36000</v>
      </c>
      <c r="EQ257" s="58">
        <f>+SUM(Tabla1[[#This Row],[EJECUTADO 04]:[EJECUTADO 06]])</f>
        <v>40000</v>
      </c>
      <c r="ER257" s="58">
        <f>+SUM(Tabla1[[#This Row],[EJECUTADO 07]:[EJECUTADO 09]])</f>
        <v>0</v>
      </c>
      <c r="ES257" s="58">
        <f>+SUM(Tabla1[[#This Row],[PF OCTUBRE]:[PF DICIEMBRE
]])</f>
        <v>0</v>
      </c>
      <c r="ET257" s="58">
        <f>+SUM(Tabla1[[#This Row],[EJECUTADO 01]:[EJECUTADO 09]])</f>
        <v>76000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1672</v>
      </c>
      <c r="AD258" s="369" t="s">
        <v>1673</v>
      </c>
      <c r="AE258" s="369" t="s">
        <v>1678</v>
      </c>
      <c r="AF258" s="369" t="s">
        <v>1699</v>
      </c>
      <c r="AG258" s="369" t="s">
        <v>1700</v>
      </c>
      <c r="AH258" s="369">
        <v>3000</v>
      </c>
      <c r="AI258" s="369">
        <v>-3000</v>
      </c>
      <c r="AJ258" s="369">
        <v>0</v>
      </c>
      <c r="AK258" s="370">
        <v>0</v>
      </c>
      <c r="AL258" s="370">
        <v>0</v>
      </c>
      <c r="AM258" s="370">
        <v>0</v>
      </c>
      <c r="AN258" s="370">
        <v>0</v>
      </c>
      <c r="AO258" s="370">
        <v>0</v>
      </c>
      <c r="AP258" s="370">
        <v>0</v>
      </c>
      <c r="AQ258" s="370">
        <v>0</v>
      </c>
      <c r="AR258" s="370">
        <v>0</v>
      </c>
      <c r="AS258" s="370">
        <v>0</v>
      </c>
      <c r="AT258" s="370">
        <v>0</v>
      </c>
      <c r="AU258" s="370">
        <v>0</v>
      </c>
      <c r="AV258" s="370">
        <v>0</v>
      </c>
      <c r="AW258" s="370">
        <v>0</v>
      </c>
      <c r="AX258" s="370">
        <v>0</v>
      </c>
      <c r="AY258" s="370">
        <v>0</v>
      </c>
      <c r="AZ258" s="370">
        <v>0</v>
      </c>
      <c r="BA258" s="370">
        <v>0</v>
      </c>
      <c r="BB258" s="370">
        <v>0</v>
      </c>
      <c r="BC258" s="370">
        <v>0</v>
      </c>
      <c r="BD258" s="370">
        <v>0</v>
      </c>
      <c r="BE258" s="370">
        <v>0</v>
      </c>
      <c r="BF258" s="370">
        <v>0</v>
      </c>
      <c r="BG258" s="370">
        <v>0</v>
      </c>
      <c r="BH258" s="370">
        <v>0</v>
      </c>
      <c r="BI258" s="370">
        <v>0</v>
      </c>
      <c r="BJ258" s="370">
        <v>0</v>
      </c>
      <c r="BK258" s="370">
        <v>0</v>
      </c>
      <c r="BL258" s="370">
        <v>0</v>
      </c>
      <c r="BM258" s="370">
        <v>0</v>
      </c>
      <c r="BN258" s="370">
        <v>0</v>
      </c>
      <c r="BO258" s="370">
        <v>0</v>
      </c>
      <c r="BP258" s="370">
        <v>0</v>
      </c>
      <c r="BQ258" s="370">
        <v>0</v>
      </c>
      <c r="BR258" s="370">
        <v>0</v>
      </c>
      <c r="BS258" s="370">
        <v>0</v>
      </c>
      <c r="BT258" s="370">
        <v>0</v>
      </c>
      <c r="BU258" s="370">
        <v>0</v>
      </c>
      <c r="BV258" s="370">
        <v>0</v>
      </c>
      <c r="BW258" s="370">
        <v>0</v>
      </c>
      <c r="BX258" s="370">
        <v>0</v>
      </c>
      <c r="BY258" s="370">
        <v>0</v>
      </c>
      <c r="BZ258" s="370">
        <v>0</v>
      </c>
      <c r="CA258" s="370">
        <v>0</v>
      </c>
      <c r="CB258" s="370">
        <v>0</v>
      </c>
      <c r="CC258" s="370">
        <v>0</v>
      </c>
      <c r="CD258" s="370">
        <v>0</v>
      </c>
      <c r="CE258" s="370">
        <v>0</v>
      </c>
      <c r="CF258" s="370">
        <v>0</v>
      </c>
      <c r="CG258" s="370">
        <v>0</v>
      </c>
      <c r="CH258" s="370">
        <v>0</v>
      </c>
      <c r="CI258" s="48" t="s">
        <v>1987</v>
      </c>
      <c r="CJ258" s="48" t="s">
        <v>1991</v>
      </c>
      <c r="CK258" s="48" t="s">
        <v>1987</v>
      </c>
      <c r="CL258" s="48" t="s">
        <v>1989</v>
      </c>
      <c r="CM258" s="48" t="s">
        <v>2020</v>
      </c>
      <c r="CN258" s="48" t="s">
        <v>2012</v>
      </c>
      <c r="CO258" s="48" t="str">
        <f t="shared" ref="CO258:CO261" si="61">+CONCATENATE(CI258,".",CJ258,".",CK258,".",CL258,".",CM258,".",CN258)</f>
        <v>2.3.2.7.14.98</v>
      </c>
      <c r="CP258" s="48" t="str">
        <f>+VLOOKUP(Tabla1[[#This Row],[ESPECÍFICA]],CLASIFICADOR_,2,0)</f>
        <v>2.3.2.7.14.98 - OTROS SERVICIOS TÉCNICOS Y PROFESIONALES DESARROLLADOS POR PERSONAS NATURALES</v>
      </c>
      <c r="CQ258" s="48" t="str">
        <f>+VLOOKUP(Tabla1[[#This Row],[ESPECÍFICA]],CLASIFICADOR_,3,0)</f>
        <v>2.3.2.7 - SERVICIOS PROFESIONALES Y TECNICOS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2.3.BIENES Y SERVICIOS</v>
      </c>
      <c r="CX258" s="48" t="str">
        <f t="shared" si="42"/>
        <v>0012-OAJ</v>
      </c>
      <c r="CY258" s="113" t="str">
        <f t="shared" si="43"/>
        <v>0012-OAJ</v>
      </c>
      <c r="CZ258" s="20" t="str">
        <f t="shared" si="44"/>
        <v>0012-OAJ</v>
      </c>
      <c r="DA258" s="113" t="str">
        <f>+CONCATENATE(Tabla1[[#This Row],[CC COMPLETO]],Tabla1[[#This Row],[ESPECÍFICA]])</f>
        <v>0012-OAJ2.3.2.7.14.98</v>
      </c>
      <c r="DB258" s="49">
        <f t="shared" si="45"/>
        <v>0</v>
      </c>
      <c r="DC258" s="49">
        <f t="shared" si="46"/>
        <v>0</v>
      </c>
      <c r="DD258" s="49">
        <f t="shared" si="47"/>
        <v>0</v>
      </c>
      <c r="DE258" s="49">
        <f t="shared" si="48"/>
        <v>0</v>
      </c>
      <c r="DF258" s="49">
        <f t="shared" si="49"/>
        <v>0</v>
      </c>
      <c r="DG258" s="49">
        <f t="shared" si="50"/>
        <v>0</v>
      </c>
      <c r="DH258" s="49">
        <f t="shared" si="51"/>
        <v>0</v>
      </c>
      <c r="DI258" s="50">
        <f t="shared" si="52"/>
        <v>0</v>
      </c>
      <c r="DJ258" s="78">
        <f>+SUM(Tabla1[[#This Row],[EJECUTADO 01]:[EJECUTADO 06]])</f>
        <v>0</v>
      </c>
      <c r="DK258" s="78">
        <f>+Tabla1[[#This Row],[mto_devenga_01]]</f>
        <v>0</v>
      </c>
      <c r="DL258" s="78">
        <f>+Tabla1[[#This Row],[mto_devenga_02]]</f>
        <v>0</v>
      </c>
      <c r="DM258" s="78">
        <f>+Tabla1[[#This Row],[mto_devenga_03]]</f>
        <v>0</v>
      </c>
      <c r="DN258" s="78">
        <f>+Tabla1[[#This Row],[mto_devenga_04]]</f>
        <v>0</v>
      </c>
      <c r="DO258" s="78">
        <f>+Tabla1[[#This Row],[mto_devenga_05]]</f>
        <v>0</v>
      </c>
      <c r="DP258" s="76">
        <f>+Tabla1[[#This Row],[mto_devenga_06]]</f>
        <v>0</v>
      </c>
      <c r="DQ258" s="76">
        <f>+Tabla1[[#This Row],[mto_devenga_07]]</f>
        <v>0</v>
      </c>
      <c r="DR258" s="76">
        <f>+Tabla1[[#This Row],[mto_devenga_08]]</f>
        <v>0</v>
      </c>
      <c r="DS258" s="76">
        <f>+Tabla1[[#This Row],[mto_devenga_09]]</f>
        <v>0</v>
      </c>
      <c r="DT258" s="76">
        <f>IFERROR(VLOOKUP(Tabla1[[#This Row],[COD SE]],PF_OCTUBRE,14,0),"0")</f>
        <v>0</v>
      </c>
      <c r="DU258" s="76">
        <f>IFERROR(VLOOKUP(Tabla1[[#This Row],[COD SE]],PF_OCTUBRE,15,0),"0")</f>
        <v>2262</v>
      </c>
      <c r="DV258" s="76">
        <f>IFERROR(VLOOKUP(Tabla1[[#This Row],[COD SE]],PF_OCTUBRE,16,0),"0")</f>
        <v>0</v>
      </c>
      <c r="DW258" s="76">
        <f>+SUM(Tabla1[[#This Row],[EJECUTADO 01]:[PF DICIEMBRE
]])</f>
        <v>2262</v>
      </c>
      <c r="DX258" s="76">
        <f>IFERROR(VLOOKUP(Tabla1[[#This Row],[COD SE]],PF_OCTUBRE,18,0),"0")</f>
        <v>0</v>
      </c>
      <c r="DY258" s="76">
        <f>IFERROR(VLOOKUP(Tabla1[[#This Row],[COD SE]],PF_OCTUBRE,19,0),"0")</f>
        <v>0</v>
      </c>
      <c r="DZ258" s="76">
        <f>IFERROR(VLOOKUP(Tabla1[[#This Row],[COD SE]],PF_OCTUBRE,20,0),"0")</f>
        <v>0</v>
      </c>
      <c r="EA258" s="76">
        <f>+Tabla1[[#This Row],[TOTAL EJEC REAL]]+Tabla1[[#This Row],[SALDO FINAL]]</f>
        <v>2262</v>
      </c>
      <c r="EB258" s="76">
        <f>IFERROR(VLOOKUP(Tabla1[[#This Row],[COD SE]],PF_OCTUBRE,22,0),"0")</f>
        <v>0</v>
      </c>
      <c r="EC258" s="76">
        <f>+IFERROR(VLOOKUP(Tabla1[[#This Row],[COD SE]],SALDO_ESC_2,7,0),0)</f>
        <v>0</v>
      </c>
      <c r="ED258" s="76">
        <f>+IFERROR(VLOOKUP(Tabla1[[#This Row],[COD SE]],SALDO_ESC_3,7,0),0)</f>
        <v>0</v>
      </c>
      <c r="EE258" s="76">
        <f>+Tabla1[[#This Row],[mto_pim]]-Tabla1[[#This Row],[TRANSF ESC2 ]]</f>
        <v>0</v>
      </c>
      <c r="EF258" s="76">
        <f>+Tabla1[[#This Row],[mto_pim]]-Tabla1[[#This Row],[TRANFS ESC 3 ]]</f>
        <v>0</v>
      </c>
      <c r="EG258" s="76">
        <f>+IFERROR(VLOOKUP(Tabla1[[#This Row],[COD SE]],HISTORICO,4,0),0)</f>
        <v>0</v>
      </c>
      <c r="EH258" s="76">
        <f>+IFERROR(VLOOKUP(Tabla1[[#This Row],[COD SE]],HISTORICO,5,0),0)</f>
        <v>0</v>
      </c>
      <c r="EI258" s="76">
        <f>+IFERROR(VLOOKUP(Tabla1[[#This Row],[COD SE]],HISTORICO,6,0),0)</f>
        <v>0</v>
      </c>
      <c r="EJ258" s="76">
        <f>+IFERROR(VLOOKUP(Tabla1[[#This Row],[COD SE]],HISTORICO,7,0),0)</f>
        <v>0</v>
      </c>
      <c r="EK258" s="76">
        <f>+IFERROR(VLOOKUP(Tabla1[[#This Row],[COD SE]],HISTORICO,8,0),0)</f>
        <v>0</v>
      </c>
      <c r="EL258" s="76">
        <f>+IFERROR(VLOOKUP(Tabla1[[#This Row],[COD SE]],HISTORICO,9,0),0)</f>
        <v>0</v>
      </c>
      <c r="EM258" s="76">
        <f>+IFERROR(VLOOKUP(Tabla1[[#This Row],[COD SE]],HISTORICO,10,0),0)</f>
        <v>0</v>
      </c>
      <c r="EN258" s="76">
        <f>+IFERROR(VLOOKUP(Tabla1[[#This Row],[COD SE]],HISTORICO,11,0),0)</f>
        <v>0</v>
      </c>
      <c r="EO258" s="76">
        <f>+IFERROR(VLOOKUP(Tabla1[[#This Row],[COD SE]],HISTORICO,12,0),0)</f>
        <v>0</v>
      </c>
      <c r="EP258" s="58">
        <f>+SUM(Tabla1[[#This Row],[EJECUTADO 01]:[EJECUTADO 03]])</f>
        <v>0</v>
      </c>
      <c r="EQ258" s="58">
        <f>+SUM(Tabla1[[#This Row],[EJECUTADO 04]:[EJECUTADO 06]])</f>
        <v>0</v>
      </c>
      <c r="ER258" s="58">
        <f>+SUM(Tabla1[[#This Row],[EJECUTADO 07]:[EJECUTADO 09]])</f>
        <v>0</v>
      </c>
      <c r="ES258" s="58">
        <f>+SUM(Tabla1[[#This Row],[PF OCTUBRE]:[PF DICIEMBRE
]])</f>
        <v>2262</v>
      </c>
      <c r="ET258" s="58">
        <f>+SUM(Tabla1[[#This Row],[EJECUTADO 01]:[EJECUTADO 09]])</f>
        <v>0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1668</v>
      </c>
      <c r="AE259" s="369" t="s">
        <v>1669</v>
      </c>
      <c r="AF259" s="369" t="s">
        <v>1669</v>
      </c>
      <c r="AG259" s="369" t="s">
        <v>1670</v>
      </c>
      <c r="AH259" s="369">
        <v>0</v>
      </c>
      <c r="AI259" s="369">
        <v>15023</v>
      </c>
      <c r="AJ259" s="369">
        <v>15023</v>
      </c>
      <c r="AK259" s="370">
        <v>10374</v>
      </c>
      <c r="AL259" s="370">
        <v>10374</v>
      </c>
      <c r="AM259" s="370">
        <v>0</v>
      </c>
      <c r="AN259" s="370">
        <v>0</v>
      </c>
      <c r="AO259" s="370">
        <v>0</v>
      </c>
      <c r="AP259" s="370">
        <v>414.21</v>
      </c>
      <c r="AQ259" s="370">
        <v>1242.6400000000001</v>
      </c>
      <c r="AR259" s="370">
        <v>1242.6400000000001</v>
      </c>
      <c r="AS259" s="370">
        <v>1242.6400000000001</v>
      </c>
      <c r="AT259" s="370">
        <v>1242.6400000000001</v>
      </c>
      <c r="AU259" s="370">
        <v>1242.6400000000001</v>
      </c>
      <c r="AV259" s="370">
        <v>1242.6400000000001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414.21</v>
      </c>
      <c r="BC259" s="370">
        <v>1242.6400000000001</v>
      </c>
      <c r="BD259" s="370">
        <v>1242.6400000000001</v>
      </c>
      <c r="BE259" s="370">
        <v>1242.6400000000001</v>
      </c>
      <c r="BF259" s="370">
        <v>1242.6400000000001</v>
      </c>
      <c r="BG259" s="370">
        <v>1242.6400000000001</v>
      </c>
      <c r="BH259" s="370">
        <v>1242.6400000000001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1656.85</v>
      </c>
      <c r="BP259" s="370">
        <v>1242.6400000000001</v>
      </c>
      <c r="BQ259" s="370">
        <v>1242.6400000000001</v>
      </c>
      <c r="BR259" s="370">
        <v>1242.6400000000001</v>
      </c>
      <c r="BS259" s="370">
        <v>1242.6400000000001</v>
      </c>
      <c r="BT259" s="370">
        <v>1242.6400000000001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414.21</v>
      </c>
      <c r="CA259" s="370">
        <v>1242.6400000000001</v>
      </c>
      <c r="CB259" s="370">
        <v>1242.6400000000001</v>
      </c>
      <c r="CC259" s="370">
        <v>1242.6400000000001</v>
      </c>
      <c r="CD259" s="370">
        <v>1242.6400000000001</v>
      </c>
      <c r="CE259" s="370">
        <v>1242.6400000000001</v>
      </c>
      <c r="CF259" s="370">
        <v>1242.6400000000001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1991</v>
      </c>
      <c r="CL259" s="48" t="s">
        <v>1990</v>
      </c>
      <c r="CM259" s="48" t="s">
        <v>1990</v>
      </c>
      <c r="CN259" s="48" t="s">
        <v>2010</v>
      </c>
      <c r="CO259" s="48" t="str">
        <f t="shared" si="61"/>
        <v>2.1.3.1.1.13</v>
      </c>
      <c r="CP259" s="48" t="str">
        <f>+VLOOKUP(Tabla1[[#This Row],[ESPECÍFICA]],CLASIFICADOR_,2,0)</f>
        <v>2.1.3.1.1.13 - CONTRIBUCIONES A ESSALUD DEL PERSONAL ADMINISTRATIVO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42"/>
        <v>0012-OAJ</v>
      </c>
      <c r="CY259" s="113" t="str">
        <f t="shared" si="43"/>
        <v>0012-OAJ</v>
      </c>
      <c r="CZ259" s="20" t="str">
        <f t="shared" si="44"/>
        <v>0012-OAJ</v>
      </c>
      <c r="DA259" s="113" t="str">
        <f>+CONCATENATE(Tabla1[[#This Row],[CC COMPLETO]],Tabla1[[#This Row],[ESPECÍFICA]])</f>
        <v>0012-OAJ2.1.3.1.1.13</v>
      </c>
      <c r="DB259" s="49">
        <f t="shared" si="45"/>
        <v>7870.0500000000011</v>
      </c>
      <c r="DC259" s="49">
        <f t="shared" si="46"/>
        <v>7870.0500000000011</v>
      </c>
      <c r="DD259" s="49">
        <f t="shared" si="47"/>
        <v>7870.0500000000011</v>
      </c>
      <c r="DE259" s="49">
        <f t="shared" si="48"/>
        <v>4649</v>
      </c>
      <c r="DF259" s="49">
        <f t="shared" si="49"/>
        <v>0</v>
      </c>
      <c r="DG259" s="49">
        <f t="shared" si="50"/>
        <v>2503.9499999999989</v>
      </c>
      <c r="DH259" s="49">
        <f t="shared" si="51"/>
        <v>7152.9499999999989</v>
      </c>
      <c r="DI259" s="50">
        <f t="shared" si="52"/>
        <v>0</v>
      </c>
      <c r="DJ259" s="78">
        <f>+SUM(Tabla1[[#This Row],[EJECUTADO 01]:[EJECUTADO 06]])</f>
        <v>2899.4900000000002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414.21</v>
      </c>
      <c r="DO259" s="78">
        <f>+Tabla1[[#This Row],[mto_devenga_05]]</f>
        <v>1242.6400000000001</v>
      </c>
      <c r="DP259" s="76">
        <f>+Tabla1[[#This Row],[mto_devenga_06]]</f>
        <v>1242.6400000000001</v>
      </c>
      <c r="DQ259" s="76">
        <f>+Tabla1[[#This Row],[mto_devenga_07]]</f>
        <v>1242.6400000000001</v>
      </c>
      <c r="DR259" s="76">
        <f>+Tabla1[[#This Row],[mto_devenga_08]]</f>
        <v>1242.6400000000001</v>
      </c>
      <c r="DS259" s="76">
        <f>+Tabla1[[#This Row],[mto_devenga_09]]</f>
        <v>1242.6400000000001</v>
      </c>
      <c r="DT259" s="76">
        <f>IFERROR(VLOOKUP(Tabla1[[#This Row],[COD SE]],PF_OCTUBRE,14,0),"0")</f>
        <v>1251.8399999999999</v>
      </c>
      <c r="DU259" s="76">
        <f>IFERROR(VLOOKUP(Tabla1[[#This Row],[COD SE]],PF_OCTUBRE,15,0),"0")</f>
        <v>1251.8399999999999</v>
      </c>
      <c r="DV259" s="76">
        <f>IFERROR(VLOOKUP(Tabla1[[#This Row],[COD SE]],PF_OCTUBRE,16,0),"0")</f>
        <v>1251.8400000000001</v>
      </c>
      <c r="DW259" s="76">
        <f>+SUM(Tabla1[[#This Row],[EJECUTADO 01]:[PF DICIEMBRE
]])</f>
        <v>10382.93</v>
      </c>
      <c r="DX259" s="76">
        <f>IFERROR(VLOOKUP(Tabla1[[#This Row],[COD SE]],PF_OCTUBRE,18,0),"0")</f>
        <v>0</v>
      </c>
      <c r="DY259" s="76">
        <f>IFERROR(VLOOKUP(Tabla1[[#This Row],[COD SE]],PF_OCTUBRE,19,0),"0")</f>
        <v>4640.07</v>
      </c>
      <c r="DZ259" s="76">
        <f>IFERROR(VLOOKUP(Tabla1[[#This Row],[COD SE]],PF_OCTUBRE,20,0),"0")</f>
        <v>4640.07</v>
      </c>
      <c r="EA259" s="76">
        <f>+Tabla1[[#This Row],[TOTAL EJEC REAL]]+Tabla1[[#This Row],[SALDO FINAL]]</f>
        <v>15023</v>
      </c>
      <c r="EB259" s="76">
        <f>IFERROR(VLOOKUP(Tabla1[[#This Row],[COD SE]],PF_OCTUBRE,22,0),"0")</f>
        <v>5891.91</v>
      </c>
      <c r="EC259" s="76">
        <f>+IFERROR(VLOOKUP(Tabla1[[#This Row],[COD SE]],SALDO_ESC_2,7,0),0)</f>
        <v>0</v>
      </c>
      <c r="ED259" s="76">
        <f>+IFERROR(VLOOKUP(Tabla1[[#This Row],[COD SE]],SALDO_ESC_3,7,0),0)</f>
        <v>4640.07</v>
      </c>
      <c r="EE259" s="76">
        <f>+Tabla1[[#This Row],[mto_pim]]-Tabla1[[#This Row],[TRANSF ESC2 ]]</f>
        <v>15023</v>
      </c>
      <c r="EF259" s="76">
        <f>+Tabla1[[#This Row],[mto_pim]]-Tabla1[[#This Row],[TRANFS ESC 3 ]]</f>
        <v>10382.93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1251.8399999999999</v>
      </c>
      <c r="EM259" s="76">
        <f>+IFERROR(VLOOKUP(Tabla1[[#This Row],[COD SE]],HISTORICO,10,0),0)</f>
        <v>1251.8399999999999</v>
      </c>
      <c r="EN259" s="76">
        <f>+IFERROR(VLOOKUP(Tabla1[[#This Row],[COD SE]],HISTORICO,11,0),0)</f>
        <v>1251.8399999999999</v>
      </c>
      <c r="EO259" s="76">
        <f>+IFERROR(VLOOKUP(Tabla1[[#This Row],[COD SE]],HISTORICO,12,0),0)</f>
        <v>1251.8399999999999</v>
      </c>
      <c r="EP259" s="58">
        <f>+SUM(Tabla1[[#This Row],[EJECUTADO 01]:[EJECUTADO 03]])</f>
        <v>0</v>
      </c>
      <c r="EQ259" s="58">
        <f>+SUM(Tabla1[[#This Row],[EJECUTADO 04]:[EJECUTADO 06]])</f>
        <v>2899.4900000000002</v>
      </c>
      <c r="ER259" s="58">
        <f>+SUM(Tabla1[[#This Row],[EJECUTADO 07]:[EJECUTADO 09]])</f>
        <v>3727.92</v>
      </c>
      <c r="ES259" s="58">
        <f>+SUM(Tabla1[[#This Row],[PF OCTUBRE]:[PF DICIEMBRE
]])</f>
        <v>3755.52</v>
      </c>
      <c r="ET259" s="58">
        <f>+SUM(Tabla1[[#This Row],[EJECUTADO 01]:[EJECUTADO 09]])</f>
        <v>6627.4100000000008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1656</v>
      </c>
      <c r="AD260" s="369" t="s">
        <v>2006</v>
      </c>
      <c r="AE260" s="369" t="s">
        <v>2007</v>
      </c>
      <c r="AF260" s="369" t="s">
        <v>2007</v>
      </c>
      <c r="AG260" s="369" t="s">
        <v>2009</v>
      </c>
      <c r="AH260" s="369">
        <v>0</v>
      </c>
      <c r="AI260" s="369">
        <v>6955</v>
      </c>
      <c r="AJ260" s="369">
        <v>6955</v>
      </c>
      <c r="AK260" s="370">
        <v>0</v>
      </c>
      <c r="AL260" s="370">
        <v>0</v>
      </c>
      <c r="AM260" s="370">
        <v>0</v>
      </c>
      <c r="AN260" s="370">
        <v>0</v>
      </c>
      <c r="AO260" s="370">
        <v>0</v>
      </c>
      <c r="AP260" s="370">
        <v>0</v>
      </c>
      <c r="AQ260" s="370">
        <v>0</v>
      </c>
      <c r="AR260" s="370">
        <v>0</v>
      </c>
      <c r="AS260" s="370">
        <v>0</v>
      </c>
      <c r="AT260" s="370">
        <v>0</v>
      </c>
      <c r="AU260" s="370">
        <v>0</v>
      </c>
      <c r="AV260" s="370">
        <v>0</v>
      </c>
      <c r="AW260" s="370">
        <v>0</v>
      </c>
      <c r="AX260" s="370">
        <v>0</v>
      </c>
      <c r="AY260" s="370">
        <v>0</v>
      </c>
      <c r="AZ260" s="370">
        <v>0</v>
      </c>
      <c r="BA260" s="370">
        <v>0</v>
      </c>
      <c r="BB260" s="370">
        <v>0</v>
      </c>
      <c r="BC260" s="370">
        <v>0</v>
      </c>
      <c r="BD260" s="370">
        <v>0</v>
      </c>
      <c r="BE260" s="370">
        <v>0</v>
      </c>
      <c r="BF260" s="370">
        <v>0</v>
      </c>
      <c r="BG260" s="370">
        <v>0</v>
      </c>
      <c r="BH260" s="370">
        <v>0</v>
      </c>
      <c r="BI260" s="370">
        <v>0</v>
      </c>
      <c r="BJ260" s="370">
        <v>0</v>
      </c>
      <c r="BK260" s="370">
        <v>0</v>
      </c>
      <c r="BL260" s="370">
        <v>0</v>
      </c>
      <c r="BM260" s="370">
        <v>0</v>
      </c>
      <c r="BN260" s="370">
        <v>0</v>
      </c>
      <c r="BO260" s="370">
        <v>0</v>
      </c>
      <c r="BP260" s="370">
        <v>0</v>
      </c>
      <c r="BQ260" s="370">
        <v>0</v>
      </c>
      <c r="BR260" s="370">
        <v>0</v>
      </c>
      <c r="BS260" s="370">
        <v>0</v>
      </c>
      <c r="BT260" s="370">
        <v>0</v>
      </c>
      <c r="BU260" s="370">
        <v>0</v>
      </c>
      <c r="BV260" s="370">
        <v>0</v>
      </c>
      <c r="BW260" s="370">
        <v>0</v>
      </c>
      <c r="BX260" s="370">
        <v>0</v>
      </c>
      <c r="BY260" s="370">
        <v>0</v>
      </c>
      <c r="BZ260" s="370">
        <v>0</v>
      </c>
      <c r="CA260" s="370">
        <v>0</v>
      </c>
      <c r="CB260" s="370">
        <v>0</v>
      </c>
      <c r="CC260" s="370">
        <v>0</v>
      </c>
      <c r="CD260" s="370">
        <v>0</v>
      </c>
      <c r="CE260" s="370">
        <v>0</v>
      </c>
      <c r="CF260" s="370">
        <v>0</v>
      </c>
      <c r="CG260" s="370">
        <v>0</v>
      </c>
      <c r="CH260" s="370">
        <v>0</v>
      </c>
      <c r="CI260" s="48" t="s">
        <v>1987</v>
      </c>
      <c r="CJ260" s="48" t="s">
        <v>1990</v>
      </c>
      <c r="CK260" s="48" t="s">
        <v>1993</v>
      </c>
      <c r="CL260" s="48" t="s">
        <v>1990</v>
      </c>
      <c r="CM260" s="48" t="s">
        <v>1990</v>
      </c>
      <c r="CN260" s="48" t="s">
        <v>1990</v>
      </c>
      <c r="CO260" s="48" t="str">
        <f t="shared" si="61"/>
        <v>2.1.4.1.1.1</v>
      </c>
      <c r="CP260" s="48" t="str">
        <f>+VLOOKUP(Tabla1[[#This Row],[ESPECÍFICA]],CLASIFICADOR_,2,0)</f>
        <v>2.1.4.1.1.1 - COMPENSACION POR TIEMPO DE SERVICIOS DEL REGIMEN LABORAL PRIVADO Y REGIMEN DEL SERVICIO CIVIL</v>
      </c>
      <c r="CQ260" s="48" t="str">
        <f>+VLOOKUP(Tabla1[[#This Row],[ESPECÍFICA]],CLASIFICADOR_,3,0)</f>
        <v>02.SERVIR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2.1.PERSONAL Y OBLIGACIONES SOCIALES</v>
      </c>
      <c r="CX260" s="48" t="str">
        <f t="shared" si="42"/>
        <v>0012-OAJ</v>
      </c>
      <c r="CY260" s="113" t="str">
        <f t="shared" si="43"/>
        <v>0012-OAJ</v>
      </c>
      <c r="CZ260" s="20" t="str">
        <f t="shared" si="44"/>
        <v>0012-OAJ</v>
      </c>
      <c r="DA260" s="113" t="str">
        <f>+CONCATENATE(Tabla1[[#This Row],[CC COMPLETO]],Tabla1[[#This Row],[ESPECÍFICA]])</f>
        <v>0012-OAJ2.1.4.1.1.1</v>
      </c>
      <c r="DB260" s="49">
        <f t="shared" si="45"/>
        <v>0</v>
      </c>
      <c r="DC260" s="49">
        <f t="shared" si="46"/>
        <v>0</v>
      </c>
      <c r="DD260" s="49">
        <f t="shared" si="47"/>
        <v>0</v>
      </c>
      <c r="DE260" s="49">
        <f t="shared" si="48"/>
        <v>6955</v>
      </c>
      <c r="DF260" s="49">
        <f t="shared" si="49"/>
        <v>0</v>
      </c>
      <c r="DG260" s="49">
        <f t="shared" si="50"/>
        <v>0</v>
      </c>
      <c r="DH260" s="49">
        <f t="shared" si="51"/>
        <v>6955</v>
      </c>
      <c r="DI260" s="50">
        <f t="shared" si="52"/>
        <v>0</v>
      </c>
      <c r="DJ260" s="78">
        <f>+SUM(Tabla1[[#This Row],[EJECUTADO 01]:[EJECUTADO 06]])</f>
        <v>0</v>
      </c>
      <c r="DK260" s="78">
        <f>+Tabla1[[#This Row],[mto_devenga_01]]</f>
        <v>0</v>
      </c>
      <c r="DL260" s="78">
        <f>+Tabla1[[#This Row],[mto_devenga_02]]</f>
        <v>0</v>
      </c>
      <c r="DM260" s="78">
        <f>+Tabla1[[#This Row],[mto_devenga_03]]</f>
        <v>0</v>
      </c>
      <c r="DN260" s="78">
        <f>+Tabla1[[#This Row],[mto_devenga_04]]</f>
        <v>0</v>
      </c>
      <c r="DO260" s="78">
        <f>+Tabla1[[#This Row],[mto_devenga_05]]</f>
        <v>0</v>
      </c>
      <c r="DP260" s="76">
        <f>+Tabla1[[#This Row],[mto_devenga_06]]</f>
        <v>0</v>
      </c>
      <c r="DQ260" s="76">
        <f>+Tabla1[[#This Row],[mto_devenga_07]]</f>
        <v>0</v>
      </c>
      <c r="DR260" s="76">
        <f>+Tabla1[[#This Row],[mto_devenga_08]]</f>
        <v>0</v>
      </c>
      <c r="DS260" s="76">
        <f>+Tabla1[[#This Row],[mto_devenga_09]]</f>
        <v>0</v>
      </c>
      <c r="DT260" s="76">
        <f>IFERROR(VLOOKUP(Tabla1[[#This Row],[COD SE]],PF_OCTUBRE,14,0),"0")</f>
        <v>0</v>
      </c>
      <c r="DU260" s="76">
        <f>IFERROR(VLOOKUP(Tabla1[[#This Row],[COD SE]],PF_OCTUBRE,15,0),"0")</f>
        <v>6955</v>
      </c>
      <c r="DV260" s="76">
        <f>IFERROR(VLOOKUP(Tabla1[[#This Row],[COD SE]],PF_OCTUBRE,16,0),"0")</f>
        <v>0</v>
      </c>
      <c r="DW260" s="76">
        <f>+SUM(Tabla1[[#This Row],[EJECUTADO 01]:[PF DICIEMBRE
]])</f>
        <v>6955</v>
      </c>
      <c r="DX260" s="76">
        <f>IFERROR(VLOOKUP(Tabla1[[#This Row],[COD SE]],PF_OCTUBRE,18,0),"0")</f>
        <v>0</v>
      </c>
      <c r="DY260" s="76">
        <f>IFERROR(VLOOKUP(Tabla1[[#This Row],[COD SE]],PF_OCTUBRE,19,0),"0")</f>
        <v>0</v>
      </c>
      <c r="DZ260" s="76">
        <f>IFERROR(VLOOKUP(Tabla1[[#This Row],[COD SE]],PF_OCTUBRE,20,0),"0")</f>
        <v>0</v>
      </c>
      <c r="EA260" s="76">
        <f>+Tabla1[[#This Row],[TOTAL EJEC REAL]]+Tabla1[[#This Row],[SALDO FINAL]]</f>
        <v>6955</v>
      </c>
      <c r="EB260" s="76">
        <f>IFERROR(VLOOKUP(Tabla1[[#This Row],[COD SE]],PF_OCTUBRE,22,0),"0")</f>
        <v>0</v>
      </c>
      <c r="EC260" s="76">
        <f>+IFERROR(VLOOKUP(Tabla1[[#This Row],[COD SE]],SALDO_ESC_2,7,0),0)</f>
        <v>0</v>
      </c>
      <c r="ED260" s="76">
        <f>+IFERROR(VLOOKUP(Tabla1[[#This Row],[COD SE]],SALDO_ESC_3,7,0),0)</f>
        <v>0</v>
      </c>
      <c r="EE260" s="76">
        <f>+Tabla1[[#This Row],[mto_pim]]-Tabla1[[#This Row],[TRANSF ESC2 ]]</f>
        <v>6955</v>
      </c>
      <c r="EF260" s="76">
        <f>+Tabla1[[#This Row],[mto_pim]]-Tabla1[[#This Row],[TRANFS ESC 3 ]]</f>
        <v>6955</v>
      </c>
      <c r="EG260" s="76">
        <f>+IFERROR(VLOOKUP(Tabla1[[#This Row],[COD SE]],HISTORICO,4,0),0)</f>
        <v>0</v>
      </c>
      <c r="EH260" s="76">
        <f>+IFERROR(VLOOKUP(Tabla1[[#This Row],[COD SE]],HISTORICO,5,0),0)</f>
        <v>0</v>
      </c>
      <c r="EI260" s="76">
        <f>+IFERROR(VLOOKUP(Tabla1[[#This Row],[COD SE]],HISTORICO,6,0),0)</f>
        <v>0</v>
      </c>
      <c r="EJ260" s="76">
        <f>+IFERROR(VLOOKUP(Tabla1[[#This Row],[COD SE]],HISTORICO,7,0),0)</f>
        <v>0</v>
      </c>
      <c r="EK260" s="76">
        <f>+IFERROR(VLOOKUP(Tabla1[[#This Row],[COD SE]],HISTORICO,8,0),0)</f>
        <v>0</v>
      </c>
      <c r="EL260" s="76">
        <f>+IFERROR(VLOOKUP(Tabla1[[#This Row],[COD SE]],HISTORICO,9,0),0)</f>
        <v>0</v>
      </c>
      <c r="EM260" s="76">
        <f>+IFERROR(VLOOKUP(Tabla1[[#This Row],[COD SE]],HISTORICO,10,0),0)</f>
        <v>0</v>
      </c>
      <c r="EN260" s="76">
        <f>+IFERROR(VLOOKUP(Tabla1[[#This Row],[COD SE]],HISTORICO,11,0),0)</f>
        <v>0</v>
      </c>
      <c r="EO260" s="76">
        <f>+IFERROR(VLOOKUP(Tabla1[[#This Row],[COD SE]],HISTORICO,12,0),0)</f>
        <v>0</v>
      </c>
      <c r="EP260" s="58">
        <f>+SUM(Tabla1[[#This Row],[EJECUTADO 01]:[EJECUTADO 03]])</f>
        <v>0</v>
      </c>
      <c r="EQ260" s="58">
        <f>+SUM(Tabla1[[#This Row],[EJECUTADO 04]:[EJECUTADO 06]])</f>
        <v>0</v>
      </c>
      <c r="ER260" s="58">
        <f>+SUM(Tabla1[[#This Row],[EJECUTADO 07]:[EJECUTADO 09]])</f>
        <v>0</v>
      </c>
      <c r="ES260" s="58">
        <f>+SUM(Tabla1[[#This Row],[PF OCTUBRE]:[PF DICIEMBRE
]])</f>
        <v>6955</v>
      </c>
      <c r="ET260" s="58">
        <f>+SUM(Tabla1[[#This Row],[EJECUTADO 01]:[EJECUTADO 09]])</f>
        <v>0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2056</v>
      </c>
      <c r="K261" s="369" t="s">
        <v>1975</v>
      </c>
      <c r="L261" s="369" t="s">
        <v>2034</v>
      </c>
      <c r="M261" s="369" t="s">
        <v>2038</v>
      </c>
      <c r="N261" s="369">
        <v>1</v>
      </c>
      <c r="O261" s="369" t="s">
        <v>2057</v>
      </c>
      <c r="P261" s="369" t="s">
        <v>2032</v>
      </c>
      <c r="Q261" s="369">
        <v>800</v>
      </c>
      <c r="R261" s="369">
        <v>0</v>
      </c>
      <c r="S261" s="369">
        <v>0</v>
      </c>
      <c r="T261" s="369">
        <v>0</v>
      </c>
      <c r="U261" s="369">
        <v>12</v>
      </c>
      <c r="V261" s="369" t="s">
        <v>1980</v>
      </c>
      <c r="W261" s="369" t="s">
        <v>1981</v>
      </c>
      <c r="X261" s="369" t="s">
        <v>1982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1672</v>
      </c>
      <c r="AD261" s="369" t="s">
        <v>1673</v>
      </c>
      <c r="AE261" s="369" t="s">
        <v>1678</v>
      </c>
      <c r="AF261" s="369" t="s">
        <v>1810</v>
      </c>
      <c r="AG261" s="369" t="s">
        <v>1811</v>
      </c>
      <c r="AH261" s="369">
        <v>10250</v>
      </c>
      <c r="AI261" s="369">
        <v>1088</v>
      </c>
      <c r="AJ261" s="369">
        <v>11338</v>
      </c>
      <c r="AK261" s="370">
        <v>11337.72</v>
      </c>
      <c r="AL261" s="370">
        <v>11337.72</v>
      </c>
      <c r="AM261" s="370">
        <v>0</v>
      </c>
      <c r="AN261" s="370">
        <v>1732.72</v>
      </c>
      <c r="AO261" s="370">
        <v>1130</v>
      </c>
      <c r="AP261" s="370">
        <v>1130</v>
      </c>
      <c r="AQ261" s="370">
        <v>1130</v>
      </c>
      <c r="AR261" s="370">
        <v>1130</v>
      </c>
      <c r="AS261" s="370">
        <v>565</v>
      </c>
      <c r="AT261" s="370">
        <v>1130</v>
      </c>
      <c r="AU261" s="370">
        <v>1130</v>
      </c>
      <c r="AV261" s="370">
        <v>1130</v>
      </c>
      <c r="AW261" s="370">
        <v>0</v>
      </c>
      <c r="AX261" s="370">
        <v>0</v>
      </c>
      <c r="AY261" s="370">
        <v>0</v>
      </c>
      <c r="AZ261" s="370">
        <v>1732.72</v>
      </c>
      <c r="BA261" s="370">
        <v>1130</v>
      </c>
      <c r="BB261" s="370">
        <v>1130</v>
      </c>
      <c r="BC261" s="370">
        <v>1130</v>
      </c>
      <c r="BD261" s="370">
        <v>1130</v>
      </c>
      <c r="BE261" s="370">
        <v>565</v>
      </c>
      <c r="BF261" s="370">
        <v>1130</v>
      </c>
      <c r="BG261" s="370">
        <v>1130</v>
      </c>
      <c r="BH261" s="370">
        <v>1130</v>
      </c>
      <c r="BI261" s="370">
        <v>0</v>
      </c>
      <c r="BJ261" s="370">
        <v>0</v>
      </c>
      <c r="BK261" s="370">
        <v>0</v>
      </c>
      <c r="BL261" s="370">
        <v>1732.72</v>
      </c>
      <c r="BM261" s="370">
        <v>1130</v>
      </c>
      <c r="BN261" s="370">
        <v>1130</v>
      </c>
      <c r="BO261" s="370">
        <v>1130</v>
      </c>
      <c r="BP261" s="370">
        <v>1130</v>
      </c>
      <c r="BQ261" s="370">
        <v>565</v>
      </c>
      <c r="BR261" s="370">
        <v>1130</v>
      </c>
      <c r="BS261" s="370">
        <v>1130</v>
      </c>
      <c r="BT261" s="370">
        <v>1130</v>
      </c>
      <c r="BU261" s="370">
        <v>0</v>
      </c>
      <c r="BV261" s="370">
        <v>0</v>
      </c>
      <c r="BW261" s="370">
        <v>0</v>
      </c>
      <c r="BX261" s="370">
        <v>1732.72</v>
      </c>
      <c r="BY261" s="370">
        <v>1130</v>
      </c>
      <c r="BZ261" s="370">
        <v>1130</v>
      </c>
      <c r="CA261" s="370">
        <v>1130</v>
      </c>
      <c r="CB261" s="370">
        <v>1130</v>
      </c>
      <c r="CC261" s="370">
        <v>565</v>
      </c>
      <c r="CD261" s="370">
        <v>1130</v>
      </c>
      <c r="CE261" s="370">
        <v>1130</v>
      </c>
      <c r="CF261" s="370">
        <v>1130</v>
      </c>
      <c r="CG261" s="370">
        <v>0</v>
      </c>
      <c r="CH261" s="370">
        <v>0</v>
      </c>
      <c r="CI261" s="48" t="s">
        <v>1987</v>
      </c>
      <c r="CJ261" s="48" t="s">
        <v>1991</v>
      </c>
      <c r="CK261" s="48" t="s">
        <v>1987</v>
      </c>
      <c r="CL261" s="48" t="s">
        <v>1989</v>
      </c>
      <c r="CM261" s="48" t="s">
        <v>2011</v>
      </c>
      <c r="CN261" s="48" t="s">
        <v>1990</v>
      </c>
      <c r="CO261" s="48" t="str">
        <f t="shared" si="61"/>
        <v>2.3.2.7.5.1</v>
      </c>
      <c r="CP261" s="48" t="str">
        <f>+VLOOKUP(Tabla1[[#This Row],[ESPECÍFICA]],CLASIFICADOR_,2,0)</f>
        <v>2.3.2.7.5.1 - ESTIPENDIO POR SECIGRA</v>
      </c>
      <c r="CQ261" s="48" t="str">
        <f>+VLOOKUP(Tabla1[[#This Row],[ESPECÍFICA]],CLASIFICADOR_,3,0)</f>
        <v>2.3.2.7 - SERVICIOS PROFESIONALES Y TECNICOS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2.3.BIENES Y SERVICIOS</v>
      </c>
      <c r="CX261" s="48" t="str">
        <f t="shared" si="42"/>
        <v>0012-OAJ</v>
      </c>
      <c r="CY261" s="113" t="str">
        <f t="shared" si="43"/>
        <v>0012-OAJ</v>
      </c>
      <c r="CZ261" s="20" t="str">
        <f t="shared" si="44"/>
        <v>0012-OAJ</v>
      </c>
      <c r="DA261" s="113" t="str">
        <f>+CONCATENATE(Tabla1[[#This Row],[CC COMPLETO]],Tabla1[[#This Row],[ESPECÍFICA]])</f>
        <v>0012-OAJ2.3.2.7.5.1</v>
      </c>
      <c r="DB261" s="49">
        <f t="shared" si="45"/>
        <v>10207.720000000001</v>
      </c>
      <c r="DC261" s="49">
        <f t="shared" si="46"/>
        <v>10207.720000000001</v>
      </c>
      <c r="DD261" s="49">
        <f t="shared" si="47"/>
        <v>10207.720000000001</v>
      </c>
      <c r="DE261" s="49">
        <f t="shared" si="48"/>
        <v>0.28000000000065484</v>
      </c>
      <c r="DF261" s="49">
        <f t="shared" si="49"/>
        <v>0</v>
      </c>
      <c r="DG261" s="49">
        <f t="shared" si="50"/>
        <v>1129.9999999999982</v>
      </c>
      <c r="DH261" s="49">
        <f t="shared" si="51"/>
        <v>1130.2799999999988</v>
      </c>
      <c r="DI261" s="50">
        <f t="shared" si="52"/>
        <v>0.99587512195121963</v>
      </c>
      <c r="DJ261" s="78">
        <f>+SUM(Tabla1[[#This Row],[EJECUTADO 01]:[EJECUTADO 06]])</f>
        <v>6252.72</v>
      </c>
      <c r="DK261" s="78">
        <f>+Tabla1[[#This Row],[mto_devenga_01]]</f>
        <v>0</v>
      </c>
      <c r="DL261" s="78">
        <f>+Tabla1[[#This Row],[mto_devenga_02]]</f>
        <v>1732.72</v>
      </c>
      <c r="DM261" s="78">
        <f>+Tabla1[[#This Row],[mto_devenga_03]]</f>
        <v>1130</v>
      </c>
      <c r="DN261" s="78">
        <f>+Tabla1[[#This Row],[mto_devenga_04]]</f>
        <v>1130</v>
      </c>
      <c r="DO261" s="78">
        <f>+Tabla1[[#This Row],[mto_devenga_05]]</f>
        <v>1130</v>
      </c>
      <c r="DP261" s="76">
        <f>+Tabla1[[#This Row],[mto_devenga_06]]</f>
        <v>1130</v>
      </c>
      <c r="DQ261" s="76">
        <f>+Tabla1[[#This Row],[mto_devenga_07]]</f>
        <v>565</v>
      </c>
      <c r="DR261" s="76">
        <f>+Tabla1[[#This Row],[mto_devenga_08]]</f>
        <v>1130</v>
      </c>
      <c r="DS261" s="76">
        <f>+Tabla1[[#This Row],[mto_devenga_09]]</f>
        <v>1130</v>
      </c>
      <c r="DT261" s="76">
        <f>IFERROR(VLOOKUP(Tabla1[[#This Row],[COD SE]],PF_OCTUBRE,14,0),"0")</f>
        <v>1130</v>
      </c>
      <c r="DU261" s="76">
        <f>IFERROR(VLOOKUP(Tabla1[[#This Row],[COD SE]],PF_OCTUBRE,15,0),"0")</f>
        <v>1130</v>
      </c>
      <c r="DV261" s="76">
        <f>IFERROR(VLOOKUP(Tabla1[[#This Row],[COD SE]],PF_OCTUBRE,16,0),"0")</f>
        <v>0</v>
      </c>
      <c r="DW261" s="76">
        <f>+SUM(Tabla1[[#This Row],[EJECUTADO 01]:[PF DICIEMBRE
]])</f>
        <v>11337.720000000001</v>
      </c>
      <c r="DX261" s="76">
        <f>IFERROR(VLOOKUP(Tabla1[[#This Row],[COD SE]],PF_OCTUBRE,18,0),"0")</f>
        <v>0</v>
      </c>
      <c r="DY261" s="76">
        <f>IFERROR(VLOOKUP(Tabla1[[#This Row],[COD SE]],PF_OCTUBRE,19,0),"0")</f>
        <v>0.28000000000000003</v>
      </c>
      <c r="DZ261" s="76">
        <f>IFERROR(VLOOKUP(Tabla1[[#This Row],[COD SE]],PF_OCTUBRE,20,0),"0")</f>
        <v>0.28000000000000003</v>
      </c>
      <c r="EA261" s="76">
        <f>+Tabla1[[#This Row],[TOTAL EJEC REAL]]+Tabla1[[#This Row],[SALDO FINAL]]</f>
        <v>11338.000000000002</v>
      </c>
      <c r="EB261" s="76">
        <f>IFERROR(VLOOKUP(Tabla1[[#This Row],[COD SE]],PF_OCTUBRE,22,0),"0")</f>
        <v>0.28000000000000003</v>
      </c>
      <c r="EC261" s="76">
        <f>+IFERROR(VLOOKUP(Tabla1[[#This Row],[COD SE]],SALDO_ESC_2,7,0),0)</f>
        <v>0</v>
      </c>
      <c r="ED261" s="76">
        <f>+IFERROR(VLOOKUP(Tabla1[[#This Row],[COD SE]],SALDO_ESC_3,7,0),0)</f>
        <v>0</v>
      </c>
      <c r="EE261" s="76">
        <f>+Tabla1[[#This Row],[mto_pim]]-Tabla1[[#This Row],[TRANSF ESC2 ]]</f>
        <v>11338</v>
      </c>
      <c r="EF261" s="76">
        <f>+Tabla1[[#This Row],[mto_pim]]-Tabla1[[#This Row],[TRANFS ESC 3 ]]</f>
        <v>11338</v>
      </c>
      <c r="EG261" s="76">
        <f>+IFERROR(VLOOKUP(Tabla1[[#This Row],[COD SE]],HISTORICO,4,0),0)</f>
        <v>1130</v>
      </c>
      <c r="EH261" s="76">
        <f>+IFERROR(VLOOKUP(Tabla1[[#This Row],[COD SE]],HISTORICO,5,0),0)</f>
        <v>2260</v>
      </c>
      <c r="EI261" s="76">
        <f>+IFERROR(VLOOKUP(Tabla1[[#This Row],[COD SE]],HISTORICO,6,0),0)</f>
        <v>1130</v>
      </c>
      <c r="EJ261" s="76">
        <f>+IFERROR(VLOOKUP(Tabla1[[#This Row],[COD SE]],HISTORICO,7,0),0)</f>
        <v>1130</v>
      </c>
      <c r="EK261" s="76">
        <f>+IFERROR(VLOOKUP(Tabla1[[#This Row],[COD SE]],HISTORICO,8,0),0)</f>
        <v>1130</v>
      </c>
      <c r="EL261" s="76">
        <f>+IFERROR(VLOOKUP(Tabla1[[#This Row],[COD SE]],HISTORICO,9,0),0)</f>
        <v>1130</v>
      </c>
      <c r="EM261" s="76">
        <f>+IFERROR(VLOOKUP(Tabla1[[#This Row],[COD SE]],HISTORICO,10,0),0)</f>
        <v>1130</v>
      </c>
      <c r="EN261" s="76">
        <f>+IFERROR(VLOOKUP(Tabla1[[#This Row],[COD SE]],HISTORICO,11,0),0)</f>
        <v>1130</v>
      </c>
      <c r="EO261" s="76">
        <f>+IFERROR(VLOOKUP(Tabla1[[#This Row],[COD SE]],HISTORICO,12,0),0)</f>
        <v>1130</v>
      </c>
      <c r="EP261" s="58">
        <f>+SUM(Tabla1[[#This Row],[EJECUTADO 01]:[EJECUTADO 03]])</f>
        <v>2862.7200000000003</v>
      </c>
      <c r="EQ261" s="58">
        <f>+SUM(Tabla1[[#This Row],[EJECUTADO 04]:[EJECUTADO 06]])</f>
        <v>3390</v>
      </c>
      <c r="ER261" s="58">
        <f>+SUM(Tabla1[[#This Row],[EJECUTADO 07]:[EJECUTADO 09]])</f>
        <v>2825</v>
      </c>
      <c r="ES261" s="58">
        <f>+SUM(Tabla1[[#This Row],[PF OCTUBRE]:[PF DICIEMBRE
]])</f>
        <v>2260</v>
      </c>
      <c r="ET261" s="58">
        <f>+SUM(Tabla1[[#This Row],[EJECUTADO 01]:[EJECUTADO 09]])</f>
        <v>9077.7200000000012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1662</v>
      </c>
      <c r="AH262" s="369">
        <v>339600</v>
      </c>
      <c r="AI262" s="369">
        <v>-339600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1990</v>
      </c>
      <c r="CO262" s="10" t="str">
        <f>+CONCATENATE(CI262,".",CJ262,".",CK262,".",CL262,".",CM262,".",CN262)</f>
        <v>2.1.1.13.1.1</v>
      </c>
      <c r="CP262" s="10" t="str">
        <f>+VLOOKUP(Tabla1[[#This Row],[ESPECÍFICA]],CLASIFICADOR_,2,0)</f>
        <v>2.1.1.13.1.1 - CONTRATO ADMINISTRATIVO DE SERVICIOS - INDETERMINADO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62">+VLOOKUP(U262,CC_COMPLETO,2,0)</f>
        <v>0013-RRHH</v>
      </c>
      <c r="CY262" s="5" t="str">
        <f t="shared" ref="CY262:CY315" si="63">+VLOOKUP(U262,CC_COMPLETO,3,0)</f>
        <v>0013-RRHH</v>
      </c>
      <c r="CZ262">
        <f t="shared" ref="CZ262:CZ267" si="64">+VLOOKUP(U262,CC_COMPLETO,4,0)</f>
        <v>0</v>
      </c>
      <c r="DA262" s="113" t="str">
        <f>+CONCATENATE(Tabla1[[#This Row],[CC COMPLETO]],Tabla1[[#This Row],[ESPECÍFICA]])</f>
        <v>0013-RRHH2.1.1.13.1.1</v>
      </c>
      <c r="DB262" s="11">
        <f t="shared" ref="DB262:DB267" si="65">SUM(AM262:AX262)</f>
        <v>0</v>
      </c>
      <c r="DC262" s="11">
        <f t="shared" ref="DC262:DC267" si="66">+SUM(AY262:BJ262)</f>
        <v>0</v>
      </c>
      <c r="DD262" s="11">
        <f t="shared" ref="DD262:DD267" si="67">+SUM(BK262:BV262)</f>
        <v>0</v>
      </c>
      <c r="DE262" s="11">
        <f t="shared" ref="DE262:DE267" si="68">+AJ262-AK262</f>
        <v>0</v>
      </c>
      <c r="DF262" s="11">
        <f t="shared" ref="DF262:DF267" si="69">+AK262-AL262</f>
        <v>0</v>
      </c>
      <c r="DG262" s="11">
        <f t="shared" ref="DG262:DG267" si="70">+AL262-DC262</f>
        <v>0</v>
      </c>
      <c r="DH262" s="11">
        <f t="shared" ref="DH262:DH267" si="71">+AJ262-DC262</f>
        <v>0</v>
      </c>
      <c r="DI262" s="12">
        <f t="shared" ref="DI262:DI267" si="72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36482.25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2058</v>
      </c>
      <c r="K263" s="369" t="s">
        <v>1975</v>
      </c>
      <c r="L263" s="369" t="s">
        <v>2034</v>
      </c>
      <c r="M263" s="369" t="s">
        <v>2059</v>
      </c>
      <c r="N263" s="369">
        <v>1</v>
      </c>
      <c r="O263" s="369" t="s">
        <v>2060</v>
      </c>
      <c r="P263" s="369" t="s">
        <v>2061</v>
      </c>
      <c r="Q263" s="369">
        <v>1</v>
      </c>
      <c r="R263" s="369">
        <v>0</v>
      </c>
      <c r="S263" s="369">
        <v>0</v>
      </c>
      <c r="T263" s="369">
        <v>0</v>
      </c>
      <c r="U263" s="369">
        <v>13</v>
      </c>
      <c r="V263" s="369" t="s">
        <v>1980</v>
      </c>
      <c r="W263" s="369" t="s">
        <v>1981</v>
      </c>
      <c r="X263" s="369" t="s">
        <v>1981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1657</v>
      </c>
      <c r="AE263" s="369" t="s">
        <v>1660</v>
      </c>
      <c r="AF263" s="369" t="s">
        <v>1661</v>
      </c>
      <c r="AG263" s="369" t="s">
        <v>1663</v>
      </c>
      <c r="AH263" s="369">
        <v>84000</v>
      </c>
      <c r="AI263" s="369">
        <v>-84000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1990</v>
      </c>
      <c r="CL263" s="48" t="s">
        <v>2010</v>
      </c>
      <c r="CM263" s="48" t="s">
        <v>1990</v>
      </c>
      <c r="CN263" s="48" t="s">
        <v>1987</v>
      </c>
      <c r="CO263" s="10" t="str">
        <f t="shared" ref="CO263:CO267" si="73">+CONCATENATE(CI263,".",CJ263,".",CK263,".",CL263,".",CM263,".",CN263)</f>
        <v>2.1.1.13.1.2</v>
      </c>
      <c r="CP263" s="10" t="str">
        <f>+VLOOKUP(Tabla1[[#This Row],[ESPECÍFICA]],CLASIFICADOR_,2,0)</f>
        <v>2.1.1.13.1.2 - CONTRATO ADMINISTRATIVO DE SERVICIOS - TRANSITORIO</v>
      </c>
      <c r="CQ263" s="10" t="str">
        <f>+VLOOKUP(Tabla1[[#This Row],[ESPECÍFICA]],CLASIFICADOR_,3,0)</f>
        <v>01.CAS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62"/>
        <v>0013-RRHH</v>
      </c>
      <c r="CY263" s="5" t="str">
        <f t="shared" si="63"/>
        <v>0013-RRHH</v>
      </c>
      <c r="CZ263">
        <f t="shared" si="64"/>
        <v>0</v>
      </c>
      <c r="DA263" s="113" t="str">
        <f>+CONCATENATE(Tabla1[[#This Row],[CC COMPLETO]],Tabla1[[#This Row],[ESPECÍFICA]])</f>
        <v>0013-RRHH2.1.1.13.1.2</v>
      </c>
      <c r="DB263" s="11">
        <f t="shared" si="65"/>
        <v>0</v>
      </c>
      <c r="DC263" s="11">
        <f t="shared" si="66"/>
        <v>0</v>
      </c>
      <c r="DD263" s="11">
        <f t="shared" si="67"/>
        <v>0</v>
      </c>
      <c r="DE263" s="11">
        <f t="shared" si="68"/>
        <v>0</v>
      </c>
      <c r="DF263" s="11">
        <f t="shared" si="69"/>
        <v>0</v>
      </c>
      <c r="DG263" s="11">
        <f t="shared" si="70"/>
        <v>0</v>
      </c>
      <c r="DH263" s="11">
        <f t="shared" si="71"/>
        <v>0</v>
      </c>
      <c r="DI263" s="12">
        <f t="shared" si="72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>
        <f>IFERROR(VLOOKUP(Tabla1[[#This Row],[COD SE]],PF_OCTUBRE,14,0),"0")</f>
        <v>0</v>
      </c>
      <c r="DU263" s="76">
        <f>IFERROR(VLOOKUP(Tabla1[[#This Row],[COD SE]],PF_OCTUBRE,15,0),"0")</f>
        <v>0</v>
      </c>
      <c r="DV263" s="76">
        <f>IFERROR(VLOOKUP(Tabla1[[#This Row],[COD SE]],PF_OCTUBRE,16,0),"0")</f>
        <v>0</v>
      </c>
      <c r="DW263" s="76">
        <f>+SUM(Tabla1[[#This Row],[EJECUTADO 01]:[PF DICIEMBRE
]])</f>
        <v>0</v>
      </c>
      <c r="DX263" s="76">
        <f>IFERROR(VLOOKUP(Tabla1[[#This Row],[COD SE]],PF_OCTUBRE,18,0),"0")</f>
        <v>0</v>
      </c>
      <c r="DY263" s="76">
        <f>IFERROR(VLOOKUP(Tabla1[[#This Row],[COD SE]],PF_OCTUBRE,19,0),"0")</f>
        <v>0</v>
      </c>
      <c r="DZ263" s="76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46800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1656</v>
      </c>
      <c r="AD264" s="369" t="s">
        <v>2006</v>
      </c>
      <c r="AE264" s="369" t="s">
        <v>2007</v>
      </c>
      <c r="AF264" s="369" t="s">
        <v>2007</v>
      </c>
      <c r="AG264" s="369" t="s">
        <v>2008</v>
      </c>
      <c r="AH264" s="369">
        <v>0</v>
      </c>
      <c r="AI264" s="369">
        <v>0</v>
      </c>
      <c r="AJ264" s="369">
        <v>0</v>
      </c>
      <c r="AK264" s="370">
        <v>0</v>
      </c>
      <c r="AL264" s="370">
        <v>0</v>
      </c>
      <c r="AM264" s="370">
        <v>0</v>
      </c>
      <c r="AN264" s="370">
        <v>0</v>
      </c>
      <c r="AO264" s="370">
        <v>0</v>
      </c>
      <c r="AP264" s="370">
        <v>0</v>
      </c>
      <c r="AQ264" s="370">
        <v>0</v>
      </c>
      <c r="AR264" s="370">
        <v>0</v>
      </c>
      <c r="AS264" s="370">
        <v>0</v>
      </c>
      <c r="AT264" s="370">
        <v>0</v>
      </c>
      <c r="AU264" s="370">
        <v>0</v>
      </c>
      <c r="AV264" s="370">
        <v>0</v>
      </c>
      <c r="AW264" s="370">
        <v>0</v>
      </c>
      <c r="AX264" s="370">
        <v>0</v>
      </c>
      <c r="AY264" s="370">
        <v>0</v>
      </c>
      <c r="AZ264" s="370">
        <v>0</v>
      </c>
      <c r="BA264" s="370">
        <v>0</v>
      </c>
      <c r="BB264" s="370">
        <v>0</v>
      </c>
      <c r="BC264" s="370">
        <v>0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0</v>
      </c>
      <c r="BL264" s="370">
        <v>0</v>
      </c>
      <c r="BM264" s="370">
        <v>0</v>
      </c>
      <c r="BN264" s="370">
        <v>0</v>
      </c>
      <c r="BO264" s="370">
        <v>0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0</v>
      </c>
      <c r="BX264" s="370">
        <v>0</v>
      </c>
      <c r="BY264" s="370">
        <v>0</v>
      </c>
      <c r="BZ264" s="370">
        <v>0</v>
      </c>
      <c r="CA264" s="370">
        <v>0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1990</v>
      </c>
      <c r="CK264" s="48" t="s">
        <v>1993</v>
      </c>
      <c r="CL264" s="48" t="s">
        <v>1990</v>
      </c>
      <c r="CM264" s="48" t="s">
        <v>1990</v>
      </c>
      <c r="CN264" s="48" t="s">
        <v>1988</v>
      </c>
      <c r="CO264" s="10" t="str">
        <f t="shared" si="73"/>
        <v>2.1.4.1.1.6</v>
      </c>
      <c r="CP264" s="10" t="str">
        <f>+VLOOKUP(Tabla1[[#This Row],[ESPECÍFICA]],CLASIFICADOR_,2,0)</f>
        <v>2.1.4.1.1.6 - COMPENSACION VACACIONAL (VACACIONES TRUNCAS) AL PERSONAL ACTIVO</v>
      </c>
      <c r="CQ264" s="10" t="str">
        <f>+VLOOKUP(Tabla1[[#This Row],[ESPECÍFICA]],CLASIFICADOR_,3,0)</f>
        <v>02.SERVIR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2.1.PERSONAL Y OBLIGACIONES SOCIALES</v>
      </c>
      <c r="CX264" s="10" t="str">
        <f t="shared" si="62"/>
        <v>0014-OCI</v>
      </c>
      <c r="CY264" s="5" t="str">
        <f t="shared" si="63"/>
        <v>0014-OCI</v>
      </c>
      <c r="CZ264" t="str">
        <f t="shared" si="64"/>
        <v>0013-OCI</v>
      </c>
      <c r="DA264" s="113" t="str">
        <f>+CONCATENATE(Tabla1[[#This Row],[CC COMPLETO]],Tabla1[[#This Row],[ESPECÍFICA]])</f>
        <v>0014-OCI2.1.4.1.1.6</v>
      </c>
      <c r="DB264" s="11">
        <f t="shared" si="65"/>
        <v>0</v>
      </c>
      <c r="DC264" s="11">
        <f t="shared" si="66"/>
        <v>0</v>
      </c>
      <c r="DD264" s="11">
        <f t="shared" si="67"/>
        <v>0</v>
      </c>
      <c r="DE264" s="11">
        <f t="shared" si="68"/>
        <v>0</v>
      </c>
      <c r="DF264" s="11">
        <f t="shared" si="69"/>
        <v>0</v>
      </c>
      <c r="DG264" s="11">
        <f t="shared" si="70"/>
        <v>0</v>
      </c>
      <c r="DH264" s="11">
        <f t="shared" si="71"/>
        <v>0</v>
      </c>
      <c r="DI264" s="12">
        <f t="shared" si="72"/>
        <v>0</v>
      </c>
      <c r="DJ264" s="77">
        <f>+SUM(Tabla1[[#This Row],[EJECUTADO 01]:[EJECUTADO 06]])</f>
        <v>0</v>
      </c>
      <c r="DK264" s="78">
        <f>+Tabla1[[#This Row],[mto_devenga_01]]</f>
        <v>0</v>
      </c>
      <c r="DL264" s="78">
        <f>+Tabla1[[#This Row],[mto_devenga_02]]</f>
        <v>0</v>
      </c>
      <c r="DM264" s="78">
        <f>+Tabla1[[#This Row],[mto_devenga_03]]</f>
        <v>0</v>
      </c>
      <c r="DN264" s="78">
        <f>+Tabla1[[#This Row],[mto_devenga_04]]</f>
        <v>0</v>
      </c>
      <c r="DO264" s="78">
        <f>+Tabla1[[#This Row],[mto_devenga_05]]</f>
        <v>0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 t="str">
        <f>IFERROR(VLOOKUP(Tabla1[[#This Row],[COD SE]],PF_OCTUBRE,14,0),"0")</f>
        <v>0</v>
      </c>
      <c r="DU264" s="76" t="str">
        <f>IFERROR(VLOOKUP(Tabla1[[#This Row],[COD SE]],PF_OCTUBRE,15,0),"0")</f>
        <v>0</v>
      </c>
      <c r="DV264" s="76" t="str">
        <f>IFERROR(VLOOKUP(Tabla1[[#This Row],[COD SE]],PF_OCTUBRE,16,0),"0")</f>
        <v>0</v>
      </c>
      <c r="DW264" s="76">
        <f>+SUM(Tabla1[[#This Row],[EJECUTADO 01]:[PF DICIEMBRE
]])</f>
        <v>0</v>
      </c>
      <c r="DX264" s="76" t="str">
        <f>IFERROR(VLOOKUP(Tabla1[[#This Row],[COD SE]],PF_OCTUBRE,18,0),"0")</f>
        <v>0</v>
      </c>
      <c r="DY264" s="76" t="str">
        <f>IFERROR(VLOOKUP(Tabla1[[#This Row],[COD SE]],PF_OCTUBRE,19,0),"0")</f>
        <v>0</v>
      </c>
      <c r="DZ264" s="76" t="str">
        <f>IFERROR(VLOOKUP(Tabla1[[#This Row],[COD SE]],PF_OCTUBRE,20,0),"0")</f>
        <v>0</v>
      </c>
      <c r="EA264" s="76">
        <f>+Tabla1[[#This Row],[TOTAL EJEC REAL]]+Tabla1[[#This Row],[SALDO FINAL]]</f>
        <v>0</v>
      </c>
      <c r="EB264" s="76" t="str">
        <f>IFERROR(VLOOKUP(Tabla1[[#This Row],[COD SE]],PF_OCTUBRE,22,0),"0")</f>
        <v>0</v>
      </c>
      <c r="EC264" s="76">
        <f>+IFERROR(VLOOKUP(Tabla1[[#This Row],[COD SE]],SALDO_ESC_2,7,0),0)</f>
        <v>0</v>
      </c>
      <c r="ED264" s="76">
        <f>+IFERROR(VLOOKUP(Tabla1[[#This Row],[COD SE]],SALDO_ESC_3,7,0),0)</f>
        <v>0</v>
      </c>
      <c r="EE264" s="76">
        <f>+Tabla1[[#This Row],[mto_pim]]-Tabla1[[#This Row],[TRANSF ESC2 ]]</f>
        <v>0</v>
      </c>
      <c r="EF264" s="76">
        <f>+Tabla1[[#This Row],[mto_pim]]-Tabla1[[#This Row],[TRANFS ESC 3 ]]</f>
        <v>0</v>
      </c>
      <c r="EG264" s="76">
        <f>+IFERROR(VLOOKUP(Tabla1[[#This Row],[COD SE]],HISTORICO,4,0),0)</f>
        <v>0</v>
      </c>
      <c r="EH264" s="76">
        <f>+IFERROR(VLOOKUP(Tabla1[[#This Row],[COD SE]],HISTORICO,5,0),0)</f>
        <v>0</v>
      </c>
      <c r="EI264" s="76">
        <f>+IFERROR(VLOOKUP(Tabla1[[#This Row],[COD SE]],HISTORICO,6,0),0)</f>
        <v>0</v>
      </c>
      <c r="EJ264" s="76">
        <f>+IFERROR(VLOOKUP(Tabla1[[#This Row],[COD SE]],HISTORICO,7,0),0)</f>
        <v>0</v>
      </c>
      <c r="EK264" s="76">
        <f>+IFERROR(VLOOKUP(Tabla1[[#This Row],[COD SE]],HISTORICO,8,0),0)</f>
        <v>0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0</v>
      </c>
      <c r="EQ264" s="58">
        <f>+SUM(Tabla1[[#This Row],[EJECUTADO 04]:[EJECUTADO 06]])</f>
        <v>0</v>
      </c>
      <c r="ER264" s="58">
        <f>+SUM(Tabla1[[#This Row],[EJECUTADO 07]:[EJECUTADO 09]])</f>
        <v>0</v>
      </c>
      <c r="ES264" s="58">
        <f>+SUM(Tabla1[[#This Row],[PF OCTUBRE]:[PF DICIEMBRE
]])</f>
        <v>0</v>
      </c>
      <c r="ET264" s="58">
        <f>+SUM(Tabla1[[#This Row],[EJECUTADO 01]:[EJECUTADO 09]])</f>
        <v>0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1672</v>
      </c>
      <c r="AD265" s="369" t="s">
        <v>1673</v>
      </c>
      <c r="AE265" s="369" t="s">
        <v>1681</v>
      </c>
      <c r="AF265" s="369" t="s">
        <v>1682</v>
      </c>
      <c r="AG265" s="369" t="s">
        <v>1682</v>
      </c>
      <c r="AH265" s="369">
        <v>84000</v>
      </c>
      <c r="AI265" s="369">
        <v>-60500</v>
      </c>
      <c r="AJ265" s="369">
        <v>23500</v>
      </c>
      <c r="AK265" s="370">
        <v>23500</v>
      </c>
      <c r="AL265" s="370">
        <v>23500</v>
      </c>
      <c r="AM265" s="370">
        <v>0</v>
      </c>
      <c r="AN265" s="370">
        <v>0</v>
      </c>
      <c r="AO265" s="370">
        <v>0</v>
      </c>
      <c r="AP265" s="370">
        <v>0</v>
      </c>
      <c r="AQ265" s="370">
        <v>0</v>
      </c>
      <c r="AR265" s="370">
        <v>0</v>
      </c>
      <c r="AS265" s="370">
        <v>0</v>
      </c>
      <c r="AT265" s="370">
        <v>0</v>
      </c>
      <c r="AU265" s="370">
        <v>10500</v>
      </c>
      <c r="AV265" s="370">
        <v>13000</v>
      </c>
      <c r="AW265" s="370">
        <v>0</v>
      </c>
      <c r="AX265" s="370">
        <v>0</v>
      </c>
      <c r="AY265" s="370">
        <v>0</v>
      </c>
      <c r="AZ265" s="370">
        <v>0</v>
      </c>
      <c r="BA265" s="370">
        <v>0</v>
      </c>
      <c r="BB265" s="370">
        <v>0</v>
      </c>
      <c r="BC265" s="370">
        <v>0</v>
      </c>
      <c r="BD265" s="370">
        <v>0</v>
      </c>
      <c r="BE265" s="370">
        <v>0</v>
      </c>
      <c r="BF265" s="370">
        <v>0</v>
      </c>
      <c r="BG265" s="370">
        <v>0</v>
      </c>
      <c r="BH265" s="370">
        <v>3500</v>
      </c>
      <c r="BI265" s="370">
        <v>0</v>
      </c>
      <c r="BJ265" s="370">
        <v>0</v>
      </c>
      <c r="BK265" s="370">
        <v>0</v>
      </c>
      <c r="BL265" s="370">
        <v>0</v>
      </c>
      <c r="BM265" s="370">
        <v>0</v>
      </c>
      <c r="BN265" s="370">
        <v>0</v>
      </c>
      <c r="BO265" s="370">
        <v>0</v>
      </c>
      <c r="BP265" s="370">
        <v>0</v>
      </c>
      <c r="BQ265" s="370">
        <v>0</v>
      </c>
      <c r="BR265" s="370">
        <v>0</v>
      </c>
      <c r="BS265" s="370">
        <v>0</v>
      </c>
      <c r="BT265" s="370">
        <v>3500</v>
      </c>
      <c r="BU265" s="370">
        <v>0</v>
      </c>
      <c r="BV265" s="370">
        <v>0</v>
      </c>
      <c r="BW265" s="370">
        <v>0</v>
      </c>
      <c r="BX265" s="370">
        <v>0</v>
      </c>
      <c r="BY265" s="370">
        <v>0</v>
      </c>
      <c r="BZ265" s="370">
        <v>0</v>
      </c>
      <c r="CA265" s="370">
        <v>0</v>
      </c>
      <c r="CB265" s="370">
        <v>0</v>
      </c>
      <c r="CC265" s="370">
        <v>0</v>
      </c>
      <c r="CD265" s="370">
        <v>0</v>
      </c>
      <c r="CE265" s="370">
        <v>3500</v>
      </c>
      <c r="CF265" s="370">
        <v>0</v>
      </c>
      <c r="CG265" s="370">
        <v>0</v>
      </c>
      <c r="CH265" s="370">
        <v>0</v>
      </c>
      <c r="CI265" s="48" t="s">
        <v>1987</v>
      </c>
      <c r="CJ265" s="48" t="s">
        <v>1991</v>
      </c>
      <c r="CK265" s="48" t="s">
        <v>1987</v>
      </c>
      <c r="CL265" s="48" t="s">
        <v>2005</v>
      </c>
      <c r="CM265" s="48" t="s">
        <v>1990</v>
      </c>
      <c r="CN265" s="48" t="s">
        <v>1990</v>
      </c>
      <c r="CO265" s="10" t="str">
        <f t="shared" si="73"/>
        <v>2.3.2.9.1.1</v>
      </c>
      <c r="CP265" s="10" t="str">
        <f>+VLOOKUP(Tabla1[[#This Row],[ESPECÍFICA]],CLASIFICADOR_,2,0)</f>
        <v>2.3.2.9.1.1 - LOCACIÓN DE SERVICIOS REALIZADOS POR PERSONA NATURAL</v>
      </c>
      <c r="CQ265" s="10" t="str">
        <f>+VLOOKUP(Tabla1[[#This Row],[ESPECÍFICA]],CLASIFICADOR_,3,0)</f>
        <v>2.3.2.9 - LOCACIÓN DE SERVICIOS REALIZADOS POR PERSONA NATURAL</v>
      </c>
      <c r="CR265" s="10" t="str">
        <f>+VLOOKUP(Tabla1[[#This Row],[ESPECÍFICA]],CLASIFICADOR_,4,0)</f>
        <v xml:space="preserve"> </v>
      </c>
      <c r="CS265" s="10">
        <f>+VLOOKUP(Tabla1[[#This Row],[ESPECÍFICA]],CLASIFICADOR_,5,0)</f>
        <v>0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2.3.BIENES Y SERVICIOS</v>
      </c>
      <c r="CX265" s="10" t="str">
        <f t="shared" si="62"/>
        <v>0014-OCI</v>
      </c>
      <c r="CY265" s="5" t="str">
        <f t="shared" si="63"/>
        <v>0014-OCI</v>
      </c>
      <c r="CZ265" t="str">
        <f t="shared" si="64"/>
        <v>0013-OCI</v>
      </c>
      <c r="DA265" s="113" t="str">
        <f>+CONCATENATE(Tabla1[[#This Row],[CC COMPLETO]],Tabla1[[#This Row],[ESPECÍFICA]])</f>
        <v>0014-OCI2.3.2.9.1.1</v>
      </c>
      <c r="DB265" s="11">
        <f t="shared" si="65"/>
        <v>23500</v>
      </c>
      <c r="DC265" s="11">
        <f t="shared" si="66"/>
        <v>3500</v>
      </c>
      <c r="DD265" s="11">
        <f t="shared" si="67"/>
        <v>3500</v>
      </c>
      <c r="DE265" s="11">
        <f t="shared" si="68"/>
        <v>0</v>
      </c>
      <c r="DF265" s="11">
        <f t="shared" si="69"/>
        <v>0</v>
      </c>
      <c r="DG265" s="11">
        <f t="shared" si="70"/>
        <v>20000</v>
      </c>
      <c r="DH265" s="11">
        <f t="shared" si="71"/>
        <v>20000</v>
      </c>
      <c r="DI265" s="12">
        <f t="shared" si="72"/>
        <v>4.1666666666666664E-2</v>
      </c>
      <c r="DJ265" s="77">
        <f>+SUM(Tabla1[[#This Row],[EJECUTADO 01]:[EJECUTADO 06]])</f>
        <v>0</v>
      </c>
      <c r="DK265" s="78">
        <f>+Tabla1[[#This Row],[mto_devenga_01]]</f>
        <v>0</v>
      </c>
      <c r="DL265" s="78">
        <f>+Tabla1[[#This Row],[mto_devenga_02]]</f>
        <v>0</v>
      </c>
      <c r="DM265" s="78">
        <f>+Tabla1[[#This Row],[mto_devenga_03]]</f>
        <v>0</v>
      </c>
      <c r="DN265" s="78">
        <f>+Tabla1[[#This Row],[mto_devenga_04]]</f>
        <v>0</v>
      </c>
      <c r="DO265" s="78">
        <f>+Tabla1[[#This Row],[mto_devenga_05]]</f>
        <v>0</v>
      </c>
      <c r="DP265" s="76">
        <f>+Tabla1[[#This Row],[mto_devenga_06]]</f>
        <v>0</v>
      </c>
      <c r="DQ265" s="76">
        <f>+Tabla1[[#This Row],[mto_devenga_07]]</f>
        <v>0</v>
      </c>
      <c r="DR265" s="76">
        <f>+Tabla1[[#This Row],[mto_devenga_08]]</f>
        <v>0</v>
      </c>
      <c r="DS265" s="76">
        <f>+Tabla1[[#This Row],[mto_devenga_09]]</f>
        <v>0</v>
      </c>
      <c r="DT265" s="76">
        <f>IFERROR(VLOOKUP(Tabla1[[#This Row],[COD SE]],PF_OCTUBRE,14,0),"0")</f>
        <v>3500</v>
      </c>
      <c r="DU265" s="76">
        <f>IFERROR(VLOOKUP(Tabla1[[#This Row],[COD SE]],PF_OCTUBRE,15,0),"0")</f>
        <v>18500</v>
      </c>
      <c r="DV265" s="76">
        <f>IFERROR(VLOOKUP(Tabla1[[#This Row],[COD SE]],PF_OCTUBRE,16,0),"0")</f>
        <v>15500</v>
      </c>
      <c r="DW265" s="76">
        <f>+SUM(Tabla1[[#This Row],[EJECUTADO 01]:[PF DICIEMBRE
]])</f>
        <v>37500</v>
      </c>
      <c r="DX265" s="76">
        <f>IFERROR(VLOOKUP(Tabla1[[#This Row],[COD SE]],PF_OCTUBRE,18,0),"0")</f>
        <v>0</v>
      </c>
      <c r="DY265" s="76">
        <f>IFERROR(VLOOKUP(Tabla1[[#This Row],[COD SE]],PF_OCTUBRE,19,0),"0")</f>
        <v>44630</v>
      </c>
      <c r="DZ265" s="76">
        <f>IFERROR(VLOOKUP(Tabla1[[#This Row],[COD SE]],PF_OCTUBRE,20,0),"0")</f>
        <v>44630</v>
      </c>
      <c r="EA265" s="76">
        <f>+Tabla1[[#This Row],[TOTAL EJEC REAL]]+Tabla1[[#This Row],[SALDO FINAL]]</f>
        <v>82130</v>
      </c>
      <c r="EB265" s="76">
        <f>IFERROR(VLOOKUP(Tabla1[[#This Row],[COD SE]],PF_OCTUBRE,22,0),"0")</f>
        <v>60130</v>
      </c>
      <c r="EC265" s="76">
        <f>+IFERROR(VLOOKUP(Tabla1[[#This Row],[COD SE]],SALDO_ESC_2,7,0),0)</f>
        <v>0</v>
      </c>
      <c r="ED265" s="76">
        <f>+IFERROR(VLOOKUP(Tabla1[[#This Row],[COD SE]],SALDO_ESC_3,7,0),0)</f>
        <v>0</v>
      </c>
      <c r="EE265" s="76">
        <f>+Tabla1[[#This Row],[mto_pim]]-Tabla1[[#This Row],[TRANSF ESC2 ]]</f>
        <v>23500</v>
      </c>
      <c r="EF265" s="76">
        <f>+Tabla1[[#This Row],[mto_pim]]-Tabla1[[#This Row],[TRANFS ESC 3 ]]</f>
        <v>23500</v>
      </c>
      <c r="EG265" s="76">
        <f>+IFERROR(VLOOKUP(Tabla1[[#This Row],[COD SE]],HISTORICO,4,0),0)</f>
        <v>0</v>
      </c>
      <c r="EH265" s="76">
        <f>+IFERROR(VLOOKUP(Tabla1[[#This Row],[COD SE]],HISTORICO,5,0),0)</f>
        <v>0</v>
      </c>
      <c r="EI265" s="76">
        <f>+IFERROR(VLOOKUP(Tabla1[[#This Row],[COD SE]],HISTORICO,6,0),0)</f>
        <v>0</v>
      </c>
      <c r="EJ265" s="76">
        <f>+IFERROR(VLOOKUP(Tabla1[[#This Row],[COD SE]],HISTORICO,7,0),0)</f>
        <v>0</v>
      </c>
      <c r="EK265" s="76">
        <f>+IFERROR(VLOOKUP(Tabla1[[#This Row],[COD SE]],HISTORICO,8,0),0)</f>
        <v>0</v>
      </c>
      <c r="EL265" s="76">
        <f>+IFERROR(VLOOKUP(Tabla1[[#This Row],[COD SE]],HISTORICO,9,0),0)</f>
        <v>0</v>
      </c>
      <c r="EM265" s="76">
        <f>+IFERROR(VLOOKUP(Tabla1[[#This Row],[COD SE]],HISTORICO,10,0),0)</f>
        <v>0</v>
      </c>
      <c r="EN265" s="76">
        <f>+IFERROR(VLOOKUP(Tabla1[[#This Row],[COD SE]],HISTORICO,11,0),0)</f>
        <v>0</v>
      </c>
      <c r="EO265" s="76">
        <f>+IFERROR(VLOOKUP(Tabla1[[#This Row],[COD SE]],HISTORICO,12,0),0)</f>
        <v>0</v>
      </c>
      <c r="EP265" s="58">
        <f>+SUM(Tabla1[[#This Row],[EJECUTADO 01]:[EJECUTADO 03]])</f>
        <v>0</v>
      </c>
      <c r="EQ265" s="58">
        <f>+SUM(Tabla1[[#This Row],[EJECUTADO 04]:[EJECUTADO 06]])</f>
        <v>0</v>
      </c>
      <c r="ER265" s="58">
        <f>+SUM(Tabla1[[#This Row],[EJECUTADO 07]:[EJECUTADO 09]])</f>
        <v>0</v>
      </c>
      <c r="ES265" s="58">
        <f>+SUM(Tabla1[[#This Row],[PF OCTUBRE]:[PF DICIEMBRE
]])</f>
        <v>37500</v>
      </c>
      <c r="ET265" s="58">
        <f>+SUM(Tabla1[[#This Row],[EJECUTADO 01]:[EJECUTADO 09]])</f>
        <v>0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1656</v>
      </c>
      <c r="AD266" s="369" t="s">
        <v>1668</v>
      </c>
      <c r="AE266" s="369" t="s">
        <v>1669</v>
      </c>
      <c r="AF266" s="369" t="s">
        <v>1669</v>
      </c>
      <c r="AG266" s="369" t="s">
        <v>1671</v>
      </c>
      <c r="AH266" s="369">
        <v>12515</v>
      </c>
      <c r="AI266" s="369">
        <v>-4713</v>
      </c>
      <c r="AJ266" s="369">
        <v>7802</v>
      </c>
      <c r="AK266" s="370">
        <v>7800.48</v>
      </c>
      <c r="AL266" s="370">
        <v>3901</v>
      </c>
      <c r="AM266" s="370">
        <v>650.04</v>
      </c>
      <c r="AN266" s="370">
        <v>433.36</v>
      </c>
      <c r="AO266" s="370">
        <v>433.36</v>
      </c>
      <c r="AP266" s="370">
        <v>433.36</v>
      </c>
      <c r="AQ266" s="370">
        <v>433.36</v>
      </c>
      <c r="AR266" s="370">
        <v>216.68</v>
      </c>
      <c r="AS266" s="370">
        <v>216.68</v>
      </c>
      <c r="AT266" s="370">
        <v>216.68</v>
      </c>
      <c r="AU266" s="370">
        <v>216.68</v>
      </c>
      <c r="AV266" s="370">
        <v>216.68</v>
      </c>
      <c r="AW266" s="370">
        <v>0</v>
      </c>
      <c r="AX266" s="370">
        <v>0</v>
      </c>
      <c r="AY266" s="370">
        <v>650.04</v>
      </c>
      <c r="AZ266" s="370">
        <v>433.36</v>
      </c>
      <c r="BA266" s="370">
        <v>433.36</v>
      </c>
      <c r="BB266" s="370">
        <v>433.36</v>
      </c>
      <c r="BC266" s="370">
        <v>433.36</v>
      </c>
      <c r="BD266" s="370">
        <v>216.68</v>
      </c>
      <c r="BE266" s="370">
        <v>216.68</v>
      </c>
      <c r="BF266" s="370">
        <v>216.68</v>
      </c>
      <c r="BG266" s="370">
        <v>216.68</v>
      </c>
      <c r="BH266" s="370">
        <v>216.68</v>
      </c>
      <c r="BI266" s="370">
        <v>0</v>
      </c>
      <c r="BJ266" s="370">
        <v>0</v>
      </c>
      <c r="BK266" s="370">
        <v>650.04</v>
      </c>
      <c r="BL266" s="370">
        <v>433.36</v>
      </c>
      <c r="BM266" s="370">
        <v>433.36</v>
      </c>
      <c r="BN266" s="370">
        <v>433.36</v>
      </c>
      <c r="BO266" s="370">
        <v>433.36</v>
      </c>
      <c r="BP266" s="370">
        <v>216.68</v>
      </c>
      <c r="BQ266" s="370">
        <v>216.68</v>
      </c>
      <c r="BR266" s="370">
        <v>216.68</v>
      </c>
      <c r="BS266" s="370">
        <v>216.68</v>
      </c>
      <c r="BT266" s="370">
        <v>216.68</v>
      </c>
      <c r="BU266" s="370">
        <v>0</v>
      </c>
      <c r="BV266" s="370">
        <v>0</v>
      </c>
      <c r="BW266" s="370">
        <v>650.04</v>
      </c>
      <c r="BX266" s="370">
        <v>433.36</v>
      </c>
      <c r="BY266" s="370">
        <v>433.36</v>
      </c>
      <c r="BZ266" s="370">
        <v>433.36</v>
      </c>
      <c r="CA266" s="370">
        <v>433.36</v>
      </c>
      <c r="CB266" s="370">
        <v>216.68</v>
      </c>
      <c r="CC266" s="370">
        <v>216.68</v>
      </c>
      <c r="CD266" s="370">
        <v>216.68</v>
      </c>
      <c r="CE266" s="370">
        <v>216.68</v>
      </c>
      <c r="CF266" s="370">
        <v>216.68</v>
      </c>
      <c r="CG266" s="370">
        <v>0</v>
      </c>
      <c r="CH266" s="370">
        <v>0</v>
      </c>
      <c r="CI266" s="48" t="s">
        <v>1987</v>
      </c>
      <c r="CJ266" s="48" t="s">
        <v>1990</v>
      </c>
      <c r="CK266" s="48" t="s">
        <v>1991</v>
      </c>
      <c r="CL266" s="48" t="s">
        <v>1990</v>
      </c>
      <c r="CM266" s="48" t="s">
        <v>1990</v>
      </c>
      <c r="CN266" s="48" t="s">
        <v>2014</v>
      </c>
      <c r="CO266" s="10" t="str">
        <f t="shared" si="73"/>
        <v>2.1.3.1.1.15</v>
      </c>
      <c r="CP266" s="10" t="str">
        <f>+VLOOKUP(Tabla1[[#This Row],[ESPECÍFICA]],CLASIFICADOR_,2,0)</f>
        <v>2.1.3.1.1.15 - CONTRIBUCIONES A ESSALUD DE CONTRATO ADMINISTRATIVO DE SERVICIOS</v>
      </c>
      <c r="CQ266" s="10" t="str">
        <f>+VLOOKUP(Tabla1[[#This Row],[ESPECÍFICA]],CLASIFICADOR_,3,0)</f>
        <v>01.CAS</v>
      </c>
      <c r="CR266" s="10" t="str">
        <f>+VLOOKUP(Tabla1[[#This Row],[ESPECÍFICA]],CLASIFICADOR_,4,0)</f>
        <v xml:space="preserve"> </v>
      </c>
      <c r="CS266" s="10">
        <f>+VLOOKUP(Tabla1[[#This Row],[ESPECÍFICA]],CLASIFICADOR_,5,0)</f>
        <v>0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2.1.PERSONAL Y OBLIGACIONES SOCIALES</v>
      </c>
      <c r="CX266" s="10" t="str">
        <f t="shared" si="62"/>
        <v>0014-OCI</v>
      </c>
      <c r="CY266" s="5" t="str">
        <f t="shared" si="63"/>
        <v>0014-OCI</v>
      </c>
      <c r="CZ266" t="str">
        <f t="shared" si="64"/>
        <v>0013-OCI</v>
      </c>
      <c r="DA266" s="113" t="str">
        <f>+CONCATENATE(Tabla1[[#This Row],[CC COMPLETO]],Tabla1[[#This Row],[ESPECÍFICA]])</f>
        <v>0014-OCI2.1.3.1.1.15</v>
      </c>
      <c r="DB266" s="11">
        <f t="shared" si="65"/>
        <v>3466.8799999999997</v>
      </c>
      <c r="DC266" s="11">
        <f t="shared" si="66"/>
        <v>3466.8799999999997</v>
      </c>
      <c r="DD266" s="11">
        <f t="shared" si="67"/>
        <v>3466.8799999999997</v>
      </c>
      <c r="DE266" s="11">
        <f t="shared" si="68"/>
        <v>1.5200000000004366</v>
      </c>
      <c r="DF266" s="11">
        <f t="shared" si="69"/>
        <v>3899.4799999999996</v>
      </c>
      <c r="DG266" s="11">
        <f t="shared" si="70"/>
        <v>434.12000000000035</v>
      </c>
      <c r="DH266" s="11">
        <f t="shared" si="71"/>
        <v>4335.1200000000008</v>
      </c>
      <c r="DI266" s="12">
        <f t="shared" si="72"/>
        <v>0.27701797842588893</v>
      </c>
      <c r="DJ266" s="77">
        <f>+SUM(Tabla1[[#This Row],[EJECUTADO 01]:[EJECUTADO 06]])</f>
        <v>2600.1600000000003</v>
      </c>
      <c r="DK266" s="78">
        <f>+Tabla1[[#This Row],[mto_devenga_01]]</f>
        <v>650.04</v>
      </c>
      <c r="DL266" s="78">
        <f>+Tabla1[[#This Row],[mto_devenga_02]]</f>
        <v>433.36</v>
      </c>
      <c r="DM266" s="78">
        <f>+Tabla1[[#This Row],[mto_devenga_03]]</f>
        <v>433.36</v>
      </c>
      <c r="DN266" s="78">
        <f>+Tabla1[[#This Row],[mto_devenga_04]]</f>
        <v>433.36</v>
      </c>
      <c r="DO266" s="78">
        <f>+Tabla1[[#This Row],[mto_devenga_05]]</f>
        <v>433.36</v>
      </c>
      <c r="DP266" s="76">
        <f>+Tabla1[[#This Row],[mto_devenga_06]]</f>
        <v>216.68</v>
      </c>
      <c r="DQ266" s="76">
        <f>+Tabla1[[#This Row],[mto_devenga_07]]</f>
        <v>216.68</v>
      </c>
      <c r="DR266" s="76">
        <f>+Tabla1[[#This Row],[mto_devenga_08]]</f>
        <v>216.68</v>
      </c>
      <c r="DS266" s="76">
        <f>+Tabla1[[#This Row],[mto_devenga_09]]</f>
        <v>216.68</v>
      </c>
      <c r="DT266" s="76">
        <f>IFERROR(VLOOKUP(Tabla1[[#This Row],[COD SE]],PF_OCTUBRE,14,0),"0")</f>
        <v>216.68</v>
      </c>
      <c r="DU266" s="76">
        <f>IFERROR(VLOOKUP(Tabla1[[#This Row],[COD SE]],PF_OCTUBRE,15,0),"0")</f>
        <v>216.68</v>
      </c>
      <c r="DV266" s="76">
        <f>IFERROR(VLOOKUP(Tabla1[[#This Row],[COD SE]],PF_OCTUBRE,16,0),"0")</f>
        <v>216.68</v>
      </c>
      <c r="DW266" s="76">
        <f>+SUM(Tabla1[[#This Row],[EJECUTADO 01]:[PF DICIEMBRE
]])</f>
        <v>3900.2399999999993</v>
      </c>
      <c r="DX266" s="76">
        <f>IFERROR(VLOOKUP(Tabla1[[#This Row],[COD SE]],PF_OCTUBRE,18,0),"0")</f>
        <v>0</v>
      </c>
      <c r="DY266" s="76">
        <f>IFERROR(VLOOKUP(Tabla1[[#This Row],[COD SE]],PF_OCTUBRE,19,0),"0")</f>
        <v>3901.76</v>
      </c>
      <c r="DZ266" s="76">
        <f>IFERROR(VLOOKUP(Tabla1[[#This Row],[COD SE]],PF_OCTUBRE,20,0),"0")</f>
        <v>3901.76</v>
      </c>
      <c r="EA266" s="76">
        <f>+Tabla1[[#This Row],[TOTAL EJEC REAL]]+Tabla1[[#This Row],[SALDO FINAL]]</f>
        <v>7802</v>
      </c>
      <c r="EB266" s="76">
        <f>IFERROR(VLOOKUP(Tabla1[[#This Row],[COD SE]],PF_OCTUBRE,22,0),"0")</f>
        <v>4118.4400000000005</v>
      </c>
      <c r="EC266" s="76">
        <f>+IFERROR(VLOOKUP(Tabla1[[#This Row],[COD SE]],SALDO_ESC_2,7,0),0)</f>
        <v>0</v>
      </c>
      <c r="ED266" s="76">
        <f>+IFERROR(VLOOKUP(Tabla1[[#This Row],[COD SE]],SALDO_ESC_3,7,0),0)</f>
        <v>3901.76</v>
      </c>
      <c r="EE266" s="76">
        <f>+Tabla1[[#This Row],[mto_pim]]-Tabla1[[#This Row],[TRANSF ESC2 ]]</f>
        <v>7802</v>
      </c>
      <c r="EF266" s="76">
        <f>+Tabla1[[#This Row],[mto_pim]]-Tabla1[[#This Row],[TRANFS ESC 3 ]]</f>
        <v>3900.24</v>
      </c>
      <c r="EG266" s="76">
        <f>+IFERROR(VLOOKUP(Tabla1[[#This Row],[COD SE]],HISTORICO,4,0),0)</f>
        <v>650.04</v>
      </c>
      <c r="EH266" s="76">
        <f>+IFERROR(VLOOKUP(Tabla1[[#This Row],[COD SE]],HISTORICO,5,0),0)</f>
        <v>650.04</v>
      </c>
      <c r="EI266" s="76">
        <f>+IFERROR(VLOOKUP(Tabla1[[#This Row],[COD SE]],HISTORICO,6,0),0)</f>
        <v>433.36</v>
      </c>
      <c r="EJ266" s="76">
        <f>+IFERROR(VLOOKUP(Tabla1[[#This Row],[COD SE]],HISTORICO,7,0),0)</f>
        <v>433.36</v>
      </c>
      <c r="EK266" s="76">
        <f>+IFERROR(VLOOKUP(Tabla1[[#This Row],[COD SE]],HISTORICO,8,0),0)</f>
        <v>216.68</v>
      </c>
      <c r="EL266" s="76">
        <f>+IFERROR(VLOOKUP(Tabla1[[#This Row],[COD SE]],HISTORICO,9,0),0)</f>
        <v>216.68</v>
      </c>
      <c r="EM266" s="76">
        <f>+IFERROR(VLOOKUP(Tabla1[[#This Row],[COD SE]],HISTORICO,10,0),0)</f>
        <v>216.68</v>
      </c>
      <c r="EN266" s="76">
        <f>+IFERROR(VLOOKUP(Tabla1[[#This Row],[COD SE]],HISTORICO,11,0),0)</f>
        <v>216.68</v>
      </c>
      <c r="EO266" s="76">
        <f>+IFERROR(VLOOKUP(Tabla1[[#This Row],[COD SE]],HISTORICO,12,0),0)</f>
        <v>216.68</v>
      </c>
      <c r="EP266" s="58">
        <f>+SUM(Tabla1[[#This Row],[EJECUTADO 01]:[EJECUTADO 03]])</f>
        <v>1516.7600000000002</v>
      </c>
      <c r="EQ266" s="58">
        <f>+SUM(Tabla1[[#This Row],[EJECUTADO 04]:[EJECUTADO 06]])</f>
        <v>1083.4000000000001</v>
      </c>
      <c r="ER266" s="58">
        <f>+SUM(Tabla1[[#This Row],[EJECUTADO 07]:[EJECUTADO 09]])</f>
        <v>650.04</v>
      </c>
      <c r="ES266" s="58">
        <f>+SUM(Tabla1[[#This Row],[PF OCTUBRE]:[PF DICIEMBRE
]])</f>
        <v>650.04</v>
      </c>
      <c r="ET266" s="58">
        <f>+SUM(Tabla1[[#This Row],[EJECUTADO 01]:[EJECUTADO 09]])</f>
        <v>3250.2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1657</v>
      </c>
      <c r="AE267" s="369" t="s">
        <v>1660</v>
      </c>
      <c r="AF267" s="369" t="s">
        <v>1661</v>
      </c>
      <c r="AG267" s="369" t="s">
        <v>1663</v>
      </c>
      <c r="AH267" s="369">
        <v>153941</v>
      </c>
      <c r="AI267" s="369">
        <v>-14800</v>
      </c>
      <c r="AJ267" s="369">
        <v>139141</v>
      </c>
      <c r="AK267" s="370">
        <v>63170.28</v>
      </c>
      <c r="AL267" s="370">
        <v>62080</v>
      </c>
      <c r="AM267" s="370">
        <v>5158.97</v>
      </c>
      <c r="AN267" s="370">
        <v>5200</v>
      </c>
      <c r="AO267" s="370">
        <v>5145.83</v>
      </c>
      <c r="AP267" s="370">
        <v>5200</v>
      </c>
      <c r="AQ267" s="370">
        <v>5200</v>
      </c>
      <c r="AR267" s="370">
        <v>5171.1099999999997</v>
      </c>
      <c r="AS267" s="370">
        <v>5164.97</v>
      </c>
      <c r="AT267" s="370">
        <v>5120.1899999999996</v>
      </c>
      <c r="AU267" s="370">
        <v>5200</v>
      </c>
      <c r="AV267" s="370">
        <v>5118.03</v>
      </c>
      <c r="AW267" s="370">
        <v>0</v>
      </c>
      <c r="AX267" s="370">
        <v>0</v>
      </c>
      <c r="AY267" s="370">
        <v>5158.97</v>
      </c>
      <c r="AZ267" s="370">
        <v>5200</v>
      </c>
      <c r="BA267" s="370">
        <v>5145.83</v>
      </c>
      <c r="BB267" s="370">
        <v>5200</v>
      </c>
      <c r="BC267" s="370">
        <v>5200</v>
      </c>
      <c r="BD267" s="370">
        <v>5171.1099999999997</v>
      </c>
      <c r="BE267" s="370">
        <v>5164.97</v>
      </c>
      <c r="BF267" s="370">
        <v>5120.1899999999996</v>
      </c>
      <c r="BG267" s="370">
        <v>5200</v>
      </c>
      <c r="BH267" s="370">
        <v>5118.03</v>
      </c>
      <c r="BI267" s="370">
        <v>0</v>
      </c>
      <c r="BJ267" s="370">
        <v>0</v>
      </c>
      <c r="BK267" s="370">
        <v>5158.97</v>
      </c>
      <c r="BL267" s="370">
        <v>5200</v>
      </c>
      <c r="BM267" s="370">
        <v>5145.83</v>
      </c>
      <c r="BN267" s="370">
        <v>4528.16</v>
      </c>
      <c r="BO267" s="370">
        <v>5871.84</v>
      </c>
      <c r="BP267" s="370">
        <v>5171.1099999999997</v>
      </c>
      <c r="BQ267" s="370">
        <v>5164.97</v>
      </c>
      <c r="BR267" s="370">
        <v>5120.1899999999996</v>
      </c>
      <c r="BS267" s="370">
        <v>5200</v>
      </c>
      <c r="BT267" s="370">
        <v>4456.78</v>
      </c>
      <c r="BU267" s="370">
        <v>0</v>
      </c>
      <c r="BV267" s="370">
        <v>0</v>
      </c>
      <c r="BW267" s="370">
        <v>5158.97</v>
      </c>
      <c r="BX267" s="370">
        <v>5200</v>
      </c>
      <c r="BY267" s="370">
        <v>5145.83</v>
      </c>
      <c r="BZ267" s="370">
        <v>5200</v>
      </c>
      <c r="CA267" s="370">
        <v>5200</v>
      </c>
      <c r="CB267" s="370">
        <v>5171.1099999999997</v>
      </c>
      <c r="CC267" s="370">
        <v>5164.97</v>
      </c>
      <c r="CD267" s="370">
        <v>5120.1899999999996</v>
      </c>
      <c r="CE267" s="370">
        <v>5200</v>
      </c>
      <c r="CF267" s="370">
        <v>4456.78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1990</v>
      </c>
      <c r="CL267" s="48" t="s">
        <v>2010</v>
      </c>
      <c r="CM267" s="48" t="s">
        <v>1990</v>
      </c>
      <c r="CN267" s="48" t="s">
        <v>1987</v>
      </c>
      <c r="CO267" s="10" t="str">
        <f t="shared" si="73"/>
        <v>2.1.1.13.1.2</v>
      </c>
      <c r="CP267" s="10" t="str">
        <f>+VLOOKUP(Tabla1[[#This Row],[ESPECÍFICA]],CLASIFICADOR_,2,0)</f>
        <v>2.1.1.13.1.2 - CONTRATO ADMINISTRATIVO DE SERVICIOS - TRANSITORIO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62"/>
        <v>0014-OCI</v>
      </c>
      <c r="CY267" s="5" t="str">
        <f t="shared" si="63"/>
        <v>0014-OCI</v>
      </c>
      <c r="CZ267" t="str">
        <f t="shared" si="64"/>
        <v>0013-OCI</v>
      </c>
      <c r="DA267" s="113" t="str">
        <f>+CONCATENATE(Tabla1[[#This Row],[CC COMPLETO]],Tabla1[[#This Row],[ESPECÍFICA]])</f>
        <v>0014-OCI2.1.1.13.1.2</v>
      </c>
      <c r="DB267" s="11">
        <f t="shared" si="65"/>
        <v>51679.100000000006</v>
      </c>
      <c r="DC267" s="11">
        <f t="shared" si="66"/>
        <v>51679.100000000006</v>
      </c>
      <c r="DD267" s="11">
        <f t="shared" si="67"/>
        <v>51017.85</v>
      </c>
      <c r="DE267" s="11">
        <f t="shared" si="68"/>
        <v>75970.720000000001</v>
      </c>
      <c r="DF267" s="11">
        <f t="shared" si="69"/>
        <v>1090.2799999999988</v>
      </c>
      <c r="DG267" s="11">
        <f t="shared" si="70"/>
        <v>10400.899999999994</v>
      </c>
      <c r="DH267" s="11">
        <f t="shared" si="71"/>
        <v>87461.9</v>
      </c>
      <c r="DI267" s="12">
        <f t="shared" si="72"/>
        <v>0.33570718651951076</v>
      </c>
      <c r="DJ267" s="77">
        <f>+SUM(Tabla1[[#This Row],[EJECUTADO 01]:[EJECUTADO 06]])</f>
        <v>31075.910000000003</v>
      </c>
      <c r="DK267" s="78">
        <f>+Tabla1[[#This Row],[mto_devenga_01]]</f>
        <v>5158.97</v>
      </c>
      <c r="DL267" s="78">
        <f>+Tabla1[[#This Row],[mto_devenga_02]]</f>
        <v>5200</v>
      </c>
      <c r="DM267" s="78">
        <f>+Tabla1[[#This Row],[mto_devenga_03]]</f>
        <v>5145.83</v>
      </c>
      <c r="DN267" s="78">
        <f>+Tabla1[[#This Row],[mto_devenga_04]]</f>
        <v>5200</v>
      </c>
      <c r="DO267" s="78">
        <f>+Tabla1[[#This Row],[mto_devenga_05]]</f>
        <v>5200</v>
      </c>
      <c r="DP267" s="76">
        <f>+Tabla1[[#This Row],[mto_devenga_06]]</f>
        <v>5171.1099999999997</v>
      </c>
      <c r="DQ267" s="76">
        <f>+Tabla1[[#This Row],[mto_devenga_07]]</f>
        <v>5164.97</v>
      </c>
      <c r="DR267" s="76">
        <f>+Tabla1[[#This Row],[mto_devenga_08]]</f>
        <v>5120.1899999999996</v>
      </c>
      <c r="DS267" s="76">
        <f>+Tabla1[[#This Row],[mto_devenga_09]]</f>
        <v>5200</v>
      </c>
      <c r="DT267" s="76">
        <f>IFERROR(VLOOKUP(Tabla1[[#This Row],[COD SE]],PF_OCTUBRE,14,0),"0")</f>
        <v>5200</v>
      </c>
      <c r="DU267" s="76">
        <f>IFERROR(VLOOKUP(Tabla1[[#This Row],[COD SE]],PF_OCTUBRE,15,0),"0")</f>
        <v>5200</v>
      </c>
      <c r="DV267" s="76">
        <f>IFERROR(VLOOKUP(Tabla1[[#This Row],[COD SE]],PF_OCTUBRE,16,0),"0")</f>
        <v>5200</v>
      </c>
      <c r="DW267" s="76">
        <f>+SUM(Tabla1[[#This Row],[EJECUTADO 01]:[PF DICIEMBRE
]])</f>
        <v>62161.070000000007</v>
      </c>
      <c r="DX267" s="76">
        <f>IFERROR(VLOOKUP(Tabla1[[#This Row],[COD SE]],PF_OCTUBRE,18,0),"0")</f>
        <v>0</v>
      </c>
      <c r="DY267" s="76">
        <f>IFERROR(VLOOKUP(Tabla1[[#This Row],[COD SE]],PF_OCTUBRE,19,0),"0")</f>
        <v>76979.930000000008</v>
      </c>
      <c r="DZ267" s="76">
        <f>IFERROR(VLOOKUP(Tabla1[[#This Row],[COD SE]],PF_OCTUBRE,20,0),"0")</f>
        <v>76979.930000000008</v>
      </c>
      <c r="EA267" s="76">
        <f>+Tabla1[[#This Row],[TOTAL EJEC REAL]]+Tabla1[[#This Row],[SALDO FINAL]]</f>
        <v>139141</v>
      </c>
      <c r="EB267" s="76">
        <f>IFERROR(VLOOKUP(Tabla1[[#This Row],[COD SE]],PF_OCTUBRE,22,0),"0")</f>
        <v>82179.930000000008</v>
      </c>
      <c r="EC267" s="76">
        <f>+IFERROR(VLOOKUP(Tabla1[[#This Row],[COD SE]],SALDO_ESC_2,7,0),0)</f>
        <v>0</v>
      </c>
      <c r="ED267" s="76">
        <f>+IFERROR(VLOOKUP(Tabla1[[#This Row],[COD SE]],SALDO_ESC_3,7,0),0)</f>
        <v>76979.930000000008</v>
      </c>
      <c r="EE267" s="76">
        <f>+Tabla1[[#This Row],[mto_pim]]-Tabla1[[#This Row],[TRANSF ESC2 ]]</f>
        <v>139141</v>
      </c>
      <c r="EF267" s="76">
        <f>+Tabla1[[#This Row],[mto_pim]]-Tabla1[[#This Row],[TRANFS ESC 3 ]]</f>
        <v>62161.069999999992</v>
      </c>
      <c r="EG267" s="76">
        <f>+IFERROR(VLOOKUP(Tabla1[[#This Row],[COD SE]],HISTORICO,4,0),0)</f>
        <v>5264.19</v>
      </c>
      <c r="EH267" s="76">
        <f>+IFERROR(VLOOKUP(Tabla1[[#This Row],[COD SE]],HISTORICO,5,0),0)</f>
        <v>5264.19</v>
      </c>
      <c r="EI267" s="76">
        <f>+IFERROR(VLOOKUP(Tabla1[[#This Row],[COD SE]],HISTORICO,6,0),0)</f>
        <v>5200</v>
      </c>
      <c r="EJ267" s="76">
        <f>+IFERROR(VLOOKUP(Tabla1[[#This Row],[COD SE]],HISTORICO,7,0),0)</f>
        <v>5200</v>
      </c>
      <c r="EK267" s="76">
        <f>+IFERROR(VLOOKUP(Tabla1[[#This Row],[COD SE]],HISTORICO,8,0),0)</f>
        <v>5200</v>
      </c>
      <c r="EL267" s="76">
        <f>+IFERROR(VLOOKUP(Tabla1[[#This Row],[COD SE]],HISTORICO,9,0),0)</f>
        <v>5200</v>
      </c>
      <c r="EM267" s="76">
        <f>+IFERROR(VLOOKUP(Tabla1[[#This Row],[COD SE]],HISTORICO,10,0),0)</f>
        <v>5200</v>
      </c>
      <c r="EN267" s="76">
        <f>+IFERROR(VLOOKUP(Tabla1[[#This Row],[COD SE]],HISTORICO,11,0),0)</f>
        <v>5200</v>
      </c>
      <c r="EO267" s="76">
        <f>+IFERROR(VLOOKUP(Tabla1[[#This Row],[COD SE]],HISTORICO,12,0),0)</f>
        <v>5200</v>
      </c>
      <c r="EP267" s="58">
        <f>+SUM(Tabla1[[#This Row],[EJECUTADO 01]:[EJECUTADO 03]])</f>
        <v>15504.800000000001</v>
      </c>
      <c r="EQ267" s="58">
        <f>+SUM(Tabla1[[#This Row],[EJECUTADO 04]:[EJECUTADO 06]])</f>
        <v>15571.11</v>
      </c>
      <c r="ER267" s="58">
        <f>+SUM(Tabla1[[#This Row],[EJECUTADO 07]:[EJECUTADO 09]])</f>
        <v>15485.16</v>
      </c>
      <c r="ES267" s="58">
        <f>+SUM(Tabla1[[#This Row],[PF OCTUBRE]:[PF DICIEMBRE
]])</f>
        <v>15600</v>
      </c>
      <c r="ET267" s="58">
        <f>+SUM(Tabla1[[#This Row],[EJECUTADO 01]:[EJECUTADO 09]])</f>
        <v>46561.070000000007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1656</v>
      </c>
      <c r="AD268" s="369" t="s">
        <v>2006</v>
      </c>
      <c r="AE268" s="369" t="s">
        <v>2007</v>
      </c>
      <c r="AF268" s="369" t="s">
        <v>2007</v>
      </c>
      <c r="AG268" s="369" t="s">
        <v>2015</v>
      </c>
      <c r="AH268" s="369">
        <v>0</v>
      </c>
      <c r="AI268" s="369">
        <v>21445</v>
      </c>
      <c r="AJ268" s="369">
        <v>21445</v>
      </c>
      <c r="AK268" s="370">
        <v>21445</v>
      </c>
      <c r="AL268" s="370">
        <v>21445</v>
      </c>
      <c r="AM268" s="370">
        <v>0</v>
      </c>
      <c r="AN268" s="370">
        <v>0</v>
      </c>
      <c r="AO268" s="370">
        <v>0</v>
      </c>
      <c r="AP268" s="370">
        <v>11455.17</v>
      </c>
      <c r="AQ268" s="370">
        <v>9988.2900000000009</v>
      </c>
      <c r="AR268" s="370">
        <v>0</v>
      </c>
      <c r="AS268" s="370">
        <v>0</v>
      </c>
      <c r="AT268" s="370">
        <v>0</v>
      </c>
      <c r="AU268" s="370">
        <v>0</v>
      </c>
      <c r="AV268" s="370">
        <v>0</v>
      </c>
      <c r="AW268" s="370">
        <v>0</v>
      </c>
      <c r="AX268" s="370">
        <v>0</v>
      </c>
      <c r="AY268" s="370">
        <v>0</v>
      </c>
      <c r="AZ268" s="370">
        <v>0</v>
      </c>
      <c r="BA268" s="370">
        <v>0</v>
      </c>
      <c r="BB268" s="370">
        <v>11455.17</v>
      </c>
      <c r="BC268" s="370">
        <v>9988.2900000000009</v>
      </c>
      <c r="BD268" s="370">
        <v>0</v>
      </c>
      <c r="BE268" s="370">
        <v>0</v>
      </c>
      <c r="BF268" s="370">
        <v>0</v>
      </c>
      <c r="BG268" s="370">
        <v>0</v>
      </c>
      <c r="BH268" s="370">
        <v>0</v>
      </c>
      <c r="BI268" s="370">
        <v>0</v>
      </c>
      <c r="BJ268" s="370">
        <v>0</v>
      </c>
      <c r="BK268" s="370">
        <v>0</v>
      </c>
      <c r="BL268" s="370">
        <v>0</v>
      </c>
      <c r="BM268" s="370">
        <v>0</v>
      </c>
      <c r="BN268" s="370">
        <v>11455.17</v>
      </c>
      <c r="BO268" s="370">
        <v>9988.2900000000009</v>
      </c>
      <c r="BP268" s="370">
        <v>0</v>
      </c>
      <c r="BQ268" s="370">
        <v>0</v>
      </c>
      <c r="BR268" s="370">
        <v>0</v>
      </c>
      <c r="BS268" s="370">
        <v>0</v>
      </c>
      <c r="BT268" s="370">
        <v>0</v>
      </c>
      <c r="BU268" s="370">
        <v>0</v>
      </c>
      <c r="BV268" s="370">
        <v>0</v>
      </c>
      <c r="BW268" s="370">
        <v>0</v>
      </c>
      <c r="BX268" s="370">
        <v>0</v>
      </c>
      <c r="BY268" s="370">
        <v>0</v>
      </c>
      <c r="BZ268" s="370">
        <v>10964.49</v>
      </c>
      <c r="CA268" s="370">
        <v>9988.2900000000009</v>
      </c>
      <c r="CB268" s="370">
        <v>0</v>
      </c>
      <c r="CC268" s="370">
        <v>0</v>
      </c>
      <c r="CD268" s="370">
        <v>0</v>
      </c>
      <c r="CE268" s="370">
        <v>0</v>
      </c>
      <c r="CF268" s="370">
        <v>0</v>
      </c>
      <c r="CG268" s="370">
        <v>0</v>
      </c>
      <c r="CH268" s="370">
        <v>0</v>
      </c>
      <c r="CI268" s="48" t="s">
        <v>1987</v>
      </c>
      <c r="CJ268" s="48" t="s">
        <v>1990</v>
      </c>
      <c r="CK268" s="48" t="s">
        <v>1993</v>
      </c>
      <c r="CL268" s="48" t="s">
        <v>1990</v>
      </c>
      <c r="CM268" s="48" t="s">
        <v>1990</v>
      </c>
      <c r="CN268" s="48" t="s">
        <v>1989</v>
      </c>
      <c r="CO268" s="10" t="str">
        <f t="shared" ref="CO268:CO271" si="74">+CONCATENATE(CI268,".",CJ268,".",CK268,".",CL268,".",CM268,".",CN268)</f>
        <v>2.1.4.1.1.7</v>
      </c>
      <c r="CP268" s="10" t="str">
        <f>+VLOOKUP(Tabla1[[#This Row],[ESPECÍFICA]],CLASIFICADOR_,2,0)</f>
        <v>2.1.4.1.1.7 - VACACIONES TRUNCAS PERSONAL CAS</v>
      </c>
      <c r="CQ268" s="10" t="str">
        <f>+VLOOKUP(Tabla1[[#This Row],[ESPECÍFICA]],CLASIFICADOR_,3,0)</f>
        <v>01.CAS</v>
      </c>
      <c r="CR268" s="10" t="str">
        <f>+VLOOKUP(Tabla1[[#This Row],[ESPECÍFICA]],CLASIFICADOR_,4,0)</f>
        <v xml:space="preserve"> </v>
      </c>
      <c r="CS268" s="10">
        <f>+VLOOKUP(Tabla1[[#This Row],[ESPECÍFICA]],CLASIFICADOR_,5,0)</f>
        <v>0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2.1.PERSONAL Y OBLIGACIONES SOCIALES</v>
      </c>
      <c r="CX268" s="10" t="str">
        <f t="shared" ref="CX268:CX273" si="75">+VLOOKUP(U268,CC_COMPLETO,2,0)</f>
        <v>0014-OCI</v>
      </c>
      <c r="CY268" s="5" t="str">
        <f t="shared" si="63"/>
        <v>0014-OCI</v>
      </c>
      <c r="CZ268" t="str">
        <f t="shared" ref="CZ268:CZ273" si="76">+VLOOKUP(U268,CC_COMPLETO,4,0)</f>
        <v>0013-OCI</v>
      </c>
      <c r="DA268" s="113" t="str">
        <f>+CONCATENATE(Tabla1[[#This Row],[CC COMPLETO]],Tabla1[[#This Row],[ESPECÍFICA]])</f>
        <v>0014-OCI2.1.4.1.1.7</v>
      </c>
      <c r="DB268" s="11">
        <f t="shared" ref="DB268:DB271" si="77">SUM(AM268:AX268)</f>
        <v>21443.46</v>
      </c>
      <c r="DC268" s="11">
        <f t="shared" ref="DC268:DC271" si="78">+SUM(AY268:BJ268)</f>
        <v>21443.46</v>
      </c>
      <c r="DD268" s="11">
        <f t="shared" ref="DD268:DD271" si="79">+SUM(BK268:BV268)</f>
        <v>21443.46</v>
      </c>
      <c r="DE268" s="11">
        <f t="shared" ref="DE268:DE271" si="80">+AJ268-AK268</f>
        <v>0</v>
      </c>
      <c r="DF268" s="11">
        <f t="shared" ref="DF268:DF271" si="81">+AK268-AL268</f>
        <v>0</v>
      </c>
      <c r="DG268" s="11">
        <f t="shared" ref="DG268:DG271" si="82">+AL268-DC268</f>
        <v>1.5400000000008731</v>
      </c>
      <c r="DH268" s="11">
        <f t="shared" ref="DH268:DH271" si="83">+AJ268-DC268</f>
        <v>1.5400000000008731</v>
      </c>
      <c r="DI268" s="12">
        <f t="shared" ref="DI268:DI271" si="84">+IFERROR((DC268/AH268),0)</f>
        <v>0</v>
      </c>
      <c r="DJ268" s="77">
        <f>+SUM(Tabla1[[#This Row],[EJECUTADO 01]:[EJECUTADO 06]])</f>
        <v>21443.46</v>
      </c>
      <c r="DK268" s="78">
        <f>+Tabla1[[#This Row],[mto_devenga_01]]</f>
        <v>0</v>
      </c>
      <c r="DL268" s="78">
        <f>+Tabla1[[#This Row],[mto_devenga_02]]</f>
        <v>0</v>
      </c>
      <c r="DM268" s="78">
        <f>+Tabla1[[#This Row],[mto_devenga_03]]</f>
        <v>0</v>
      </c>
      <c r="DN268" s="78">
        <f>+Tabla1[[#This Row],[mto_devenga_04]]</f>
        <v>11455.17</v>
      </c>
      <c r="DO268" s="78">
        <f>+Tabla1[[#This Row],[mto_devenga_05]]</f>
        <v>9988.2900000000009</v>
      </c>
      <c r="DP268" s="76">
        <f>+Tabla1[[#This Row],[mto_devenga_06]]</f>
        <v>0</v>
      </c>
      <c r="DQ268" s="76">
        <f>+Tabla1[[#This Row],[mto_devenga_07]]</f>
        <v>0</v>
      </c>
      <c r="DR268" s="76">
        <f>+Tabla1[[#This Row],[mto_devenga_08]]</f>
        <v>0</v>
      </c>
      <c r="DS268" s="76">
        <f>+Tabla1[[#This Row],[mto_devenga_09]]</f>
        <v>0</v>
      </c>
      <c r="DT268" s="76">
        <f>IFERROR(VLOOKUP(Tabla1[[#This Row],[COD SE]],PF_OCTUBRE,14,0),"0")</f>
        <v>0</v>
      </c>
      <c r="DU268" s="76">
        <f>IFERROR(VLOOKUP(Tabla1[[#This Row],[COD SE]],PF_OCTUBRE,15,0),"0")</f>
        <v>0</v>
      </c>
      <c r="DV268" s="76">
        <f>IFERROR(VLOOKUP(Tabla1[[#This Row],[COD SE]],PF_OCTUBRE,16,0),"0")</f>
        <v>0</v>
      </c>
      <c r="DW268" s="76">
        <f>+SUM(Tabla1[[#This Row],[EJECUTADO 01]:[PF DICIEMBRE
]])</f>
        <v>21443.46</v>
      </c>
      <c r="DX268" s="76">
        <f>IFERROR(VLOOKUP(Tabla1[[#This Row],[COD SE]],PF_OCTUBRE,18,0),"0")</f>
        <v>0</v>
      </c>
      <c r="DY268" s="76">
        <f>IFERROR(VLOOKUP(Tabla1[[#This Row],[COD SE]],PF_OCTUBRE,19,0),"0")</f>
        <v>1.54</v>
      </c>
      <c r="DZ268" s="76">
        <f>IFERROR(VLOOKUP(Tabla1[[#This Row],[COD SE]],PF_OCTUBRE,20,0),"0")</f>
        <v>1.54</v>
      </c>
      <c r="EA268" s="76">
        <f>+Tabla1[[#This Row],[TOTAL EJEC REAL]]+Tabla1[[#This Row],[SALDO FINAL]]</f>
        <v>21445</v>
      </c>
      <c r="EB268" s="76">
        <f>IFERROR(VLOOKUP(Tabla1[[#This Row],[COD SE]],PF_OCTUBRE,22,0),"0")</f>
        <v>1.54</v>
      </c>
      <c r="EC268" s="76">
        <f>+IFERROR(VLOOKUP(Tabla1[[#This Row],[COD SE]],SALDO_ESC_2,7,0),0)</f>
        <v>0</v>
      </c>
      <c r="ED268" s="76">
        <f>+IFERROR(VLOOKUP(Tabla1[[#This Row],[COD SE]],SALDO_ESC_3,7,0),0)</f>
        <v>1.54</v>
      </c>
      <c r="EE268" s="76">
        <f>+Tabla1[[#This Row],[mto_pim]]-Tabla1[[#This Row],[TRANSF ESC2 ]]</f>
        <v>21445</v>
      </c>
      <c r="EF268" s="76">
        <f>+Tabla1[[#This Row],[mto_pim]]-Tabla1[[#This Row],[TRANFS ESC 3 ]]</f>
        <v>21443.46</v>
      </c>
      <c r="EG268" s="76">
        <f>+IFERROR(VLOOKUP(Tabla1[[#This Row],[COD SE]],HISTORICO,4,0),0)</f>
        <v>0</v>
      </c>
      <c r="EH268" s="76">
        <f>+IFERROR(VLOOKUP(Tabla1[[#This Row],[COD SE]],HISTORICO,5,0),0)</f>
        <v>0</v>
      </c>
      <c r="EI268" s="76">
        <f>+IFERROR(VLOOKUP(Tabla1[[#This Row],[COD SE]],HISTORICO,6,0),0)</f>
        <v>11456</v>
      </c>
      <c r="EJ268" s="76">
        <f>+IFERROR(VLOOKUP(Tabla1[[#This Row],[COD SE]],HISTORICO,7,0),0)</f>
        <v>11456</v>
      </c>
      <c r="EK268" s="76">
        <f>+IFERROR(VLOOKUP(Tabla1[[#This Row],[COD SE]],HISTORICO,8,0),0)</f>
        <v>9989</v>
      </c>
      <c r="EL268" s="76">
        <f>+IFERROR(VLOOKUP(Tabla1[[#This Row],[COD SE]],HISTORICO,9,0),0)</f>
        <v>0</v>
      </c>
      <c r="EM268" s="76">
        <f>+IFERROR(VLOOKUP(Tabla1[[#This Row],[COD SE]],HISTORICO,10,0),0)</f>
        <v>0</v>
      </c>
      <c r="EN268" s="76">
        <f>+IFERROR(VLOOKUP(Tabla1[[#This Row],[COD SE]],HISTORICO,11,0),0)</f>
        <v>0</v>
      </c>
      <c r="EO268" s="76">
        <f>+IFERROR(VLOOKUP(Tabla1[[#This Row],[COD SE]],HISTORICO,12,0),0)</f>
        <v>0</v>
      </c>
      <c r="EP268" s="58">
        <f>+SUM(Tabla1[[#This Row],[EJECUTADO 01]:[EJECUTADO 03]])</f>
        <v>0</v>
      </c>
      <c r="EQ268" s="58">
        <f>+SUM(Tabla1[[#This Row],[EJECUTADO 04]:[EJECUTADO 06]])</f>
        <v>21443.46</v>
      </c>
      <c r="ER268" s="58">
        <f>+SUM(Tabla1[[#This Row],[EJECUTADO 07]:[EJECUTADO 09]])</f>
        <v>0</v>
      </c>
      <c r="ES268" s="58">
        <f>+SUM(Tabla1[[#This Row],[PF OCTUBRE]:[PF DICIEMBRE
]])</f>
        <v>0</v>
      </c>
      <c r="ET268" s="58">
        <f>+SUM(Tabla1[[#This Row],[EJECUTADO 01]:[EJECUTADO 09]])</f>
        <v>21443.46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1672</v>
      </c>
      <c r="AD269" s="369" t="s">
        <v>1673</v>
      </c>
      <c r="AE269" s="369" t="s">
        <v>1674</v>
      </c>
      <c r="AF269" s="369" t="s">
        <v>1675</v>
      </c>
      <c r="AG269" s="369" t="s">
        <v>1676</v>
      </c>
      <c r="AH269" s="369">
        <v>2000</v>
      </c>
      <c r="AI269" s="369">
        <v>0</v>
      </c>
      <c r="AJ269" s="369">
        <v>2000</v>
      </c>
      <c r="AK269" s="370">
        <v>0</v>
      </c>
      <c r="AL269" s="370">
        <v>0</v>
      </c>
      <c r="AM269" s="370">
        <v>0</v>
      </c>
      <c r="AN269" s="370">
        <v>0</v>
      </c>
      <c r="AO269" s="370">
        <v>0</v>
      </c>
      <c r="AP269" s="370">
        <v>0</v>
      </c>
      <c r="AQ269" s="370">
        <v>0</v>
      </c>
      <c r="AR269" s="370">
        <v>0</v>
      </c>
      <c r="AS269" s="370">
        <v>0</v>
      </c>
      <c r="AT269" s="370">
        <v>0</v>
      </c>
      <c r="AU269" s="370">
        <v>0</v>
      </c>
      <c r="AV269" s="370">
        <v>0</v>
      </c>
      <c r="AW269" s="370">
        <v>0</v>
      </c>
      <c r="AX269" s="370">
        <v>0</v>
      </c>
      <c r="AY269" s="370">
        <v>0</v>
      </c>
      <c r="AZ269" s="370">
        <v>0</v>
      </c>
      <c r="BA269" s="370">
        <v>0</v>
      </c>
      <c r="BB269" s="370">
        <v>0</v>
      </c>
      <c r="BC269" s="370">
        <v>0</v>
      </c>
      <c r="BD269" s="370">
        <v>0</v>
      </c>
      <c r="BE269" s="370">
        <v>0</v>
      </c>
      <c r="BF269" s="370">
        <v>0</v>
      </c>
      <c r="BG269" s="370">
        <v>0</v>
      </c>
      <c r="BH269" s="370">
        <v>0</v>
      </c>
      <c r="BI269" s="370">
        <v>0</v>
      </c>
      <c r="BJ269" s="370">
        <v>0</v>
      </c>
      <c r="BK269" s="370">
        <v>0</v>
      </c>
      <c r="BL269" s="370">
        <v>0</v>
      </c>
      <c r="BM269" s="370">
        <v>0</v>
      </c>
      <c r="BN269" s="370">
        <v>0</v>
      </c>
      <c r="BO269" s="370">
        <v>0</v>
      </c>
      <c r="BP269" s="370">
        <v>0</v>
      </c>
      <c r="BQ269" s="370">
        <v>0</v>
      </c>
      <c r="BR269" s="370">
        <v>0</v>
      </c>
      <c r="BS269" s="370">
        <v>0</v>
      </c>
      <c r="BT269" s="370">
        <v>0</v>
      </c>
      <c r="BU269" s="370">
        <v>0</v>
      </c>
      <c r="BV269" s="370">
        <v>0</v>
      </c>
      <c r="BW269" s="370">
        <v>0</v>
      </c>
      <c r="BX269" s="370">
        <v>0</v>
      </c>
      <c r="BY269" s="370">
        <v>0</v>
      </c>
      <c r="BZ269" s="370">
        <v>0</v>
      </c>
      <c r="CA269" s="370">
        <v>0</v>
      </c>
      <c r="CB269" s="370">
        <v>0</v>
      </c>
      <c r="CC269" s="370">
        <v>0</v>
      </c>
      <c r="CD269" s="370">
        <v>0</v>
      </c>
      <c r="CE269" s="370">
        <v>0</v>
      </c>
      <c r="CF269" s="370">
        <v>0</v>
      </c>
      <c r="CG269" s="370">
        <v>0</v>
      </c>
      <c r="CH269" s="370">
        <v>0</v>
      </c>
      <c r="CI269" s="48" t="s">
        <v>1987</v>
      </c>
      <c r="CJ269" s="48" t="s">
        <v>1991</v>
      </c>
      <c r="CK269" s="48" t="s">
        <v>1987</v>
      </c>
      <c r="CL269" s="48" t="s">
        <v>1990</v>
      </c>
      <c r="CM269" s="48" t="s">
        <v>1987</v>
      </c>
      <c r="CN269" s="48" t="s">
        <v>1990</v>
      </c>
      <c r="CO269" s="10" t="str">
        <f t="shared" si="74"/>
        <v>2.3.2.1.2.1</v>
      </c>
      <c r="CP269" s="10" t="str">
        <f>+VLOOKUP(Tabla1[[#This Row],[ESPECÍFICA]],CLASIFICADOR_,2,0)</f>
        <v>2.3.2.1.2.1 - PASAJES Y GASTOS DE TRANSPORTE</v>
      </c>
      <c r="CQ269" s="10" t="str">
        <f>+VLOOKUP(Tabla1[[#This Row],[ESPECÍFICA]],CLASIFICADOR_,3,0)</f>
        <v>2.3.2.1 - VIAJES</v>
      </c>
      <c r="CR269" s="10" t="str">
        <f>+VLOOKUP(Tabla1[[#This Row],[ESPECÍFICA]],CLASIFICADOR_,4,0)</f>
        <v>Límite de Gasto</v>
      </c>
      <c r="CS269" s="10" t="str">
        <f>+VLOOKUP(Tabla1[[#This Row],[ESPECÍFICA]],CLASIFICADOR_,5,0)</f>
        <v>10.6 b)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2.3.BIENES Y SERVICIOS</v>
      </c>
      <c r="CX269" s="10" t="str">
        <f t="shared" si="75"/>
        <v>0014-OCI</v>
      </c>
      <c r="CY269" s="5" t="str">
        <f t="shared" si="63"/>
        <v>0014-OCI</v>
      </c>
      <c r="CZ269" t="str">
        <f t="shared" si="76"/>
        <v>0013-OCI</v>
      </c>
      <c r="DA269" s="113" t="str">
        <f>+CONCATENATE(Tabla1[[#This Row],[CC COMPLETO]],Tabla1[[#This Row],[ESPECÍFICA]])</f>
        <v>0014-OCI2.3.2.1.2.1</v>
      </c>
      <c r="DB269" s="11">
        <f t="shared" si="77"/>
        <v>0</v>
      </c>
      <c r="DC269" s="11">
        <f t="shared" si="78"/>
        <v>0</v>
      </c>
      <c r="DD269" s="11">
        <f t="shared" si="79"/>
        <v>0</v>
      </c>
      <c r="DE269" s="11">
        <f t="shared" si="80"/>
        <v>2000</v>
      </c>
      <c r="DF269" s="11">
        <f t="shared" si="81"/>
        <v>0</v>
      </c>
      <c r="DG269" s="11">
        <f t="shared" si="82"/>
        <v>0</v>
      </c>
      <c r="DH269" s="11">
        <f t="shared" si="83"/>
        <v>2000</v>
      </c>
      <c r="DI269" s="12">
        <f t="shared" si="84"/>
        <v>0</v>
      </c>
      <c r="DJ269" s="77">
        <f>+SUM(Tabla1[[#This Row],[EJECUTADO 01]:[EJECUTADO 06]])</f>
        <v>0</v>
      </c>
      <c r="DK269" s="78">
        <f>+Tabla1[[#This Row],[mto_devenga_01]]</f>
        <v>0</v>
      </c>
      <c r="DL269" s="78">
        <f>+Tabla1[[#This Row],[mto_devenga_02]]</f>
        <v>0</v>
      </c>
      <c r="DM269" s="78">
        <f>+Tabla1[[#This Row],[mto_devenga_03]]</f>
        <v>0</v>
      </c>
      <c r="DN269" s="78">
        <f>+Tabla1[[#This Row],[mto_devenga_04]]</f>
        <v>0</v>
      </c>
      <c r="DO269" s="78">
        <f>+Tabla1[[#This Row],[mto_devenga_05]]</f>
        <v>0</v>
      </c>
      <c r="DP269" s="76">
        <f>+Tabla1[[#This Row],[mto_devenga_06]]</f>
        <v>0</v>
      </c>
      <c r="DQ269" s="76">
        <f>+Tabla1[[#This Row],[mto_devenga_07]]</f>
        <v>0</v>
      </c>
      <c r="DR269" s="76">
        <f>+Tabla1[[#This Row],[mto_devenga_08]]</f>
        <v>0</v>
      </c>
      <c r="DS269" s="76">
        <f>+Tabla1[[#This Row],[mto_devenga_09]]</f>
        <v>0</v>
      </c>
      <c r="DT269" s="76">
        <f>IFERROR(VLOOKUP(Tabla1[[#This Row],[COD SE]],PF_OCTUBRE,14,0),"0")</f>
        <v>0</v>
      </c>
      <c r="DU269" s="76">
        <f>IFERROR(VLOOKUP(Tabla1[[#This Row],[COD SE]],PF_OCTUBRE,15,0),"0")</f>
        <v>0</v>
      </c>
      <c r="DV269" s="76">
        <f>IFERROR(VLOOKUP(Tabla1[[#This Row],[COD SE]],PF_OCTUBRE,16,0),"0")</f>
        <v>2000</v>
      </c>
      <c r="DW269" s="76">
        <f>+SUM(Tabla1[[#This Row],[EJECUTADO 01]:[PF DICIEMBRE
]])</f>
        <v>2000</v>
      </c>
      <c r="DX269" s="76">
        <f>IFERROR(VLOOKUP(Tabla1[[#This Row],[COD SE]],PF_OCTUBRE,18,0),"0")</f>
        <v>0</v>
      </c>
      <c r="DY269" s="76">
        <f>IFERROR(VLOOKUP(Tabla1[[#This Row],[COD SE]],PF_OCTUBRE,19,0),"0")</f>
        <v>0</v>
      </c>
      <c r="DZ269" s="76">
        <f>IFERROR(VLOOKUP(Tabla1[[#This Row],[COD SE]],PF_OCTUBRE,20,0),"0")</f>
        <v>0</v>
      </c>
      <c r="EA269" s="76">
        <f>+Tabla1[[#This Row],[TOTAL EJEC REAL]]+Tabla1[[#This Row],[SALDO FINAL]]</f>
        <v>2000</v>
      </c>
      <c r="EB269" s="76">
        <f>IFERROR(VLOOKUP(Tabla1[[#This Row],[COD SE]],PF_OCTUBRE,22,0),"0")</f>
        <v>2000</v>
      </c>
      <c r="EC269" s="76">
        <f>+IFERROR(VLOOKUP(Tabla1[[#This Row],[COD SE]],SALDO_ESC_2,7,0),0)</f>
        <v>0</v>
      </c>
      <c r="ED269" s="76">
        <f>+IFERROR(VLOOKUP(Tabla1[[#This Row],[COD SE]],SALDO_ESC_3,7,0),0)</f>
        <v>0</v>
      </c>
      <c r="EE269" s="76">
        <f>+Tabla1[[#This Row],[mto_pim]]-Tabla1[[#This Row],[TRANSF ESC2 ]]</f>
        <v>2000</v>
      </c>
      <c r="EF269" s="76">
        <f>+Tabla1[[#This Row],[mto_pim]]-Tabla1[[#This Row],[TRANFS ESC 3 ]]</f>
        <v>2000</v>
      </c>
      <c r="EG269" s="76">
        <f>+IFERROR(VLOOKUP(Tabla1[[#This Row],[COD SE]],HISTORICO,4,0),0)</f>
        <v>0</v>
      </c>
      <c r="EH269" s="76">
        <f>+IFERROR(VLOOKUP(Tabla1[[#This Row],[COD SE]],HISTORICO,5,0),0)</f>
        <v>0</v>
      </c>
      <c r="EI269" s="76">
        <f>+IFERROR(VLOOKUP(Tabla1[[#This Row],[COD SE]],HISTORICO,6,0),0)</f>
        <v>0</v>
      </c>
      <c r="EJ269" s="76">
        <f>+IFERROR(VLOOKUP(Tabla1[[#This Row],[COD SE]],HISTORICO,7,0),0)</f>
        <v>0</v>
      </c>
      <c r="EK269" s="76">
        <f>+IFERROR(VLOOKUP(Tabla1[[#This Row],[COD SE]],HISTORICO,8,0),0)</f>
        <v>0</v>
      </c>
      <c r="EL269" s="76">
        <f>+IFERROR(VLOOKUP(Tabla1[[#This Row],[COD SE]],HISTORICO,9,0),0)</f>
        <v>0</v>
      </c>
      <c r="EM269" s="76">
        <f>+IFERROR(VLOOKUP(Tabla1[[#This Row],[COD SE]],HISTORICO,10,0),0)</f>
        <v>0</v>
      </c>
      <c r="EN269" s="76">
        <f>+IFERROR(VLOOKUP(Tabla1[[#This Row],[COD SE]],HISTORICO,11,0),0)</f>
        <v>0</v>
      </c>
      <c r="EO269" s="76">
        <f>+IFERROR(VLOOKUP(Tabla1[[#This Row],[COD SE]],HISTORICO,12,0),0)</f>
        <v>0</v>
      </c>
      <c r="EP269" s="58">
        <f>+SUM(Tabla1[[#This Row],[EJECUTADO 01]:[EJECUTADO 03]])</f>
        <v>0</v>
      </c>
      <c r="EQ269" s="58">
        <f>+SUM(Tabla1[[#This Row],[EJECUTADO 04]:[EJECUTADO 06]])</f>
        <v>0</v>
      </c>
      <c r="ER269" s="58">
        <f>+SUM(Tabla1[[#This Row],[EJECUTADO 07]:[EJECUTADO 09]])</f>
        <v>0</v>
      </c>
      <c r="ES269" s="58">
        <f>+SUM(Tabla1[[#This Row],[PF OCTUBRE]:[PF DICIEMBRE
]])</f>
        <v>2000</v>
      </c>
      <c r="ET269" s="58">
        <f>+SUM(Tabla1[[#This Row],[EJECUTADO 01]:[EJECUTADO 09]])</f>
        <v>0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1657</v>
      </c>
      <c r="AE270" s="369" t="s">
        <v>1660</v>
      </c>
      <c r="AF270" s="369" t="s">
        <v>1661</v>
      </c>
      <c r="AG270" s="369" t="s">
        <v>1662</v>
      </c>
      <c r="AH270" s="369">
        <v>269911</v>
      </c>
      <c r="AI270" s="369">
        <v>-98572</v>
      </c>
      <c r="AJ270" s="369">
        <v>171339</v>
      </c>
      <c r="AK270" s="370">
        <v>29436.7</v>
      </c>
      <c r="AL270" s="370">
        <v>29436.7</v>
      </c>
      <c r="AM270" s="370">
        <v>14908.32</v>
      </c>
      <c r="AN270" s="370">
        <v>7264.19</v>
      </c>
      <c r="AO270" s="370">
        <v>7264.19</v>
      </c>
      <c r="AP270" s="370">
        <v>0</v>
      </c>
      <c r="AQ270" s="370">
        <v>0</v>
      </c>
      <c r="AR270" s="370">
        <v>0</v>
      </c>
      <c r="AS270" s="370">
        <v>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15399</v>
      </c>
      <c r="AZ270" s="370">
        <v>7264.19</v>
      </c>
      <c r="BA270" s="370">
        <v>7264.19</v>
      </c>
      <c r="BB270" s="370">
        <v>-490.68</v>
      </c>
      <c r="BC270" s="370">
        <v>0</v>
      </c>
      <c r="BD270" s="370">
        <v>0</v>
      </c>
      <c r="BE270" s="370">
        <v>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15399</v>
      </c>
      <c r="BL270" s="370">
        <v>7264.19</v>
      </c>
      <c r="BM270" s="370">
        <v>7264.19</v>
      </c>
      <c r="BN270" s="370">
        <v>-490.68</v>
      </c>
      <c r="BO270" s="370">
        <v>0</v>
      </c>
      <c r="BP270" s="370">
        <v>0</v>
      </c>
      <c r="BQ270" s="370">
        <v>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15399</v>
      </c>
      <c r="BX270" s="370">
        <v>7264.19</v>
      </c>
      <c r="BY270" s="370">
        <v>7264.19</v>
      </c>
      <c r="BZ270" s="370">
        <v>0</v>
      </c>
      <c r="CA270" s="370">
        <v>0</v>
      </c>
      <c r="CB270" s="370">
        <v>0</v>
      </c>
      <c r="CC270" s="370">
        <v>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1990</v>
      </c>
      <c r="CL270" s="48" t="s">
        <v>2010</v>
      </c>
      <c r="CM270" s="48" t="s">
        <v>1990</v>
      </c>
      <c r="CN270" s="48" t="s">
        <v>1990</v>
      </c>
      <c r="CO270" s="10" t="str">
        <f t="shared" si="74"/>
        <v>2.1.1.13.1.1</v>
      </c>
      <c r="CP270" s="10" t="str">
        <f>+VLOOKUP(Tabla1[[#This Row],[ESPECÍFICA]],CLASIFICADOR_,2,0)</f>
        <v>2.1.1.13.1.1 - CONTRATO ADMINISTRATIVO DE SERVICIOS - INDETERMINADO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5"/>
        <v>0014-OCI</v>
      </c>
      <c r="CY270" s="5" t="str">
        <f t="shared" si="63"/>
        <v>0014-OCI</v>
      </c>
      <c r="CZ270" t="str">
        <f t="shared" si="76"/>
        <v>0013-OCI</v>
      </c>
      <c r="DA270" s="113" t="str">
        <f>+CONCATENATE(Tabla1[[#This Row],[CC COMPLETO]],Tabla1[[#This Row],[ESPECÍFICA]])</f>
        <v>0014-OCI2.1.1.13.1.1</v>
      </c>
      <c r="DB270" s="11">
        <f t="shared" si="77"/>
        <v>29436.699999999997</v>
      </c>
      <c r="DC270" s="11">
        <f t="shared" si="78"/>
        <v>29436.699999999997</v>
      </c>
      <c r="DD270" s="11">
        <f t="shared" si="79"/>
        <v>29436.699999999997</v>
      </c>
      <c r="DE270" s="11">
        <f t="shared" si="80"/>
        <v>141902.29999999999</v>
      </c>
      <c r="DF270" s="11">
        <f t="shared" si="81"/>
        <v>0</v>
      </c>
      <c r="DG270" s="11">
        <f t="shared" si="82"/>
        <v>0</v>
      </c>
      <c r="DH270" s="11">
        <f t="shared" si="83"/>
        <v>141902.29999999999</v>
      </c>
      <c r="DI270" s="12">
        <f t="shared" si="84"/>
        <v>0.10906076447421556</v>
      </c>
      <c r="DJ270" s="77">
        <f>+SUM(Tabla1[[#This Row],[EJECUTADO 01]:[EJECUTADO 06]])</f>
        <v>29436.699999999997</v>
      </c>
      <c r="DK270" s="78">
        <f>+Tabla1[[#This Row],[mto_devenga_01]]</f>
        <v>15399</v>
      </c>
      <c r="DL270" s="78">
        <f>+Tabla1[[#This Row],[mto_devenga_02]]</f>
        <v>7264.19</v>
      </c>
      <c r="DM270" s="78">
        <f>+Tabla1[[#This Row],[mto_devenga_03]]</f>
        <v>7264.19</v>
      </c>
      <c r="DN270" s="78">
        <f>+Tabla1[[#This Row],[mto_devenga_04]]</f>
        <v>-490.68</v>
      </c>
      <c r="DO270" s="78">
        <f>+Tabla1[[#This Row],[mto_devenga_05]]</f>
        <v>0</v>
      </c>
      <c r="DP270" s="76">
        <f>+Tabla1[[#This Row],[mto_devenga_06]]</f>
        <v>0</v>
      </c>
      <c r="DQ270" s="76">
        <f>+Tabla1[[#This Row],[mto_devenga_07]]</f>
        <v>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0</v>
      </c>
      <c r="DW270" s="76">
        <f>+SUM(Tabla1[[#This Row],[EJECUTADO 01]:[PF DICIEMBRE
]])</f>
        <v>29436.699999999997</v>
      </c>
      <c r="DX270" s="76">
        <f>IFERROR(VLOOKUP(Tabla1[[#This Row],[COD SE]],PF_OCTUBRE,18,0),"0")</f>
        <v>0</v>
      </c>
      <c r="DY270" s="76">
        <f>IFERROR(VLOOKUP(Tabla1[[#This Row],[COD SE]],PF_OCTUBRE,19,0),"0")</f>
        <v>141902.30000000002</v>
      </c>
      <c r="DZ270" s="76">
        <f>IFERROR(VLOOKUP(Tabla1[[#This Row],[COD SE]],PF_OCTUBRE,20,0),"0")</f>
        <v>141902.30000000002</v>
      </c>
      <c r="EA270" s="76">
        <f>+Tabla1[[#This Row],[TOTAL EJEC REAL]]+Tabla1[[#This Row],[SALDO FINAL]]</f>
        <v>171339</v>
      </c>
      <c r="EB270" s="76">
        <f>IFERROR(VLOOKUP(Tabla1[[#This Row],[COD SE]],PF_OCTUBRE,22,0),"0")</f>
        <v>141902.30000000002</v>
      </c>
      <c r="EC270" s="76">
        <f>+IFERROR(VLOOKUP(Tabla1[[#This Row],[COD SE]],SALDO_ESC_2,7,0),0)</f>
        <v>0</v>
      </c>
      <c r="ED270" s="76">
        <f>+IFERROR(VLOOKUP(Tabla1[[#This Row],[COD SE]],SALDO_ESC_3,7,0),0)</f>
        <v>141902.30000000002</v>
      </c>
      <c r="EE270" s="76">
        <f>+Tabla1[[#This Row],[mto_pim]]-Tabla1[[#This Row],[TRANSF ESC2 ]]</f>
        <v>171339</v>
      </c>
      <c r="EF270" s="76">
        <f>+Tabla1[[#This Row],[mto_pim]]-Tabla1[[#This Row],[TRANFS ESC 3 ]]</f>
        <v>29436.699999999983</v>
      </c>
      <c r="EG270" s="76">
        <f>+IFERROR(VLOOKUP(Tabla1[[#This Row],[COD SE]],HISTORICO,4,0),0)</f>
        <v>15528.380000000001</v>
      </c>
      <c r="EH270" s="76">
        <f>+IFERROR(VLOOKUP(Tabla1[[#This Row],[COD SE]],HISTORICO,5,0),0)</f>
        <v>15528.380000000001</v>
      </c>
      <c r="EI270" s="76">
        <f>+IFERROR(VLOOKUP(Tabla1[[#This Row],[COD SE]],HISTORICO,6,0),0)</f>
        <v>7264.19</v>
      </c>
      <c r="EJ270" s="76">
        <f>+IFERROR(VLOOKUP(Tabla1[[#This Row],[COD SE]],HISTORICO,7,0),0)</f>
        <v>7264.19</v>
      </c>
      <c r="EK270" s="76">
        <f>+IFERROR(VLOOKUP(Tabla1[[#This Row],[COD SE]],HISTORICO,8,0),0)</f>
        <v>0</v>
      </c>
      <c r="EL270" s="76">
        <f>+IFERROR(VLOOKUP(Tabla1[[#This Row],[COD SE]],HISTORICO,9,0),0)</f>
        <v>0</v>
      </c>
      <c r="EM270" s="76">
        <f>+IFERROR(VLOOKUP(Tabla1[[#This Row],[COD SE]],HISTORICO,10,0),0)</f>
        <v>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29927.379999999997</v>
      </c>
      <c r="EQ270" s="58">
        <f>+SUM(Tabla1[[#This Row],[EJECUTADO 04]:[EJECUTADO 06]])</f>
        <v>-490.68</v>
      </c>
      <c r="ER270" s="58">
        <f>+SUM(Tabla1[[#This Row],[EJECUTADO 07]:[EJECUTADO 09]])</f>
        <v>0</v>
      </c>
      <c r="ES270" s="58">
        <f>+SUM(Tabla1[[#This Row],[PF OCTUBRE]:[PF DICIEMBRE
]])</f>
        <v>0</v>
      </c>
      <c r="ET270" s="58">
        <f>+SUM(Tabla1[[#This Row],[EJECUTADO 01]:[EJECUTADO 09]])</f>
        <v>29436.699999999997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1656</v>
      </c>
      <c r="AD271" s="369" t="s">
        <v>1657</v>
      </c>
      <c r="AE271" s="369" t="s">
        <v>1664</v>
      </c>
      <c r="AF271" s="369" t="s">
        <v>1665</v>
      </c>
      <c r="AG271" s="369" t="s">
        <v>1667</v>
      </c>
      <c r="AH271" s="369">
        <v>3000</v>
      </c>
      <c r="AI271" s="369">
        <v>0</v>
      </c>
      <c r="AJ271" s="369">
        <v>3000</v>
      </c>
      <c r="AK271" s="370">
        <v>1800</v>
      </c>
      <c r="AL271" s="370">
        <v>600</v>
      </c>
      <c r="AM271" s="370">
        <v>0</v>
      </c>
      <c r="AN271" s="370">
        <v>0</v>
      </c>
      <c r="AO271" s="370">
        <v>0</v>
      </c>
      <c r="AP271" s="370">
        <v>0</v>
      </c>
      <c r="AQ271" s="370">
        <v>0</v>
      </c>
      <c r="AR271" s="370">
        <v>0</v>
      </c>
      <c r="AS271" s="370">
        <v>300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0</v>
      </c>
      <c r="BC271" s="370">
        <v>0</v>
      </c>
      <c r="BD271" s="370">
        <v>0</v>
      </c>
      <c r="BE271" s="370">
        <v>300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0</v>
      </c>
      <c r="BO271" s="370">
        <v>0</v>
      </c>
      <c r="BP271" s="370">
        <v>0</v>
      </c>
      <c r="BQ271" s="370">
        <v>300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0</v>
      </c>
      <c r="BZ271" s="370">
        <v>0</v>
      </c>
      <c r="CA271" s="370">
        <v>0</v>
      </c>
      <c r="CB271" s="370">
        <v>0</v>
      </c>
      <c r="CC271" s="370">
        <v>300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1990</v>
      </c>
      <c r="CK271" s="48" t="s">
        <v>1990</v>
      </c>
      <c r="CL271" s="48" t="s">
        <v>2005</v>
      </c>
      <c r="CM271" s="48" t="s">
        <v>1990</v>
      </c>
      <c r="CN271" s="48" t="s">
        <v>1993</v>
      </c>
      <c r="CO271" s="10" t="str">
        <f t="shared" si="74"/>
        <v>2.1.1.9.1.4</v>
      </c>
      <c r="CP271" s="10" t="str">
        <f>+VLOOKUP(Tabla1[[#This Row],[ESPECÍFICA]],CLASIFICADOR_,2,0)</f>
        <v>2.1.1.9.1.4 - AGUINALDOS DE CONTRATO ADMINISTRATIVO DE SERVICIOS</v>
      </c>
      <c r="CQ271" s="10" t="str">
        <f>+VLOOKUP(Tabla1[[#This Row],[ESPECÍFICA]],CLASIFICADOR_,3,0)</f>
        <v>01.CAS</v>
      </c>
      <c r="CR271" s="10" t="str">
        <f>+VLOOKUP(Tabla1[[#This Row],[ESPECÍFICA]],CLASIFICADOR_,4,0)</f>
        <v xml:space="preserve"> </v>
      </c>
      <c r="CS271" s="10">
        <f>+VLOOKUP(Tabla1[[#This Row],[ESPECÍFICA]],CLASIFICADOR_,5,0)</f>
        <v>0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2.1.PERSONAL Y OBLIGACIONES SOCIALES</v>
      </c>
      <c r="CX271" s="10" t="str">
        <f t="shared" si="75"/>
        <v>0014-OCI</v>
      </c>
      <c r="CY271" s="5" t="str">
        <f t="shared" si="63"/>
        <v>0014-OCI</v>
      </c>
      <c r="CZ271" t="str">
        <f t="shared" si="76"/>
        <v>0013-OCI</v>
      </c>
      <c r="DA271" s="113" t="str">
        <f>+CONCATENATE(Tabla1[[#This Row],[CC COMPLETO]],Tabla1[[#This Row],[ESPECÍFICA]])</f>
        <v>0014-OCI2.1.1.9.1.4</v>
      </c>
      <c r="DB271" s="11">
        <f t="shared" si="77"/>
        <v>300</v>
      </c>
      <c r="DC271" s="11">
        <f t="shared" si="78"/>
        <v>300</v>
      </c>
      <c r="DD271" s="11">
        <f t="shared" si="79"/>
        <v>300</v>
      </c>
      <c r="DE271" s="11">
        <f t="shared" si="80"/>
        <v>1200</v>
      </c>
      <c r="DF271" s="11">
        <f t="shared" si="81"/>
        <v>1200</v>
      </c>
      <c r="DG271" s="11">
        <f t="shared" si="82"/>
        <v>300</v>
      </c>
      <c r="DH271" s="11">
        <f t="shared" si="83"/>
        <v>2700</v>
      </c>
      <c r="DI271" s="12">
        <f t="shared" si="84"/>
        <v>0.1</v>
      </c>
      <c r="DJ271" s="77">
        <f>+SUM(Tabla1[[#This Row],[EJECUTADO 01]:[EJECUTADO 06]])</f>
        <v>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0</v>
      </c>
      <c r="DO271" s="78">
        <f>+Tabla1[[#This Row],[mto_devenga_05]]</f>
        <v>0</v>
      </c>
      <c r="DP271" s="76">
        <f>+Tabla1[[#This Row],[mto_devenga_06]]</f>
        <v>0</v>
      </c>
      <c r="DQ271" s="76">
        <f>+Tabla1[[#This Row],[mto_devenga_07]]</f>
        <v>300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300</v>
      </c>
      <c r="DW271" s="76">
        <f>+SUM(Tabla1[[#This Row],[EJECUTADO 01]:[PF DICIEMBRE
]])</f>
        <v>600</v>
      </c>
      <c r="DX271" s="76">
        <f>IFERROR(VLOOKUP(Tabla1[[#This Row],[COD SE]],PF_OCTUBRE,18,0),"0")</f>
        <v>0</v>
      </c>
      <c r="DY271" s="76">
        <f>IFERROR(VLOOKUP(Tabla1[[#This Row],[COD SE]],PF_OCTUBRE,19,0),"0")</f>
        <v>2400</v>
      </c>
      <c r="DZ271" s="76">
        <f>IFERROR(VLOOKUP(Tabla1[[#This Row],[COD SE]],PF_OCTUBRE,20,0),"0")</f>
        <v>2400</v>
      </c>
      <c r="EA271" s="76">
        <f>+Tabla1[[#This Row],[TOTAL EJEC REAL]]+Tabla1[[#This Row],[SALDO FINAL]]</f>
        <v>3000</v>
      </c>
      <c r="EB271" s="76">
        <f>IFERROR(VLOOKUP(Tabla1[[#This Row],[COD SE]],PF_OCTUBRE,22,0),"0")</f>
        <v>2700</v>
      </c>
      <c r="EC271" s="76">
        <f>+IFERROR(VLOOKUP(Tabla1[[#This Row],[COD SE]],SALDO_ESC_2,7,0),0)</f>
        <v>0</v>
      </c>
      <c r="ED271" s="76">
        <f>+IFERROR(VLOOKUP(Tabla1[[#This Row],[COD SE]],SALDO_ESC_3,7,0),0)</f>
        <v>2400</v>
      </c>
      <c r="EE271" s="76">
        <f>+Tabla1[[#This Row],[mto_pim]]-Tabla1[[#This Row],[TRANSF ESC2 ]]</f>
        <v>3000</v>
      </c>
      <c r="EF271" s="76">
        <f>+Tabla1[[#This Row],[mto_pim]]-Tabla1[[#This Row],[TRANFS ESC 3 ]]</f>
        <v>600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0</v>
      </c>
      <c r="EJ271" s="76">
        <f>+IFERROR(VLOOKUP(Tabla1[[#This Row],[COD SE]],HISTORICO,7,0),0)</f>
        <v>0</v>
      </c>
      <c r="EK271" s="76">
        <f>+IFERROR(VLOOKUP(Tabla1[[#This Row],[COD SE]],HISTORICO,8,0),0)</f>
        <v>0</v>
      </c>
      <c r="EL271" s="76">
        <f>+IFERROR(VLOOKUP(Tabla1[[#This Row],[COD SE]],HISTORICO,9,0),0)</f>
        <v>0</v>
      </c>
      <c r="EM271" s="76">
        <f>+IFERROR(VLOOKUP(Tabla1[[#This Row],[COD SE]],HISTORICO,10,0),0)</f>
        <v>300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0</v>
      </c>
      <c r="ER271" s="58">
        <f>+SUM(Tabla1[[#This Row],[EJECUTADO 07]:[EJECUTADO 09]])</f>
        <v>300</v>
      </c>
      <c r="ES271" s="58">
        <f>+SUM(Tabla1[[#This Row],[PF OCTUBRE]:[PF DICIEMBRE
]])</f>
        <v>300</v>
      </c>
      <c r="ET271" s="58">
        <f>+SUM(Tabla1[[#This Row],[EJECUTADO 01]:[EJECUTADO 09]])</f>
        <v>300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1672</v>
      </c>
      <c r="AD272" s="369" t="s">
        <v>1684</v>
      </c>
      <c r="AE272" s="369" t="s">
        <v>1716</v>
      </c>
      <c r="AF272" s="369" t="s">
        <v>1717</v>
      </c>
      <c r="AG272" s="369" t="s">
        <v>1718</v>
      </c>
      <c r="AH272" s="369">
        <v>0</v>
      </c>
      <c r="AI272" s="369">
        <v>1870</v>
      </c>
      <c r="AJ272" s="369">
        <v>1870</v>
      </c>
      <c r="AK272" s="370">
        <v>1870</v>
      </c>
      <c r="AL272" s="370">
        <v>1870</v>
      </c>
      <c r="AM272" s="370">
        <v>0</v>
      </c>
      <c r="AN272" s="370">
        <v>0</v>
      </c>
      <c r="AO272" s="370">
        <v>760</v>
      </c>
      <c r="AP272" s="370">
        <v>1110</v>
      </c>
      <c r="AQ272" s="370">
        <v>0</v>
      </c>
      <c r="AR272" s="370">
        <v>0</v>
      </c>
      <c r="AS272" s="370">
        <v>0</v>
      </c>
      <c r="AT272" s="370">
        <v>0</v>
      </c>
      <c r="AU272" s="370">
        <v>0</v>
      </c>
      <c r="AV272" s="370">
        <v>0</v>
      </c>
      <c r="AW272" s="370">
        <v>0</v>
      </c>
      <c r="AX272" s="370">
        <v>0</v>
      </c>
      <c r="AY272" s="370">
        <v>0</v>
      </c>
      <c r="AZ272" s="370">
        <v>0</v>
      </c>
      <c r="BA272" s="370">
        <v>0</v>
      </c>
      <c r="BB272" s="370">
        <v>760</v>
      </c>
      <c r="BC272" s="370">
        <v>1110</v>
      </c>
      <c r="BD272" s="370">
        <v>0</v>
      </c>
      <c r="BE272" s="370">
        <v>0</v>
      </c>
      <c r="BF272" s="370">
        <v>0</v>
      </c>
      <c r="BG272" s="370">
        <v>0</v>
      </c>
      <c r="BH272" s="370">
        <v>0</v>
      </c>
      <c r="BI272" s="370">
        <v>0</v>
      </c>
      <c r="BJ272" s="370">
        <v>0</v>
      </c>
      <c r="BK272" s="370">
        <v>0</v>
      </c>
      <c r="BL272" s="370">
        <v>0</v>
      </c>
      <c r="BM272" s="370">
        <v>0</v>
      </c>
      <c r="BN272" s="370">
        <v>760</v>
      </c>
      <c r="BO272" s="370">
        <v>1110</v>
      </c>
      <c r="BP272" s="370">
        <v>0</v>
      </c>
      <c r="BQ272" s="370">
        <v>0</v>
      </c>
      <c r="BR272" s="370">
        <v>0</v>
      </c>
      <c r="BS272" s="370">
        <v>0</v>
      </c>
      <c r="BT272" s="370">
        <v>0</v>
      </c>
      <c r="BU272" s="370">
        <v>0</v>
      </c>
      <c r="BV272" s="370">
        <v>0</v>
      </c>
      <c r="BW272" s="370">
        <v>0</v>
      </c>
      <c r="BX272" s="370">
        <v>0</v>
      </c>
      <c r="BY272" s="370">
        <v>760</v>
      </c>
      <c r="BZ272" s="370">
        <v>1110</v>
      </c>
      <c r="CA272" s="370">
        <v>0</v>
      </c>
      <c r="CB272" s="370">
        <v>0</v>
      </c>
      <c r="CC272" s="370">
        <v>0</v>
      </c>
      <c r="CD272" s="370">
        <v>0</v>
      </c>
      <c r="CE272" s="370">
        <v>0</v>
      </c>
      <c r="CF272" s="370">
        <v>0</v>
      </c>
      <c r="CG272" s="370">
        <v>0</v>
      </c>
      <c r="CH272" s="370">
        <v>0</v>
      </c>
      <c r="CI272" s="48" t="s">
        <v>1987</v>
      </c>
      <c r="CJ272" s="48" t="s">
        <v>1991</v>
      </c>
      <c r="CK272" s="48" t="s">
        <v>1990</v>
      </c>
      <c r="CL272" s="48" t="s">
        <v>2011</v>
      </c>
      <c r="CM272" s="48" t="s">
        <v>1990</v>
      </c>
      <c r="CN272" s="48" t="s">
        <v>1987</v>
      </c>
      <c r="CO272" s="48" t="str">
        <f>+CONCATENATE(CI272,".",CJ272,".",CK272,".",CL272,".",CM272,".",CN272)</f>
        <v>2.3.1.5.1.2</v>
      </c>
      <c r="CP272" s="48" t="str">
        <f>+VLOOKUP(Tabla1[[#This Row],[ESPECÍFICA]],CLASIFICADOR_,2,0)</f>
        <v>2.3.1.5.1.2 - PAPELERIA EN GENERAL, UTILES Y MATERIALES DE OFICINA</v>
      </c>
      <c r="CQ272" s="48" t="str">
        <f>+VLOOKUP(Tabla1[[#This Row],[ESPECÍFICA]],CLASIFICADOR_,3,0)</f>
        <v>2.3.1.5 - MATERIALES Y  UTILES</v>
      </c>
      <c r="CR272" s="48" t="str">
        <f>+VLOOKUP(Tabla1[[#This Row],[ESPECÍFICA]],CLASIFICADOR_,4,0)</f>
        <v xml:space="preserve"> </v>
      </c>
      <c r="CS272" s="48">
        <f>+VLOOKUP(Tabla1[[#This Row],[ESPECÍFICA]],CLASIFICADOR_,5,0)</f>
        <v>0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2.3.BIENES Y SERVICIOS</v>
      </c>
      <c r="CX272" s="48" t="str">
        <f t="shared" si="75"/>
        <v>0014-OCI</v>
      </c>
      <c r="CY272" s="113" t="str">
        <f t="shared" si="63"/>
        <v>0014-OCI</v>
      </c>
      <c r="CZ272" s="20" t="str">
        <f t="shared" si="76"/>
        <v>0013-OCI</v>
      </c>
      <c r="DA272" s="113" t="str">
        <f>+CONCATENATE(Tabla1[[#This Row],[CC COMPLETO]],Tabla1[[#This Row],[ESPECÍFICA]])</f>
        <v>0014-OCI2.3.1.5.1.2</v>
      </c>
      <c r="DB272" s="49">
        <f>SUM(AM272:AX272)</f>
        <v>1870</v>
      </c>
      <c r="DC272" s="49">
        <f>+SUM(AY272:BJ272)</f>
        <v>1870</v>
      </c>
      <c r="DD272" s="49">
        <f>+SUM(BK272:BV272)</f>
        <v>1870</v>
      </c>
      <c r="DE272" s="49">
        <f>+AJ272-AK272</f>
        <v>0</v>
      </c>
      <c r="DF272" s="49">
        <f>+AK272-AL272</f>
        <v>0</v>
      </c>
      <c r="DG272" s="49">
        <f>+AL272-DC272</f>
        <v>0</v>
      </c>
      <c r="DH272" s="49">
        <f>+AJ272-DC272</f>
        <v>0</v>
      </c>
      <c r="DI272" s="50">
        <f>+IFERROR((DC272/AH272),0)</f>
        <v>0</v>
      </c>
      <c r="DJ272" s="78">
        <f>+SUM(Tabla1[[#This Row],[EJECUTADO 01]:[EJECUTADO 06]])</f>
        <v>1870</v>
      </c>
      <c r="DK272" s="78">
        <f>+Tabla1[[#This Row],[mto_devenga_01]]</f>
        <v>0</v>
      </c>
      <c r="DL272" s="78">
        <f>+Tabla1[[#This Row],[mto_devenga_02]]</f>
        <v>0</v>
      </c>
      <c r="DM272" s="78">
        <f>+Tabla1[[#This Row],[mto_devenga_03]]</f>
        <v>0</v>
      </c>
      <c r="DN272" s="78">
        <f>+Tabla1[[#This Row],[mto_devenga_04]]</f>
        <v>760</v>
      </c>
      <c r="DO272" s="78">
        <f>+Tabla1[[#This Row],[mto_devenga_05]]</f>
        <v>1110</v>
      </c>
      <c r="DP272" s="76">
        <f>+Tabla1[[#This Row],[mto_devenga_06]]</f>
        <v>0</v>
      </c>
      <c r="DQ272" s="76">
        <f>+Tabla1[[#This Row],[mto_devenga_07]]</f>
        <v>0</v>
      </c>
      <c r="DR272" s="76">
        <f>+Tabla1[[#This Row],[mto_devenga_08]]</f>
        <v>0</v>
      </c>
      <c r="DS272" s="76">
        <f>+Tabla1[[#This Row],[mto_devenga_09]]</f>
        <v>0</v>
      </c>
      <c r="DT272" s="76">
        <f>IFERROR(VLOOKUP(Tabla1[[#This Row],[COD SE]],PF_OCTUBRE,14,0),"0")</f>
        <v>0</v>
      </c>
      <c r="DU272" s="76">
        <f>IFERROR(VLOOKUP(Tabla1[[#This Row],[COD SE]],PF_OCTUBRE,15,0),"0")</f>
        <v>0</v>
      </c>
      <c r="DV272" s="76">
        <f>IFERROR(VLOOKUP(Tabla1[[#This Row],[COD SE]],PF_OCTUBRE,16,0),"0")</f>
        <v>0</v>
      </c>
      <c r="DW272" s="76">
        <f>+SUM(Tabla1[[#This Row],[EJECUTADO 01]:[PF DICIEMBRE
]])</f>
        <v>1870</v>
      </c>
      <c r="DX272" s="76">
        <f>IFERROR(VLOOKUP(Tabla1[[#This Row],[COD SE]],PF_OCTUBRE,18,0),"0")</f>
        <v>0</v>
      </c>
      <c r="DY272" s="76">
        <f>IFERROR(VLOOKUP(Tabla1[[#This Row],[COD SE]],PF_OCTUBRE,19,0),"0")</f>
        <v>0</v>
      </c>
      <c r="DZ272" s="76">
        <f>IFERROR(VLOOKUP(Tabla1[[#This Row],[COD SE]],PF_OCTUBRE,20,0),"0")</f>
        <v>0</v>
      </c>
      <c r="EA272" s="76">
        <f>+Tabla1[[#This Row],[TOTAL EJEC REAL]]+Tabla1[[#This Row],[SALDO FINAL]]</f>
        <v>1870</v>
      </c>
      <c r="EB272" s="76">
        <f>IFERROR(VLOOKUP(Tabla1[[#This Row],[COD SE]],PF_OCTUBRE,22,0),"0")</f>
        <v>0</v>
      </c>
      <c r="EC272" s="76">
        <f>+IFERROR(VLOOKUP(Tabla1[[#This Row],[COD SE]],SALDO_ESC_2,7,0),0)</f>
        <v>0</v>
      </c>
      <c r="ED272" s="76">
        <f>+IFERROR(VLOOKUP(Tabla1[[#This Row],[COD SE]],SALDO_ESC_3,7,0),0)</f>
        <v>0</v>
      </c>
      <c r="EE272" s="76">
        <f>+Tabla1[[#This Row],[mto_pim]]-Tabla1[[#This Row],[TRANSF ESC2 ]]</f>
        <v>1870</v>
      </c>
      <c r="EF272" s="76">
        <f>+Tabla1[[#This Row],[mto_pim]]-Tabla1[[#This Row],[TRANFS ESC 3 ]]</f>
        <v>1870</v>
      </c>
      <c r="EG272" s="76">
        <f>+IFERROR(VLOOKUP(Tabla1[[#This Row],[COD SE]],HISTORICO,4,0),0)</f>
        <v>0</v>
      </c>
      <c r="EH272" s="76">
        <f>+IFERROR(VLOOKUP(Tabla1[[#This Row],[COD SE]],HISTORICO,5,0),0)</f>
        <v>0</v>
      </c>
      <c r="EI272" s="76">
        <f>+IFERROR(VLOOKUP(Tabla1[[#This Row],[COD SE]],HISTORICO,6,0),0)</f>
        <v>2000</v>
      </c>
      <c r="EJ272" s="76">
        <f>+IFERROR(VLOOKUP(Tabla1[[#This Row],[COD SE]],HISTORICO,7,0),0)</f>
        <v>2110</v>
      </c>
      <c r="EK272" s="76">
        <f>+IFERROR(VLOOKUP(Tabla1[[#This Row],[COD SE]],HISTORICO,8,0),0)</f>
        <v>1110</v>
      </c>
      <c r="EL272" s="76">
        <f>+IFERROR(VLOOKUP(Tabla1[[#This Row],[COD SE]],HISTORICO,9,0),0)</f>
        <v>0</v>
      </c>
      <c r="EM272" s="76">
        <f>+IFERROR(VLOOKUP(Tabla1[[#This Row],[COD SE]],HISTORICO,10,0),0)</f>
        <v>0</v>
      </c>
      <c r="EN272" s="76">
        <f>+IFERROR(VLOOKUP(Tabla1[[#This Row],[COD SE]],HISTORICO,11,0),0)</f>
        <v>0</v>
      </c>
      <c r="EO272" s="76">
        <f>+IFERROR(VLOOKUP(Tabla1[[#This Row],[COD SE]],HISTORICO,12,0),0)</f>
        <v>0</v>
      </c>
      <c r="EP272" s="58">
        <f>+SUM(Tabla1[[#This Row],[EJECUTADO 01]:[EJECUTADO 03]])</f>
        <v>0</v>
      </c>
      <c r="EQ272" s="58">
        <f>+SUM(Tabla1[[#This Row],[EJECUTADO 04]:[EJECUTADO 06]])</f>
        <v>1870</v>
      </c>
      <c r="ER272" s="58">
        <f>+SUM(Tabla1[[#This Row],[EJECUTADO 07]:[EJECUTADO 09]])</f>
        <v>0</v>
      </c>
      <c r="ES272" s="58">
        <f>+SUM(Tabla1[[#This Row],[PF OCTUBRE]:[PF DICIEMBRE
]])</f>
        <v>0</v>
      </c>
      <c r="ET272" s="58">
        <f>+SUM(Tabla1[[#This Row],[EJECUTADO 01]:[EJECUTADO 09]])</f>
        <v>1870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1599</v>
      </c>
      <c r="G273" s="369" t="s">
        <v>1999</v>
      </c>
      <c r="H273" s="369" t="s">
        <v>1606</v>
      </c>
      <c r="I273" s="369" t="s">
        <v>2000</v>
      </c>
      <c r="J273" s="369" t="s">
        <v>2062</v>
      </c>
      <c r="K273" s="369" t="s">
        <v>1975</v>
      </c>
      <c r="L273" s="369" t="s">
        <v>2034</v>
      </c>
      <c r="M273" s="369" t="s">
        <v>2063</v>
      </c>
      <c r="N273" s="369">
        <v>1</v>
      </c>
      <c r="O273" s="369" t="s">
        <v>2064</v>
      </c>
      <c r="P273" s="369" t="s">
        <v>2032</v>
      </c>
      <c r="Q273" s="369">
        <v>49</v>
      </c>
      <c r="R273" s="369">
        <v>0</v>
      </c>
      <c r="S273" s="369">
        <v>0</v>
      </c>
      <c r="T273" s="369">
        <v>0</v>
      </c>
      <c r="U273" s="369">
        <v>14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1672</v>
      </c>
      <c r="AD273" s="369" t="s">
        <v>1673</v>
      </c>
      <c r="AE273" s="369" t="s">
        <v>1674</v>
      </c>
      <c r="AF273" s="369" t="s">
        <v>1675</v>
      </c>
      <c r="AG273" s="369" t="s">
        <v>1677</v>
      </c>
      <c r="AH273" s="369">
        <v>3000</v>
      </c>
      <c r="AI273" s="369">
        <v>0</v>
      </c>
      <c r="AJ273" s="369">
        <v>3000</v>
      </c>
      <c r="AK273" s="370">
        <v>0</v>
      </c>
      <c r="AL273" s="370">
        <v>0</v>
      </c>
      <c r="AM273" s="370">
        <v>0</v>
      </c>
      <c r="AN273" s="370">
        <v>0</v>
      </c>
      <c r="AO273" s="370">
        <v>0</v>
      </c>
      <c r="AP273" s="370">
        <v>0</v>
      </c>
      <c r="AQ273" s="370">
        <v>0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0</v>
      </c>
      <c r="BC273" s="370">
        <v>0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0</v>
      </c>
      <c r="BO273" s="370">
        <v>0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0</v>
      </c>
      <c r="CA273" s="370">
        <v>0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1991</v>
      </c>
      <c r="CK273" s="48" t="s">
        <v>1987</v>
      </c>
      <c r="CL273" s="48" t="s">
        <v>1990</v>
      </c>
      <c r="CM273" s="48" t="s">
        <v>1987</v>
      </c>
      <c r="CN273" s="48" t="s">
        <v>1987</v>
      </c>
      <c r="CO273" s="10" t="str">
        <f>+CONCATENATE(CI273,".",CJ273,".",CK273,".",CL273,".",CM273,".",CN273)</f>
        <v>2.3.2.1.2.2</v>
      </c>
      <c r="CP273" s="10" t="str">
        <f>+VLOOKUP(Tabla1[[#This Row],[ESPECÍFICA]],CLASIFICADOR_,2,0)</f>
        <v>2.3.2.1.2.2 - VIATICOS Y ASIGNACIONES POR COMISION DE SERVICIO</v>
      </c>
      <c r="CQ273" s="10" t="str">
        <f>+VLOOKUP(Tabla1[[#This Row],[ESPECÍFICA]],CLASIFICADOR_,3,0)</f>
        <v>2.3.2.1 - VIAJES</v>
      </c>
      <c r="CR273" s="10" t="str">
        <f>+VLOOKUP(Tabla1[[#This Row],[ESPECÍFICA]],CLASIFICADOR_,4,0)</f>
        <v>Límite de Gasto</v>
      </c>
      <c r="CS273" s="10" t="str">
        <f>+VLOOKUP(Tabla1[[#This Row],[ESPECÍFICA]],CLASIFICADOR_,5,0)</f>
        <v>10.6 b)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2.3.BIENES Y SERVICIOS</v>
      </c>
      <c r="CX273" s="10" t="str">
        <f t="shared" si="75"/>
        <v>0014-OCI</v>
      </c>
      <c r="CY273" s="5" t="str">
        <f t="shared" si="63"/>
        <v>0014-OCI</v>
      </c>
      <c r="CZ273" t="str">
        <f t="shared" si="76"/>
        <v>0013-OCI</v>
      </c>
      <c r="DA273" s="113" t="str">
        <f>+CONCATENATE(Tabla1[[#This Row],[CC COMPLETO]],Tabla1[[#This Row],[ESPECÍFICA]])</f>
        <v>0014-OCI2.3.2.1.2.2</v>
      </c>
      <c r="DB273" s="11">
        <f>SUM(AM273:AX273)</f>
        <v>0</v>
      </c>
      <c r="DC273" s="11">
        <f>+SUM(AY273:BJ273)</f>
        <v>0</v>
      </c>
      <c r="DD273" s="11">
        <f>+SUM(BK273:BV273)</f>
        <v>0</v>
      </c>
      <c r="DE273" s="11">
        <f>+AJ273-AK273</f>
        <v>3000</v>
      </c>
      <c r="DF273" s="11">
        <f>+AK273-AL273</f>
        <v>0</v>
      </c>
      <c r="DG273" s="11">
        <f>+AL273-DC273</f>
        <v>0</v>
      </c>
      <c r="DH273" s="11">
        <f>+AJ273-DC273</f>
        <v>3000</v>
      </c>
      <c r="DI273" s="12">
        <f>+IFERROR((DC273/AH273),0)</f>
        <v>0</v>
      </c>
      <c r="DJ273" s="77">
        <f>+SUM(Tabla1[[#This Row],[EJECUTADO 01]:[EJECUTADO 06]])</f>
        <v>0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0</v>
      </c>
      <c r="DO273" s="78">
        <f>+Tabla1[[#This Row],[mto_devenga_05]]</f>
        <v>0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3000</v>
      </c>
      <c r="DW273" s="76">
        <f>+SUM(Tabla1[[#This Row],[EJECUTADO 01]:[PF DICIEMBRE
]])</f>
        <v>3000</v>
      </c>
      <c r="DX273" s="76">
        <f>IFERROR(VLOOKUP(Tabla1[[#This Row],[COD SE]],PF_OCTUBRE,18,0),"0")</f>
        <v>0</v>
      </c>
      <c r="DY273" s="76">
        <f>IFERROR(VLOOKUP(Tabla1[[#This Row],[COD SE]],PF_OCTUBRE,19,0),"0")</f>
        <v>0</v>
      </c>
      <c r="DZ273" s="76">
        <f>IFERROR(VLOOKUP(Tabla1[[#This Row],[COD SE]],PF_OCTUBRE,20,0),"0")</f>
        <v>0</v>
      </c>
      <c r="EA273" s="76">
        <f>+Tabla1[[#This Row],[TOTAL EJEC REAL]]+Tabla1[[#This Row],[SALDO FINAL]]</f>
        <v>3000</v>
      </c>
      <c r="EB273" s="76">
        <f>IFERROR(VLOOKUP(Tabla1[[#This Row],[COD SE]],PF_OCTUBRE,22,0),"0")</f>
        <v>3000</v>
      </c>
      <c r="EC273" s="76">
        <f>+IFERROR(VLOOKUP(Tabla1[[#This Row],[COD SE]],SALDO_ESC_2,7,0),0)</f>
        <v>0</v>
      </c>
      <c r="ED273" s="76">
        <f>+IFERROR(VLOOKUP(Tabla1[[#This Row],[COD SE]],SALDO_ESC_3,7,0),0)</f>
        <v>0</v>
      </c>
      <c r="EE273" s="76">
        <f>+Tabla1[[#This Row],[mto_pim]]-Tabla1[[#This Row],[TRANSF ESC2 ]]</f>
        <v>3000</v>
      </c>
      <c r="EF273" s="76">
        <f>+Tabla1[[#This Row],[mto_pim]]-Tabla1[[#This Row],[TRANFS ESC 3 ]]</f>
        <v>3000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0</v>
      </c>
      <c r="EJ273" s="76">
        <f>+IFERROR(VLOOKUP(Tabla1[[#This Row],[COD SE]],HISTORICO,7,0),0)</f>
        <v>0</v>
      </c>
      <c r="EK273" s="76">
        <f>+IFERROR(VLOOKUP(Tabla1[[#This Row],[COD SE]],HISTORICO,8,0),0)</f>
        <v>0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0</v>
      </c>
      <c r="ER273" s="58">
        <f>+SUM(Tabla1[[#This Row],[EJECUTADO 07]:[EJECUTADO 09]])</f>
        <v>0</v>
      </c>
      <c r="ES273" s="58">
        <f>+SUM(Tabla1[[#This Row],[PF OCTUBRE]:[PF DICIEMBRE
]])</f>
        <v>3000</v>
      </c>
      <c r="ET273" s="58">
        <f>+SUM(Tabla1[[#This Row],[EJECUTADO 01]:[EJECUTADO 09]])</f>
        <v>0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1668</v>
      </c>
      <c r="AE274" s="369" t="s">
        <v>1669</v>
      </c>
      <c r="AF274" s="369" t="s">
        <v>1669</v>
      </c>
      <c r="AG274" s="369" t="s">
        <v>1671</v>
      </c>
      <c r="AH274" s="369">
        <v>65077</v>
      </c>
      <c r="AI274" s="369">
        <v>-27903</v>
      </c>
      <c r="AJ274" s="369">
        <v>37174</v>
      </c>
      <c r="AK274" s="370">
        <v>23625.85</v>
      </c>
      <c r="AL274" s="370">
        <v>23625.85</v>
      </c>
      <c r="AM274" s="370">
        <v>3900.24</v>
      </c>
      <c r="AN274" s="370">
        <v>3033.52</v>
      </c>
      <c r="AO274" s="370">
        <v>2780.16</v>
      </c>
      <c r="AP274" s="370">
        <v>3335.03</v>
      </c>
      <c r="AQ274" s="370">
        <v>2776.42</v>
      </c>
      <c r="AR274" s="370">
        <v>2600.16</v>
      </c>
      <c r="AS274" s="370">
        <v>2600.16</v>
      </c>
      <c r="AT274" s="370">
        <v>2600.16</v>
      </c>
      <c r="AU274" s="370">
        <v>0</v>
      </c>
      <c r="AV274" s="370">
        <v>0</v>
      </c>
      <c r="AW274" s="370">
        <v>0</v>
      </c>
      <c r="AX274" s="370">
        <v>0</v>
      </c>
      <c r="AY274" s="370">
        <v>3900.24</v>
      </c>
      <c r="AZ274" s="370">
        <v>3033.52</v>
      </c>
      <c r="BA274" s="370">
        <v>2780.16</v>
      </c>
      <c r="BB274" s="370">
        <v>3335.03</v>
      </c>
      <c r="BC274" s="370">
        <v>2776.42</v>
      </c>
      <c r="BD274" s="370">
        <v>2600.16</v>
      </c>
      <c r="BE274" s="370">
        <v>2600.16</v>
      </c>
      <c r="BF274" s="370">
        <v>2600.16</v>
      </c>
      <c r="BG274" s="370">
        <v>0</v>
      </c>
      <c r="BH274" s="370">
        <v>0</v>
      </c>
      <c r="BI274" s="370">
        <v>0</v>
      </c>
      <c r="BJ274" s="370">
        <v>0</v>
      </c>
      <c r="BK274" s="370">
        <v>3900.24</v>
      </c>
      <c r="BL274" s="370">
        <v>3033.52</v>
      </c>
      <c r="BM274" s="370">
        <v>2780.16</v>
      </c>
      <c r="BN274" s="370">
        <v>3335.03</v>
      </c>
      <c r="BO274" s="370">
        <v>2776.42</v>
      </c>
      <c r="BP274" s="370">
        <v>2600.16</v>
      </c>
      <c r="BQ274" s="370">
        <v>2600.16</v>
      </c>
      <c r="BR274" s="370">
        <v>2600.16</v>
      </c>
      <c r="BS274" s="370">
        <v>0</v>
      </c>
      <c r="BT274" s="370">
        <v>0</v>
      </c>
      <c r="BU274" s="370">
        <v>0</v>
      </c>
      <c r="BV274" s="370">
        <v>0</v>
      </c>
      <c r="BW274" s="370">
        <v>3900.24</v>
      </c>
      <c r="BX274" s="370">
        <v>3033.52</v>
      </c>
      <c r="BY274" s="370">
        <v>2780.16</v>
      </c>
      <c r="BZ274" s="370">
        <v>3335.03</v>
      </c>
      <c r="CA274" s="370">
        <v>2776.42</v>
      </c>
      <c r="CB274" s="370">
        <v>2600.16</v>
      </c>
      <c r="CC274" s="370">
        <v>2600.16</v>
      </c>
      <c r="CD274" s="370">
        <v>2600.16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1991</v>
      </c>
      <c r="CL274" s="48" t="s">
        <v>1990</v>
      </c>
      <c r="CM274" s="48" t="s">
        <v>1990</v>
      </c>
      <c r="CN274" s="48" t="s">
        <v>2014</v>
      </c>
      <c r="CO274" s="10" t="str">
        <f t="shared" ref="CO274:CO275" si="85">+CONCATENATE(CI274,".",CJ274,".",CK274,".",CL274,".",CM274,".",CN274)</f>
        <v>2.1.3.1.1.15</v>
      </c>
      <c r="CP274" s="10" t="str">
        <f>+VLOOKUP(Tabla1[[#This Row],[ESPECÍFICA]],CLASIFICADOR_,2,0)</f>
        <v>2.1.3.1.1.15 - CONTRIBUCIONES A ESSALUD DE CONTRATO ADMINISTRATIVO DE SERVICIOS</v>
      </c>
      <c r="CQ274" s="10" t="str">
        <f>+VLOOKUP(Tabla1[[#This Row],[ESPECÍFICA]],CLASIFICADOR_,3,0)</f>
        <v>01.CAS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6">+VLOOKUP(U274,CC_COMPLETO,2,0)</f>
        <v>0015-DCEME</v>
      </c>
      <c r="CY274" s="5" t="str">
        <f t="shared" si="63"/>
        <v>0015-DCEME (EX DCC)</v>
      </c>
      <c r="CZ274" t="str">
        <f t="shared" ref="CZ274:CZ315" si="87">+VLOOKUP(U274,CC_COMPLETO,4,0)</f>
        <v>0015-DCEME</v>
      </c>
      <c r="DA274" s="113" t="str">
        <f>+CONCATENATE(Tabla1[[#This Row],[CC COMPLETO]],Tabla1[[#This Row],[ESPECÍFICA]])</f>
        <v>0015-DCEME2.1.3.1.1.15</v>
      </c>
      <c r="DB274" s="11">
        <f t="shared" ref="DB274:DB275" si="88">SUM(AM274:AX274)</f>
        <v>23625.85</v>
      </c>
      <c r="DC274" s="11">
        <f t="shared" ref="DC274:DC275" si="89">+SUM(AY274:BJ274)</f>
        <v>23625.85</v>
      </c>
      <c r="DD274" s="11">
        <f t="shared" ref="DD274:DD275" si="90">+SUM(BK274:BV274)</f>
        <v>23625.85</v>
      </c>
      <c r="DE274" s="11">
        <f t="shared" ref="DE274:DE275" si="91">+AJ274-AK274</f>
        <v>13548.150000000001</v>
      </c>
      <c r="DF274" s="11">
        <f t="shared" ref="DF274:DF275" si="92">+AK274-AL274</f>
        <v>0</v>
      </c>
      <c r="DG274" s="11">
        <f t="shared" ref="DG274:DG275" si="93">+AL274-DC274</f>
        <v>0</v>
      </c>
      <c r="DH274" s="11">
        <f t="shared" ref="DH274:DH275" si="94">+AJ274-DC274</f>
        <v>13548.150000000001</v>
      </c>
      <c r="DI274" s="12">
        <f t="shared" ref="DI274:DI275" si="95">+IFERROR((DC274/AH274),0)</f>
        <v>0.36304454722866758</v>
      </c>
      <c r="DJ274" s="77">
        <f>+SUM(Tabla1[[#This Row],[EJECUTADO 01]:[EJECUTADO 06]])</f>
        <v>18425.53</v>
      </c>
      <c r="DK274" s="78">
        <f>+Tabla1[[#This Row],[mto_devenga_01]]</f>
        <v>3900.24</v>
      </c>
      <c r="DL274" s="78">
        <f>+Tabla1[[#This Row],[mto_devenga_02]]</f>
        <v>3033.52</v>
      </c>
      <c r="DM274" s="78">
        <f>+Tabla1[[#This Row],[mto_devenga_03]]</f>
        <v>2780.16</v>
      </c>
      <c r="DN274" s="78">
        <f>+Tabla1[[#This Row],[mto_devenga_04]]</f>
        <v>3335.03</v>
      </c>
      <c r="DO274" s="78">
        <f>+Tabla1[[#This Row],[mto_devenga_05]]</f>
        <v>2776.42</v>
      </c>
      <c r="DP274" s="76">
        <f>+Tabla1[[#This Row],[mto_devenga_06]]</f>
        <v>2600.16</v>
      </c>
      <c r="DQ274" s="76">
        <f>+Tabla1[[#This Row],[mto_devenga_07]]</f>
        <v>2600.16</v>
      </c>
      <c r="DR274" s="76">
        <f>+Tabla1[[#This Row],[mto_devenga_08]]</f>
        <v>2600.16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23625.85</v>
      </c>
      <c r="DX274" s="76">
        <f>IFERROR(VLOOKUP(Tabla1[[#This Row],[COD SE]],PF_OCTUBRE,18,0),"0")</f>
        <v>0</v>
      </c>
      <c r="DY274" s="76">
        <f>IFERROR(VLOOKUP(Tabla1[[#This Row],[COD SE]],PF_OCTUBRE,19,0),"0")</f>
        <v>13548.15</v>
      </c>
      <c r="DZ274" s="76">
        <f>IFERROR(VLOOKUP(Tabla1[[#This Row],[COD SE]],PF_OCTUBRE,20,0),"0")</f>
        <v>13548.15</v>
      </c>
      <c r="EA274" s="76">
        <f>+Tabla1[[#This Row],[TOTAL EJEC REAL]]+Tabla1[[#This Row],[SALDO FINAL]]</f>
        <v>37174</v>
      </c>
      <c r="EB274" s="76">
        <f>IFERROR(VLOOKUP(Tabla1[[#This Row],[COD SE]],PF_OCTUBRE,22,0),"0")</f>
        <v>13548.15</v>
      </c>
      <c r="EC274" s="76">
        <f>+IFERROR(VLOOKUP(Tabla1[[#This Row],[COD SE]],SALDO_ESC_2,7,0),0)</f>
        <v>0</v>
      </c>
      <c r="ED274" s="76">
        <f>+IFERROR(VLOOKUP(Tabla1[[#This Row],[COD SE]],SALDO_ESC_3,7,0),0)</f>
        <v>13548.15</v>
      </c>
      <c r="EE274" s="76">
        <f>+Tabla1[[#This Row],[mto_pim]]-Tabla1[[#This Row],[TRANSF ESC2 ]]</f>
        <v>37174</v>
      </c>
      <c r="EF274" s="76">
        <f>+Tabla1[[#This Row],[mto_pim]]-Tabla1[[#This Row],[TRANFS ESC 3 ]]</f>
        <v>23625.85</v>
      </c>
      <c r="EG274" s="76">
        <f>+IFERROR(VLOOKUP(Tabla1[[#This Row],[COD SE]],HISTORICO,4,0),0)</f>
        <v>4593.6799999999994</v>
      </c>
      <c r="EH274" s="76">
        <f>+IFERROR(VLOOKUP(Tabla1[[#This Row],[COD SE]],HISTORICO,5,0),0)</f>
        <v>2575.8599999999997</v>
      </c>
      <c r="EI274" s="76">
        <f>+IFERROR(VLOOKUP(Tabla1[[#This Row],[COD SE]],HISTORICO,6,0),0)</f>
        <v>4333.5999999999995</v>
      </c>
      <c r="EJ274" s="76">
        <f>+IFERROR(VLOOKUP(Tabla1[[#This Row],[COD SE]],HISTORICO,7,0),0)</f>
        <v>2600.16</v>
      </c>
      <c r="EK274" s="76">
        <f>+IFERROR(VLOOKUP(Tabla1[[#This Row],[COD SE]],HISTORICO,8,0),0)</f>
        <v>2600.16</v>
      </c>
      <c r="EL274" s="76">
        <f>+IFERROR(VLOOKUP(Tabla1[[#This Row],[COD SE]],HISTORICO,9,0),0)</f>
        <v>2600.16</v>
      </c>
      <c r="EM274" s="76">
        <f>+IFERROR(VLOOKUP(Tabla1[[#This Row],[COD SE]],HISTORICO,10,0),0)</f>
        <v>2600.16</v>
      </c>
      <c r="EN274" s="76">
        <f>+IFERROR(VLOOKUP(Tabla1[[#This Row],[COD SE]],HISTORICO,11,0),0)</f>
        <v>2600.16</v>
      </c>
      <c r="EO274" s="76">
        <f>+IFERROR(VLOOKUP(Tabla1[[#This Row],[COD SE]],HISTORICO,12,0),0)</f>
        <v>0</v>
      </c>
      <c r="EP274" s="58">
        <f>+SUM(Tabla1[[#This Row],[EJECUTADO 01]:[EJECUTADO 03]])</f>
        <v>9713.92</v>
      </c>
      <c r="EQ274" s="58">
        <f>+SUM(Tabla1[[#This Row],[EJECUTADO 04]:[EJECUTADO 06]])</f>
        <v>8711.61</v>
      </c>
      <c r="ER274" s="58">
        <f>+SUM(Tabla1[[#This Row],[EJECUTADO 07]:[EJECUTADO 09]])</f>
        <v>5200.32</v>
      </c>
      <c r="ES274" s="58">
        <f>+SUM(Tabla1[[#This Row],[PF OCTUBRE]:[PF DICIEMBRE
]])</f>
        <v>0</v>
      </c>
      <c r="ET274" s="58">
        <f>+SUM(Tabla1[[#This Row],[EJECUTADO 01]:[EJECUTADO 09]])</f>
        <v>23625.85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1656</v>
      </c>
      <c r="AD275" s="369" t="s">
        <v>2006</v>
      </c>
      <c r="AE275" s="369" t="s">
        <v>2007</v>
      </c>
      <c r="AF275" s="369" t="s">
        <v>2007</v>
      </c>
      <c r="AG275" s="369" t="s">
        <v>2008</v>
      </c>
      <c r="AH275" s="369">
        <v>0</v>
      </c>
      <c r="AI275" s="369">
        <v>0</v>
      </c>
      <c r="AJ275" s="369">
        <v>0</v>
      </c>
      <c r="AK275" s="370">
        <v>0</v>
      </c>
      <c r="AL275" s="370">
        <v>0</v>
      </c>
      <c r="AM275" s="370">
        <v>0</v>
      </c>
      <c r="AN275" s="370">
        <v>0</v>
      </c>
      <c r="AO275" s="370">
        <v>0</v>
      </c>
      <c r="AP275" s="370">
        <v>0</v>
      </c>
      <c r="AQ275" s="370">
        <v>0</v>
      </c>
      <c r="AR275" s="370">
        <v>0</v>
      </c>
      <c r="AS275" s="370">
        <v>0</v>
      </c>
      <c r="AT275" s="370">
        <v>0</v>
      </c>
      <c r="AU275" s="370">
        <v>0</v>
      </c>
      <c r="AV275" s="370">
        <v>0</v>
      </c>
      <c r="AW275" s="370">
        <v>0</v>
      </c>
      <c r="AX275" s="370">
        <v>0</v>
      </c>
      <c r="AY275" s="370">
        <v>0</v>
      </c>
      <c r="AZ275" s="370">
        <v>0</v>
      </c>
      <c r="BA275" s="370">
        <v>0</v>
      </c>
      <c r="BB275" s="370">
        <v>0</v>
      </c>
      <c r="BC275" s="370">
        <v>0</v>
      </c>
      <c r="BD275" s="370">
        <v>0</v>
      </c>
      <c r="BE275" s="370">
        <v>0</v>
      </c>
      <c r="BF275" s="370">
        <v>0</v>
      </c>
      <c r="BG275" s="370">
        <v>0</v>
      </c>
      <c r="BH275" s="370">
        <v>0</v>
      </c>
      <c r="BI275" s="370">
        <v>0</v>
      </c>
      <c r="BJ275" s="370">
        <v>0</v>
      </c>
      <c r="BK275" s="370">
        <v>0</v>
      </c>
      <c r="BL275" s="370">
        <v>0</v>
      </c>
      <c r="BM275" s="370">
        <v>0</v>
      </c>
      <c r="BN275" s="370">
        <v>0</v>
      </c>
      <c r="BO275" s="370">
        <v>0</v>
      </c>
      <c r="BP275" s="370">
        <v>0</v>
      </c>
      <c r="BQ275" s="370">
        <v>0</v>
      </c>
      <c r="BR275" s="370">
        <v>0</v>
      </c>
      <c r="BS275" s="370">
        <v>0</v>
      </c>
      <c r="BT275" s="370">
        <v>0</v>
      </c>
      <c r="BU275" s="370">
        <v>0</v>
      </c>
      <c r="BV275" s="370">
        <v>0</v>
      </c>
      <c r="BW275" s="370">
        <v>0</v>
      </c>
      <c r="BX275" s="370">
        <v>0</v>
      </c>
      <c r="BY275" s="370">
        <v>0</v>
      </c>
      <c r="BZ275" s="370">
        <v>0</v>
      </c>
      <c r="CA275" s="370">
        <v>0</v>
      </c>
      <c r="CB275" s="370">
        <v>0</v>
      </c>
      <c r="CC275" s="370">
        <v>0</v>
      </c>
      <c r="CD275" s="370">
        <v>0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1990</v>
      </c>
      <c r="CK275" s="48" t="s">
        <v>1993</v>
      </c>
      <c r="CL275" s="48" t="s">
        <v>1990</v>
      </c>
      <c r="CM275" s="48" t="s">
        <v>1990</v>
      </c>
      <c r="CN275" s="48" t="s">
        <v>1988</v>
      </c>
      <c r="CO275" s="10" t="str">
        <f t="shared" si="85"/>
        <v>2.1.4.1.1.6</v>
      </c>
      <c r="CP275" s="10" t="str">
        <f>+VLOOKUP(Tabla1[[#This Row],[ESPECÍFICA]],CLASIFICADOR_,2,0)</f>
        <v>2.1.4.1.1.6 - COMPENSACION VACACIONAL (VACACIONES TRUNCAS) AL PERSONAL ACTIVO</v>
      </c>
      <c r="CQ275" s="10" t="str">
        <f>+VLOOKUP(Tabla1[[#This Row],[ESPECÍFICA]],CLASIFICADOR_,3,0)</f>
        <v>02.SERVIR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2.1.PERSONAL Y OBLIGACIONES SOCIALES</v>
      </c>
      <c r="CX275" s="10" t="str">
        <f t="shared" si="86"/>
        <v>0015-DCEME</v>
      </c>
      <c r="CY275" s="5" t="str">
        <f t="shared" si="63"/>
        <v>0015-DCEME (EX DCC)</v>
      </c>
      <c r="CZ275" t="str">
        <f t="shared" si="87"/>
        <v>0015-DCEME</v>
      </c>
      <c r="DA275" s="113" t="str">
        <f>+CONCATENATE(Tabla1[[#This Row],[CC COMPLETO]],Tabla1[[#This Row],[ESPECÍFICA]])</f>
        <v>0015-DCEME2.1.4.1.1.6</v>
      </c>
      <c r="DB275" s="11">
        <f t="shared" si="88"/>
        <v>0</v>
      </c>
      <c r="DC275" s="11">
        <f t="shared" si="89"/>
        <v>0</v>
      </c>
      <c r="DD275" s="11">
        <f t="shared" si="90"/>
        <v>0</v>
      </c>
      <c r="DE275" s="11">
        <f t="shared" si="91"/>
        <v>0</v>
      </c>
      <c r="DF275" s="11">
        <f t="shared" si="92"/>
        <v>0</v>
      </c>
      <c r="DG275" s="11">
        <f t="shared" si="93"/>
        <v>0</v>
      </c>
      <c r="DH275" s="11">
        <f t="shared" si="94"/>
        <v>0</v>
      </c>
      <c r="DI275" s="12">
        <f t="shared" si="95"/>
        <v>0</v>
      </c>
      <c r="DJ275" s="77">
        <f>+SUM(Tabla1[[#This Row],[EJECUTADO 01]:[EJECUTADO 06]])</f>
        <v>0</v>
      </c>
      <c r="DK275" s="78">
        <f>+Tabla1[[#This Row],[mto_devenga_01]]</f>
        <v>0</v>
      </c>
      <c r="DL275" s="78">
        <f>+Tabla1[[#This Row],[mto_devenga_02]]</f>
        <v>0</v>
      </c>
      <c r="DM275" s="78">
        <f>+Tabla1[[#This Row],[mto_devenga_03]]</f>
        <v>0</v>
      </c>
      <c r="DN275" s="78">
        <f>+Tabla1[[#This Row],[mto_devenga_04]]</f>
        <v>0</v>
      </c>
      <c r="DO275" s="78">
        <f>+Tabla1[[#This Row],[mto_devenga_05]]</f>
        <v>0</v>
      </c>
      <c r="DP275" s="76">
        <f>+Tabla1[[#This Row],[mto_devenga_06]]</f>
        <v>0</v>
      </c>
      <c r="DQ275" s="76">
        <f>+Tabla1[[#This Row],[mto_devenga_07]]</f>
        <v>0</v>
      </c>
      <c r="DR275" s="76">
        <f>+Tabla1[[#This Row],[mto_devenga_08]]</f>
        <v>0</v>
      </c>
      <c r="DS275" s="76">
        <f>+Tabla1[[#This Row],[mto_devenga_09]]</f>
        <v>0</v>
      </c>
      <c r="DT275" s="76" t="str">
        <f>IFERROR(VLOOKUP(Tabla1[[#This Row],[COD SE]],PF_OCTUBRE,14,0),"0")</f>
        <v>0</v>
      </c>
      <c r="DU275" s="76" t="str">
        <f>IFERROR(VLOOKUP(Tabla1[[#This Row],[COD SE]],PF_OCTUBRE,15,0),"0")</f>
        <v>0</v>
      </c>
      <c r="DV275" s="76" t="str">
        <f>IFERROR(VLOOKUP(Tabla1[[#This Row],[COD SE]],PF_OCTUBRE,16,0),"0")</f>
        <v>0</v>
      </c>
      <c r="DW275" s="76">
        <f>+SUM(Tabla1[[#This Row],[EJECUTADO 01]:[PF DICIEMBRE
]])</f>
        <v>0</v>
      </c>
      <c r="DX275" s="76" t="str">
        <f>IFERROR(VLOOKUP(Tabla1[[#This Row],[COD SE]],PF_OCTUBRE,18,0),"0")</f>
        <v>0</v>
      </c>
      <c r="DY275" s="76" t="str">
        <f>IFERROR(VLOOKUP(Tabla1[[#This Row],[COD SE]],PF_OCTUBRE,19,0),"0")</f>
        <v>0</v>
      </c>
      <c r="DZ275" s="76" t="str">
        <f>IFERROR(VLOOKUP(Tabla1[[#This Row],[COD SE]],PF_OCTUBRE,20,0),"0")</f>
        <v>0</v>
      </c>
      <c r="EA275" s="76">
        <f>+Tabla1[[#This Row],[TOTAL EJEC REAL]]+Tabla1[[#This Row],[SALDO FINAL]]</f>
        <v>0</v>
      </c>
      <c r="EB275" s="76" t="str">
        <f>IFERROR(VLOOKUP(Tabla1[[#This Row],[COD SE]],PF_OCTUBRE,22,0),"0")</f>
        <v>0</v>
      </c>
      <c r="EC275" s="76">
        <f>+IFERROR(VLOOKUP(Tabla1[[#This Row],[COD SE]],SALDO_ESC_2,7,0),0)</f>
        <v>0</v>
      </c>
      <c r="ED275" s="76">
        <f>+IFERROR(VLOOKUP(Tabla1[[#This Row],[COD SE]],SALDO_ESC_3,7,0),0)</f>
        <v>0</v>
      </c>
      <c r="EE275" s="76">
        <f>+Tabla1[[#This Row],[mto_pim]]-Tabla1[[#This Row],[TRANSF ESC2 ]]</f>
        <v>0</v>
      </c>
      <c r="EF275" s="76">
        <f>+Tabla1[[#This Row],[mto_pim]]-Tabla1[[#This Row],[TRANFS ESC 3 ]]</f>
        <v>0</v>
      </c>
      <c r="EG275" s="76">
        <f>+IFERROR(VLOOKUP(Tabla1[[#This Row],[COD SE]],HISTORICO,4,0),0)</f>
        <v>0</v>
      </c>
      <c r="EH275" s="76">
        <f>+IFERROR(VLOOKUP(Tabla1[[#This Row],[COD SE]],HISTORICO,5,0),0)</f>
        <v>0</v>
      </c>
      <c r="EI275" s="76">
        <f>+IFERROR(VLOOKUP(Tabla1[[#This Row],[COD SE]],HISTORICO,6,0),0)</f>
        <v>0</v>
      </c>
      <c r="EJ275" s="76">
        <f>+IFERROR(VLOOKUP(Tabla1[[#This Row],[COD SE]],HISTORICO,7,0),0)</f>
        <v>0</v>
      </c>
      <c r="EK275" s="76">
        <f>+IFERROR(VLOOKUP(Tabla1[[#This Row],[COD SE]],HISTORICO,8,0),0)</f>
        <v>0</v>
      </c>
      <c r="EL275" s="76">
        <f>+IFERROR(VLOOKUP(Tabla1[[#This Row],[COD SE]],HISTORICO,9,0),0)</f>
        <v>0</v>
      </c>
      <c r="EM275" s="76">
        <f>+IFERROR(VLOOKUP(Tabla1[[#This Row],[COD SE]],HISTORICO,10,0),0)</f>
        <v>0</v>
      </c>
      <c r="EN275" s="76">
        <f>+IFERROR(VLOOKUP(Tabla1[[#This Row],[COD SE]],HISTORICO,11,0),0)</f>
        <v>0</v>
      </c>
      <c r="EO275" s="76">
        <f>+IFERROR(VLOOKUP(Tabla1[[#This Row],[COD SE]],HISTORICO,12,0),0)</f>
        <v>0</v>
      </c>
      <c r="EP275" s="58">
        <f>+SUM(Tabla1[[#This Row],[EJECUTADO 01]:[EJECUTADO 03]])</f>
        <v>0</v>
      </c>
      <c r="EQ275" s="58">
        <f>+SUM(Tabla1[[#This Row],[EJECUTADO 04]:[EJECUTADO 06]])</f>
        <v>0</v>
      </c>
      <c r="ER275" s="58">
        <f>+SUM(Tabla1[[#This Row],[EJECUTADO 07]:[EJECUTADO 09]])</f>
        <v>0</v>
      </c>
      <c r="ES275" s="58">
        <f>+SUM(Tabla1[[#This Row],[PF OCTUBRE]:[PF DICIEMBRE
]])</f>
        <v>0</v>
      </c>
      <c r="ET275" s="58">
        <f>+SUM(Tabla1[[#This Row],[EJECUTADO 01]:[EJECUTADO 09]])</f>
        <v>0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1657</v>
      </c>
      <c r="AE276" s="369" t="s">
        <v>1664</v>
      </c>
      <c r="AF276" s="369" t="s">
        <v>1665</v>
      </c>
      <c r="AG276" s="369" t="s">
        <v>1667</v>
      </c>
      <c r="AH276" s="369">
        <v>15600</v>
      </c>
      <c r="AI276" s="369">
        <v>-5400</v>
      </c>
      <c r="AJ276" s="369">
        <v>10200</v>
      </c>
      <c r="AK276" s="370">
        <v>3600</v>
      </c>
      <c r="AL276" s="370">
        <v>3600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3600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3600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3600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3600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1990</v>
      </c>
      <c r="CL276" s="48" t="s">
        <v>2005</v>
      </c>
      <c r="CM276" s="48" t="s">
        <v>1990</v>
      </c>
      <c r="CN276" s="48" t="s">
        <v>1993</v>
      </c>
      <c r="CO276" s="10" t="str">
        <f>+CONCATENATE(CI276,".",CJ276,".",CK276,".",CL276,".",CM276,".",CN276)</f>
        <v>2.1.1.9.1.4</v>
      </c>
      <c r="CP276" s="10" t="str">
        <f>+VLOOKUP(Tabla1[[#This Row],[ESPECÍFICA]],CLASIFICADOR_,2,0)</f>
        <v>2.1.1.9.1.4 - AGUINALDOS DE CONTRATO ADMINISTRATIVO DE SERVICIOS</v>
      </c>
      <c r="CQ276" s="10" t="str">
        <f>+VLOOKUP(Tabla1[[#This Row],[ESPECÍFICA]],CLASIFICADOR_,3,0)</f>
        <v>01.CAS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6"/>
        <v>0015-DCEME</v>
      </c>
      <c r="CY276" s="5" t="str">
        <f t="shared" si="63"/>
        <v>0015-DCEME (EX DCC)</v>
      </c>
      <c r="CZ276" t="str">
        <f t="shared" si="87"/>
        <v>0015-DCEME</v>
      </c>
      <c r="DA276" s="113" t="str">
        <f>+CONCATENATE(Tabla1[[#This Row],[CC COMPLETO]],Tabla1[[#This Row],[ESPECÍFICA]])</f>
        <v>0015-DCEME2.1.1.9.1.4</v>
      </c>
      <c r="DB276" s="11">
        <f>SUM(AM276:AX276)</f>
        <v>3600</v>
      </c>
      <c r="DC276" s="11">
        <f>+SUM(AY276:BJ276)</f>
        <v>3600</v>
      </c>
      <c r="DD276" s="11">
        <f>+SUM(BK276:BV276)</f>
        <v>3600</v>
      </c>
      <c r="DE276" s="11">
        <f>+AJ276-AK276</f>
        <v>6600</v>
      </c>
      <c r="DF276" s="11">
        <f>+AK276-AL276</f>
        <v>0</v>
      </c>
      <c r="DG276" s="11">
        <f>+AL276-DC276</f>
        <v>0</v>
      </c>
      <c r="DH276" s="11">
        <f>+AJ276-DC276</f>
        <v>6600</v>
      </c>
      <c r="DI276" s="12">
        <f>+IFERROR((DC276/AH276),0)</f>
        <v>0.23076923076923078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3600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3600</v>
      </c>
      <c r="DX276" s="76">
        <f>IFERROR(VLOOKUP(Tabla1[[#This Row],[COD SE]],PF_OCTUBRE,18,0),"0")</f>
        <v>0</v>
      </c>
      <c r="DY276" s="76">
        <f>IFERROR(VLOOKUP(Tabla1[[#This Row],[COD SE]],PF_OCTUBRE,19,0),"0")</f>
        <v>6600</v>
      </c>
      <c r="DZ276" s="76">
        <f>IFERROR(VLOOKUP(Tabla1[[#This Row],[COD SE]],PF_OCTUBRE,20,0),"0")</f>
        <v>6600</v>
      </c>
      <c r="EA276" s="76">
        <f>+Tabla1[[#This Row],[TOTAL EJEC REAL]]+Tabla1[[#This Row],[SALDO FINAL]]</f>
        <v>10200</v>
      </c>
      <c r="EB276" s="76">
        <f>IFERROR(VLOOKUP(Tabla1[[#This Row],[COD SE]],PF_OCTUBRE,22,0),"0")</f>
        <v>6600</v>
      </c>
      <c r="EC276" s="76">
        <f>+IFERROR(VLOOKUP(Tabla1[[#This Row],[COD SE]],SALDO_ESC_2,7,0),0)</f>
        <v>0</v>
      </c>
      <c r="ED276" s="76">
        <f>+IFERROR(VLOOKUP(Tabla1[[#This Row],[COD SE]],SALDO_ESC_3,7,0),0)</f>
        <v>6600</v>
      </c>
      <c r="EE276" s="76">
        <f>+Tabla1[[#This Row],[mto_pim]]-Tabla1[[#This Row],[TRANSF ESC2 ]]</f>
        <v>10200</v>
      </c>
      <c r="EF276" s="76">
        <f>+Tabla1[[#This Row],[mto_pim]]-Tabla1[[#This Row],[TRANFS ESC 3 ]]</f>
        <v>3600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3900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3600</v>
      </c>
      <c r="ES276" s="58">
        <f>+SUM(Tabla1[[#This Row],[PF OCTUBRE]:[PF DICIEMBRE
]])</f>
        <v>0</v>
      </c>
      <c r="ET276" s="58">
        <f>+SUM(Tabla1[[#This Row],[EJECUTADO 01]:[EJECUTADO 09]])</f>
        <v>3600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1656</v>
      </c>
      <c r="AD277" s="369" t="s">
        <v>1657</v>
      </c>
      <c r="AE277" s="369" t="s">
        <v>1658</v>
      </c>
      <c r="AF277" s="369" t="s">
        <v>1658</v>
      </c>
      <c r="AG277" s="369" t="s">
        <v>1659</v>
      </c>
      <c r="AH277" s="369">
        <v>0</v>
      </c>
      <c r="AI277" s="369">
        <v>0</v>
      </c>
      <c r="AJ277" s="369">
        <v>0</v>
      </c>
      <c r="AK277" s="370">
        <v>0</v>
      </c>
      <c r="AL277" s="370">
        <v>0</v>
      </c>
      <c r="AM277" s="370">
        <v>0</v>
      </c>
      <c r="AN277" s="370">
        <v>0</v>
      </c>
      <c r="AO277" s="370">
        <v>0</v>
      </c>
      <c r="AP277" s="370">
        <v>0</v>
      </c>
      <c r="AQ277" s="370">
        <v>0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0</v>
      </c>
      <c r="BC277" s="370">
        <v>0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0</v>
      </c>
      <c r="BO277" s="370">
        <v>0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0</v>
      </c>
      <c r="CA277" s="370">
        <v>0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1990</v>
      </c>
      <c r="CK277" s="48" t="s">
        <v>1990</v>
      </c>
      <c r="CL277" s="48" t="s">
        <v>1990</v>
      </c>
      <c r="CM277" s="48" t="s">
        <v>1990</v>
      </c>
      <c r="CN277" s="48" t="s">
        <v>1992</v>
      </c>
      <c r="CO277" s="10" t="str">
        <f>+CONCATENATE(CI277,".",CJ277,".",CK277,".",CL277,".",CM277,".",CN277)</f>
        <v>2.1.1.1.1.8</v>
      </c>
      <c r="CP277" s="10" t="str">
        <f>+VLOOKUP(Tabla1[[#This Row],[ESPECÍFICA]],CLASIFICADOR_,2,0)</f>
        <v>2.1.1.1.1.8 - PERSONAL DE LA LEY SERVIR (RÉGIMEN DEL SERVICIO CIVIL)</v>
      </c>
      <c r="CQ277" s="10" t="str">
        <f>+VLOOKUP(Tabla1[[#This Row],[ESPECÍFICA]],CLASIFICADOR_,3,0)</f>
        <v>02.SERVIR</v>
      </c>
      <c r="CR277" s="10" t="str">
        <f>+VLOOKUP(Tabla1[[#This Row],[ESPECÍFICA]],CLASIFICADOR_,4,0)</f>
        <v xml:space="preserve"> </v>
      </c>
      <c r="CS277" s="10">
        <f>+VLOOKUP(Tabla1[[#This Row],[ESPECÍFICA]],CLASIFICADOR_,5,0)</f>
        <v>0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2.1.PERSONAL Y OBLIGACIONES SOCIALES</v>
      </c>
      <c r="CX277" s="10" t="str">
        <f t="shared" si="86"/>
        <v>0015-DCEME</v>
      </c>
      <c r="CY277" s="5" t="str">
        <f t="shared" si="63"/>
        <v>0015-DCEME (EX DCC)</v>
      </c>
      <c r="CZ277" t="str">
        <f t="shared" si="87"/>
        <v>0015-DCEME</v>
      </c>
      <c r="DA277" s="113" t="str">
        <f>+CONCATENATE(Tabla1[[#This Row],[CC COMPLETO]],Tabla1[[#This Row],[ESPECÍFICA]])</f>
        <v>0015-DCEME2.1.1.1.1.8</v>
      </c>
      <c r="DB277" s="11">
        <f>SUM(AM277:AX277)</f>
        <v>0</v>
      </c>
      <c r="DC277" s="11">
        <f>+SUM(AY277:BJ277)</f>
        <v>0</v>
      </c>
      <c r="DD277" s="11">
        <f>+SUM(BK277:BV277)</f>
        <v>0</v>
      </c>
      <c r="DE277" s="11">
        <f>+AJ277-AK277</f>
        <v>0</v>
      </c>
      <c r="DF277" s="11">
        <f>+AK277-AL277</f>
        <v>0</v>
      </c>
      <c r="DG277" s="11">
        <f>+AL277-DC277</f>
        <v>0</v>
      </c>
      <c r="DH277" s="11">
        <f>+AJ277-DC277</f>
        <v>0</v>
      </c>
      <c r="DI277" s="12">
        <f>+IFERROR((DC277/AH277),0)</f>
        <v>0</v>
      </c>
      <c r="DJ277" s="77">
        <f>+SUM(Tabla1[[#This Row],[EJECUTADO 01]:[EJECUTADO 06]])</f>
        <v>0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0</v>
      </c>
      <c r="DO277" s="285">
        <f>+Tabla1[[#This Row],[mto_devenga_05]]</f>
        <v>0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0</v>
      </c>
      <c r="DW277" s="76">
        <f>+SUM(Tabla1[[#This Row],[EJECUTADO 01]:[PF DICIEMBRE
]])</f>
        <v>0</v>
      </c>
      <c r="DX277" s="76">
        <f>IFERROR(VLOOKUP(Tabla1[[#This Row],[COD SE]],PF_OCTUBRE,18,0),"0")</f>
        <v>0</v>
      </c>
      <c r="DY277" s="76">
        <f>IFERROR(VLOOKUP(Tabla1[[#This Row],[COD SE]],PF_OCTUBRE,19,0),"0")</f>
        <v>0</v>
      </c>
      <c r="DZ277" s="76">
        <f>IFERROR(VLOOKUP(Tabla1[[#This Row],[COD SE]],PF_OCTUBRE,20,0),"0")</f>
        <v>0</v>
      </c>
      <c r="EA277" s="76">
        <f>+Tabla1[[#This Row],[TOTAL EJEC REAL]]+Tabla1[[#This Row],[SALDO FINAL]]</f>
        <v>0</v>
      </c>
      <c r="EB277" s="76">
        <f>IFERROR(VLOOKUP(Tabla1[[#This Row],[COD SE]],PF_OCTUBRE,22,0),"0")</f>
        <v>0</v>
      </c>
      <c r="EC277" s="76">
        <f>+IFERROR(VLOOKUP(Tabla1[[#This Row],[COD SE]],SALDO_ESC_2,7,0),0)</f>
        <v>0</v>
      </c>
      <c r="ED277" s="76">
        <f>+IFERROR(VLOOKUP(Tabla1[[#This Row],[COD SE]],SALDO_ESC_3,7,0),0)</f>
        <v>0</v>
      </c>
      <c r="EE277" s="76">
        <f>+Tabla1[[#This Row],[mto_pim]]-Tabla1[[#This Row],[TRANSF ESC2 ]]</f>
        <v>0</v>
      </c>
      <c r="EF277" s="76">
        <f>+Tabla1[[#This Row],[mto_pim]]-Tabla1[[#This Row],[TRANFS ESC 3 ]]</f>
        <v>0</v>
      </c>
      <c r="EG277" s="76">
        <f>+IFERROR(VLOOKUP(Tabla1[[#This Row],[COD SE]],HISTORICO,4,0),0)</f>
        <v>0</v>
      </c>
      <c r="EH277" s="76">
        <f>+IFERROR(VLOOKUP(Tabla1[[#This Row],[COD SE]],HISTORICO,5,0),0)</f>
        <v>0</v>
      </c>
      <c r="EI277" s="76">
        <f>+IFERROR(VLOOKUP(Tabla1[[#This Row],[COD SE]],HISTORICO,6,0),0)</f>
        <v>0</v>
      </c>
      <c r="EJ277" s="76">
        <f>+IFERROR(VLOOKUP(Tabla1[[#This Row],[COD SE]],HISTORICO,7,0),0)</f>
        <v>0</v>
      </c>
      <c r="EK277" s="76">
        <f>+IFERROR(VLOOKUP(Tabla1[[#This Row],[COD SE]],HISTORICO,8,0),0)</f>
        <v>0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0</v>
      </c>
      <c r="ER277" s="58">
        <f>+SUM(Tabla1[[#This Row],[EJECUTADO 07]:[EJECUTADO 09]])</f>
        <v>0</v>
      </c>
      <c r="ES277" s="58">
        <f>+SUM(Tabla1[[#This Row],[PF OCTUBRE]:[PF DICIEMBRE
]])</f>
        <v>0</v>
      </c>
      <c r="ET277" s="58">
        <f>+SUM(Tabla1[[#This Row],[EJECUTADO 01]:[EJECUTADO 09]])</f>
        <v>0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1656</v>
      </c>
      <c r="AD278" s="369" t="s">
        <v>1657</v>
      </c>
      <c r="AE278" s="369" t="s">
        <v>1664</v>
      </c>
      <c r="AF278" s="369" t="s">
        <v>1665</v>
      </c>
      <c r="AG278" s="369" t="s">
        <v>1666</v>
      </c>
      <c r="AH278" s="369">
        <v>0</v>
      </c>
      <c r="AI278" s="369">
        <v>0</v>
      </c>
      <c r="AJ278" s="369">
        <v>0</v>
      </c>
      <c r="AK278" s="370">
        <v>0</v>
      </c>
      <c r="AL278" s="370">
        <v>0</v>
      </c>
      <c r="AM278" s="370">
        <v>0</v>
      </c>
      <c r="AN278" s="370">
        <v>0</v>
      </c>
      <c r="AO278" s="370">
        <v>0</v>
      </c>
      <c r="AP278" s="370">
        <v>0</v>
      </c>
      <c r="AQ278" s="370">
        <v>0</v>
      </c>
      <c r="AR278" s="370">
        <v>0</v>
      </c>
      <c r="AS278" s="370">
        <v>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0</v>
      </c>
      <c r="BB278" s="370">
        <v>0</v>
      </c>
      <c r="BC278" s="370">
        <v>0</v>
      </c>
      <c r="BD278" s="370">
        <v>0</v>
      </c>
      <c r="BE278" s="370">
        <v>0</v>
      </c>
      <c r="BF278" s="370">
        <v>0</v>
      </c>
      <c r="BG278" s="370">
        <v>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0</v>
      </c>
      <c r="BN278" s="370">
        <v>0</v>
      </c>
      <c r="BO278" s="370">
        <v>0</v>
      </c>
      <c r="BP278" s="370">
        <v>0</v>
      </c>
      <c r="BQ278" s="370">
        <v>0</v>
      </c>
      <c r="BR278" s="370">
        <v>0</v>
      </c>
      <c r="BS278" s="370">
        <v>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0</v>
      </c>
      <c r="BY278" s="370">
        <v>0</v>
      </c>
      <c r="BZ278" s="370">
        <v>0</v>
      </c>
      <c r="CA278" s="370">
        <v>0</v>
      </c>
      <c r="CB278" s="370">
        <v>0</v>
      </c>
      <c r="CC278" s="370">
        <v>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1990</v>
      </c>
      <c r="CK278" s="48" t="s">
        <v>1990</v>
      </c>
      <c r="CL278" s="48" t="s">
        <v>2005</v>
      </c>
      <c r="CM278" s="48" t="s">
        <v>1990</v>
      </c>
      <c r="CN278" s="48" t="s">
        <v>1987</v>
      </c>
      <c r="CO278" s="10" t="str">
        <f t="shared" ref="CO278:CO315" si="96">+CONCATENATE(CI278,".",CJ278,".",CK278,".",CL278,".",CM278,".",CN278)</f>
        <v>2.1.1.9.1.2</v>
      </c>
      <c r="CP278" s="10" t="str">
        <f>+VLOOKUP(Tabla1[[#This Row],[ESPECÍFICA]],CLASIFICADOR_,2,0)</f>
        <v>2.1.1.9.1.2 - AGUINALDOS</v>
      </c>
      <c r="CQ278" s="10" t="str">
        <f>+VLOOKUP(Tabla1[[#This Row],[ESPECÍFICA]],CLASIFICADOR_,3,0)</f>
        <v>02.SERVIR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2.1.PERSONAL Y OBLIGACIONES SOCIALES</v>
      </c>
      <c r="CX278" s="10" t="str">
        <f t="shared" si="86"/>
        <v>0015-DCEME</v>
      </c>
      <c r="CY278" s="5" t="str">
        <f t="shared" si="63"/>
        <v>0015-DCEME (EX DCC)</v>
      </c>
      <c r="CZ278" t="str">
        <f t="shared" si="87"/>
        <v>0015-DCEME</v>
      </c>
      <c r="DA278" s="113" t="str">
        <f>+CONCATENATE(Tabla1[[#This Row],[CC COMPLETO]],Tabla1[[#This Row],[ESPECÍFICA]])</f>
        <v>0015-DCEME2.1.1.9.1.2</v>
      </c>
      <c r="DB278" s="11">
        <f t="shared" ref="DB278:DB315" si="97">SUM(AM278:AX278)</f>
        <v>0</v>
      </c>
      <c r="DC278" s="11">
        <f t="shared" ref="DC278:DC315" si="98">+SUM(AY278:BJ278)</f>
        <v>0</v>
      </c>
      <c r="DD278" s="11">
        <f t="shared" ref="DD278:DD315" si="99">+SUM(BK278:BV278)</f>
        <v>0</v>
      </c>
      <c r="DE278" s="11">
        <f t="shared" ref="DE278:DE315" si="100">+AJ278-AK278</f>
        <v>0</v>
      </c>
      <c r="DF278" s="11">
        <f t="shared" ref="DF278:DF315" si="101">+AK278-AL278</f>
        <v>0</v>
      </c>
      <c r="DG278" s="11">
        <f t="shared" ref="DG278:DG315" si="102">+AL278-DC278</f>
        <v>0</v>
      </c>
      <c r="DH278" s="11">
        <f t="shared" ref="DH278:DH315" si="103">+AJ278-DC278</f>
        <v>0</v>
      </c>
      <c r="DI278" s="12">
        <f t="shared" ref="DI278:DI315" si="104">+IFERROR((DC278/AH278),0)</f>
        <v>0</v>
      </c>
      <c r="DJ278" s="77">
        <f>+SUM(Tabla1[[#This Row],[EJECUTADO 01]:[EJECUTADO 06]])</f>
        <v>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0</v>
      </c>
      <c r="DN278" s="286">
        <f>+Tabla1[[#This Row],[mto_devenga_04]]</f>
        <v>0</v>
      </c>
      <c r="DO278" s="285">
        <f>+Tabla1[[#This Row],[mto_devenga_05]]</f>
        <v>0</v>
      </c>
      <c r="DP278" s="76">
        <f>+Tabla1[[#This Row],[mto_devenga_06]]</f>
        <v>0</v>
      </c>
      <c r="DQ278" s="76">
        <f>+Tabla1[[#This Row],[mto_devenga_07]]</f>
        <v>0</v>
      </c>
      <c r="DR278" s="76">
        <f>+Tabla1[[#This Row],[mto_devenga_08]]</f>
        <v>0</v>
      </c>
      <c r="DS278" s="76">
        <f>+Tabla1[[#This Row],[mto_devenga_09]]</f>
        <v>0</v>
      </c>
      <c r="DT278" s="76">
        <f>IFERROR(VLOOKUP(Tabla1[[#This Row],[COD SE]],PF_OCTUBRE,14,0),"0")</f>
        <v>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0</v>
      </c>
      <c r="DX278" s="76">
        <f>IFERROR(VLOOKUP(Tabla1[[#This Row],[COD SE]],PF_OCTUBRE,18,0),"0")</f>
        <v>0</v>
      </c>
      <c r="DY278" s="76">
        <f>IFERROR(VLOOKUP(Tabla1[[#This Row],[COD SE]],PF_OCTUBRE,19,0),"0")</f>
        <v>0</v>
      </c>
      <c r="DZ278" s="76">
        <f>IFERROR(VLOOKUP(Tabla1[[#This Row],[COD SE]],PF_OCTUBRE,20,0),"0")</f>
        <v>0</v>
      </c>
      <c r="EA278" s="76">
        <f>+Tabla1[[#This Row],[TOTAL EJEC REAL]]+Tabla1[[#This Row],[SALDO FINAL]]</f>
        <v>0</v>
      </c>
      <c r="EB278" s="76">
        <f>IFERROR(VLOOKUP(Tabla1[[#This Row],[COD SE]],PF_OCTUBRE,22,0),"0")</f>
        <v>0</v>
      </c>
      <c r="EC278" s="76">
        <f>+IFERROR(VLOOKUP(Tabla1[[#This Row],[COD SE]],SALDO_ESC_2,7,0),0)</f>
        <v>0</v>
      </c>
      <c r="ED278" s="76">
        <f>+IFERROR(VLOOKUP(Tabla1[[#This Row],[COD SE]],SALDO_ESC_3,7,0),0)</f>
        <v>0</v>
      </c>
      <c r="EE278" s="76">
        <f>+Tabla1[[#This Row],[mto_pim]]-Tabla1[[#This Row],[TRANSF ESC2 ]]</f>
        <v>0</v>
      </c>
      <c r="EF278" s="76">
        <f>+Tabla1[[#This Row],[mto_pim]]-Tabla1[[#This Row],[TRANFS ESC 3 ]]</f>
        <v>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0</v>
      </c>
      <c r="EJ278" s="76">
        <f>+IFERROR(VLOOKUP(Tabla1[[#This Row],[COD SE]],HISTORICO,7,0),0)</f>
        <v>0</v>
      </c>
      <c r="EK278" s="76">
        <f>+IFERROR(VLOOKUP(Tabla1[[#This Row],[COD SE]],HISTORICO,8,0),0)</f>
        <v>0</v>
      </c>
      <c r="EL278" s="76">
        <f>+IFERROR(VLOOKUP(Tabla1[[#This Row],[COD SE]],HISTORICO,9,0),0)</f>
        <v>0</v>
      </c>
      <c r="EM278" s="76">
        <f>+IFERROR(VLOOKUP(Tabla1[[#This Row],[COD SE]],HISTORICO,10,0),0)</f>
        <v>0</v>
      </c>
      <c r="EN278" s="76">
        <f>+IFERROR(VLOOKUP(Tabla1[[#This Row],[COD SE]],HISTORICO,11,0),0)</f>
        <v>0</v>
      </c>
      <c r="EO278" s="76">
        <f>+IFERROR(VLOOKUP(Tabla1[[#This Row],[COD SE]],HISTORICO,12,0),0)</f>
        <v>0</v>
      </c>
      <c r="EP278" s="58">
        <f>+SUM(Tabla1[[#This Row],[EJECUTADO 01]:[EJECUTADO 03]])</f>
        <v>0</v>
      </c>
      <c r="EQ278" s="58">
        <f>+SUM(Tabla1[[#This Row],[EJECUTADO 04]:[EJECUTADO 06]])</f>
        <v>0</v>
      </c>
      <c r="ER278" s="58">
        <f>+SUM(Tabla1[[#This Row],[EJECUTADO 07]:[EJECUTADO 09]])</f>
        <v>0</v>
      </c>
      <c r="ES278" s="58">
        <f>+SUM(Tabla1[[#This Row],[PF OCTUBRE]:[PF DICIEMBRE
]])</f>
        <v>0</v>
      </c>
      <c r="ET278" s="58">
        <f>+SUM(Tabla1[[#This Row],[EJECUTADO 01]:[EJECUTADO 09]])</f>
        <v>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1656</v>
      </c>
      <c r="AD279" s="369" t="s">
        <v>1668</v>
      </c>
      <c r="AE279" s="369" t="s">
        <v>1669</v>
      </c>
      <c r="AF279" s="369" t="s">
        <v>1669</v>
      </c>
      <c r="AG279" s="369" t="s">
        <v>1670</v>
      </c>
      <c r="AH279" s="369">
        <v>0</v>
      </c>
      <c r="AI279" s="369">
        <v>0</v>
      </c>
      <c r="AJ279" s="369">
        <v>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1990</v>
      </c>
      <c r="CK279" s="48" t="s">
        <v>1991</v>
      </c>
      <c r="CL279" s="48" t="s">
        <v>1990</v>
      </c>
      <c r="CM279" s="48" t="s">
        <v>1990</v>
      </c>
      <c r="CN279" s="48" t="s">
        <v>2010</v>
      </c>
      <c r="CO279" s="10" t="str">
        <f t="shared" si="96"/>
        <v>2.1.3.1.1.13</v>
      </c>
      <c r="CP279" s="10" t="str">
        <f>+VLOOKUP(Tabla1[[#This Row],[ESPECÍFICA]],CLASIFICADOR_,2,0)</f>
        <v>2.1.3.1.1.13 - CONTRIBUCIONES A ESSALUD DEL PERSONAL ADMINISTRATIVO</v>
      </c>
      <c r="CQ279" s="10" t="str">
        <f>+VLOOKUP(Tabla1[[#This Row],[ESPECÍFICA]],CLASIFICADOR_,3,0)</f>
        <v>02.SERVIR</v>
      </c>
      <c r="CR279" s="10" t="str">
        <f>+VLOOKUP(Tabla1[[#This Row],[ESPECÍFICA]],CLASIFICADOR_,4,0)</f>
        <v xml:space="preserve"> </v>
      </c>
      <c r="CS279" s="10">
        <f>+VLOOKUP(Tabla1[[#This Row],[ESPECÍFICA]],CLASIFICADOR_,5,0)</f>
        <v>0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2.1.PERSONAL Y OBLIGACIONES SOCIALES</v>
      </c>
      <c r="CX279" s="10" t="str">
        <f t="shared" si="86"/>
        <v>0015-DCEME</v>
      </c>
      <c r="CY279" s="5" t="str">
        <f t="shared" si="63"/>
        <v>0015-DCEME (EX DCC)</v>
      </c>
      <c r="CZ279" t="str">
        <f t="shared" si="87"/>
        <v>0015-DCEME</v>
      </c>
      <c r="DA279" s="113" t="str">
        <f>+CONCATENATE(Tabla1[[#This Row],[CC COMPLETO]],Tabla1[[#This Row],[ESPECÍFICA]])</f>
        <v>0015-DCEME2.1.3.1.1.13</v>
      </c>
      <c r="DB279" s="11">
        <f t="shared" si="97"/>
        <v>0</v>
      </c>
      <c r="DC279" s="11">
        <f t="shared" si="98"/>
        <v>0</v>
      </c>
      <c r="DD279" s="11">
        <f t="shared" si="99"/>
        <v>0</v>
      </c>
      <c r="DE279" s="11">
        <f t="shared" si="100"/>
        <v>0</v>
      </c>
      <c r="DF279" s="11">
        <f t="shared" si="101"/>
        <v>0</v>
      </c>
      <c r="DG279" s="11">
        <f t="shared" si="102"/>
        <v>0</v>
      </c>
      <c r="DH279" s="11">
        <f t="shared" si="103"/>
        <v>0</v>
      </c>
      <c r="DI279" s="12">
        <f t="shared" si="104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0</v>
      </c>
      <c r="DW279" s="76">
        <f>+SUM(Tabla1[[#This Row],[EJECUTADO 01]:[PF DICIEMBRE
]])</f>
        <v>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0</v>
      </c>
      <c r="EB279" s="76">
        <f>IFERROR(VLOOKUP(Tabla1[[#This Row],[COD SE]],PF_OCTUBRE,22,0),"0")</f>
        <v>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0</v>
      </c>
      <c r="EF279" s="76">
        <f>+Tabla1[[#This Row],[mto_pim]]-Tabla1[[#This Row],[TRANFS ESC 3 ]]</f>
        <v>0</v>
      </c>
      <c r="EG279" s="76">
        <f>+IFERROR(VLOOKUP(Tabla1[[#This Row],[COD SE]],HISTORICO,4,0),0)</f>
        <v>0</v>
      </c>
      <c r="EH279" s="76">
        <f>+IFERROR(VLOOKUP(Tabla1[[#This Row],[COD SE]],HISTORICO,5,0),0)</f>
        <v>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1672</v>
      </c>
      <c r="AD280" s="369" t="s">
        <v>1673</v>
      </c>
      <c r="AE280" s="369" t="s">
        <v>1674</v>
      </c>
      <c r="AF280" s="369" t="s">
        <v>1675</v>
      </c>
      <c r="AG280" s="369" t="s">
        <v>1677</v>
      </c>
      <c r="AH280" s="369">
        <v>5000</v>
      </c>
      <c r="AI280" s="369">
        <v>0</v>
      </c>
      <c r="AJ280" s="369">
        <v>5000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1991</v>
      </c>
      <c r="CK280" s="48" t="s">
        <v>1987</v>
      </c>
      <c r="CL280" s="48" t="s">
        <v>1990</v>
      </c>
      <c r="CM280" s="48" t="s">
        <v>1987</v>
      </c>
      <c r="CN280" s="48" t="s">
        <v>1987</v>
      </c>
      <c r="CO280" s="10" t="str">
        <f t="shared" si="96"/>
        <v>2.3.2.1.2.2</v>
      </c>
      <c r="CP280" s="10" t="str">
        <f>+VLOOKUP(Tabla1[[#This Row],[ESPECÍFICA]],CLASIFICADOR_,2,0)</f>
        <v>2.3.2.1.2.2 - VIATICOS Y ASIGNACIONES POR COMISION DE SERVICIO</v>
      </c>
      <c r="CQ280" s="10" t="str">
        <f>+VLOOKUP(Tabla1[[#This Row],[ESPECÍFICA]],CLASIFICADOR_,3,0)</f>
        <v>2.3.2.1 - VIAJES</v>
      </c>
      <c r="CR280" s="10" t="str">
        <f>+VLOOKUP(Tabla1[[#This Row],[ESPECÍFICA]],CLASIFICADOR_,4,0)</f>
        <v>Límite de Gasto</v>
      </c>
      <c r="CS280" s="10" t="str">
        <f>+VLOOKUP(Tabla1[[#This Row],[ESPECÍFICA]],CLASIFICADOR_,5,0)</f>
        <v>10.6 b)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2.3.BIENES Y SERVICIOS</v>
      </c>
      <c r="CX280" s="10" t="str">
        <f t="shared" si="86"/>
        <v>0015-DCEME</v>
      </c>
      <c r="CY280" s="5" t="str">
        <f t="shared" si="63"/>
        <v>0015-DCEME (EX DCC)</v>
      </c>
      <c r="CZ280" t="str">
        <f t="shared" si="87"/>
        <v>0015-DCEME</v>
      </c>
      <c r="DA280" s="113" t="str">
        <f>+CONCATENATE(Tabla1[[#This Row],[CC COMPLETO]],Tabla1[[#This Row],[ESPECÍFICA]])</f>
        <v>0015-DCEME2.3.2.1.2.2</v>
      </c>
      <c r="DB280" s="11">
        <f t="shared" si="97"/>
        <v>0</v>
      </c>
      <c r="DC280" s="11">
        <f t="shared" si="98"/>
        <v>0</v>
      </c>
      <c r="DD280" s="11">
        <f t="shared" si="99"/>
        <v>0</v>
      </c>
      <c r="DE280" s="11">
        <f t="shared" si="100"/>
        <v>5000</v>
      </c>
      <c r="DF280" s="11">
        <f t="shared" si="101"/>
        <v>0</v>
      </c>
      <c r="DG280" s="11">
        <f t="shared" si="102"/>
        <v>0</v>
      </c>
      <c r="DH280" s="11">
        <f t="shared" si="103"/>
        <v>5000</v>
      </c>
      <c r="DI280" s="12">
        <f t="shared" si="104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>
        <f>IFERROR(VLOOKUP(Tabla1[[#This Row],[COD SE]],PF_OCTUBRE,14,0),"0")</f>
        <v>0</v>
      </c>
      <c r="DU280" s="76">
        <f>IFERROR(VLOOKUP(Tabla1[[#This Row],[COD SE]],PF_OCTUBRE,15,0),"0")</f>
        <v>0</v>
      </c>
      <c r="DV280" s="76">
        <f>IFERROR(VLOOKUP(Tabla1[[#This Row],[COD SE]],PF_OCTUBRE,16,0),"0")</f>
        <v>5000</v>
      </c>
      <c r="DW280" s="76">
        <f>+SUM(Tabla1[[#This Row],[EJECUTADO 01]:[PF DICIEMBRE
]])</f>
        <v>5000</v>
      </c>
      <c r="DX280" s="76">
        <f>IFERROR(VLOOKUP(Tabla1[[#This Row],[COD SE]],PF_OCTUBRE,18,0),"0")</f>
        <v>0</v>
      </c>
      <c r="DY280" s="76">
        <f>IFERROR(VLOOKUP(Tabla1[[#This Row],[COD SE]],PF_OCTUBRE,19,0),"0")</f>
        <v>0</v>
      </c>
      <c r="DZ280" s="76">
        <f>IFERROR(VLOOKUP(Tabla1[[#This Row],[COD SE]],PF_OCTUBRE,20,0),"0")</f>
        <v>0</v>
      </c>
      <c r="EA280" s="76">
        <f>+Tabla1[[#This Row],[TOTAL EJEC REAL]]+Tabla1[[#This Row],[SALDO FINAL]]</f>
        <v>5000</v>
      </c>
      <c r="EB280" s="76">
        <f>IFERROR(VLOOKUP(Tabla1[[#This Row],[COD SE]],PF_OCTUBRE,22,0),"0")</f>
        <v>5000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5000</v>
      </c>
      <c r="EF280" s="76">
        <f>+Tabla1[[#This Row],[mto_pim]]-Tabla1[[#This Row],[TRANFS ESC 3 ]]</f>
        <v>5000</v>
      </c>
      <c r="EG280" s="76">
        <f>+IFERROR(VLOOKUP(Tabla1[[#This Row],[COD SE]],HISTORICO,4,0),0)</f>
        <v>1600</v>
      </c>
      <c r="EH280" s="76">
        <f>+IFERROR(VLOOKUP(Tabla1[[#This Row],[COD SE]],HISTORICO,5,0),0)</f>
        <v>1600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5000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1672</v>
      </c>
      <c r="AD281" s="369" t="s">
        <v>1673</v>
      </c>
      <c r="AE281" s="369" t="s">
        <v>1674</v>
      </c>
      <c r="AF281" s="369" t="s">
        <v>1675</v>
      </c>
      <c r="AG281" s="369" t="s">
        <v>1676</v>
      </c>
      <c r="AH281" s="369">
        <v>7000</v>
      </c>
      <c r="AI281" s="369">
        <v>0</v>
      </c>
      <c r="AJ281" s="369">
        <v>7000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1991</v>
      </c>
      <c r="CK281" s="48" t="s">
        <v>1987</v>
      </c>
      <c r="CL281" s="48" t="s">
        <v>1990</v>
      </c>
      <c r="CM281" s="48" t="s">
        <v>1987</v>
      </c>
      <c r="CN281" s="48" t="s">
        <v>1990</v>
      </c>
      <c r="CO281" s="10" t="str">
        <f t="shared" si="96"/>
        <v>2.3.2.1.2.1</v>
      </c>
      <c r="CP281" s="10" t="str">
        <f>+VLOOKUP(Tabla1[[#This Row],[ESPECÍFICA]],CLASIFICADOR_,2,0)</f>
        <v>2.3.2.1.2.1 - PASAJES Y GASTOS DE TRANSPORTE</v>
      </c>
      <c r="CQ281" s="10" t="str">
        <f>+VLOOKUP(Tabla1[[#This Row],[ESPECÍFICA]],CLASIFICADOR_,3,0)</f>
        <v>2.3.2.1 - VIAJES</v>
      </c>
      <c r="CR281" s="10" t="str">
        <f>+VLOOKUP(Tabla1[[#This Row],[ESPECÍFICA]],CLASIFICADOR_,4,0)</f>
        <v>Límite de Gasto</v>
      </c>
      <c r="CS281" s="10" t="str">
        <f>+VLOOKUP(Tabla1[[#This Row],[ESPECÍFICA]],CLASIFICADOR_,5,0)</f>
        <v>10.6 b)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2.3.BIENES Y SERVICIOS</v>
      </c>
      <c r="CX281" s="10" t="str">
        <f t="shared" si="86"/>
        <v>0015-DCEME</v>
      </c>
      <c r="CY281" s="5" t="str">
        <f t="shared" si="63"/>
        <v>0015-DCEME (EX DCC)</v>
      </c>
      <c r="CZ281" t="str">
        <f t="shared" si="87"/>
        <v>0015-DCEME</v>
      </c>
      <c r="DA281" s="113" t="str">
        <f>+CONCATENATE(Tabla1[[#This Row],[CC COMPLETO]],Tabla1[[#This Row],[ESPECÍFICA]])</f>
        <v>0015-DCEME2.3.2.1.2.1</v>
      </c>
      <c r="DB281" s="11">
        <f t="shared" si="97"/>
        <v>0</v>
      </c>
      <c r="DC281" s="11">
        <f t="shared" si="98"/>
        <v>0</v>
      </c>
      <c r="DD281" s="11">
        <f t="shared" si="99"/>
        <v>0</v>
      </c>
      <c r="DE281" s="11">
        <f t="shared" si="100"/>
        <v>7000</v>
      </c>
      <c r="DF281" s="11">
        <f t="shared" si="101"/>
        <v>0</v>
      </c>
      <c r="DG281" s="11">
        <f t="shared" si="102"/>
        <v>0</v>
      </c>
      <c r="DH281" s="11">
        <f t="shared" si="103"/>
        <v>7000</v>
      </c>
      <c r="DI281" s="12">
        <f t="shared" si="104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>
        <f>IFERROR(VLOOKUP(Tabla1[[#This Row],[COD SE]],PF_OCTUBRE,14,0),"0")</f>
        <v>0</v>
      </c>
      <c r="DU281" s="76">
        <f>IFERROR(VLOOKUP(Tabla1[[#This Row],[COD SE]],PF_OCTUBRE,15,0),"0")</f>
        <v>0</v>
      </c>
      <c r="DV281" s="76">
        <f>IFERROR(VLOOKUP(Tabla1[[#This Row],[COD SE]],PF_OCTUBRE,16,0),"0")</f>
        <v>7000</v>
      </c>
      <c r="DW281" s="76">
        <f>+SUM(Tabla1[[#This Row],[EJECUTADO 01]:[PF DICIEMBRE
]])</f>
        <v>7000</v>
      </c>
      <c r="DX281" s="76">
        <f>IFERROR(VLOOKUP(Tabla1[[#This Row],[COD SE]],PF_OCTUBRE,18,0),"0")</f>
        <v>0</v>
      </c>
      <c r="DY281" s="76">
        <f>IFERROR(VLOOKUP(Tabla1[[#This Row],[COD SE]],PF_OCTUBRE,19,0),"0")</f>
        <v>0</v>
      </c>
      <c r="DZ281" s="76">
        <f>IFERROR(VLOOKUP(Tabla1[[#This Row],[COD SE]],PF_OCTUBRE,20,0),"0")</f>
        <v>0</v>
      </c>
      <c r="EA281" s="76">
        <f>+Tabla1[[#This Row],[TOTAL EJEC REAL]]+Tabla1[[#This Row],[SALDO FINAL]]</f>
        <v>7000</v>
      </c>
      <c r="EB281" s="76">
        <f>IFERROR(VLOOKUP(Tabla1[[#This Row],[COD SE]],PF_OCTUBRE,22,0),"0")</f>
        <v>7000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7000</v>
      </c>
      <c r="EF281" s="76">
        <f>+Tabla1[[#This Row],[mto_pim]]-Tabla1[[#This Row],[TRANFS ESC 3 ]]</f>
        <v>7000</v>
      </c>
      <c r="EG281" s="76">
        <f>+IFERROR(VLOOKUP(Tabla1[[#This Row],[COD SE]],HISTORICO,4,0),0)</f>
        <v>2300</v>
      </c>
      <c r="EH281" s="76">
        <f>+IFERROR(VLOOKUP(Tabla1[[#This Row],[COD SE]],HISTORICO,5,0),0)</f>
        <v>2300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7000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1672</v>
      </c>
      <c r="AD282" s="369" t="s">
        <v>1673</v>
      </c>
      <c r="AE282" s="369" t="s">
        <v>1681</v>
      </c>
      <c r="AF282" s="369" t="s">
        <v>1682</v>
      </c>
      <c r="AG282" s="369" t="s">
        <v>1682</v>
      </c>
      <c r="AH282" s="369">
        <v>114000</v>
      </c>
      <c r="AI282" s="369">
        <v>-35000</v>
      </c>
      <c r="AJ282" s="369">
        <v>79000</v>
      </c>
      <c r="AK282" s="370">
        <v>79000</v>
      </c>
      <c r="AL282" s="370">
        <v>79000</v>
      </c>
      <c r="AM282" s="370">
        <v>0</v>
      </c>
      <c r="AN282" s="370">
        <v>22000</v>
      </c>
      <c r="AO282" s="370">
        <v>7000</v>
      </c>
      <c r="AP282" s="370">
        <v>11000</v>
      </c>
      <c r="AQ282" s="370">
        <v>0</v>
      </c>
      <c r="AR282" s="370">
        <v>0</v>
      </c>
      <c r="AS282" s="370">
        <v>39000</v>
      </c>
      <c r="AT282" s="370">
        <v>0</v>
      </c>
      <c r="AU282" s="370">
        <v>0</v>
      </c>
      <c r="AV282" s="370">
        <v>0</v>
      </c>
      <c r="AW282" s="370">
        <v>0</v>
      </c>
      <c r="AX282" s="370">
        <v>0</v>
      </c>
      <c r="AY282" s="370">
        <v>0</v>
      </c>
      <c r="AZ282" s="370">
        <v>0</v>
      </c>
      <c r="BA282" s="370">
        <v>11000</v>
      </c>
      <c r="BB282" s="370">
        <v>18000</v>
      </c>
      <c r="BC282" s="370">
        <v>11000</v>
      </c>
      <c r="BD282" s="370">
        <v>0</v>
      </c>
      <c r="BE282" s="370">
        <v>0</v>
      </c>
      <c r="BF282" s="370">
        <v>0</v>
      </c>
      <c r="BG282" s="370">
        <v>26000</v>
      </c>
      <c r="BH282" s="370">
        <v>13000</v>
      </c>
      <c r="BI282" s="370">
        <v>0</v>
      </c>
      <c r="BJ282" s="370">
        <v>0</v>
      </c>
      <c r="BK282" s="370">
        <v>0</v>
      </c>
      <c r="BL282" s="370">
        <v>0</v>
      </c>
      <c r="BM282" s="370">
        <v>11000</v>
      </c>
      <c r="BN282" s="370">
        <v>18000</v>
      </c>
      <c r="BO282" s="370">
        <v>11000</v>
      </c>
      <c r="BP282" s="370">
        <v>0</v>
      </c>
      <c r="BQ282" s="370">
        <v>0</v>
      </c>
      <c r="BR282" s="370">
        <v>0</v>
      </c>
      <c r="BS282" s="370">
        <v>26000</v>
      </c>
      <c r="BT282" s="370">
        <v>13000</v>
      </c>
      <c r="BU282" s="370">
        <v>0</v>
      </c>
      <c r="BV282" s="370">
        <v>0</v>
      </c>
      <c r="BW282" s="370">
        <v>0</v>
      </c>
      <c r="BX282" s="370">
        <v>22000</v>
      </c>
      <c r="BY282" s="370">
        <v>7000</v>
      </c>
      <c r="BZ282" s="370">
        <v>11000</v>
      </c>
      <c r="CA282" s="370">
        <v>0</v>
      </c>
      <c r="CB282" s="370">
        <v>0</v>
      </c>
      <c r="CC282" s="370">
        <v>39000</v>
      </c>
      <c r="CD282" s="370">
        <v>0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1991</v>
      </c>
      <c r="CK282" s="48" t="s">
        <v>1987</v>
      </c>
      <c r="CL282" s="48" t="s">
        <v>2005</v>
      </c>
      <c r="CM282" s="48" t="s">
        <v>1990</v>
      </c>
      <c r="CN282" s="48" t="s">
        <v>1990</v>
      </c>
      <c r="CO282" s="10" t="str">
        <f t="shared" si="96"/>
        <v>2.3.2.9.1.1</v>
      </c>
      <c r="CP282" s="10" t="str">
        <f>+VLOOKUP(Tabla1[[#This Row],[ESPECÍFICA]],CLASIFICADOR_,2,0)</f>
        <v>2.3.2.9.1.1 - LOCACIÓN DE SERVICIOS REALIZADOS POR PERSONA NATURAL</v>
      </c>
      <c r="CQ282" s="10" t="str">
        <f>+VLOOKUP(Tabla1[[#This Row],[ESPECÍFICA]],CLASIFICADOR_,3,0)</f>
        <v>2.3.2.9 - LOCACIÓN DE SERVICIOS REALIZADOS POR PERSONA NATURAL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2.3.BIENES Y SERVICIOS</v>
      </c>
      <c r="CX282" s="10" t="str">
        <f t="shared" si="86"/>
        <v>0015-DCEME</v>
      </c>
      <c r="CY282" s="5" t="str">
        <f t="shared" si="63"/>
        <v>0015-DCEME (EX DCC)</v>
      </c>
      <c r="CZ282" t="str">
        <f t="shared" si="87"/>
        <v>0015-DCEME</v>
      </c>
      <c r="DA282" s="113" t="str">
        <f>+CONCATENATE(Tabla1[[#This Row],[CC COMPLETO]],Tabla1[[#This Row],[ESPECÍFICA]])</f>
        <v>0015-DCEME2.3.2.9.1.1</v>
      </c>
      <c r="DB282" s="11">
        <f t="shared" si="97"/>
        <v>79000</v>
      </c>
      <c r="DC282" s="11">
        <f t="shared" si="98"/>
        <v>79000</v>
      </c>
      <c r="DD282" s="11">
        <f t="shared" si="99"/>
        <v>79000</v>
      </c>
      <c r="DE282" s="11">
        <f t="shared" si="100"/>
        <v>0</v>
      </c>
      <c r="DF282" s="11">
        <f t="shared" si="101"/>
        <v>0</v>
      </c>
      <c r="DG282" s="11">
        <f t="shared" si="102"/>
        <v>0</v>
      </c>
      <c r="DH282" s="11">
        <f t="shared" si="103"/>
        <v>0</v>
      </c>
      <c r="DI282" s="12">
        <f t="shared" si="104"/>
        <v>0.69298245614035092</v>
      </c>
      <c r="DJ282" s="77">
        <f>+SUM(Tabla1[[#This Row],[EJECUTADO 01]:[EJECUTADO 06]])</f>
        <v>40000</v>
      </c>
      <c r="DK282" s="77">
        <f>+Tabla1[[#This Row],[mto_devenga_01]]</f>
        <v>0</v>
      </c>
      <c r="DL282" s="285">
        <f>+Tabla1[[#This Row],[mto_devenga_02]]</f>
        <v>0</v>
      </c>
      <c r="DM282" s="285">
        <f>+Tabla1[[#This Row],[mto_devenga_03]]</f>
        <v>11000</v>
      </c>
      <c r="DN282" s="286">
        <f>+Tabla1[[#This Row],[mto_devenga_04]]</f>
        <v>18000</v>
      </c>
      <c r="DO282" s="285">
        <f>+Tabla1[[#This Row],[mto_devenga_05]]</f>
        <v>11000</v>
      </c>
      <c r="DP282" s="76">
        <f>+Tabla1[[#This Row],[mto_devenga_06]]</f>
        <v>0</v>
      </c>
      <c r="DQ282" s="76">
        <f>+Tabla1[[#This Row],[mto_devenga_07]]</f>
        <v>0</v>
      </c>
      <c r="DR282" s="76">
        <f>+Tabla1[[#This Row],[mto_devenga_08]]</f>
        <v>0</v>
      </c>
      <c r="DS282" s="76">
        <f>+Tabla1[[#This Row],[mto_devenga_09]]</f>
        <v>26000</v>
      </c>
      <c r="DT282" s="76">
        <f>IFERROR(VLOOKUP(Tabla1[[#This Row],[COD SE]],PF_OCTUBRE,14,0),"0")</f>
        <v>13000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79000</v>
      </c>
      <c r="DX282" s="76">
        <f>IFERROR(VLOOKUP(Tabla1[[#This Row],[COD SE]],PF_OCTUBRE,18,0),"0")</f>
        <v>0</v>
      </c>
      <c r="DY282" s="76">
        <f>IFERROR(VLOOKUP(Tabla1[[#This Row],[COD SE]],PF_OCTUBRE,19,0),"0")</f>
        <v>0</v>
      </c>
      <c r="DZ282" s="76">
        <f>IFERROR(VLOOKUP(Tabla1[[#This Row],[COD SE]],PF_OCTUBRE,20,0),"0")</f>
        <v>0</v>
      </c>
      <c r="EA282" s="76">
        <f>+Tabla1[[#This Row],[TOTAL EJEC REAL]]+Tabla1[[#This Row],[SALDO FINAL]]</f>
        <v>79000</v>
      </c>
      <c r="EB282" s="76">
        <f>IFERROR(VLOOKUP(Tabla1[[#This Row],[COD SE]],PF_OCTUBRE,22,0),"0")</f>
        <v>0</v>
      </c>
      <c r="EC282" s="76">
        <f>+IFERROR(VLOOKUP(Tabla1[[#This Row],[COD SE]],SALDO_ESC_2,7,0),0)</f>
        <v>0</v>
      </c>
      <c r="ED282" s="76">
        <f>+IFERROR(VLOOKUP(Tabla1[[#This Row],[COD SE]],SALDO_ESC_3,7,0),0)</f>
        <v>0</v>
      </c>
      <c r="EE282" s="76">
        <f>+Tabla1[[#This Row],[mto_pim]]-Tabla1[[#This Row],[TRANSF ESC2 ]]</f>
        <v>79000</v>
      </c>
      <c r="EF282" s="76">
        <f>+Tabla1[[#This Row],[mto_pim]]-Tabla1[[#This Row],[TRANFS ESC 3 ]]</f>
        <v>79000</v>
      </c>
      <c r="EG282" s="76">
        <f>+IFERROR(VLOOKUP(Tabla1[[#This Row],[COD SE]],HISTORICO,4,0),0)</f>
        <v>0</v>
      </c>
      <c r="EH282" s="76">
        <f>+IFERROR(VLOOKUP(Tabla1[[#This Row],[COD SE]],HISTORICO,5,0),0)</f>
        <v>0</v>
      </c>
      <c r="EI282" s="76">
        <f>+IFERROR(VLOOKUP(Tabla1[[#This Row],[COD SE]],HISTORICO,6,0),0)</f>
        <v>14500</v>
      </c>
      <c r="EJ282" s="76">
        <f>+IFERROR(VLOOKUP(Tabla1[[#This Row],[COD SE]],HISTORICO,7,0),0)</f>
        <v>14500</v>
      </c>
      <c r="EK282" s="76">
        <f>+IFERROR(VLOOKUP(Tabla1[[#This Row],[COD SE]],HISTORICO,8,0),0)</f>
        <v>11000</v>
      </c>
      <c r="EL282" s="76">
        <f>+IFERROR(VLOOKUP(Tabla1[[#This Row],[COD SE]],HISTORICO,9,0),0)</f>
        <v>0</v>
      </c>
      <c r="EM282" s="76">
        <f>+IFERROR(VLOOKUP(Tabla1[[#This Row],[COD SE]],HISTORICO,10,0),0)</f>
        <v>0</v>
      </c>
      <c r="EN282" s="76">
        <f>+IFERROR(VLOOKUP(Tabla1[[#This Row],[COD SE]],HISTORICO,11,0),0)</f>
        <v>13000</v>
      </c>
      <c r="EO282" s="76">
        <f>+IFERROR(VLOOKUP(Tabla1[[#This Row],[COD SE]],HISTORICO,12,0),0)</f>
        <v>13000</v>
      </c>
      <c r="EP282" s="58">
        <f>+SUM(Tabla1[[#This Row],[EJECUTADO 01]:[EJECUTADO 03]])</f>
        <v>11000</v>
      </c>
      <c r="EQ282" s="58">
        <f>+SUM(Tabla1[[#This Row],[EJECUTADO 04]:[EJECUTADO 06]])</f>
        <v>29000</v>
      </c>
      <c r="ER282" s="58">
        <f>+SUM(Tabla1[[#This Row],[EJECUTADO 07]:[EJECUTADO 09]])</f>
        <v>26000</v>
      </c>
      <c r="ES282" s="58">
        <f>+SUM(Tabla1[[#This Row],[PF OCTUBRE]:[PF DICIEMBRE
]])</f>
        <v>13000</v>
      </c>
      <c r="ET282" s="58">
        <f>+SUM(Tabla1[[#This Row],[EJECUTADO 01]:[EJECUTADO 09]])</f>
        <v>66000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2006</v>
      </c>
      <c r="AE283" s="369" t="s">
        <v>2007</v>
      </c>
      <c r="AF283" s="369" t="s">
        <v>2007</v>
      </c>
      <c r="AG283" s="369" t="s">
        <v>2009</v>
      </c>
      <c r="AH283" s="369">
        <v>0</v>
      </c>
      <c r="AI283" s="369">
        <v>0</v>
      </c>
      <c r="AJ283" s="369">
        <v>0</v>
      </c>
      <c r="AK283" s="370">
        <v>0</v>
      </c>
      <c r="AL283" s="370">
        <v>0</v>
      </c>
      <c r="AM283" s="370">
        <v>0</v>
      </c>
      <c r="AN283" s="370">
        <v>0</v>
      </c>
      <c r="AO283" s="370">
        <v>0</v>
      </c>
      <c r="AP283" s="370">
        <v>0</v>
      </c>
      <c r="AQ283" s="370">
        <v>0</v>
      </c>
      <c r="AR283" s="370">
        <v>0</v>
      </c>
      <c r="AS283" s="370">
        <v>0</v>
      </c>
      <c r="AT283" s="370">
        <v>0</v>
      </c>
      <c r="AU283" s="370">
        <v>0</v>
      </c>
      <c r="AV283" s="370">
        <v>0</v>
      </c>
      <c r="AW283" s="370">
        <v>0</v>
      </c>
      <c r="AX283" s="370">
        <v>0</v>
      </c>
      <c r="AY283" s="370">
        <v>0</v>
      </c>
      <c r="AZ283" s="370">
        <v>0</v>
      </c>
      <c r="BA283" s="370">
        <v>0</v>
      </c>
      <c r="BB283" s="370">
        <v>0</v>
      </c>
      <c r="BC283" s="370">
        <v>0</v>
      </c>
      <c r="BD283" s="370">
        <v>0</v>
      </c>
      <c r="BE283" s="370">
        <v>0</v>
      </c>
      <c r="BF283" s="370">
        <v>0</v>
      </c>
      <c r="BG283" s="370">
        <v>0</v>
      </c>
      <c r="BH283" s="370">
        <v>0</v>
      </c>
      <c r="BI283" s="370">
        <v>0</v>
      </c>
      <c r="BJ283" s="370">
        <v>0</v>
      </c>
      <c r="BK283" s="370">
        <v>0</v>
      </c>
      <c r="BL283" s="370">
        <v>0</v>
      </c>
      <c r="BM283" s="370">
        <v>0</v>
      </c>
      <c r="BN283" s="370">
        <v>0</v>
      </c>
      <c r="BO283" s="370">
        <v>0</v>
      </c>
      <c r="BP283" s="370">
        <v>0</v>
      </c>
      <c r="BQ283" s="370">
        <v>0</v>
      </c>
      <c r="BR283" s="370">
        <v>0</v>
      </c>
      <c r="BS283" s="370">
        <v>0</v>
      </c>
      <c r="BT283" s="370">
        <v>0</v>
      </c>
      <c r="BU283" s="370">
        <v>0</v>
      </c>
      <c r="BV283" s="370">
        <v>0</v>
      </c>
      <c r="BW283" s="370">
        <v>0</v>
      </c>
      <c r="BX283" s="370">
        <v>0</v>
      </c>
      <c r="BY283" s="370">
        <v>0</v>
      </c>
      <c r="BZ283" s="370">
        <v>0</v>
      </c>
      <c r="CA283" s="370">
        <v>0</v>
      </c>
      <c r="CB283" s="370">
        <v>0</v>
      </c>
      <c r="CC283" s="370">
        <v>0</v>
      </c>
      <c r="CD283" s="370">
        <v>0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1993</v>
      </c>
      <c r="CL283" s="48" t="s">
        <v>1990</v>
      </c>
      <c r="CM283" s="48" t="s">
        <v>1990</v>
      </c>
      <c r="CN283" s="48" t="s">
        <v>1990</v>
      </c>
      <c r="CO283" s="10" t="str">
        <f t="shared" si="96"/>
        <v>2.1.4.1.1.1</v>
      </c>
      <c r="CP283" s="10" t="str">
        <f>+VLOOKUP(Tabla1[[#This Row],[ESPECÍFICA]],CLASIFICADOR_,2,0)</f>
        <v>2.1.4.1.1.1 - COMPENSACION POR TIEMPO DE SERVICIOS DEL REGIMEN LABORAL PRIVADO Y REGIMEN DEL SERVICIO CIVIL</v>
      </c>
      <c r="CQ283" s="10" t="str">
        <f>+VLOOKUP(Tabla1[[#This Row],[ESPECÍFICA]],CLASIFICADOR_,3,0)</f>
        <v>02.SERVIR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6"/>
        <v>0015-DCEME</v>
      </c>
      <c r="CY283" s="5" t="str">
        <f t="shared" si="63"/>
        <v>0015-DCEME (EX DCC)</v>
      </c>
      <c r="CZ283" t="str">
        <f t="shared" si="87"/>
        <v>0015-DCEME</v>
      </c>
      <c r="DA283" s="113" t="str">
        <f>+CONCATENATE(Tabla1[[#This Row],[CC COMPLETO]],Tabla1[[#This Row],[ESPECÍFICA]])</f>
        <v>0015-DCEME2.1.4.1.1.1</v>
      </c>
      <c r="DB283" s="11">
        <f t="shared" si="97"/>
        <v>0</v>
      </c>
      <c r="DC283" s="11">
        <f t="shared" si="98"/>
        <v>0</v>
      </c>
      <c r="DD283" s="11">
        <f t="shared" si="99"/>
        <v>0</v>
      </c>
      <c r="DE283" s="11">
        <f t="shared" si="100"/>
        <v>0</v>
      </c>
      <c r="DF283" s="11">
        <f t="shared" si="101"/>
        <v>0</v>
      </c>
      <c r="DG283" s="11">
        <f t="shared" si="102"/>
        <v>0</v>
      </c>
      <c r="DH283" s="11">
        <f t="shared" si="103"/>
        <v>0</v>
      </c>
      <c r="DI283" s="12">
        <f t="shared" si="104"/>
        <v>0</v>
      </c>
      <c r="DJ283" s="77">
        <f>+SUM(Tabla1[[#This Row],[EJECUTADO 01]:[EJECUTADO 06]])</f>
        <v>0</v>
      </c>
      <c r="DK283" s="77">
        <f>+Tabla1[[#This Row],[mto_devenga_01]]</f>
        <v>0</v>
      </c>
      <c r="DL283" s="285">
        <f>+Tabla1[[#This Row],[mto_devenga_02]]</f>
        <v>0</v>
      </c>
      <c r="DM283" s="285">
        <f>+Tabla1[[#This Row],[mto_devenga_03]]</f>
        <v>0</v>
      </c>
      <c r="DN283" s="286">
        <f>+Tabla1[[#This Row],[mto_devenga_04]]</f>
        <v>0</v>
      </c>
      <c r="DO283" s="285">
        <f>+Tabla1[[#This Row],[mto_devenga_05]]</f>
        <v>0</v>
      </c>
      <c r="DP283" s="76">
        <f>+Tabla1[[#This Row],[mto_devenga_06]]</f>
        <v>0</v>
      </c>
      <c r="DQ283" s="76">
        <f>+Tabla1[[#This Row],[mto_devenga_07]]</f>
        <v>0</v>
      </c>
      <c r="DR283" s="76">
        <f>+Tabla1[[#This Row],[mto_devenga_08]]</f>
        <v>0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0</v>
      </c>
      <c r="DX283" s="76">
        <f>IFERROR(VLOOKUP(Tabla1[[#This Row],[COD SE]],PF_OCTUBRE,18,0),"0")</f>
        <v>0</v>
      </c>
      <c r="DY283" s="76">
        <f>IFERROR(VLOOKUP(Tabla1[[#This Row],[COD SE]],PF_OCTUBRE,19,0),"0")</f>
        <v>0</v>
      </c>
      <c r="DZ283" s="76">
        <f>IFERROR(VLOOKUP(Tabla1[[#This Row],[COD SE]],PF_OCTUBRE,20,0),"0")</f>
        <v>0</v>
      </c>
      <c r="EA283" s="76">
        <f>+Tabla1[[#This Row],[TOTAL EJEC REAL]]+Tabla1[[#This Row],[SALDO FINAL]]</f>
        <v>0</v>
      </c>
      <c r="EB283" s="76">
        <f>IFERROR(VLOOKUP(Tabla1[[#This Row],[COD SE]],PF_OCTUBRE,22,0),"0")</f>
        <v>0</v>
      </c>
      <c r="EC283" s="76">
        <f>+IFERROR(VLOOKUP(Tabla1[[#This Row],[COD SE]],SALDO_ESC_2,7,0),0)</f>
        <v>0</v>
      </c>
      <c r="ED283" s="76">
        <f>+IFERROR(VLOOKUP(Tabla1[[#This Row],[COD SE]],SALDO_ESC_3,7,0),0)</f>
        <v>0</v>
      </c>
      <c r="EE283" s="76">
        <f>+Tabla1[[#This Row],[mto_pim]]-Tabla1[[#This Row],[TRANSF ESC2 ]]</f>
        <v>0</v>
      </c>
      <c r="EF283" s="76">
        <f>+Tabla1[[#This Row],[mto_pim]]-Tabla1[[#This Row],[TRANFS ESC 3 ]]</f>
        <v>0</v>
      </c>
      <c r="EG283" s="76">
        <f>+IFERROR(VLOOKUP(Tabla1[[#This Row],[COD SE]],HISTORICO,4,0),0)</f>
        <v>0</v>
      </c>
      <c r="EH283" s="76">
        <f>+IFERROR(VLOOKUP(Tabla1[[#This Row],[COD SE]],HISTORICO,5,0),0)</f>
        <v>0</v>
      </c>
      <c r="EI283" s="76">
        <f>+IFERROR(VLOOKUP(Tabla1[[#This Row],[COD SE]],HISTORICO,6,0),0)</f>
        <v>0</v>
      </c>
      <c r="EJ283" s="76">
        <f>+IFERROR(VLOOKUP(Tabla1[[#This Row],[COD SE]],HISTORICO,7,0),0)</f>
        <v>0</v>
      </c>
      <c r="EK283" s="76">
        <f>+IFERROR(VLOOKUP(Tabla1[[#This Row],[COD SE]],HISTORICO,8,0),0)</f>
        <v>0</v>
      </c>
      <c r="EL283" s="76">
        <f>+IFERROR(VLOOKUP(Tabla1[[#This Row],[COD SE]],HISTORICO,9,0),0)</f>
        <v>0</v>
      </c>
      <c r="EM283" s="76">
        <f>+IFERROR(VLOOKUP(Tabla1[[#This Row],[COD SE]],HISTORICO,10,0),0)</f>
        <v>0</v>
      </c>
      <c r="EN283" s="76">
        <f>+IFERROR(VLOOKUP(Tabla1[[#This Row],[COD SE]],HISTORICO,11,0),0)</f>
        <v>0</v>
      </c>
      <c r="EO283" s="76">
        <f>+IFERROR(VLOOKUP(Tabla1[[#This Row],[COD SE]],HISTORICO,12,0),0)</f>
        <v>0</v>
      </c>
      <c r="EP283" s="58">
        <f>+SUM(Tabla1[[#This Row],[EJECUTADO 01]:[EJECUTADO 03]])</f>
        <v>0</v>
      </c>
      <c r="EQ283" s="58">
        <f>+SUM(Tabla1[[#This Row],[EJECUTADO 04]:[EJECUTADO 06]])</f>
        <v>0</v>
      </c>
      <c r="ER283" s="58">
        <f>+SUM(Tabla1[[#This Row],[EJECUTADO 07]:[EJECUTADO 09]])</f>
        <v>0</v>
      </c>
      <c r="ES283" s="58">
        <f>+SUM(Tabla1[[#This Row],[PF OCTUBRE]:[PF DICIEMBRE
]])</f>
        <v>0</v>
      </c>
      <c r="ET283" s="58">
        <f>+SUM(Tabla1[[#This Row],[EJECUTADO 01]:[EJECUTADO 09]])</f>
        <v>0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1656</v>
      </c>
      <c r="AD284" s="369" t="s">
        <v>2006</v>
      </c>
      <c r="AE284" s="369" t="s">
        <v>2007</v>
      </c>
      <c r="AF284" s="369" t="s">
        <v>2007</v>
      </c>
      <c r="AG284" s="369" t="s">
        <v>2015</v>
      </c>
      <c r="AH284" s="369">
        <v>0</v>
      </c>
      <c r="AI284" s="369">
        <v>19460</v>
      </c>
      <c r="AJ284" s="369">
        <v>19460</v>
      </c>
      <c r="AK284" s="370">
        <v>19460</v>
      </c>
      <c r="AL284" s="370">
        <v>19460</v>
      </c>
      <c r="AM284" s="370">
        <v>0</v>
      </c>
      <c r="AN284" s="370">
        <v>0</v>
      </c>
      <c r="AO284" s="370">
        <v>0</v>
      </c>
      <c r="AP284" s="370">
        <v>17498.330000000002</v>
      </c>
      <c r="AQ284" s="370">
        <v>1958.39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17498.330000000002</v>
      </c>
      <c r="BC284" s="370">
        <v>1958.39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17498.330000000002</v>
      </c>
      <c r="BO284" s="370">
        <v>1958.39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14471.5</v>
      </c>
      <c r="CA284" s="370">
        <v>1958.39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1990</v>
      </c>
      <c r="CK284" s="48" t="s">
        <v>1993</v>
      </c>
      <c r="CL284" s="48" t="s">
        <v>1990</v>
      </c>
      <c r="CM284" s="48" t="s">
        <v>1990</v>
      </c>
      <c r="CN284" s="48" t="s">
        <v>1989</v>
      </c>
      <c r="CO284" s="10" t="str">
        <f t="shared" si="96"/>
        <v>2.1.4.1.1.7</v>
      </c>
      <c r="CP284" s="10" t="str">
        <f>+VLOOKUP(Tabla1[[#This Row],[ESPECÍFICA]],CLASIFICADOR_,2,0)</f>
        <v>2.1.4.1.1.7 - VACACIONES TRUNCAS PERSONAL CAS</v>
      </c>
      <c r="CQ284" s="10" t="str">
        <f>+VLOOKUP(Tabla1[[#This Row],[ESPECÍFICA]],CLASIFICADOR_,3,0)</f>
        <v>01.CAS</v>
      </c>
      <c r="CR284" s="10" t="str">
        <f>+VLOOKUP(Tabla1[[#This Row],[ESPECÍFICA]],CLASIFICADOR_,4,0)</f>
        <v xml:space="preserve"> </v>
      </c>
      <c r="CS284" s="10">
        <f>+VLOOKUP(Tabla1[[#This Row],[ESPECÍFICA]],CLASIFICADOR_,5,0)</f>
        <v>0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2.1.PERSONAL Y OBLIGACIONES SOCIALES</v>
      </c>
      <c r="CX284" s="10" t="str">
        <f t="shared" si="86"/>
        <v>0015-DCEME</v>
      </c>
      <c r="CY284" s="5" t="str">
        <f t="shared" si="63"/>
        <v>0015-DCEME (EX DCC)</v>
      </c>
      <c r="CZ284" t="str">
        <f t="shared" si="87"/>
        <v>0015-DCEME</v>
      </c>
      <c r="DA284" s="113" t="str">
        <f>+CONCATENATE(Tabla1[[#This Row],[CC COMPLETO]],Tabla1[[#This Row],[ESPECÍFICA]])</f>
        <v>0015-DCEME2.1.4.1.1.7</v>
      </c>
      <c r="DB284" s="11">
        <f t="shared" si="97"/>
        <v>19456.72</v>
      </c>
      <c r="DC284" s="11">
        <f t="shared" si="98"/>
        <v>19456.72</v>
      </c>
      <c r="DD284" s="11">
        <f t="shared" si="99"/>
        <v>19456.72</v>
      </c>
      <c r="DE284" s="11">
        <f t="shared" si="100"/>
        <v>0</v>
      </c>
      <c r="DF284" s="11">
        <f t="shared" si="101"/>
        <v>0</v>
      </c>
      <c r="DG284" s="11">
        <f t="shared" si="102"/>
        <v>3.2799999999988358</v>
      </c>
      <c r="DH284" s="11">
        <f t="shared" si="103"/>
        <v>3.2799999999988358</v>
      </c>
      <c r="DI284" s="12">
        <f t="shared" si="104"/>
        <v>0</v>
      </c>
      <c r="DJ284" s="77">
        <f>+SUM(Tabla1[[#This Row],[EJECUTADO 01]:[EJECUTADO 06]])</f>
        <v>19456.72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17498.330000000002</v>
      </c>
      <c r="DO284" s="285">
        <f>+Tabla1[[#This Row],[mto_devenga_05]]</f>
        <v>1958.39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0</v>
      </c>
      <c r="DW284" s="76">
        <f>+SUM(Tabla1[[#This Row],[EJECUTADO 01]:[PF DICIEMBRE
]])</f>
        <v>19456.72</v>
      </c>
      <c r="DX284" s="76">
        <f>IFERROR(VLOOKUP(Tabla1[[#This Row],[COD SE]],PF_OCTUBRE,18,0),"0")</f>
        <v>0</v>
      </c>
      <c r="DY284" s="76">
        <f>IFERROR(VLOOKUP(Tabla1[[#This Row],[COD SE]],PF_OCTUBRE,19,0),"0")</f>
        <v>3.28</v>
      </c>
      <c r="DZ284" s="76">
        <f>IFERROR(VLOOKUP(Tabla1[[#This Row],[COD SE]],PF_OCTUBRE,20,0),"0")</f>
        <v>3.28</v>
      </c>
      <c r="EA284" s="76">
        <f>+Tabla1[[#This Row],[TOTAL EJEC REAL]]+Tabla1[[#This Row],[SALDO FINAL]]</f>
        <v>19460</v>
      </c>
      <c r="EB284" s="76">
        <f>IFERROR(VLOOKUP(Tabla1[[#This Row],[COD SE]],PF_OCTUBRE,22,0),"0")</f>
        <v>3.28</v>
      </c>
      <c r="EC284" s="76">
        <f>+IFERROR(VLOOKUP(Tabla1[[#This Row],[COD SE]],SALDO_ESC_2,7,0),0)</f>
        <v>0</v>
      </c>
      <c r="ED284" s="76">
        <f>+IFERROR(VLOOKUP(Tabla1[[#This Row],[COD SE]],SALDO_ESC_3,7,0),0)</f>
        <v>3.28</v>
      </c>
      <c r="EE284" s="76">
        <f>+Tabla1[[#This Row],[mto_pim]]-Tabla1[[#This Row],[TRANSF ESC2 ]]</f>
        <v>19460</v>
      </c>
      <c r="EF284" s="76">
        <f>+Tabla1[[#This Row],[mto_pim]]-Tabla1[[#This Row],[TRANFS ESC 3 ]]</f>
        <v>19456.72</v>
      </c>
      <c r="EG284" s="76">
        <f>+IFERROR(VLOOKUP(Tabla1[[#This Row],[COD SE]],HISTORICO,4,0),0)</f>
        <v>0</v>
      </c>
      <c r="EH284" s="76">
        <f>+IFERROR(VLOOKUP(Tabla1[[#This Row],[COD SE]],HISTORICO,5,0),0)</f>
        <v>0</v>
      </c>
      <c r="EI284" s="76">
        <f>+IFERROR(VLOOKUP(Tabla1[[#This Row],[COD SE]],HISTORICO,6,0),0)</f>
        <v>17501</v>
      </c>
      <c r="EJ284" s="76">
        <f>+IFERROR(VLOOKUP(Tabla1[[#This Row],[COD SE]],HISTORICO,7,0),0)</f>
        <v>0</v>
      </c>
      <c r="EK284" s="76">
        <f>+IFERROR(VLOOKUP(Tabla1[[#This Row],[COD SE]],HISTORICO,8,0),0)</f>
        <v>1959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19456.72</v>
      </c>
      <c r="ER284" s="58">
        <f>+SUM(Tabla1[[#This Row],[EJECUTADO 07]:[EJECUTADO 09]])</f>
        <v>0</v>
      </c>
      <c r="ES284" s="58">
        <f>+SUM(Tabla1[[#This Row],[PF OCTUBRE]:[PF DICIEMBRE
]])</f>
        <v>0</v>
      </c>
      <c r="ET284" s="58">
        <f>+SUM(Tabla1[[#This Row],[EJECUTADO 01]:[EJECUTADO 09]])</f>
        <v>19456.72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1660</v>
      </c>
      <c r="AF285" s="369" t="s">
        <v>1661</v>
      </c>
      <c r="AG285" s="369" t="s">
        <v>1663</v>
      </c>
      <c r="AH285" s="369">
        <v>1653495</v>
      </c>
      <c r="AI285" s="369">
        <v>-429452</v>
      </c>
      <c r="AJ285" s="369">
        <v>1224043</v>
      </c>
      <c r="AK285" s="370">
        <v>364518</v>
      </c>
      <c r="AL285" s="370">
        <v>364436.94</v>
      </c>
      <c r="AM285" s="370">
        <v>76707.87</v>
      </c>
      <c r="AN285" s="370">
        <v>53794.99</v>
      </c>
      <c r="AO285" s="370">
        <v>40202.15</v>
      </c>
      <c r="AP285" s="370">
        <v>39028.379999999997</v>
      </c>
      <c r="AQ285" s="370">
        <v>39028.379999999997</v>
      </c>
      <c r="AR285" s="370">
        <v>38699.629999999997</v>
      </c>
      <c r="AS285" s="370">
        <v>38509.300000000003</v>
      </c>
      <c r="AT285" s="370">
        <v>38466.239999999998</v>
      </c>
      <c r="AU285" s="370">
        <v>0</v>
      </c>
      <c r="AV285" s="370">
        <v>0</v>
      </c>
      <c r="AW285" s="370">
        <v>0</v>
      </c>
      <c r="AX285" s="370">
        <v>0</v>
      </c>
      <c r="AY285" s="370">
        <v>79734.7</v>
      </c>
      <c r="AZ285" s="370">
        <v>53794.99</v>
      </c>
      <c r="BA285" s="370">
        <v>40202.15</v>
      </c>
      <c r="BB285" s="370">
        <v>36001.550000000003</v>
      </c>
      <c r="BC285" s="370">
        <v>39028.379999999997</v>
      </c>
      <c r="BD285" s="370">
        <v>38699.629999999997</v>
      </c>
      <c r="BE285" s="370">
        <v>38509.300000000003</v>
      </c>
      <c r="BF285" s="370">
        <v>38547.300000000003</v>
      </c>
      <c r="BG285" s="370">
        <v>0</v>
      </c>
      <c r="BH285" s="370">
        <v>-81.06</v>
      </c>
      <c r="BI285" s="370">
        <v>0</v>
      </c>
      <c r="BJ285" s="370">
        <v>0</v>
      </c>
      <c r="BK285" s="370">
        <v>79647.7</v>
      </c>
      <c r="BL285" s="370">
        <v>53881.99</v>
      </c>
      <c r="BM285" s="370">
        <v>40202.15</v>
      </c>
      <c r="BN285" s="370">
        <v>31453.18</v>
      </c>
      <c r="BO285" s="370">
        <v>43576.75</v>
      </c>
      <c r="BP285" s="370">
        <v>38699.629999999997</v>
      </c>
      <c r="BQ285" s="370">
        <v>38509.300000000003</v>
      </c>
      <c r="BR285" s="370">
        <v>38547.300000000003</v>
      </c>
      <c r="BS285" s="370">
        <v>0</v>
      </c>
      <c r="BT285" s="370">
        <v>-81.06</v>
      </c>
      <c r="BU285" s="370">
        <v>0</v>
      </c>
      <c r="BV285" s="370">
        <v>0</v>
      </c>
      <c r="BW285" s="370">
        <v>79734.7</v>
      </c>
      <c r="BX285" s="370">
        <v>53794.99</v>
      </c>
      <c r="BY285" s="370">
        <v>40202.15</v>
      </c>
      <c r="BZ285" s="370">
        <v>39028.379999999997</v>
      </c>
      <c r="CA285" s="370">
        <v>39028.379999999997</v>
      </c>
      <c r="CB285" s="370">
        <v>38699.629999999997</v>
      </c>
      <c r="CC285" s="370">
        <v>38509.300000000003</v>
      </c>
      <c r="CD285" s="370">
        <v>38547.300000000003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2010</v>
      </c>
      <c r="CM285" s="48" t="s">
        <v>1990</v>
      </c>
      <c r="CN285" s="48" t="s">
        <v>1987</v>
      </c>
      <c r="CO285" s="10" t="str">
        <f t="shared" si="96"/>
        <v>2.1.1.13.1.2</v>
      </c>
      <c r="CP285" s="10" t="str">
        <f>+VLOOKUP(Tabla1[[#This Row],[ESPECÍFICA]],CLASIFICADOR_,2,0)</f>
        <v>2.1.1.13.1.2 - CONTRATO ADMINISTRATIVO DE SERVICIOS - TRANSITORIO</v>
      </c>
      <c r="CQ285" s="10" t="str">
        <f>+VLOOKUP(Tabla1[[#This Row],[ESPECÍFICA]],CLASIFICADOR_,3,0)</f>
        <v>01.CAS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6"/>
        <v>0015-DCEME</v>
      </c>
      <c r="CY285" s="5" t="str">
        <f t="shared" si="63"/>
        <v>0015-DCEME (EX DCC)</v>
      </c>
      <c r="CZ285" t="str">
        <f t="shared" si="87"/>
        <v>0015-DCEME</v>
      </c>
      <c r="DA285" s="113" t="str">
        <f>+CONCATENATE(Tabla1[[#This Row],[CC COMPLETO]],Tabla1[[#This Row],[ESPECÍFICA]])</f>
        <v>0015-DCEME2.1.1.13.1.2</v>
      </c>
      <c r="DB285" s="11">
        <f t="shared" si="97"/>
        <v>364436.93999999994</v>
      </c>
      <c r="DC285" s="11">
        <f t="shared" si="98"/>
        <v>364436.94</v>
      </c>
      <c r="DD285" s="11">
        <f t="shared" si="99"/>
        <v>364436.93999999994</v>
      </c>
      <c r="DE285" s="11">
        <f t="shared" si="100"/>
        <v>859525</v>
      </c>
      <c r="DF285" s="11">
        <f t="shared" si="101"/>
        <v>81.059999999997672</v>
      </c>
      <c r="DG285" s="11">
        <f t="shared" si="102"/>
        <v>0</v>
      </c>
      <c r="DH285" s="11">
        <f t="shared" si="103"/>
        <v>859606.06</v>
      </c>
      <c r="DI285" s="12">
        <f t="shared" si="104"/>
        <v>0.22040401694592363</v>
      </c>
      <c r="DJ285" s="77">
        <f>+SUM(Tabla1[[#This Row],[EJECUTADO 01]:[EJECUTADO 06]])</f>
        <v>287461.40000000002</v>
      </c>
      <c r="DK285" s="77">
        <f>+Tabla1[[#This Row],[mto_devenga_01]]</f>
        <v>79734.7</v>
      </c>
      <c r="DL285" s="285">
        <f>+Tabla1[[#This Row],[mto_devenga_02]]</f>
        <v>53794.99</v>
      </c>
      <c r="DM285" s="285">
        <f>+Tabla1[[#This Row],[mto_devenga_03]]</f>
        <v>40202.15</v>
      </c>
      <c r="DN285" s="286">
        <f>+Tabla1[[#This Row],[mto_devenga_04]]</f>
        <v>36001.550000000003</v>
      </c>
      <c r="DO285" s="285">
        <f>+Tabla1[[#This Row],[mto_devenga_05]]</f>
        <v>39028.379999999997</v>
      </c>
      <c r="DP285" s="76">
        <f>+Tabla1[[#This Row],[mto_devenga_06]]</f>
        <v>38699.629999999997</v>
      </c>
      <c r="DQ285" s="76">
        <f>+Tabla1[[#This Row],[mto_devenga_07]]</f>
        <v>38509.300000000003</v>
      </c>
      <c r="DR285" s="76">
        <f>+Tabla1[[#This Row],[mto_devenga_08]]</f>
        <v>38547.300000000003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364518</v>
      </c>
      <c r="DX285" s="76">
        <f>IFERROR(VLOOKUP(Tabla1[[#This Row],[COD SE]],PF_OCTUBRE,18,0),"0")</f>
        <v>0</v>
      </c>
      <c r="DY285" s="76">
        <f>IFERROR(VLOOKUP(Tabla1[[#This Row],[COD SE]],PF_OCTUBRE,19,0),"0")</f>
        <v>859525.00000000012</v>
      </c>
      <c r="DZ285" s="76">
        <f>IFERROR(VLOOKUP(Tabla1[[#This Row],[COD SE]],PF_OCTUBRE,20,0),"0")</f>
        <v>859525.00000000012</v>
      </c>
      <c r="EA285" s="76">
        <f>+Tabla1[[#This Row],[TOTAL EJEC REAL]]+Tabla1[[#This Row],[SALDO FINAL]]</f>
        <v>1224043</v>
      </c>
      <c r="EB285" s="76">
        <f>IFERROR(VLOOKUP(Tabla1[[#This Row],[COD SE]],PF_OCTUBRE,22,0),"0")</f>
        <v>859525.00000000012</v>
      </c>
      <c r="EC285" s="76">
        <f>+IFERROR(VLOOKUP(Tabla1[[#This Row],[COD SE]],SALDO_ESC_2,7,0),0)</f>
        <v>0</v>
      </c>
      <c r="ED285" s="76">
        <f>+IFERROR(VLOOKUP(Tabla1[[#This Row],[COD SE]],SALDO_ESC_3,7,0),0)</f>
        <v>859525.00000000012</v>
      </c>
      <c r="EE285" s="76">
        <f>+Tabla1[[#This Row],[mto_pim]]-Tabla1[[#This Row],[TRANSF ESC2 ]]</f>
        <v>1224043</v>
      </c>
      <c r="EF285" s="76">
        <f>+Tabla1[[#This Row],[mto_pim]]-Tabla1[[#This Row],[TRANFS ESC 3 ]]</f>
        <v>364517.99999999988</v>
      </c>
      <c r="EG285" s="76">
        <f>+IFERROR(VLOOKUP(Tabla1[[#This Row],[COD SE]],HISTORICO,4,0),0)</f>
        <v>137527.04000000001</v>
      </c>
      <c r="EH285" s="76">
        <f>+IFERROR(VLOOKUP(Tabla1[[#This Row],[COD SE]],HISTORICO,5,0),0)</f>
        <v>30692.57</v>
      </c>
      <c r="EI285" s="76">
        <f>+IFERROR(VLOOKUP(Tabla1[[#This Row],[COD SE]],HISTORICO,6,0),0)</f>
        <v>138127.04000000001</v>
      </c>
      <c r="EJ285" s="76">
        <f>+IFERROR(VLOOKUP(Tabla1[[#This Row],[COD SE]],HISTORICO,7,0),0)</f>
        <v>39320.950000000004</v>
      </c>
      <c r="EK285" s="76">
        <f>+IFERROR(VLOOKUP(Tabla1[[#This Row],[COD SE]],HISTORICO,8,0),0)</f>
        <v>39320.950000000004</v>
      </c>
      <c r="EL285" s="76">
        <f>+IFERROR(VLOOKUP(Tabla1[[#This Row],[COD SE]],HISTORICO,9,0),0)</f>
        <v>39320.950000000004</v>
      </c>
      <c r="EM285" s="76">
        <f>+IFERROR(VLOOKUP(Tabla1[[#This Row],[COD SE]],HISTORICO,10,0),0)</f>
        <v>42485.140000000007</v>
      </c>
      <c r="EN285" s="76">
        <f>+IFERROR(VLOOKUP(Tabla1[[#This Row],[COD SE]],HISTORICO,11,0),0)</f>
        <v>39320.950000000004</v>
      </c>
      <c r="EO285" s="76">
        <f>+IFERROR(VLOOKUP(Tabla1[[#This Row],[COD SE]],HISTORICO,12,0),0)</f>
        <v>0</v>
      </c>
      <c r="EP285" s="58">
        <f>+SUM(Tabla1[[#This Row],[EJECUTADO 01]:[EJECUTADO 03]])</f>
        <v>173731.84</v>
      </c>
      <c r="EQ285" s="58">
        <f>+SUM(Tabla1[[#This Row],[EJECUTADO 04]:[EJECUTADO 06]])</f>
        <v>113729.56</v>
      </c>
      <c r="ER285" s="58">
        <f>+SUM(Tabla1[[#This Row],[EJECUTADO 07]:[EJECUTADO 09]])</f>
        <v>77056.600000000006</v>
      </c>
      <c r="ES285" s="58">
        <f>+SUM(Tabla1[[#This Row],[PF OCTUBRE]:[PF DICIEMBRE
]])</f>
        <v>0</v>
      </c>
      <c r="ET285" s="58">
        <f>+SUM(Tabla1[[#This Row],[EJECUTADO 01]:[EJECUTADO 09]])</f>
        <v>364518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2065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2066</v>
      </c>
      <c r="P286" s="369" t="s">
        <v>2032</v>
      </c>
      <c r="Q286" s="369">
        <v>57</v>
      </c>
      <c r="R286" s="369">
        <v>0</v>
      </c>
      <c r="S286" s="369">
        <v>0</v>
      </c>
      <c r="T286" s="369">
        <v>0</v>
      </c>
      <c r="U286" s="369">
        <v>15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1657</v>
      </c>
      <c r="AE286" s="369" t="s">
        <v>1660</v>
      </c>
      <c r="AF286" s="369" t="s">
        <v>1661</v>
      </c>
      <c r="AG286" s="369" t="s">
        <v>1662</v>
      </c>
      <c r="AH286" s="369">
        <v>953733</v>
      </c>
      <c r="AI286" s="369">
        <v>-282856</v>
      </c>
      <c r="AJ286" s="369">
        <v>670877</v>
      </c>
      <c r="AK286" s="370">
        <v>497450.73</v>
      </c>
      <c r="AL286" s="370">
        <v>497450.73</v>
      </c>
      <c r="AM286" s="370">
        <v>72486.52</v>
      </c>
      <c r="AN286" s="370">
        <v>67209.47</v>
      </c>
      <c r="AO286" s="370">
        <v>60682.85</v>
      </c>
      <c r="AP286" s="370">
        <v>59459.17</v>
      </c>
      <c r="AQ286" s="370">
        <v>59381.14</v>
      </c>
      <c r="AR286" s="370">
        <v>58303.17</v>
      </c>
      <c r="AS286" s="370">
        <v>59393.37</v>
      </c>
      <c r="AT286" s="370">
        <v>60535.040000000001</v>
      </c>
      <c r="AU286" s="370">
        <v>0</v>
      </c>
      <c r="AV286" s="370">
        <v>0</v>
      </c>
      <c r="AW286" s="370">
        <v>0</v>
      </c>
      <c r="AX286" s="370">
        <v>0</v>
      </c>
      <c r="AY286" s="370">
        <v>72486.52</v>
      </c>
      <c r="AZ286" s="370">
        <v>67209.47</v>
      </c>
      <c r="BA286" s="370">
        <v>60682.85</v>
      </c>
      <c r="BB286" s="370">
        <v>60005.17</v>
      </c>
      <c r="BC286" s="370">
        <v>60239.14</v>
      </c>
      <c r="BD286" s="370">
        <v>58303.17</v>
      </c>
      <c r="BE286" s="370">
        <v>58301.37</v>
      </c>
      <c r="BF286" s="370">
        <v>60223.040000000001</v>
      </c>
      <c r="BG286" s="370">
        <v>0</v>
      </c>
      <c r="BH286" s="370">
        <v>0</v>
      </c>
      <c r="BI286" s="370">
        <v>0</v>
      </c>
      <c r="BJ286" s="370">
        <v>0</v>
      </c>
      <c r="BK286" s="370">
        <v>72311.240000000005</v>
      </c>
      <c r="BL286" s="370">
        <v>67384.75</v>
      </c>
      <c r="BM286" s="370">
        <v>60682.85</v>
      </c>
      <c r="BN286" s="370">
        <v>53423.51</v>
      </c>
      <c r="BO286" s="370">
        <v>66820.800000000003</v>
      </c>
      <c r="BP286" s="370">
        <v>58303.17</v>
      </c>
      <c r="BQ286" s="370">
        <v>58301.37</v>
      </c>
      <c r="BR286" s="370">
        <v>60223.040000000001</v>
      </c>
      <c r="BS286" s="370">
        <v>0</v>
      </c>
      <c r="BT286" s="370">
        <v>0</v>
      </c>
      <c r="BU286" s="370">
        <v>0</v>
      </c>
      <c r="BV286" s="370">
        <v>0</v>
      </c>
      <c r="BW286" s="370">
        <v>72486.52</v>
      </c>
      <c r="BX286" s="370">
        <v>67209.47</v>
      </c>
      <c r="BY286" s="370">
        <v>60682.85</v>
      </c>
      <c r="BZ286" s="370">
        <v>60005.17</v>
      </c>
      <c r="CA286" s="370">
        <v>60239.14</v>
      </c>
      <c r="CB286" s="370">
        <v>58303.17</v>
      </c>
      <c r="CC286" s="370">
        <v>58301.37</v>
      </c>
      <c r="CD286" s="370">
        <v>60223.040000000001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1990</v>
      </c>
      <c r="CL286" s="48" t="s">
        <v>2010</v>
      </c>
      <c r="CM286" s="48" t="s">
        <v>1990</v>
      </c>
      <c r="CN286" s="48" t="s">
        <v>1990</v>
      </c>
      <c r="CO286" s="10" t="str">
        <f t="shared" si="96"/>
        <v>2.1.1.13.1.1</v>
      </c>
      <c r="CP286" s="10" t="str">
        <f>+VLOOKUP(Tabla1[[#This Row],[ESPECÍFICA]],CLASIFICADOR_,2,0)</f>
        <v>2.1.1.13.1.1 - CONTRATO ADMINISTRATIVO DE SERVICIOS - INDETERMINADO</v>
      </c>
      <c r="CQ286" s="10" t="str">
        <f>+VLOOKUP(Tabla1[[#This Row],[ESPECÍFICA]],CLASIFICADOR_,3,0)</f>
        <v>01.CAS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6"/>
        <v>0015-DCEME</v>
      </c>
      <c r="CY286" s="5" t="str">
        <f t="shared" si="63"/>
        <v>0015-DCEME (EX DCC)</v>
      </c>
      <c r="CZ286" t="str">
        <f t="shared" si="87"/>
        <v>0015-DCEME</v>
      </c>
      <c r="DA286" s="113" t="str">
        <f>+CONCATENATE(Tabla1[[#This Row],[CC COMPLETO]],Tabla1[[#This Row],[ESPECÍFICA]])</f>
        <v>0015-DCEME2.1.1.13.1.1</v>
      </c>
      <c r="DB286" s="11">
        <f t="shared" si="97"/>
        <v>497450.73</v>
      </c>
      <c r="DC286" s="11">
        <f t="shared" si="98"/>
        <v>497450.73</v>
      </c>
      <c r="DD286" s="11">
        <f t="shared" si="99"/>
        <v>497450.73</v>
      </c>
      <c r="DE286" s="11">
        <f t="shared" si="100"/>
        <v>173426.27000000002</v>
      </c>
      <c r="DF286" s="11">
        <f t="shared" si="101"/>
        <v>0</v>
      </c>
      <c r="DG286" s="11">
        <f t="shared" si="102"/>
        <v>0</v>
      </c>
      <c r="DH286" s="11">
        <f t="shared" si="103"/>
        <v>173426.27000000002</v>
      </c>
      <c r="DI286" s="12">
        <f t="shared" si="104"/>
        <v>0.52158280147588476</v>
      </c>
      <c r="DJ286" s="77">
        <f>+SUM(Tabla1[[#This Row],[EJECUTADO 01]:[EJECUTADO 06]])</f>
        <v>378926.32</v>
      </c>
      <c r="DK286" s="77">
        <f>+Tabla1[[#This Row],[mto_devenga_01]]</f>
        <v>72486.52</v>
      </c>
      <c r="DL286" s="285">
        <f>+Tabla1[[#This Row],[mto_devenga_02]]</f>
        <v>67209.47</v>
      </c>
      <c r="DM286" s="285">
        <f>+Tabla1[[#This Row],[mto_devenga_03]]</f>
        <v>60682.85</v>
      </c>
      <c r="DN286" s="286">
        <f>+Tabla1[[#This Row],[mto_devenga_04]]</f>
        <v>60005.17</v>
      </c>
      <c r="DO286" s="285">
        <f>+Tabla1[[#This Row],[mto_devenga_05]]</f>
        <v>60239.14</v>
      </c>
      <c r="DP286" s="76">
        <f>+Tabla1[[#This Row],[mto_devenga_06]]</f>
        <v>58303.17</v>
      </c>
      <c r="DQ286" s="76">
        <f>+Tabla1[[#This Row],[mto_devenga_07]]</f>
        <v>58301.37</v>
      </c>
      <c r="DR286" s="76">
        <f>+Tabla1[[#This Row],[mto_devenga_08]]</f>
        <v>60223.040000000001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497450.73</v>
      </c>
      <c r="DX286" s="76">
        <f>IFERROR(VLOOKUP(Tabla1[[#This Row],[COD SE]],PF_OCTUBRE,18,0),"0")</f>
        <v>0</v>
      </c>
      <c r="DY286" s="76">
        <f>IFERROR(VLOOKUP(Tabla1[[#This Row],[COD SE]],PF_OCTUBRE,19,0),"0")</f>
        <v>173426.27</v>
      </c>
      <c r="DZ286" s="76">
        <f>IFERROR(VLOOKUP(Tabla1[[#This Row],[COD SE]],PF_OCTUBRE,20,0),"0")</f>
        <v>173426.27</v>
      </c>
      <c r="EA286" s="76">
        <f>+Tabla1[[#This Row],[TOTAL EJEC REAL]]+Tabla1[[#This Row],[SALDO FINAL]]</f>
        <v>670877</v>
      </c>
      <c r="EB286" s="76">
        <f>IFERROR(VLOOKUP(Tabla1[[#This Row],[COD SE]],PF_OCTUBRE,22,0),"0")</f>
        <v>173426.27</v>
      </c>
      <c r="EC286" s="76">
        <f>+IFERROR(VLOOKUP(Tabla1[[#This Row],[COD SE]],SALDO_ESC_2,7,0),0)</f>
        <v>0</v>
      </c>
      <c r="ED286" s="76">
        <f>+IFERROR(VLOOKUP(Tabla1[[#This Row],[COD SE]],SALDO_ESC_3,7,0),0)</f>
        <v>173426.27</v>
      </c>
      <c r="EE286" s="76">
        <f>+Tabla1[[#This Row],[mto_pim]]-Tabla1[[#This Row],[TRANSF ESC2 ]]</f>
        <v>670877</v>
      </c>
      <c r="EF286" s="76">
        <f>+Tabla1[[#This Row],[mto_pim]]-Tabla1[[#This Row],[TRANFS ESC 3 ]]</f>
        <v>497450.73</v>
      </c>
      <c r="EG286" s="76">
        <f>+IFERROR(VLOOKUP(Tabla1[[#This Row],[COD SE]],HISTORICO,4,0),0)</f>
        <v>80277.710000000006</v>
      </c>
      <c r="EH286" s="76">
        <f>+IFERROR(VLOOKUP(Tabla1[[#This Row],[COD SE]],HISTORICO,5,0),0)</f>
        <v>80277.710000000006</v>
      </c>
      <c r="EI286" s="76">
        <f>+IFERROR(VLOOKUP(Tabla1[[#This Row],[COD SE]],HISTORICO,6,0),0)</f>
        <v>80377.710000000006</v>
      </c>
      <c r="EJ286" s="76">
        <f>+IFERROR(VLOOKUP(Tabla1[[#This Row],[COD SE]],HISTORICO,7,0),0)</f>
        <v>60849.330000000009</v>
      </c>
      <c r="EK286" s="76">
        <f>+IFERROR(VLOOKUP(Tabla1[[#This Row],[COD SE]],HISTORICO,8,0),0)</f>
        <v>60849.330000000009</v>
      </c>
      <c r="EL286" s="76">
        <f>+IFERROR(VLOOKUP(Tabla1[[#This Row],[COD SE]],HISTORICO,9,0),0)</f>
        <v>60849.330000000009</v>
      </c>
      <c r="EM286" s="76">
        <f>+IFERROR(VLOOKUP(Tabla1[[#This Row],[COD SE]],HISTORICO,10,0),0)</f>
        <v>60849.330000000009</v>
      </c>
      <c r="EN286" s="76">
        <f>+IFERROR(VLOOKUP(Tabla1[[#This Row],[COD SE]],HISTORICO,11,0),0)</f>
        <v>60849.330000000009</v>
      </c>
      <c r="EO286" s="76">
        <f>+IFERROR(VLOOKUP(Tabla1[[#This Row],[COD SE]],HISTORICO,12,0),0)</f>
        <v>0</v>
      </c>
      <c r="EP286" s="58">
        <f>+SUM(Tabla1[[#This Row],[EJECUTADO 01]:[EJECUTADO 03]])</f>
        <v>200378.84</v>
      </c>
      <c r="EQ286" s="58">
        <f>+SUM(Tabla1[[#This Row],[EJECUTADO 04]:[EJECUTADO 06]])</f>
        <v>178547.47999999998</v>
      </c>
      <c r="ER286" s="58">
        <f>+SUM(Tabla1[[#This Row],[EJECUTADO 07]:[EJECUTADO 09]])</f>
        <v>118524.41</v>
      </c>
      <c r="ES286" s="58">
        <f>+SUM(Tabla1[[#This Row],[PF OCTUBRE]:[PF DICIEMBRE
]])</f>
        <v>0</v>
      </c>
      <c r="ET286" s="58">
        <f>+SUM(Tabla1[[#This Row],[EJECUTADO 01]:[EJECUTADO 09]])</f>
        <v>497450.73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1668</v>
      </c>
      <c r="AE287" s="369" t="s">
        <v>1669</v>
      </c>
      <c r="AF287" s="369" t="s">
        <v>1669</v>
      </c>
      <c r="AG287" s="369" t="s">
        <v>1670</v>
      </c>
      <c r="AH287" s="369">
        <v>0</v>
      </c>
      <c r="AI287" s="369">
        <v>13469</v>
      </c>
      <c r="AJ287" s="369">
        <v>13469</v>
      </c>
      <c r="AK287" s="370">
        <v>2975</v>
      </c>
      <c r="AL287" s="370">
        <v>2974.43</v>
      </c>
      <c r="AM287" s="370">
        <v>0</v>
      </c>
      <c r="AN287" s="370">
        <v>0</v>
      </c>
      <c r="AO287" s="370">
        <v>0</v>
      </c>
      <c r="AP287" s="370">
        <v>0</v>
      </c>
      <c r="AQ287" s="370">
        <v>0</v>
      </c>
      <c r="AR287" s="370">
        <v>0</v>
      </c>
      <c r="AS287" s="370">
        <v>1290.79</v>
      </c>
      <c r="AT287" s="370">
        <v>1683.64</v>
      </c>
      <c r="AU287" s="370">
        <v>0</v>
      </c>
      <c r="AV287" s="370">
        <v>0</v>
      </c>
      <c r="AW287" s="370">
        <v>0</v>
      </c>
      <c r="AX287" s="370">
        <v>0</v>
      </c>
      <c r="AY287" s="370">
        <v>0</v>
      </c>
      <c r="AZ287" s="370">
        <v>0</v>
      </c>
      <c r="BA287" s="370">
        <v>0</v>
      </c>
      <c r="BB287" s="370">
        <v>0</v>
      </c>
      <c r="BC287" s="370">
        <v>0</v>
      </c>
      <c r="BD287" s="370">
        <v>0</v>
      </c>
      <c r="BE287" s="370">
        <v>1290.79</v>
      </c>
      <c r="BF287" s="370">
        <v>1683.64</v>
      </c>
      <c r="BG287" s="370">
        <v>0</v>
      </c>
      <c r="BH287" s="370">
        <v>0</v>
      </c>
      <c r="BI287" s="370">
        <v>0</v>
      </c>
      <c r="BJ287" s="370">
        <v>0</v>
      </c>
      <c r="BK287" s="370">
        <v>0</v>
      </c>
      <c r="BL287" s="370">
        <v>0</v>
      </c>
      <c r="BM287" s="370">
        <v>0</v>
      </c>
      <c r="BN287" s="370">
        <v>0</v>
      </c>
      <c r="BO287" s="370">
        <v>0</v>
      </c>
      <c r="BP287" s="370">
        <v>0</v>
      </c>
      <c r="BQ287" s="370">
        <v>1290.79</v>
      </c>
      <c r="BR287" s="370">
        <v>1683.64</v>
      </c>
      <c r="BS287" s="370">
        <v>0</v>
      </c>
      <c r="BT287" s="370">
        <v>0</v>
      </c>
      <c r="BU287" s="370">
        <v>0</v>
      </c>
      <c r="BV287" s="370">
        <v>0</v>
      </c>
      <c r="BW287" s="370">
        <v>0</v>
      </c>
      <c r="BX287" s="370">
        <v>0</v>
      </c>
      <c r="BY287" s="370">
        <v>0</v>
      </c>
      <c r="BZ287" s="370">
        <v>0</v>
      </c>
      <c r="CA287" s="370">
        <v>0</v>
      </c>
      <c r="CB287" s="370">
        <v>0</v>
      </c>
      <c r="CC287" s="370">
        <v>1290.79</v>
      </c>
      <c r="CD287" s="370">
        <v>1683.64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1991</v>
      </c>
      <c r="CL287" s="48" t="s">
        <v>1990</v>
      </c>
      <c r="CM287" s="48" t="s">
        <v>1990</v>
      </c>
      <c r="CN287" s="48" t="s">
        <v>2010</v>
      </c>
      <c r="CO287" s="10" t="str">
        <f t="shared" si="96"/>
        <v>2.1.3.1.1.13</v>
      </c>
      <c r="CP287" s="10" t="str">
        <f>+VLOOKUP(Tabla1[[#This Row],[ESPECÍFICA]],CLASIFICADOR_,2,0)</f>
        <v>2.1.3.1.1.13 - CONTRIBUCIONES A ESSALUD DEL PERSONAL ADMINISTRATIVO</v>
      </c>
      <c r="CQ287" s="10" t="str">
        <f>+VLOOKUP(Tabla1[[#This Row],[ESPECÍFICA]],CLASIFICADOR_,3,0)</f>
        <v>02.SERVIR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6"/>
        <v>0016-DETN</v>
      </c>
      <c r="CY287" s="5" t="str">
        <f t="shared" si="63"/>
        <v>0016-DETN (EX DAMER)</v>
      </c>
      <c r="CZ287" t="str">
        <f t="shared" si="87"/>
        <v>0016-DETN</v>
      </c>
      <c r="DA287" s="113" t="str">
        <f>+CONCATENATE(Tabla1[[#This Row],[CC COMPLETO]],Tabla1[[#This Row],[ESPECÍFICA]])</f>
        <v>0016-DETN2.1.3.1.1.13</v>
      </c>
      <c r="DB287" s="11">
        <f t="shared" si="97"/>
        <v>2974.4300000000003</v>
      </c>
      <c r="DC287" s="11">
        <f t="shared" si="98"/>
        <v>2974.4300000000003</v>
      </c>
      <c r="DD287" s="11">
        <f t="shared" si="99"/>
        <v>2974.4300000000003</v>
      </c>
      <c r="DE287" s="11">
        <f t="shared" si="100"/>
        <v>10494</v>
      </c>
      <c r="DF287" s="11">
        <f t="shared" si="101"/>
        <v>0.57000000000016371</v>
      </c>
      <c r="DG287" s="11">
        <f t="shared" si="102"/>
        <v>0</v>
      </c>
      <c r="DH287" s="11">
        <f t="shared" si="103"/>
        <v>10494.57</v>
      </c>
      <c r="DI287" s="12">
        <f t="shared" si="104"/>
        <v>0</v>
      </c>
      <c r="DJ287" s="77">
        <f>+SUM(Tabla1[[#This Row],[EJECUTADO 01]:[EJECUTADO 06]])</f>
        <v>0</v>
      </c>
      <c r="DK287" s="77">
        <f>+Tabla1[[#This Row],[mto_devenga_01]]</f>
        <v>0</v>
      </c>
      <c r="DL287" s="285">
        <f>+Tabla1[[#This Row],[mto_devenga_02]]</f>
        <v>0</v>
      </c>
      <c r="DM287" s="285">
        <f>+Tabla1[[#This Row],[mto_devenga_03]]</f>
        <v>0</v>
      </c>
      <c r="DN287" s="286">
        <f>+Tabla1[[#This Row],[mto_devenga_04]]</f>
        <v>0</v>
      </c>
      <c r="DO287" s="285">
        <f>+Tabla1[[#This Row],[mto_devenga_05]]</f>
        <v>0</v>
      </c>
      <c r="DP287" s="76">
        <f>+Tabla1[[#This Row],[mto_devenga_06]]</f>
        <v>0</v>
      </c>
      <c r="DQ287" s="76">
        <f>+Tabla1[[#This Row],[mto_devenga_07]]</f>
        <v>1290.79</v>
      </c>
      <c r="DR287" s="76">
        <f>+Tabla1[[#This Row],[mto_devenga_08]]</f>
        <v>1683.64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2974.4300000000003</v>
      </c>
      <c r="DX287" s="76">
        <f>IFERROR(VLOOKUP(Tabla1[[#This Row],[COD SE]],PF_OCTUBRE,18,0),"0")</f>
        <v>0</v>
      </c>
      <c r="DY287" s="76">
        <f>IFERROR(VLOOKUP(Tabla1[[#This Row],[COD SE]],PF_OCTUBRE,19,0),"0")</f>
        <v>10494.57</v>
      </c>
      <c r="DZ287" s="76">
        <f>IFERROR(VLOOKUP(Tabla1[[#This Row],[COD SE]],PF_OCTUBRE,20,0),"0")</f>
        <v>10494.57</v>
      </c>
      <c r="EA287" s="76">
        <f>+Tabla1[[#This Row],[TOTAL EJEC REAL]]+Tabla1[[#This Row],[SALDO FINAL]]</f>
        <v>13469</v>
      </c>
      <c r="EB287" s="76">
        <f>IFERROR(VLOOKUP(Tabla1[[#This Row],[COD SE]],PF_OCTUBRE,22,0),"0")</f>
        <v>10494.57</v>
      </c>
      <c r="EC287" s="76">
        <f>+IFERROR(VLOOKUP(Tabla1[[#This Row],[COD SE]],SALDO_ESC_2,7,0),0)</f>
        <v>0</v>
      </c>
      <c r="ED287" s="76">
        <f>+IFERROR(VLOOKUP(Tabla1[[#This Row],[COD SE]],SALDO_ESC_3,7,0),0)</f>
        <v>10494.57</v>
      </c>
      <c r="EE287" s="76">
        <f>+Tabla1[[#This Row],[mto_pim]]-Tabla1[[#This Row],[TRANSF ESC2 ]]</f>
        <v>13469</v>
      </c>
      <c r="EF287" s="76">
        <f>+Tabla1[[#This Row],[mto_pim]]-Tabla1[[#This Row],[TRANFS ESC 3 ]]</f>
        <v>2974.4300000000003</v>
      </c>
      <c r="EG287" s="76">
        <f>+IFERROR(VLOOKUP(Tabla1[[#This Row],[COD SE]],HISTORICO,4,0),0)</f>
        <v>0</v>
      </c>
      <c r="EH287" s="76">
        <f>+IFERROR(VLOOKUP(Tabla1[[#This Row],[COD SE]],HISTORICO,5,0),0)</f>
        <v>0</v>
      </c>
      <c r="EI287" s="76">
        <f>+IFERROR(VLOOKUP(Tabla1[[#This Row],[COD SE]],HISTORICO,6,0),0)</f>
        <v>0</v>
      </c>
      <c r="EJ287" s="76">
        <f>+IFERROR(VLOOKUP(Tabla1[[#This Row],[COD SE]],HISTORICO,7,0),0)</f>
        <v>0</v>
      </c>
      <c r="EK287" s="76">
        <f>+IFERROR(VLOOKUP(Tabla1[[#This Row],[COD SE]],HISTORICO,8,0),0)</f>
        <v>0</v>
      </c>
      <c r="EL287" s="76">
        <f>+IFERROR(VLOOKUP(Tabla1[[#This Row],[COD SE]],HISTORICO,9,0),0)</f>
        <v>0</v>
      </c>
      <c r="EM287" s="76">
        <f>+IFERROR(VLOOKUP(Tabla1[[#This Row],[COD SE]],HISTORICO,10,0),0)</f>
        <v>1683.64</v>
      </c>
      <c r="EN287" s="76">
        <f>+IFERROR(VLOOKUP(Tabla1[[#This Row],[COD SE]],HISTORICO,11,0),0)</f>
        <v>1683.64</v>
      </c>
      <c r="EO287" s="76">
        <f>+IFERROR(VLOOKUP(Tabla1[[#This Row],[COD SE]],HISTORICO,12,0),0)</f>
        <v>0</v>
      </c>
      <c r="EP287" s="58">
        <f>+SUM(Tabla1[[#This Row],[EJECUTADO 01]:[EJECUTADO 03]])</f>
        <v>0</v>
      </c>
      <c r="EQ287" s="58">
        <f>+SUM(Tabla1[[#This Row],[EJECUTADO 04]:[EJECUTADO 06]])</f>
        <v>0</v>
      </c>
      <c r="ER287" s="58">
        <f>+SUM(Tabla1[[#This Row],[EJECUTADO 07]:[EJECUTADO 09]])</f>
        <v>2974.4300000000003</v>
      </c>
      <c r="ES287" s="58">
        <f>+SUM(Tabla1[[#This Row],[PF OCTUBRE]:[PF DICIEMBRE
]])</f>
        <v>0</v>
      </c>
      <c r="ET287" s="58">
        <f>+SUM(Tabla1[[#This Row],[EJECUTADO 01]:[EJECUTADO 09]])</f>
        <v>2974.4300000000003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1672</v>
      </c>
      <c r="AD288" s="369" t="s">
        <v>1673</v>
      </c>
      <c r="AE288" s="369" t="s">
        <v>1681</v>
      </c>
      <c r="AF288" s="369" t="s">
        <v>1682</v>
      </c>
      <c r="AG288" s="369" t="s">
        <v>1682</v>
      </c>
      <c r="AH288" s="369">
        <v>0</v>
      </c>
      <c r="AI288" s="369">
        <v>67000</v>
      </c>
      <c r="AJ288" s="369">
        <v>67000</v>
      </c>
      <c r="AK288" s="370">
        <v>66000</v>
      </c>
      <c r="AL288" s="370">
        <v>66000</v>
      </c>
      <c r="AM288" s="370">
        <v>40000</v>
      </c>
      <c r="AN288" s="370">
        <v>0</v>
      </c>
      <c r="AO288" s="370">
        <v>0</v>
      </c>
      <c r="AP288" s="370">
        <v>0</v>
      </c>
      <c r="AQ288" s="370">
        <v>0</v>
      </c>
      <c r="AR288" s="370">
        <v>26000</v>
      </c>
      <c r="AS288" s="370">
        <v>0</v>
      </c>
      <c r="AT288" s="370">
        <v>0</v>
      </c>
      <c r="AU288" s="370">
        <v>0</v>
      </c>
      <c r="AV288" s="370">
        <v>0</v>
      </c>
      <c r="AW288" s="370">
        <v>0</v>
      </c>
      <c r="AX288" s="370">
        <v>0</v>
      </c>
      <c r="AY288" s="370">
        <v>20000</v>
      </c>
      <c r="AZ288" s="370">
        <v>20000</v>
      </c>
      <c r="BA288" s="370">
        <v>0</v>
      </c>
      <c r="BB288" s="370">
        <v>0</v>
      </c>
      <c r="BC288" s="370">
        <v>0</v>
      </c>
      <c r="BD288" s="370">
        <v>0</v>
      </c>
      <c r="BE288" s="370">
        <v>13000</v>
      </c>
      <c r="BF288" s="370">
        <v>13000</v>
      </c>
      <c r="BG288" s="370">
        <v>0</v>
      </c>
      <c r="BH288" s="370">
        <v>0</v>
      </c>
      <c r="BI288" s="370">
        <v>0</v>
      </c>
      <c r="BJ288" s="370">
        <v>0</v>
      </c>
      <c r="BK288" s="370">
        <v>20000</v>
      </c>
      <c r="BL288" s="370">
        <v>20000</v>
      </c>
      <c r="BM288" s="370">
        <v>0</v>
      </c>
      <c r="BN288" s="370">
        <v>0</v>
      </c>
      <c r="BO288" s="370">
        <v>0</v>
      </c>
      <c r="BP288" s="370">
        <v>0</v>
      </c>
      <c r="BQ288" s="370">
        <v>0</v>
      </c>
      <c r="BR288" s="370">
        <v>26000</v>
      </c>
      <c r="BS288" s="370">
        <v>0</v>
      </c>
      <c r="BT288" s="370">
        <v>0</v>
      </c>
      <c r="BU288" s="370">
        <v>0</v>
      </c>
      <c r="BV288" s="370">
        <v>0</v>
      </c>
      <c r="BW288" s="370">
        <v>40000</v>
      </c>
      <c r="BX288" s="370">
        <v>0</v>
      </c>
      <c r="BY288" s="370">
        <v>0</v>
      </c>
      <c r="BZ288" s="370">
        <v>0</v>
      </c>
      <c r="CA288" s="370">
        <v>0</v>
      </c>
      <c r="CB288" s="370">
        <v>26000</v>
      </c>
      <c r="CC288" s="370">
        <v>0</v>
      </c>
      <c r="CD288" s="370">
        <v>0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1991</v>
      </c>
      <c r="CK288" s="48" t="s">
        <v>1987</v>
      </c>
      <c r="CL288" s="48" t="s">
        <v>2005</v>
      </c>
      <c r="CM288" s="48" t="s">
        <v>1990</v>
      </c>
      <c r="CN288" s="48" t="s">
        <v>1990</v>
      </c>
      <c r="CO288" s="10" t="str">
        <f t="shared" si="96"/>
        <v>2.3.2.9.1.1</v>
      </c>
      <c r="CP288" s="10" t="str">
        <f>+VLOOKUP(Tabla1[[#This Row],[ESPECÍFICA]],CLASIFICADOR_,2,0)</f>
        <v>2.3.2.9.1.1 - LOCACIÓN DE SERVICIOS REALIZADOS POR PERSONA NATURAL</v>
      </c>
      <c r="CQ288" s="10" t="str">
        <f>+VLOOKUP(Tabla1[[#This Row],[ESPECÍFICA]],CLASIFICADOR_,3,0)</f>
        <v>2.3.2.9 - LOCACIÓN DE SERVICIOS REALIZADOS POR PERSONA NATURAL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2.3.BIENES Y SERVICIOS</v>
      </c>
      <c r="CX288" s="10" t="str">
        <f t="shared" si="86"/>
        <v>0016-DETN</v>
      </c>
      <c r="CY288" s="5" t="str">
        <f t="shared" si="63"/>
        <v>0016-DETN (EX DAMER)</v>
      </c>
      <c r="CZ288" t="str">
        <f t="shared" si="87"/>
        <v>0016-DETN</v>
      </c>
      <c r="DA288" s="113" t="str">
        <f>+CONCATENATE(Tabla1[[#This Row],[CC COMPLETO]],Tabla1[[#This Row],[ESPECÍFICA]])</f>
        <v>0016-DETN2.3.2.9.1.1</v>
      </c>
      <c r="DB288" s="11">
        <f t="shared" si="97"/>
        <v>66000</v>
      </c>
      <c r="DC288" s="11">
        <f t="shared" si="98"/>
        <v>66000</v>
      </c>
      <c r="DD288" s="11">
        <f t="shared" si="99"/>
        <v>66000</v>
      </c>
      <c r="DE288" s="11">
        <f t="shared" si="100"/>
        <v>1000</v>
      </c>
      <c r="DF288" s="11">
        <f t="shared" si="101"/>
        <v>0</v>
      </c>
      <c r="DG288" s="11">
        <f t="shared" si="102"/>
        <v>0</v>
      </c>
      <c r="DH288" s="11">
        <f t="shared" si="103"/>
        <v>1000</v>
      </c>
      <c r="DI288" s="12">
        <f t="shared" si="104"/>
        <v>0</v>
      </c>
      <c r="DJ288" s="77">
        <f>+SUM(Tabla1[[#This Row],[EJECUTADO 01]:[EJECUTADO 06]])</f>
        <v>40000</v>
      </c>
      <c r="DK288" s="77">
        <f>+Tabla1[[#This Row],[mto_devenga_01]]</f>
        <v>20000</v>
      </c>
      <c r="DL288" s="285">
        <f>+Tabla1[[#This Row],[mto_devenga_02]]</f>
        <v>20000</v>
      </c>
      <c r="DM288" s="285">
        <f>+Tabla1[[#This Row],[mto_devenga_03]]</f>
        <v>0</v>
      </c>
      <c r="DN288" s="286">
        <f>+Tabla1[[#This Row],[mto_devenga_04]]</f>
        <v>0</v>
      </c>
      <c r="DO288" s="285">
        <f>+Tabla1[[#This Row],[mto_devenga_05]]</f>
        <v>0</v>
      </c>
      <c r="DP288" s="76">
        <f>+Tabla1[[#This Row],[mto_devenga_06]]</f>
        <v>0</v>
      </c>
      <c r="DQ288" s="76">
        <f>+Tabla1[[#This Row],[mto_devenga_07]]</f>
        <v>13000</v>
      </c>
      <c r="DR288" s="76">
        <f>+Tabla1[[#This Row],[mto_devenga_08]]</f>
        <v>13000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66000</v>
      </c>
      <c r="DX288" s="76">
        <f>IFERROR(VLOOKUP(Tabla1[[#This Row],[COD SE]],PF_OCTUBRE,18,0),"0")</f>
        <v>0</v>
      </c>
      <c r="DY288" s="76">
        <f>IFERROR(VLOOKUP(Tabla1[[#This Row],[COD SE]],PF_OCTUBRE,19,0),"0")</f>
        <v>1000</v>
      </c>
      <c r="DZ288" s="76">
        <f>IFERROR(VLOOKUP(Tabla1[[#This Row],[COD SE]],PF_OCTUBRE,20,0),"0")</f>
        <v>1000</v>
      </c>
      <c r="EA288" s="76">
        <f>+Tabla1[[#This Row],[TOTAL EJEC REAL]]+Tabla1[[#This Row],[SALDO FINAL]]</f>
        <v>67000</v>
      </c>
      <c r="EB288" s="76">
        <f>IFERROR(VLOOKUP(Tabla1[[#This Row],[COD SE]],PF_OCTUBRE,22,0),"0")</f>
        <v>1000</v>
      </c>
      <c r="EC288" s="76">
        <f>+IFERROR(VLOOKUP(Tabla1[[#This Row],[COD SE]],SALDO_ESC_2,7,0),0)</f>
        <v>0</v>
      </c>
      <c r="ED288" s="76">
        <f>+IFERROR(VLOOKUP(Tabla1[[#This Row],[COD SE]],SALDO_ESC_3,7,0),0)</f>
        <v>0</v>
      </c>
      <c r="EE288" s="76">
        <f>+Tabla1[[#This Row],[mto_pim]]-Tabla1[[#This Row],[TRANSF ESC2 ]]</f>
        <v>67000</v>
      </c>
      <c r="EF288" s="76">
        <f>+Tabla1[[#This Row],[mto_pim]]-Tabla1[[#This Row],[TRANFS ESC 3 ]]</f>
        <v>67000</v>
      </c>
      <c r="EG288" s="76">
        <f>+IFERROR(VLOOKUP(Tabla1[[#This Row],[COD SE]],HISTORICO,4,0),0)</f>
        <v>20000</v>
      </c>
      <c r="EH288" s="76">
        <f>+IFERROR(VLOOKUP(Tabla1[[#This Row],[COD SE]],HISTORICO,5,0),0)</f>
        <v>20000</v>
      </c>
      <c r="EI288" s="76">
        <f>+IFERROR(VLOOKUP(Tabla1[[#This Row],[COD SE]],HISTORICO,6,0),0)</f>
        <v>0</v>
      </c>
      <c r="EJ288" s="76">
        <f>+IFERROR(VLOOKUP(Tabla1[[#This Row],[COD SE]],HISTORICO,7,0),0)</f>
        <v>0</v>
      </c>
      <c r="EK288" s="76">
        <f>+IFERROR(VLOOKUP(Tabla1[[#This Row],[COD SE]],HISTORICO,8,0),0)</f>
        <v>0</v>
      </c>
      <c r="EL288" s="76">
        <f>+IFERROR(VLOOKUP(Tabla1[[#This Row],[COD SE]],HISTORICO,9,0),0)</f>
        <v>0</v>
      </c>
      <c r="EM288" s="76">
        <f>+IFERROR(VLOOKUP(Tabla1[[#This Row],[COD SE]],HISTORICO,10,0),0)</f>
        <v>13500</v>
      </c>
      <c r="EN288" s="76">
        <f>+IFERROR(VLOOKUP(Tabla1[[#This Row],[COD SE]],HISTORICO,11,0),0)</f>
        <v>13000</v>
      </c>
      <c r="EO288" s="76">
        <f>+IFERROR(VLOOKUP(Tabla1[[#This Row],[COD SE]],HISTORICO,12,0),0)</f>
        <v>0</v>
      </c>
      <c r="EP288" s="58">
        <f>+SUM(Tabla1[[#This Row],[EJECUTADO 01]:[EJECUTADO 03]])</f>
        <v>40000</v>
      </c>
      <c r="EQ288" s="58">
        <f>+SUM(Tabla1[[#This Row],[EJECUTADO 04]:[EJECUTADO 06]])</f>
        <v>0</v>
      </c>
      <c r="ER288" s="58">
        <f>+SUM(Tabla1[[#This Row],[EJECUTADO 07]:[EJECUTADO 09]])</f>
        <v>26000</v>
      </c>
      <c r="ES288" s="58">
        <f>+SUM(Tabla1[[#This Row],[PF OCTUBRE]:[PF DICIEMBRE
]])</f>
        <v>0</v>
      </c>
      <c r="ET288" s="58">
        <f>+SUM(Tabla1[[#This Row],[EJECUTADO 01]:[EJECUTADO 09]])</f>
        <v>66000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1656</v>
      </c>
      <c r="AD289" s="369" t="s">
        <v>1657</v>
      </c>
      <c r="AE289" s="369" t="s">
        <v>1664</v>
      </c>
      <c r="AF289" s="369" t="s">
        <v>1665</v>
      </c>
      <c r="AG289" s="369" t="s">
        <v>1667</v>
      </c>
      <c r="AH289" s="369">
        <v>13200</v>
      </c>
      <c r="AI289" s="369">
        <v>-3000</v>
      </c>
      <c r="AJ289" s="369">
        <v>10200</v>
      </c>
      <c r="AK289" s="370">
        <v>4283.33</v>
      </c>
      <c r="AL289" s="370">
        <v>4283.33</v>
      </c>
      <c r="AM289" s="370">
        <v>0</v>
      </c>
      <c r="AN289" s="370">
        <v>0</v>
      </c>
      <c r="AO289" s="370">
        <v>0</v>
      </c>
      <c r="AP289" s="370">
        <v>0</v>
      </c>
      <c r="AQ289" s="370">
        <v>0</v>
      </c>
      <c r="AR289" s="370">
        <v>0</v>
      </c>
      <c r="AS289" s="370">
        <v>4283.33</v>
      </c>
      <c r="AT289" s="370">
        <v>0</v>
      </c>
      <c r="AU289" s="370">
        <v>0</v>
      </c>
      <c r="AV289" s="370">
        <v>0</v>
      </c>
      <c r="AW289" s="370">
        <v>0</v>
      </c>
      <c r="AX289" s="370">
        <v>0</v>
      </c>
      <c r="AY289" s="370">
        <v>0</v>
      </c>
      <c r="AZ289" s="370">
        <v>0</v>
      </c>
      <c r="BA289" s="370">
        <v>0</v>
      </c>
      <c r="BB289" s="370">
        <v>0</v>
      </c>
      <c r="BC289" s="370">
        <v>0</v>
      </c>
      <c r="BD289" s="370">
        <v>0</v>
      </c>
      <c r="BE289" s="370">
        <v>4283.33</v>
      </c>
      <c r="BF289" s="370">
        <v>0</v>
      </c>
      <c r="BG289" s="370">
        <v>0</v>
      </c>
      <c r="BH289" s="370">
        <v>0</v>
      </c>
      <c r="BI289" s="370">
        <v>0</v>
      </c>
      <c r="BJ289" s="370">
        <v>0</v>
      </c>
      <c r="BK289" s="370">
        <v>0</v>
      </c>
      <c r="BL289" s="370">
        <v>0</v>
      </c>
      <c r="BM289" s="370">
        <v>0</v>
      </c>
      <c r="BN289" s="370">
        <v>0</v>
      </c>
      <c r="BO289" s="370">
        <v>0</v>
      </c>
      <c r="BP289" s="370">
        <v>0</v>
      </c>
      <c r="BQ289" s="370">
        <v>4283.33</v>
      </c>
      <c r="BR289" s="370">
        <v>0</v>
      </c>
      <c r="BS289" s="370">
        <v>0</v>
      </c>
      <c r="BT289" s="370">
        <v>0</v>
      </c>
      <c r="BU289" s="370">
        <v>0</v>
      </c>
      <c r="BV289" s="370">
        <v>0</v>
      </c>
      <c r="BW289" s="370">
        <v>0</v>
      </c>
      <c r="BX289" s="370">
        <v>0</v>
      </c>
      <c r="BY289" s="370">
        <v>0</v>
      </c>
      <c r="BZ289" s="370">
        <v>0</v>
      </c>
      <c r="CA289" s="370">
        <v>0</v>
      </c>
      <c r="CB289" s="370">
        <v>0</v>
      </c>
      <c r="CC289" s="370">
        <v>4283.33</v>
      </c>
      <c r="CD289" s="370">
        <v>0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1990</v>
      </c>
      <c r="CK289" s="48" t="s">
        <v>1990</v>
      </c>
      <c r="CL289" s="48" t="s">
        <v>2005</v>
      </c>
      <c r="CM289" s="48" t="s">
        <v>1990</v>
      </c>
      <c r="CN289" s="48" t="s">
        <v>1993</v>
      </c>
      <c r="CO289" s="10" t="str">
        <f t="shared" si="96"/>
        <v>2.1.1.9.1.4</v>
      </c>
      <c r="CP289" s="10" t="str">
        <f>+VLOOKUP(Tabla1[[#This Row],[ESPECÍFICA]],CLASIFICADOR_,2,0)</f>
        <v>2.1.1.9.1.4 - AGUINALDOS DE CONTRATO ADMINISTRATIVO DE SERVICIOS</v>
      </c>
      <c r="CQ289" s="10" t="str">
        <f>+VLOOKUP(Tabla1[[#This Row],[ESPECÍFICA]],CLASIFICADOR_,3,0)</f>
        <v>01.CAS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2.1.PERSONAL Y OBLIGACIONES SOCIALES</v>
      </c>
      <c r="CX289" s="10" t="str">
        <f t="shared" si="86"/>
        <v>0016-DETN</v>
      </c>
      <c r="CY289" s="5" t="str">
        <f t="shared" si="63"/>
        <v>0016-DETN (EX DAMER)</v>
      </c>
      <c r="CZ289" t="str">
        <f t="shared" si="87"/>
        <v>0016-DETN</v>
      </c>
      <c r="DA289" s="113" t="str">
        <f>+CONCATENATE(Tabla1[[#This Row],[CC COMPLETO]],Tabla1[[#This Row],[ESPECÍFICA]])</f>
        <v>0016-DETN2.1.1.9.1.4</v>
      </c>
      <c r="DB289" s="11">
        <f t="shared" si="97"/>
        <v>4283.33</v>
      </c>
      <c r="DC289" s="11">
        <f t="shared" si="98"/>
        <v>4283.33</v>
      </c>
      <c r="DD289" s="11">
        <f t="shared" si="99"/>
        <v>4283.33</v>
      </c>
      <c r="DE289" s="11">
        <f t="shared" si="100"/>
        <v>5916.67</v>
      </c>
      <c r="DF289" s="11">
        <f t="shared" si="101"/>
        <v>0</v>
      </c>
      <c r="DG289" s="11">
        <f t="shared" si="102"/>
        <v>0</v>
      </c>
      <c r="DH289" s="11">
        <f t="shared" si="103"/>
        <v>5916.67</v>
      </c>
      <c r="DI289" s="12">
        <f t="shared" si="104"/>
        <v>0.32449469696969696</v>
      </c>
      <c r="DJ289" s="77">
        <f>+SUM(Tabla1[[#This Row],[EJECUTADO 01]:[EJECUTADO 06]])</f>
        <v>0</v>
      </c>
      <c r="DK289" s="77">
        <f>+Tabla1[[#This Row],[mto_devenga_01]]</f>
        <v>0</v>
      </c>
      <c r="DL289" s="285">
        <f>+Tabla1[[#This Row],[mto_devenga_02]]</f>
        <v>0</v>
      </c>
      <c r="DM289" s="285">
        <f>+Tabla1[[#This Row],[mto_devenga_03]]</f>
        <v>0</v>
      </c>
      <c r="DN289" s="286">
        <f>+Tabla1[[#This Row],[mto_devenga_04]]</f>
        <v>0</v>
      </c>
      <c r="DO289" s="285">
        <f>+Tabla1[[#This Row],[mto_devenga_05]]</f>
        <v>0</v>
      </c>
      <c r="DP289" s="76">
        <f>+Tabla1[[#This Row],[mto_devenga_06]]</f>
        <v>0</v>
      </c>
      <c r="DQ289" s="76">
        <f>+Tabla1[[#This Row],[mto_devenga_07]]</f>
        <v>4283.33</v>
      </c>
      <c r="DR289" s="76">
        <f>+Tabla1[[#This Row],[mto_devenga_08]]</f>
        <v>0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4283.33</v>
      </c>
      <c r="DX289" s="76">
        <f>IFERROR(VLOOKUP(Tabla1[[#This Row],[COD SE]],PF_OCTUBRE,18,0),"0")</f>
        <v>0</v>
      </c>
      <c r="DY289" s="76">
        <f>IFERROR(VLOOKUP(Tabla1[[#This Row],[COD SE]],PF_OCTUBRE,19,0),"0")</f>
        <v>5916.67</v>
      </c>
      <c r="DZ289" s="76">
        <f>IFERROR(VLOOKUP(Tabla1[[#This Row],[COD SE]],PF_OCTUBRE,20,0),"0")</f>
        <v>5916.67</v>
      </c>
      <c r="EA289" s="76">
        <f>+Tabla1[[#This Row],[TOTAL EJEC REAL]]+Tabla1[[#This Row],[SALDO FINAL]]</f>
        <v>10200</v>
      </c>
      <c r="EB289" s="76">
        <f>IFERROR(VLOOKUP(Tabla1[[#This Row],[COD SE]],PF_OCTUBRE,22,0),"0")</f>
        <v>5916.67</v>
      </c>
      <c r="EC289" s="76">
        <f>+IFERROR(VLOOKUP(Tabla1[[#This Row],[COD SE]],SALDO_ESC_2,7,0),0)</f>
        <v>0</v>
      </c>
      <c r="ED289" s="76">
        <f>+IFERROR(VLOOKUP(Tabla1[[#This Row],[COD SE]],SALDO_ESC_3,7,0),0)</f>
        <v>5916.67</v>
      </c>
      <c r="EE289" s="76">
        <f>+Tabla1[[#This Row],[mto_pim]]-Tabla1[[#This Row],[TRANSF ESC2 ]]</f>
        <v>10200</v>
      </c>
      <c r="EF289" s="76">
        <f>+Tabla1[[#This Row],[mto_pim]]-Tabla1[[#This Row],[TRANFS ESC 3 ]]</f>
        <v>4283.33</v>
      </c>
      <c r="EG289" s="76">
        <f>+IFERROR(VLOOKUP(Tabla1[[#This Row],[COD SE]],HISTORICO,4,0),0)</f>
        <v>0</v>
      </c>
      <c r="EH289" s="76">
        <f>+IFERROR(VLOOKUP(Tabla1[[#This Row],[COD SE]],HISTORICO,5,0),0)</f>
        <v>0</v>
      </c>
      <c r="EI289" s="76">
        <f>+IFERROR(VLOOKUP(Tabla1[[#This Row],[COD SE]],HISTORICO,6,0),0)</f>
        <v>0</v>
      </c>
      <c r="EJ289" s="76">
        <f>+IFERROR(VLOOKUP(Tabla1[[#This Row],[COD SE]],HISTORICO,7,0),0)</f>
        <v>0</v>
      </c>
      <c r="EK289" s="76">
        <f>+IFERROR(VLOOKUP(Tabla1[[#This Row],[COD SE]],HISTORICO,8,0),0)</f>
        <v>0</v>
      </c>
      <c r="EL289" s="76">
        <f>+IFERROR(VLOOKUP(Tabla1[[#This Row],[COD SE]],HISTORICO,9,0),0)</f>
        <v>0</v>
      </c>
      <c r="EM289" s="76">
        <f>+IFERROR(VLOOKUP(Tabla1[[#This Row],[COD SE]],HISTORICO,10,0),0)</f>
        <v>4200</v>
      </c>
      <c r="EN289" s="76">
        <f>+IFERROR(VLOOKUP(Tabla1[[#This Row],[COD SE]],HISTORICO,11,0),0)</f>
        <v>0</v>
      </c>
      <c r="EO289" s="76">
        <f>+IFERROR(VLOOKUP(Tabla1[[#This Row],[COD SE]],HISTORICO,12,0),0)</f>
        <v>0</v>
      </c>
      <c r="EP289" s="58">
        <f>+SUM(Tabla1[[#This Row],[EJECUTADO 01]:[EJECUTADO 03]])</f>
        <v>0</v>
      </c>
      <c r="EQ289" s="58">
        <f>+SUM(Tabla1[[#This Row],[EJECUTADO 04]:[EJECUTADO 06]])</f>
        <v>0</v>
      </c>
      <c r="ER289" s="58">
        <f>+SUM(Tabla1[[#This Row],[EJECUTADO 07]:[EJECUTADO 09]])</f>
        <v>4283.33</v>
      </c>
      <c r="ES289" s="58">
        <f>+SUM(Tabla1[[#This Row],[PF OCTUBRE]:[PF DICIEMBRE
]])</f>
        <v>0</v>
      </c>
      <c r="ET289" s="58">
        <f>+SUM(Tabla1[[#This Row],[EJECUTADO 01]:[EJECUTADO 09]])</f>
        <v>4283.33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1656</v>
      </c>
      <c r="AD290" s="369" t="s">
        <v>1668</v>
      </c>
      <c r="AE290" s="369" t="s">
        <v>1669</v>
      </c>
      <c r="AF290" s="369" t="s">
        <v>1669</v>
      </c>
      <c r="AG290" s="369" t="s">
        <v>1671</v>
      </c>
      <c r="AH290" s="369">
        <v>55066</v>
      </c>
      <c r="AI290" s="369">
        <v>-11901</v>
      </c>
      <c r="AJ290" s="369">
        <v>43165</v>
      </c>
      <c r="AK290" s="370">
        <v>27058.38</v>
      </c>
      <c r="AL290" s="370">
        <v>27058.38</v>
      </c>
      <c r="AM290" s="370">
        <v>3466.88</v>
      </c>
      <c r="AN290" s="370">
        <v>3466.88</v>
      </c>
      <c r="AO290" s="370">
        <v>3466.88</v>
      </c>
      <c r="AP290" s="370">
        <v>3466.88</v>
      </c>
      <c r="AQ290" s="370">
        <v>3440.26</v>
      </c>
      <c r="AR290" s="370">
        <v>3250.2</v>
      </c>
      <c r="AS290" s="370">
        <v>3250.2</v>
      </c>
      <c r="AT290" s="370">
        <v>3250.2</v>
      </c>
      <c r="AU290" s="370">
        <v>0</v>
      </c>
      <c r="AV290" s="370">
        <v>0</v>
      </c>
      <c r="AW290" s="370">
        <v>0</v>
      </c>
      <c r="AX290" s="370">
        <v>0</v>
      </c>
      <c r="AY290" s="370">
        <v>3466.88</v>
      </c>
      <c r="AZ290" s="370">
        <v>3466.88</v>
      </c>
      <c r="BA290" s="370">
        <v>3466.88</v>
      </c>
      <c r="BB290" s="370">
        <v>3466.88</v>
      </c>
      <c r="BC290" s="370">
        <v>3440.26</v>
      </c>
      <c r="BD290" s="370">
        <v>3250.2</v>
      </c>
      <c r="BE290" s="370">
        <v>3250.2</v>
      </c>
      <c r="BF290" s="370">
        <v>3250.2</v>
      </c>
      <c r="BG290" s="370">
        <v>0</v>
      </c>
      <c r="BH290" s="370">
        <v>0</v>
      </c>
      <c r="BI290" s="370">
        <v>0</v>
      </c>
      <c r="BJ290" s="370">
        <v>0</v>
      </c>
      <c r="BK290" s="370">
        <v>3466.88</v>
      </c>
      <c r="BL290" s="370">
        <v>3466.88</v>
      </c>
      <c r="BM290" s="370">
        <v>3466.88</v>
      </c>
      <c r="BN290" s="370">
        <v>3466.88</v>
      </c>
      <c r="BO290" s="370">
        <v>3440.26</v>
      </c>
      <c r="BP290" s="370">
        <v>3250.2</v>
      </c>
      <c r="BQ290" s="370">
        <v>3250.2</v>
      </c>
      <c r="BR290" s="370">
        <v>3250.2</v>
      </c>
      <c r="BS290" s="370">
        <v>0</v>
      </c>
      <c r="BT290" s="370">
        <v>0</v>
      </c>
      <c r="BU290" s="370">
        <v>0</v>
      </c>
      <c r="BV290" s="370">
        <v>0</v>
      </c>
      <c r="BW290" s="370">
        <v>3466.88</v>
      </c>
      <c r="BX290" s="370">
        <v>3466.88</v>
      </c>
      <c r="BY290" s="370">
        <v>3466.88</v>
      </c>
      <c r="BZ290" s="370">
        <v>3466.88</v>
      </c>
      <c r="CA290" s="370">
        <v>3440.26</v>
      </c>
      <c r="CB290" s="370">
        <v>3250.2</v>
      </c>
      <c r="CC290" s="370">
        <v>3250.2</v>
      </c>
      <c r="CD290" s="370">
        <v>3250.2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1990</v>
      </c>
      <c r="CK290" s="48" t="s">
        <v>1991</v>
      </c>
      <c r="CL290" s="48" t="s">
        <v>1990</v>
      </c>
      <c r="CM290" s="48" t="s">
        <v>1990</v>
      </c>
      <c r="CN290" s="48" t="s">
        <v>2014</v>
      </c>
      <c r="CO290" s="10" t="str">
        <f t="shared" si="96"/>
        <v>2.1.3.1.1.15</v>
      </c>
      <c r="CP290" s="10" t="str">
        <f>+VLOOKUP(Tabla1[[#This Row],[ESPECÍFICA]],CLASIFICADOR_,2,0)</f>
        <v>2.1.3.1.1.15 - CONTRIBUCIONES A ESSALUD DE CONTRATO ADMINISTRATIVO DE SERVICIOS</v>
      </c>
      <c r="CQ290" s="10" t="str">
        <f>+VLOOKUP(Tabla1[[#This Row],[ESPECÍFICA]],CLASIFICADOR_,3,0)</f>
        <v>01.CAS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2.1.PERSONAL Y OBLIGACIONES SOCIALES</v>
      </c>
      <c r="CX290" s="10" t="str">
        <f t="shared" si="86"/>
        <v>0016-DETN</v>
      </c>
      <c r="CY290" s="5" t="str">
        <f t="shared" si="63"/>
        <v>0016-DETN (EX DAMER)</v>
      </c>
      <c r="CZ290" t="str">
        <f t="shared" si="87"/>
        <v>0016-DETN</v>
      </c>
      <c r="DA290" s="113" t="str">
        <f>+CONCATENATE(Tabla1[[#This Row],[CC COMPLETO]],Tabla1[[#This Row],[ESPECÍFICA]])</f>
        <v>0016-DETN2.1.3.1.1.15</v>
      </c>
      <c r="DB290" s="11">
        <f t="shared" si="97"/>
        <v>27058.38</v>
      </c>
      <c r="DC290" s="11">
        <f t="shared" si="98"/>
        <v>27058.38</v>
      </c>
      <c r="DD290" s="11">
        <f t="shared" si="99"/>
        <v>27058.38</v>
      </c>
      <c r="DE290" s="11">
        <f t="shared" si="100"/>
        <v>16106.619999999999</v>
      </c>
      <c r="DF290" s="11">
        <f t="shared" si="101"/>
        <v>0</v>
      </c>
      <c r="DG290" s="11">
        <f t="shared" si="102"/>
        <v>0</v>
      </c>
      <c r="DH290" s="11">
        <f t="shared" si="103"/>
        <v>16106.619999999999</v>
      </c>
      <c r="DI290" s="12">
        <f t="shared" si="104"/>
        <v>0.49138088838847932</v>
      </c>
      <c r="DJ290" s="77">
        <f>+SUM(Tabla1[[#This Row],[EJECUTADO 01]:[EJECUTADO 06]])</f>
        <v>20557.98</v>
      </c>
      <c r="DK290" s="77">
        <f>+Tabla1[[#This Row],[mto_devenga_01]]</f>
        <v>3466.88</v>
      </c>
      <c r="DL290" s="285">
        <f>+Tabla1[[#This Row],[mto_devenga_02]]</f>
        <v>3466.88</v>
      </c>
      <c r="DM290" s="285">
        <f>+Tabla1[[#This Row],[mto_devenga_03]]</f>
        <v>3466.88</v>
      </c>
      <c r="DN290" s="286">
        <f>+Tabla1[[#This Row],[mto_devenga_04]]</f>
        <v>3466.88</v>
      </c>
      <c r="DO290" s="285">
        <f>+Tabla1[[#This Row],[mto_devenga_05]]</f>
        <v>3440.26</v>
      </c>
      <c r="DP290" s="76">
        <f>+Tabla1[[#This Row],[mto_devenga_06]]</f>
        <v>3250.2</v>
      </c>
      <c r="DQ290" s="76">
        <f>+Tabla1[[#This Row],[mto_devenga_07]]</f>
        <v>3250.2</v>
      </c>
      <c r="DR290" s="76">
        <f>+Tabla1[[#This Row],[mto_devenga_08]]</f>
        <v>3250.2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27058.38</v>
      </c>
      <c r="DX290" s="76">
        <f>IFERROR(VLOOKUP(Tabla1[[#This Row],[COD SE]],PF_OCTUBRE,18,0),"0")</f>
        <v>0</v>
      </c>
      <c r="DY290" s="76">
        <f>IFERROR(VLOOKUP(Tabla1[[#This Row],[COD SE]],PF_OCTUBRE,19,0),"0")</f>
        <v>16106.619999999999</v>
      </c>
      <c r="DZ290" s="76">
        <f>IFERROR(VLOOKUP(Tabla1[[#This Row],[COD SE]],PF_OCTUBRE,20,0),"0")</f>
        <v>16106.619999999999</v>
      </c>
      <c r="EA290" s="76">
        <f>+Tabla1[[#This Row],[TOTAL EJEC REAL]]+Tabla1[[#This Row],[SALDO FINAL]]</f>
        <v>43165</v>
      </c>
      <c r="EB290" s="76">
        <f>IFERROR(VLOOKUP(Tabla1[[#This Row],[COD SE]],PF_OCTUBRE,22,0),"0")</f>
        <v>16106.619999999999</v>
      </c>
      <c r="EC290" s="76">
        <f>+IFERROR(VLOOKUP(Tabla1[[#This Row],[COD SE]],SALDO_ESC_2,7,0),0)</f>
        <v>0</v>
      </c>
      <c r="ED290" s="76">
        <f>+IFERROR(VLOOKUP(Tabla1[[#This Row],[COD SE]],SALDO_ESC_3,7,0),0)</f>
        <v>16106.619999999999</v>
      </c>
      <c r="EE290" s="76">
        <f>+Tabla1[[#This Row],[mto_pim]]-Tabla1[[#This Row],[TRANSF ESC2 ]]</f>
        <v>43165</v>
      </c>
      <c r="EF290" s="76">
        <f>+Tabla1[[#This Row],[mto_pim]]-Tabla1[[#This Row],[TRANFS ESC 3 ]]</f>
        <v>27058.38</v>
      </c>
      <c r="EG290" s="76">
        <f>+IFERROR(VLOOKUP(Tabla1[[#This Row],[COD SE]],HISTORICO,4,0),0)</f>
        <v>4301.1999999999989</v>
      </c>
      <c r="EH290" s="76">
        <f>+IFERROR(VLOOKUP(Tabla1[[#This Row],[COD SE]],HISTORICO,5,0),0)</f>
        <v>3466.8799999999992</v>
      </c>
      <c r="EI290" s="76">
        <f>+IFERROR(VLOOKUP(Tabla1[[#This Row],[COD SE]],HISTORICO,6,0),0)</f>
        <v>3466.8799999999992</v>
      </c>
      <c r="EJ290" s="76">
        <f>+IFERROR(VLOOKUP(Tabla1[[#This Row],[COD SE]],HISTORICO,7,0),0)</f>
        <v>3466.8799999999992</v>
      </c>
      <c r="EK290" s="76">
        <f>+IFERROR(VLOOKUP(Tabla1[[#This Row],[COD SE]],HISTORICO,8,0),0)</f>
        <v>3242.0999999999995</v>
      </c>
      <c r="EL290" s="76">
        <f>+IFERROR(VLOOKUP(Tabla1[[#This Row],[COD SE]],HISTORICO,9,0),0)</f>
        <v>3458.7799999999993</v>
      </c>
      <c r="EM290" s="76">
        <f>+IFERROR(VLOOKUP(Tabla1[[#This Row],[COD SE]],HISTORICO,10,0),0)</f>
        <v>3033.5199999999995</v>
      </c>
      <c r="EN290" s="76">
        <f>+IFERROR(VLOOKUP(Tabla1[[#This Row],[COD SE]],HISTORICO,11,0),0)</f>
        <v>3466.8799999999992</v>
      </c>
      <c r="EO290" s="76">
        <f>+IFERROR(VLOOKUP(Tabla1[[#This Row],[COD SE]],HISTORICO,12,0),0)</f>
        <v>0</v>
      </c>
      <c r="EP290" s="58">
        <f>+SUM(Tabla1[[#This Row],[EJECUTADO 01]:[EJECUTADO 03]])</f>
        <v>10400.64</v>
      </c>
      <c r="EQ290" s="58">
        <f>+SUM(Tabla1[[#This Row],[EJECUTADO 04]:[EJECUTADO 06]])</f>
        <v>10157.34</v>
      </c>
      <c r="ER290" s="58">
        <f>+SUM(Tabla1[[#This Row],[EJECUTADO 07]:[EJECUTADO 09]])</f>
        <v>6500.4</v>
      </c>
      <c r="ES290" s="58">
        <f>+SUM(Tabla1[[#This Row],[PF OCTUBRE]:[PF DICIEMBRE
]])</f>
        <v>0</v>
      </c>
      <c r="ET290" s="58">
        <f>+SUM(Tabla1[[#This Row],[EJECUTADO 01]:[EJECUTADO 09]])</f>
        <v>27058.38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1656</v>
      </c>
      <c r="AD291" s="369" t="s">
        <v>1657</v>
      </c>
      <c r="AE291" s="369" t="s">
        <v>1660</v>
      </c>
      <c r="AF291" s="369" t="s">
        <v>1661</v>
      </c>
      <c r="AG291" s="369" t="s">
        <v>1662</v>
      </c>
      <c r="AH291" s="369">
        <v>1323584</v>
      </c>
      <c r="AI291" s="369">
        <v>-458051</v>
      </c>
      <c r="AJ291" s="369">
        <v>865533</v>
      </c>
      <c r="AK291" s="370">
        <v>767066.21</v>
      </c>
      <c r="AL291" s="370">
        <v>767066.21</v>
      </c>
      <c r="AM291" s="370">
        <v>96093.7</v>
      </c>
      <c r="AN291" s="370">
        <v>96110.94</v>
      </c>
      <c r="AO291" s="370">
        <v>96033.44</v>
      </c>
      <c r="AP291" s="370">
        <v>96170.28</v>
      </c>
      <c r="AQ291" s="370">
        <v>96170.28</v>
      </c>
      <c r="AR291" s="370">
        <v>95495.24</v>
      </c>
      <c r="AS291" s="370">
        <v>95760.93</v>
      </c>
      <c r="AT291" s="370">
        <v>95231.4</v>
      </c>
      <c r="AU291" s="370">
        <v>0</v>
      </c>
      <c r="AV291" s="370">
        <v>0</v>
      </c>
      <c r="AW291" s="370">
        <v>0</v>
      </c>
      <c r="AX291" s="370">
        <v>0</v>
      </c>
      <c r="AY291" s="370">
        <v>96093.7</v>
      </c>
      <c r="AZ291" s="370">
        <v>96110.94</v>
      </c>
      <c r="BA291" s="370">
        <v>96033.44</v>
      </c>
      <c r="BB291" s="370">
        <v>96170.28</v>
      </c>
      <c r="BC291" s="370">
        <v>96170.28</v>
      </c>
      <c r="BD291" s="370">
        <v>95495.24</v>
      </c>
      <c r="BE291" s="370">
        <v>95760.93</v>
      </c>
      <c r="BF291" s="370">
        <v>95231.4</v>
      </c>
      <c r="BG291" s="370">
        <v>0</v>
      </c>
      <c r="BH291" s="370">
        <v>0</v>
      </c>
      <c r="BI291" s="370">
        <v>0</v>
      </c>
      <c r="BJ291" s="370">
        <v>0</v>
      </c>
      <c r="BK291" s="370">
        <v>96093.7</v>
      </c>
      <c r="BL291" s="370">
        <v>96110.94</v>
      </c>
      <c r="BM291" s="370">
        <v>96033.44</v>
      </c>
      <c r="BN291" s="370">
        <v>84327.42</v>
      </c>
      <c r="BO291" s="370">
        <v>108013.14</v>
      </c>
      <c r="BP291" s="370">
        <v>95495.24</v>
      </c>
      <c r="BQ291" s="370">
        <v>95760.93</v>
      </c>
      <c r="BR291" s="370">
        <v>95231.4</v>
      </c>
      <c r="BS291" s="370">
        <v>0</v>
      </c>
      <c r="BT291" s="370">
        <v>0</v>
      </c>
      <c r="BU291" s="370">
        <v>0</v>
      </c>
      <c r="BV291" s="370">
        <v>0</v>
      </c>
      <c r="BW291" s="370">
        <v>96093.7</v>
      </c>
      <c r="BX291" s="370">
        <v>96110.94</v>
      </c>
      <c r="BY291" s="370">
        <v>96033.44</v>
      </c>
      <c r="BZ291" s="370">
        <v>96170.28</v>
      </c>
      <c r="CA291" s="370">
        <v>96170.28</v>
      </c>
      <c r="CB291" s="370">
        <v>95495.24</v>
      </c>
      <c r="CC291" s="370">
        <v>95760.93</v>
      </c>
      <c r="CD291" s="370">
        <v>95231.4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1990</v>
      </c>
      <c r="CK291" s="48" t="s">
        <v>1990</v>
      </c>
      <c r="CL291" s="48" t="s">
        <v>2010</v>
      </c>
      <c r="CM291" s="48" t="s">
        <v>1990</v>
      </c>
      <c r="CN291" s="48" t="s">
        <v>1990</v>
      </c>
      <c r="CO291" s="10" t="str">
        <f t="shared" si="96"/>
        <v>2.1.1.13.1.1</v>
      </c>
      <c r="CP291" s="10" t="str">
        <f>+VLOOKUP(Tabla1[[#This Row],[ESPECÍFICA]],CLASIFICADOR_,2,0)</f>
        <v>2.1.1.13.1.1 - CONTRATO ADMINISTRATIVO DE SERVICIOS - INDETERMINADO</v>
      </c>
      <c r="CQ291" s="10" t="str">
        <f>+VLOOKUP(Tabla1[[#This Row],[ESPECÍFICA]],CLASIFICADOR_,3,0)</f>
        <v>01.CAS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N/R</v>
      </c>
      <c r="CU291" s="10" t="str">
        <f>+VLOOKUP(Tabla1[[#This Row],[ESPECÍFICA]],CLASIFICADOR_,7,0)</f>
        <v>N/R</v>
      </c>
      <c r="CV291" s="10">
        <f>+VLOOKUP(Tabla1[[#This Row],[ESPECÍFICA]],CLASIFICADOR_,8,0)</f>
        <v>0</v>
      </c>
      <c r="CW291" s="284" t="str">
        <f>+CONCATENATE("2.",Tabla1[[#This Row],[generica]])</f>
        <v>2.1.PERSONAL Y OBLIGACIONES SOCIALES</v>
      </c>
      <c r="CX291" s="10" t="str">
        <f t="shared" si="86"/>
        <v>0016-DETN</v>
      </c>
      <c r="CY291" s="5" t="str">
        <f t="shared" si="63"/>
        <v>0016-DETN (EX DAMER)</v>
      </c>
      <c r="CZ291" t="str">
        <f t="shared" si="87"/>
        <v>0016-DETN</v>
      </c>
      <c r="DA291" s="113" t="str">
        <f>+CONCATENATE(Tabla1[[#This Row],[CC COMPLETO]],Tabla1[[#This Row],[ESPECÍFICA]])</f>
        <v>0016-DETN2.1.1.13.1.1</v>
      </c>
      <c r="DB291" s="11">
        <f t="shared" si="97"/>
        <v>767066.21000000008</v>
      </c>
      <c r="DC291" s="11">
        <f t="shared" si="98"/>
        <v>767066.21000000008</v>
      </c>
      <c r="DD291" s="11">
        <f t="shared" si="99"/>
        <v>767066.21000000008</v>
      </c>
      <c r="DE291" s="11">
        <f t="shared" si="100"/>
        <v>98466.790000000037</v>
      </c>
      <c r="DF291" s="11">
        <f t="shared" si="101"/>
        <v>0</v>
      </c>
      <c r="DG291" s="11">
        <f t="shared" si="102"/>
        <v>0</v>
      </c>
      <c r="DH291" s="11">
        <f t="shared" si="103"/>
        <v>98466.789999999921</v>
      </c>
      <c r="DI291" s="12">
        <f t="shared" si="104"/>
        <v>0.57953723375320343</v>
      </c>
      <c r="DJ291" s="77">
        <f>+SUM(Tabla1[[#This Row],[EJECUTADO 01]:[EJECUTADO 06]])</f>
        <v>576073.88</v>
      </c>
      <c r="DK291" s="77">
        <f>+Tabla1[[#This Row],[mto_devenga_01]]</f>
        <v>96093.7</v>
      </c>
      <c r="DL291" s="285">
        <f>+Tabla1[[#This Row],[mto_devenga_02]]</f>
        <v>96110.94</v>
      </c>
      <c r="DM291" s="285">
        <f>+Tabla1[[#This Row],[mto_devenga_03]]</f>
        <v>96033.44</v>
      </c>
      <c r="DN291" s="286">
        <f>+Tabla1[[#This Row],[mto_devenga_04]]</f>
        <v>96170.28</v>
      </c>
      <c r="DO291" s="285">
        <f>+Tabla1[[#This Row],[mto_devenga_05]]</f>
        <v>96170.28</v>
      </c>
      <c r="DP291" s="76">
        <f>+Tabla1[[#This Row],[mto_devenga_06]]</f>
        <v>95495.24</v>
      </c>
      <c r="DQ291" s="76">
        <f>+Tabla1[[#This Row],[mto_devenga_07]]</f>
        <v>95760.93</v>
      </c>
      <c r="DR291" s="76">
        <f>+Tabla1[[#This Row],[mto_devenga_08]]</f>
        <v>95231.4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0</v>
      </c>
      <c r="DW291" s="76">
        <f>+SUM(Tabla1[[#This Row],[EJECUTADO 01]:[PF DICIEMBRE
]])</f>
        <v>767066.21000000008</v>
      </c>
      <c r="DX291" s="76">
        <f>IFERROR(VLOOKUP(Tabla1[[#This Row],[COD SE]],PF_OCTUBRE,18,0),"0")</f>
        <v>0</v>
      </c>
      <c r="DY291" s="76">
        <f>IFERROR(VLOOKUP(Tabla1[[#This Row],[COD SE]],PF_OCTUBRE,19,0),"0")</f>
        <v>98466.79</v>
      </c>
      <c r="DZ291" s="76">
        <f>IFERROR(VLOOKUP(Tabla1[[#This Row],[COD SE]],PF_OCTUBRE,20,0),"0")</f>
        <v>98466.79</v>
      </c>
      <c r="EA291" s="76">
        <f>+Tabla1[[#This Row],[TOTAL EJEC REAL]]+Tabla1[[#This Row],[SALDO FINAL]]</f>
        <v>865533.00000000012</v>
      </c>
      <c r="EB291" s="76">
        <f>IFERROR(VLOOKUP(Tabla1[[#This Row],[COD SE]],PF_OCTUBRE,22,0),"0")</f>
        <v>98466.79</v>
      </c>
      <c r="EC291" s="76">
        <f>+IFERROR(VLOOKUP(Tabla1[[#This Row],[COD SE]],SALDO_ESC_2,7,0),0)</f>
        <v>0</v>
      </c>
      <c r="ED291" s="76">
        <f>+IFERROR(VLOOKUP(Tabla1[[#This Row],[COD SE]],SALDO_ESC_3,7,0),0)</f>
        <v>98466.79</v>
      </c>
      <c r="EE291" s="76">
        <f>+Tabla1[[#This Row],[mto_pim]]-Tabla1[[#This Row],[TRANSF ESC2 ]]</f>
        <v>865533</v>
      </c>
      <c r="EF291" s="76">
        <f>+Tabla1[[#This Row],[mto_pim]]-Tabla1[[#This Row],[TRANFS ESC 3 ]]</f>
        <v>767066.21</v>
      </c>
      <c r="EG291" s="76">
        <f>+IFERROR(VLOOKUP(Tabla1[[#This Row],[COD SE]],HISTORICO,4,0),0)</f>
        <v>102334.47000000002</v>
      </c>
      <c r="EH291" s="76">
        <f>+IFERROR(VLOOKUP(Tabla1[[#This Row],[COD SE]],HISTORICO,5,0),0)</f>
        <v>96170.280000000013</v>
      </c>
      <c r="EI291" s="76">
        <f>+IFERROR(VLOOKUP(Tabla1[[#This Row],[COD SE]],HISTORICO,6,0),0)</f>
        <v>96170.280000000013</v>
      </c>
      <c r="EJ291" s="76">
        <f>+IFERROR(VLOOKUP(Tabla1[[#This Row],[COD SE]],HISTORICO,7,0),0)</f>
        <v>96170.280000000013</v>
      </c>
      <c r="EK291" s="76">
        <f>+IFERROR(VLOOKUP(Tabla1[[#This Row],[COD SE]],HISTORICO,8,0),0)</f>
        <v>96170.280000000013</v>
      </c>
      <c r="EL291" s="76">
        <f>+IFERROR(VLOOKUP(Tabla1[[#This Row],[COD SE]],HISTORICO,9,0),0)</f>
        <v>96170.280000000013</v>
      </c>
      <c r="EM291" s="76">
        <f>+IFERROR(VLOOKUP(Tabla1[[#This Row],[COD SE]],HISTORICO,10,0),0)</f>
        <v>96170.280000000013</v>
      </c>
      <c r="EN291" s="76">
        <f>+IFERROR(VLOOKUP(Tabla1[[#This Row],[COD SE]],HISTORICO,11,0),0)</f>
        <v>96170.280000000013</v>
      </c>
      <c r="EO291" s="76">
        <f>+IFERROR(VLOOKUP(Tabla1[[#This Row],[COD SE]],HISTORICO,12,0),0)</f>
        <v>0</v>
      </c>
      <c r="EP291" s="58">
        <f>+SUM(Tabla1[[#This Row],[EJECUTADO 01]:[EJECUTADO 03]])</f>
        <v>288238.08000000002</v>
      </c>
      <c r="EQ291" s="58">
        <f>+SUM(Tabla1[[#This Row],[EJECUTADO 04]:[EJECUTADO 06]])</f>
        <v>287835.8</v>
      </c>
      <c r="ER291" s="58">
        <f>+SUM(Tabla1[[#This Row],[EJECUTADO 07]:[EJECUTADO 09]])</f>
        <v>190992.33</v>
      </c>
      <c r="ES291" s="58">
        <f>+SUM(Tabla1[[#This Row],[PF OCTUBRE]:[PF DICIEMBRE
]])</f>
        <v>0</v>
      </c>
      <c r="ET291" s="58">
        <f>+SUM(Tabla1[[#This Row],[EJECUTADO 01]:[EJECUTADO 09]])</f>
        <v>767066.21000000008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1697</v>
      </c>
      <c r="AG292" s="369" t="s">
        <v>1698</v>
      </c>
      <c r="AH292" s="369">
        <v>12000</v>
      </c>
      <c r="AI292" s="369">
        <v>0</v>
      </c>
      <c r="AJ292" s="369">
        <v>12000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2021</v>
      </c>
      <c r="CN292" s="48" t="s">
        <v>1998</v>
      </c>
      <c r="CO292" s="10" t="str">
        <f t="shared" si="96"/>
        <v>2.3.2.7.11.99</v>
      </c>
      <c r="CP292" s="10" t="str">
        <f>+VLOOKUP(Tabla1[[#This Row],[ESPECÍFICA]],CLASIFICADOR_,2,0)</f>
        <v>2.3.2.7.11.99 - SERVICIOS DIVERSOS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Partidas restringidas</v>
      </c>
      <c r="CU292" s="10">
        <f>+VLOOKUP(Tabla1[[#This Row],[ESPECÍFICA]],CLASIFICADOR_,7,0)</f>
        <v>9.1300000000000008</v>
      </c>
      <c r="CV292" s="10">
        <f>+VLOOKUP(Tabla1[[#This Row],[ESPECÍFICA]],CLASIFICADOR_,8,0)</f>
        <v>10</v>
      </c>
      <c r="CW292" s="284" t="str">
        <f>+CONCATENATE("2.",Tabla1[[#This Row],[generica]])</f>
        <v>2.3.BIENES Y SERVICIOS</v>
      </c>
      <c r="CX292" s="10" t="str">
        <f t="shared" si="86"/>
        <v>0016-DETN</v>
      </c>
      <c r="CY292" s="5" t="str">
        <f t="shared" si="63"/>
        <v>0016-DETN (EX DAMER)</v>
      </c>
      <c r="CZ292" t="str">
        <f t="shared" si="87"/>
        <v>0016-DETN</v>
      </c>
      <c r="DA292" s="113" t="str">
        <f>+CONCATENATE(Tabla1[[#This Row],[CC COMPLETO]],Tabla1[[#This Row],[ESPECÍFICA]])</f>
        <v>0016-DETN2.3.2.7.11.99</v>
      </c>
      <c r="DB292" s="11">
        <f t="shared" si="97"/>
        <v>0</v>
      </c>
      <c r="DC292" s="11">
        <f t="shared" si="98"/>
        <v>0</v>
      </c>
      <c r="DD292" s="11">
        <f t="shared" si="99"/>
        <v>0</v>
      </c>
      <c r="DE292" s="11">
        <f t="shared" si="100"/>
        <v>12000</v>
      </c>
      <c r="DF292" s="11">
        <f t="shared" si="101"/>
        <v>0</v>
      </c>
      <c r="DG292" s="11">
        <f t="shared" si="102"/>
        <v>0</v>
      </c>
      <c r="DH292" s="11">
        <f t="shared" si="103"/>
        <v>12000</v>
      </c>
      <c r="DI292" s="12">
        <f t="shared" si="104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12000</v>
      </c>
      <c r="DW292" s="76">
        <f>+SUM(Tabla1[[#This Row],[EJECUTADO 01]:[PF DICIEMBRE
]])</f>
        <v>12000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12000</v>
      </c>
      <c r="EB292" s="76">
        <f>IFERROR(VLOOKUP(Tabla1[[#This Row],[COD SE]],PF_OCTUBRE,22,0),"0")</f>
        <v>12000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12000</v>
      </c>
      <c r="EF292" s="76">
        <f>+Tabla1[[#This Row],[mto_pim]]-Tabla1[[#This Row],[TRANFS ESC 3 ]]</f>
        <v>12000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12000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1672</v>
      </c>
      <c r="AD293" s="369" t="s">
        <v>1673</v>
      </c>
      <c r="AE293" s="369" t="s">
        <v>1678</v>
      </c>
      <c r="AF293" s="369" t="s">
        <v>1699</v>
      </c>
      <c r="AG293" s="369" t="s">
        <v>1700</v>
      </c>
      <c r="AH293" s="369">
        <v>60000</v>
      </c>
      <c r="AI293" s="369">
        <v>-60000</v>
      </c>
      <c r="AJ293" s="369">
        <v>0</v>
      </c>
      <c r="AK293" s="370">
        <v>0</v>
      </c>
      <c r="AL293" s="370">
        <v>0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0</v>
      </c>
      <c r="AT293" s="370">
        <v>0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0</v>
      </c>
      <c r="BF293" s="370">
        <v>0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0</v>
      </c>
      <c r="BR293" s="370">
        <v>0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0</v>
      </c>
      <c r="CD293" s="370">
        <v>0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1991</v>
      </c>
      <c r="CK293" s="48" t="s">
        <v>1987</v>
      </c>
      <c r="CL293" s="48" t="s">
        <v>1989</v>
      </c>
      <c r="CM293" s="48" t="s">
        <v>2020</v>
      </c>
      <c r="CN293" s="48" t="s">
        <v>2012</v>
      </c>
      <c r="CO293" s="10" t="str">
        <f t="shared" si="96"/>
        <v>2.3.2.7.14.98</v>
      </c>
      <c r="CP293" s="10" t="str">
        <f>+VLOOKUP(Tabla1[[#This Row],[ESPECÍFICA]],CLASIFICADOR_,2,0)</f>
        <v>2.3.2.7.14.98 - OTROS SERVICIOS TÉCNICOS Y PROFESIONALES DESARROLLADOS POR PERSONAS NATURALES</v>
      </c>
      <c r="CQ293" s="10" t="str">
        <f>+VLOOKUP(Tabla1[[#This Row],[ESPECÍFICA]],CLASIFICADOR_,3,0)</f>
        <v>2.3.2.7 - SERVICIOS PROFESIONALES Y TECNICOS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2.3.BIENES Y SERVICIOS</v>
      </c>
      <c r="CX293" s="10" t="str">
        <f t="shared" si="86"/>
        <v>0016-DETN</v>
      </c>
      <c r="CY293" s="5" t="str">
        <f t="shared" si="63"/>
        <v>0016-DETN (EX DAMER)</v>
      </c>
      <c r="CZ293" t="str">
        <f t="shared" si="87"/>
        <v>0016-DETN</v>
      </c>
      <c r="DA293" s="113" t="str">
        <f>+CONCATENATE(Tabla1[[#This Row],[CC COMPLETO]],Tabla1[[#This Row],[ESPECÍFICA]])</f>
        <v>0016-DETN2.3.2.7.14.98</v>
      </c>
      <c r="DB293" s="11">
        <f t="shared" si="97"/>
        <v>0</v>
      </c>
      <c r="DC293" s="11">
        <f t="shared" si="98"/>
        <v>0</v>
      </c>
      <c r="DD293" s="11">
        <f t="shared" si="99"/>
        <v>0</v>
      </c>
      <c r="DE293" s="11">
        <f t="shared" si="100"/>
        <v>0</v>
      </c>
      <c r="DF293" s="11">
        <f t="shared" si="101"/>
        <v>0</v>
      </c>
      <c r="DG293" s="11">
        <f t="shared" si="102"/>
        <v>0</v>
      </c>
      <c r="DH293" s="11">
        <f t="shared" si="103"/>
        <v>0</v>
      </c>
      <c r="DI293" s="12">
        <f t="shared" si="104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0</v>
      </c>
      <c r="DR293" s="76">
        <f>+Tabla1[[#This Row],[mto_devenga_08]]</f>
        <v>0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0</v>
      </c>
      <c r="DX293" s="76">
        <f>IFERROR(VLOOKUP(Tabla1[[#This Row],[COD SE]],PF_OCTUBRE,18,0),"0")</f>
        <v>0</v>
      </c>
      <c r="DY293" s="76">
        <f>IFERROR(VLOOKUP(Tabla1[[#This Row],[COD SE]],PF_OCTUBRE,19,0),"0")</f>
        <v>0</v>
      </c>
      <c r="DZ293" s="76">
        <f>IFERROR(VLOOKUP(Tabla1[[#This Row],[COD SE]],PF_OCTUBRE,20,0),"0")</f>
        <v>0</v>
      </c>
      <c r="EA293" s="76">
        <f>+Tabla1[[#This Row],[TOTAL EJEC REAL]]+Tabla1[[#This Row],[SALDO FINAL]]</f>
        <v>0</v>
      </c>
      <c r="EB293" s="76">
        <f>IFERROR(VLOOKUP(Tabla1[[#This Row],[COD SE]],PF_OCTUBRE,22,0),"0")</f>
        <v>0</v>
      </c>
      <c r="EC293" s="76">
        <f>+IFERROR(VLOOKUP(Tabla1[[#This Row],[COD SE]],SALDO_ESC_2,7,0),0)</f>
        <v>0</v>
      </c>
      <c r="ED293" s="76">
        <f>+IFERROR(VLOOKUP(Tabla1[[#This Row],[COD SE]],SALDO_ESC_3,7,0),0)</f>
        <v>0</v>
      </c>
      <c r="EE293" s="76">
        <f>+Tabla1[[#This Row],[mto_pim]]-Tabla1[[#This Row],[TRANSF ESC2 ]]</f>
        <v>0</v>
      </c>
      <c r="EF293" s="76">
        <f>+Tabla1[[#This Row],[mto_pim]]-Tabla1[[#This Row],[TRANFS ESC 3 ]]</f>
        <v>0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0</v>
      </c>
      <c r="EN293" s="76">
        <f>+IFERROR(VLOOKUP(Tabla1[[#This Row],[COD SE]],HISTORICO,11,0),0)</f>
        <v>0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0</v>
      </c>
      <c r="ES293" s="58">
        <f>+SUM(Tabla1[[#This Row],[PF OCTUBRE]:[PF DICIEMBRE
]])</f>
        <v>0</v>
      </c>
      <c r="ET293" s="58">
        <f>+SUM(Tabla1[[#This Row],[EJECUTADO 01]:[EJECUTADO 09]])</f>
        <v>0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1657</v>
      </c>
      <c r="AE294" s="369" t="s">
        <v>1658</v>
      </c>
      <c r="AF294" s="369" t="s">
        <v>1658</v>
      </c>
      <c r="AG294" s="369" t="s">
        <v>1659</v>
      </c>
      <c r="AH294" s="369">
        <v>0</v>
      </c>
      <c r="AI294" s="369">
        <v>126637</v>
      </c>
      <c r="AJ294" s="369">
        <v>126637</v>
      </c>
      <c r="AK294" s="370">
        <v>33050</v>
      </c>
      <c r="AL294" s="370">
        <v>33049.279999999999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14342.14</v>
      </c>
      <c r="AT294" s="370">
        <v>18707.14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14342.14</v>
      </c>
      <c r="BF294" s="370">
        <v>18707.14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14342.14</v>
      </c>
      <c r="BR294" s="370">
        <v>18707.14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14342.14</v>
      </c>
      <c r="CD294" s="370">
        <v>18707.14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1990</v>
      </c>
      <c r="CL294" s="48" t="s">
        <v>1990</v>
      </c>
      <c r="CM294" s="48" t="s">
        <v>1990</v>
      </c>
      <c r="CN294" s="48" t="s">
        <v>1992</v>
      </c>
      <c r="CO294" s="10" t="str">
        <f t="shared" si="96"/>
        <v>2.1.1.1.1.8</v>
      </c>
      <c r="CP294" s="10" t="str">
        <f>+VLOOKUP(Tabla1[[#This Row],[ESPECÍFICA]],CLASIFICADOR_,2,0)</f>
        <v>2.1.1.1.1.8 - PERSONAL DE LA LEY SERVIR (RÉGIMEN DEL SERVICIO CIVIL)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6"/>
        <v>0016-DETN</v>
      </c>
      <c r="CY294" s="5" t="str">
        <f t="shared" si="63"/>
        <v>0016-DETN (EX DAMER)</v>
      </c>
      <c r="CZ294" t="str">
        <f t="shared" si="87"/>
        <v>0016-DETN</v>
      </c>
      <c r="DA294" s="113" t="str">
        <f>+CONCATENATE(Tabla1[[#This Row],[CC COMPLETO]],Tabla1[[#This Row],[ESPECÍFICA]])</f>
        <v>0016-DETN2.1.1.1.1.8</v>
      </c>
      <c r="DB294" s="11">
        <f t="shared" si="97"/>
        <v>33049.279999999999</v>
      </c>
      <c r="DC294" s="11">
        <f t="shared" si="98"/>
        <v>33049.279999999999</v>
      </c>
      <c r="DD294" s="11">
        <f t="shared" si="99"/>
        <v>33049.279999999999</v>
      </c>
      <c r="DE294" s="11">
        <f t="shared" si="100"/>
        <v>93587</v>
      </c>
      <c r="DF294" s="11">
        <f t="shared" si="101"/>
        <v>0.72000000000116415</v>
      </c>
      <c r="DG294" s="11">
        <f t="shared" si="102"/>
        <v>0</v>
      </c>
      <c r="DH294" s="11">
        <f t="shared" si="103"/>
        <v>93587.72</v>
      </c>
      <c r="DI294" s="12">
        <f t="shared" si="104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14342.14</v>
      </c>
      <c r="DR294" s="76">
        <f>+Tabla1[[#This Row],[mto_devenga_08]]</f>
        <v>18707.14</v>
      </c>
      <c r="DS294" s="76">
        <f>+Tabla1[[#This Row],[mto_devenga_09]]</f>
        <v>0</v>
      </c>
      <c r="DT294" s="76">
        <f>IFERROR(VLOOKUP(Tabla1[[#This Row],[COD SE]],PF_OCTUBRE,14,0),"0")</f>
        <v>0</v>
      </c>
      <c r="DU294" s="76">
        <f>IFERROR(VLOOKUP(Tabla1[[#This Row],[COD SE]],PF_OCTUBRE,15,0),"0")</f>
        <v>0</v>
      </c>
      <c r="DV294" s="76">
        <f>IFERROR(VLOOKUP(Tabla1[[#This Row],[COD SE]],PF_OCTUBRE,16,0),"0")</f>
        <v>0</v>
      </c>
      <c r="DW294" s="76">
        <f>+SUM(Tabla1[[#This Row],[EJECUTADO 01]:[PF DICIEMBRE
]])</f>
        <v>33049.279999999999</v>
      </c>
      <c r="DX294" s="76">
        <f>IFERROR(VLOOKUP(Tabla1[[#This Row],[COD SE]],PF_OCTUBRE,18,0),"0")</f>
        <v>0</v>
      </c>
      <c r="DY294" s="76">
        <f>IFERROR(VLOOKUP(Tabla1[[#This Row],[COD SE]],PF_OCTUBRE,19,0),"0")</f>
        <v>116607.72</v>
      </c>
      <c r="DZ294" s="76">
        <f>IFERROR(VLOOKUP(Tabla1[[#This Row],[COD SE]],PF_OCTUBRE,20,0),"0")</f>
        <v>116607.72</v>
      </c>
      <c r="EA294" s="76">
        <f>+Tabla1[[#This Row],[TOTAL EJEC REAL]]+Tabla1[[#This Row],[SALDO FINAL]]</f>
        <v>149657</v>
      </c>
      <c r="EB294" s="76">
        <f>IFERROR(VLOOKUP(Tabla1[[#This Row],[COD SE]],PF_OCTUBRE,22,0),"0")</f>
        <v>116607.72</v>
      </c>
      <c r="EC294" s="76">
        <f>+IFERROR(VLOOKUP(Tabla1[[#This Row],[COD SE]],SALDO_ESC_2,7,0),0)</f>
        <v>0</v>
      </c>
      <c r="ED294" s="76">
        <f>+IFERROR(VLOOKUP(Tabla1[[#This Row],[COD SE]],SALDO_ESC_3,7,0),0)</f>
        <v>116607.72</v>
      </c>
      <c r="EE294" s="76">
        <f>+Tabla1[[#This Row],[mto_pim]]-Tabla1[[#This Row],[TRANSF ESC2 ]]</f>
        <v>126637</v>
      </c>
      <c r="EF294" s="76">
        <f>+Tabla1[[#This Row],[mto_pim]]-Tabla1[[#This Row],[TRANFS ESC 3 ]]</f>
        <v>10029.279999999999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13718.56</v>
      </c>
      <c r="EN294" s="76">
        <f>+IFERROR(VLOOKUP(Tabla1[[#This Row],[COD SE]],HISTORICO,11,0),0)</f>
        <v>18707.14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33049.279999999999</v>
      </c>
      <c r="ES294" s="58">
        <f>+SUM(Tabla1[[#This Row],[PF OCTUBRE]:[PF DICIEMBRE
]])</f>
        <v>0</v>
      </c>
      <c r="ET294" s="58">
        <f>+SUM(Tabla1[[#This Row],[EJECUTADO 01]:[EJECUTADO 09]])</f>
        <v>33049.279999999999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2006</v>
      </c>
      <c r="AE295" s="369" t="s">
        <v>2007</v>
      </c>
      <c r="AF295" s="369" t="s">
        <v>2007</v>
      </c>
      <c r="AG295" s="369" t="s">
        <v>2008</v>
      </c>
      <c r="AH295" s="369">
        <v>0</v>
      </c>
      <c r="AI295" s="369">
        <v>0</v>
      </c>
      <c r="AJ295" s="369">
        <v>0</v>
      </c>
      <c r="AK295" s="370">
        <v>0</v>
      </c>
      <c r="AL295" s="370">
        <v>0</v>
      </c>
      <c r="AM295" s="370">
        <v>0</v>
      </c>
      <c r="AN295" s="370">
        <v>0</v>
      </c>
      <c r="AO295" s="370">
        <v>0</v>
      </c>
      <c r="AP295" s="370">
        <v>0</v>
      </c>
      <c r="AQ295" s="370">
        <v>0</v>
      </c>
      <c r="AR295" s="370">
        <v>0</v>
      </c>
      <c r="AS295" s="370">
        <v>0</v>
      </c>
      <c r="AT295" s="370">
        <v>0</v>
      </c>
      <c r="AU295" s="370">
        <v>0</v>
      </c>
      <c r="AV295" s="370">
        <v>0</v>
      </c>
      <c r="AW295" s="370">
        <v>0</v>
      </c>
      <c r="AX295" s="370">
        <v>0</v>
      </c>
      <c r="AY295" s="370">
        <v>0</v>
      </c>
      <c r="AZ295" s="370">
        <v>0</v>
      </c>
      <c r="BA295" s="370">
        <v>0</v>
      </c>
      <c r="BB295" s="370">
        <v>0</v>
      </c>
      <c r="BC295" s="370">
        <v>0</v>
      </c>
      <c r="BD295" s="370">
        <v>0</v>
      </c>
      <c r="BE295" s="370">
        <v>0</v>
      </c>
      <c r="BF295" s="370">
        <v>0</v>
      </c>
      <c r="BG295" s="370">
        <v>0</v>
      </c>
      <c r="BH295" s="370">
        <v>0</v>
      </c>
      <c r="BI295" s="370">
        <v>0</v>
      </c>
      <c r="BJ295" s="370">
        <v>0</v>
      </c>
      <c r="BK295" s="370">
        <v>0</v>
      </c>
      <c r="BL295" s="370">
        <v>0</v>
      </c>
      <c r="BM295" s="370">
        <v>0</v>
      </c>
      <c r="BN295" s="370">
        <v>0</v>
      </c>
      <c r="BO295" s="370">
        <v>0</v>
      </c>
      <c r="BP295" s="370">
        <v>0</v>
      </c>
      <c r="BQ295" s="370">
        <v>0</v>
      </c>
      <c r="BR295" s="370">
        <v>0</v>
      </c>
      <c r="BS295" s="370">
        <v>0</v>
      </c>
      <c r="BT295" s="370">
        <v>0</v>
      </c>
      <c r="BU295" s="370">
        <v>0</v>
      </c>
      <c r="BV295" s="370">
        <v>0</v>
      </c>
      <c r="BW295" s="370">
        <v>0</v>
      </c>
      <c r="BX295" s="370">
        <v>0</v>
      </c>
      <c r="BY295" s="370">
        <v>0</v>
      </c>
      <c r="BZ295" s="370">
        <v>0</v>
      </c>
      <c r="CA295" s="370">
        <v>0</v>
      </c>
      <c r="CB295" s="370">
        <v>0</v>
      </c>
      <c r="CC295" s="370">
        <v>0</v>
      </c>
      <c r="CD295" s="370">
        <v>0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1993</v>
      </c>
      <c r="CL295" s="48" t="s">
        <v>1990</v>
      </c>
      <c r="CM295" s="48" t="s">
        <v>1990</v>
      </c>
      <c r="CN295" s="48" t="s">
        <v>1988</v>
      </c>
      <c r="CO295" s="10" t="str">
        <f t="shared" si="96"/>
        <v>2.1.4.1.1.6</v>
      </c>
      <c r="CP295" s="10" t="str">
        <f>+VLOOKUP(Tabla1[[#This Row],[ESPECÍFICA]],CLASIFICADOR_,2,0)</f>
        <v>2.1.4.1.1.6 - COMPENSACION VACACIONAL (VACACIONES TRUNCAS) AL PERSONAL ACTIVO</v>
      </c>
      <c r="CQ295" s="10" t="str">
        <f>+VLOOKUP(Tabla1[[#This Row],[ESPECÍFICA]],CLASIFICADOR_,3,0)</f>
        <v>02.SERVIR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6"/>
        <v>0016-DETN</v>
      </c>
      <c r="CY295" s="5" t="str">
        <f t="shared" si="63"/>
        <v>0016-DETN (EX DAMER)</v>
      </c>
      <c r="CZ295" t="str">
        <f t="shared" si="87"/>
        <v>0016-DETN</v>
      </c>
      <c r="DA295" s="113" t="str">
        <f>+CONCATENATE(Tabla1[[#This Row],[CC COMPLETO]],Tabla1[[#This Row],[ESPECÍFICA]])</f>
        <v>0016-DETN2.1.4.1.1.6</v>
      </c>
      <c r="DB295" s="11">
        <f t="shared" si="97"/>
        <v>0</v>
      </c>
      <c r="DC295" s="11">
        <f t="shared" si="98"/>
        <v>0</v>
      </c>
      <c r="DD295" s="11">
        <f t="shared" si="99"/>
        <v>0</v>
      </c>
      <c r="DE295" s="11">
        <f t="shared" si="100"/>
        <v>0</v>
      </c>
      <c r="DF295" s="11">
        <f t="shared" si="101"/>
        <v>0</v>
      </c>
      <c r="DG295" s="11">
        <f t="shared" si="102"/>
        <v>0</v>
      </c>
      <c r="DH295" s="11">
        <f t="shared" si="103"/>
        <v>0</v>
      </c>
      <c r="DI295" s="12">
        <f t="shared" si="104"/>
        <v>0</v>
      </c>
      <c r="DJ295" s="77">
        <f>+SUM(Tabla1[[#This Row],[EJECUTADO 01]:[EJECUTADO 06]])</f>
        <v>0</v>
      </c>
      <c r="DK295" s="77">
        <f>+Tabla1[[#This Row],[mto_devenga_01]]</f>
        <v>0</v>
      </c>
      <c r="DL295" s="285">
        <f>+Tabla1[[#This Row],[mto_devenga_02]]</f>
        <v>0</v>
      </c>
      <c r="DM295" s="285">
        <f>+Tabla1[[#This Row],[mto_devenga_03]]</f>
        <v>0</v>
      </c>
      <c r="DN295" s="286">
        <f>+Tabla1[[#This Row],[mto_devenga_04]]</f>
        <v>0</v>
      </c>
      <c r="DO295" s="285">
        <f>+Tabla1[[#This Row],[mto_devenga_05]]</f>
        <v>0</v>
      </c>
      <c r="DP295" s="76">
        <f>+Tabla1[[#This Row],[mto_devenga_06]]</f>
        <v>0</v>
      </c>
      <c r="DQ295" s="76">
        <f>+Tabla1[[#This Row],[mto_devenga_07]]</f>
        <v>0</v>
      </c>
      <c r="DR295" s="76">
        <f>+Tabla1[[#This Row],[mto_devenga_08]]</f>
        <v>0</v>
      </c>
      <c r="DS295" s="76">
        <f>+Tabla1[[#This Row],[mto_devenga_09]]</f>
        <v>0</v>
      </c>
      <c r="DT295" s="76" t="str">
        <f>IFERROR(VLOOKUP(Tabla1[[#This Row],[COD SE]],PF_OCTUBRE,14,0),"0")</f>
        <v>0</v>
      </c>
      <c r="DU295" s="76" t="str">
        <f>IFERROR(VLOOKUP(Tabla1[[#This Row],[COD SE]],PF_OCTUBRE,15,0),"0")</f>
        <v>0</v>
      </c>
      <c r="DV295" s="76" t="str">
        <f>IFERROR(VLOOKUP(Tabla1[[#This Row],[COD SE]],PF_OCTUBRE,16,0),"0")</f>
        <v>0</v>
      </c>
      <c r="DW295" s="76">
        <f>+SUM(Tabla1[[#This Row],[EJECUTADO 01]:[PF DICIEMBRE
]])</f>
        <v>0</v>
      </c>
      <c r="DX295" s="76" t="str">
        <f>IFERROR(VLOOKUP(Tabla1[[#This Row],[COD SE]],PF_OCTUBRE,18,0),"0")</f>
        <v>0</v>
      </c>
      <c r="DY295" s="76" t="str">
        <f>IFERROR(VLOOKUP(Tabla1[[#This Row],[COD SE]],PF_OCTUBRE,19,0),"0")</f>
        <v>0</v>
      </c>
      <c r="DZ295" s="76" t="str">
        <f>IFERROR(VLOOKUP(Tabla1[[#This Row],[COD SE]],PF_OCTUBRE,20,0),"0")</f>
        <v>0</v>
      </c>
      <c r="EA295" s="76">
        <f>+Tabla1[[#This Row],[TOTAL EJEC REAL]]+Tabla1[[#This Row],[SALDO FINAL]]</f>
        <v>0</v>
      </c>
      <c r="EB295" s="76" t="str">
        <f>IFERROR(VLOOKUP(Tabla1[[#This Row],[COD SE]],PF_OCTUBRE,22,0),"0")</f>
        <v>0</v>
      </c>
      <c r="EC295" s="76">
        <f>+IFERROR(VLOOKUP(Tabla1[[#This Row],[COD SE]],SALDO_ESC_2,7,0),0)</f>
        <v>0</v>
      </c>
      <c r="ED295" s="76">
        <f>+IFERROR(VLOOKUP(Tabla1[[#This Row],[COD SE]],SALDO_ESC_3,7,0),0)</f>
        <v>0</v>
      </c>
      <c r="EE295" s="76">
        <f>+Tabla1[[#This Row],[mto_pim]]-Tabla1[[#This Row],[TRANSF ESC2 ]]</f>
        <v>0</v>
      </c>
      <c r="EF295" s="76">
        <f>+Tabla1[[#This Row],[mto_pim]]-Tabla1[[#This Row],[TRANFS ESC 3 ]]</f>
        <v>0</v>
      </c>
      <c r="EG295" s="76">
        <f>+IFERROR(VLOOKUP(Tabla1[[#This Row],[COD SE]],HISTORICO,4,0),0)</f>
        <v>0</v>
      </c>
      <c r="EH295" s="76">
        <f>+IFERROR(VLOOKUP(Tabla1[[#This Row],[COD SE]],HISTORICO,5,0),0)</f>
        <v>0</v>
      </c>
      <c r="EI295" s="76">
        <f>+IFERROR(VLOOKUP(Tabla1[[#This Row],[COD SE]],HISTORICO,6,0),0)</f>
        <v>0</v>
      </c>
      <c r="EJ295" s="76">
        <f>+IFERROR(VLOOKUP(Tabla1[[#This Row],[COD SE]],HISTORICO,7,0),0)</f>
        <v>0</v>
      </c>
      <c r="EK295" s="76">
        <f>+IFERROR(VLOOKUP(Tabla1[[#This Row],[COD SE]],HISTORICO,8,0),0)</f>
        <v>0</v>
      </c>
      <c r="EL295" s="76">
        <f>+IFERROR(VLOOKUP(Tabla1[[#This Row],[COD SE]],HISTORICO,9,0),0)</f>
        <v>0</v>
      </c>
      <c r="EM295" s="76">
        <f>+IFERROR(VLOOKUP(Tabla1[[#This Row],[COD SE]],HISTORICO,10,0),0)</f>
        <v>0</v>
      </c>
      <c r="EN295" s="76">
        <f>+IFERROR(VLOOKUP(Tabla1[[#This Row],[COD SE]],HISTORICO,11,0),0)</f>
        <v>0</v>
      </c>
      <c r="EO295" s="76">
        <f>+IFERROR(VLOOKUP(Tabla1[[#This Row],[COD SE]],HISTORICO,12,0),0)</f>
        <v>0</v>
      </c>
      <c r="EP295" s="58">
        <f>+SUM(Tabla1[[#This Row],[EJECUTADO 01]:[EJECUTADO 03]])</f>
        <v>0</v>
      </c>
      <c r="EQ295" s="58">
        <f>+SUM(Tabla1[[#This Row],[EJECUTADO 04]:[EJECUTADO 06]])</f>
        <v>0</v>
      </c>
      <c r="ER295" s="58">
        <f>+SUM(Tabla1[[#This Row],[EJECUTADO 07]:[EJECUTADO 09]])</f>
        <v>0</v>
      </c>
      <c r="ES295" s="58">
        <f>+SUM(Tabla1[[#This Row],[PF OCTUBRE]:[PF DICIEMBRE
]])</f>
        <v>0</v>
      </c>
      <c r="ET295" s="58">
        <f>+SUM(Tabla1[[#This Row],[EJECUTADO 01]:[EJECUTADO 09]])</f>
        <v>0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2006</v>
      </c>
      <c r="AE296" s="369" t="s">
        <v>2007</v>
      </c>
      <c r="AF296" s="369" t="s">
        <v>2007</v>
      </c>
      <c r="AG296" s="369" t="s">
        <v>2009</v>
      </c>
      <c r="AH296" s="369">
        <v>0</v>
      </c>
      <c r="AI296" s="369">
        <v>2633</v>
      </c>
      <c r="AJ296" s="369">
        <v>2633</v>
      </c>
      <c r="AK296" s="370">
        <v>0</v>
      </c>
      <c r="AL296" s="370">
        <v>0</v>
      </c>
      <c r="AM296" s="370">
        <v>0</v>
      </c>
      <c r="AN296" s="370">
        <v>0</v>
      </c>
      <c r="AO296" s="370">
        <v>0</v>
      </c>
      <c r="AP296" s="370">
        <v>0</v>
      </c>
      <c r="AQ296" s="370">
        <v>0</v>
      </c>
      <c r="AR296" s="370">
        <v>0</v>
      </c>
      <c r="AS296" s="370">
        <v>0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0</v>
      </c>
      <c r="BD296" s="370">
        <v>0</v>
      </c>
      <c r="BE296" s="370">
        <v>0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0</v>
      </c>
      <c r="BP296" s="370">
        <v>0</v>
      </c>
      <c r="BQ296" s="370">
        <v>0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0</v>
      </c>
      <c r="CB296" s="370">
        <v>0</v>
      </c>
      <c r="CC296" s="370">
        <v>0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1993</v>
      </c>
      <c r="CL296" s="48" t="s">
        <v>1990</v>
      </c>
      <c r="CM296" s="48" t="s">
        <v>1990</v>
      </c>
      <c r="CN296" s="48" t="s">
        <v>1990</v>
      </c>
      <c r="CO296" s="10" t="str">
        <f t="shared" si="96"/>
        <v>2.1.4.1.1.1</v>
      </c>
      <c r="CP296" s="10" t="str">
        <f>+VLOOKUP(Tabla1[[#This Row],[ESPECÍFICA]],CLASIFICADOR_,2,0)</f>
        <v>2.1.4.1.1.1 - COMPENSACION POR TIEMPO DE SERVICIOS DEL REGIMEN LABORAL PRIVADO Y REGIMEN DEL SERVICIO CIVIL</v>
      </c>
      <c r="CQ296" s="10" t="str">
        <f>+VLOOKUP(Tabla1[[#This Row],[ESPECÍFICA]],CLASIFICADOR_,3,0)</f>
        <v>02.SERVIR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6"/>
        <v>0016-DETN</v>
      </c>
      <c r="CY296" s="5" t="str">
        <f t="shared" si="63"/>
        <v>0016-DETN (EX DAMER)</v>
      </c>
      <c r="CZ296" t="str">
        <f t="shared" si="87"/>
        <v>0016-DETN</v>
      </c>
      <c r="DA296" s="113" t="str">
        <f>+CONCATENATE(Tabla1[[#This Row],[CC COMPLETO]],Tabla1[[#This Row],[ESPECÍFICA]])</f>
        <v>0016-DETN2.1.4.1.1.1</v>
      </c>
      <c r="DB296" s="11">
        <f t="shared" si="97"/>
        <v>0</v>
      </c>
      <c r="DC296" s="11">
        <f t="shared" si="98"/>
        <v>0</v>
      </c>
      <c r="DD296" s="11">
        <f t="shared" si="99"/>
        <v>0</v>
      </c>
      <c r="DE296" s="11">
        <f t="shared" si="100"/>
        <v>2633</v>
      </c>
      <c r="DF296" s="11">
        <f t="shared" si="101"/>
        <v>0</v>
      </c>
      <c r="DG296" s="11">
        <f t="shared" si="102"/>
        <v>0</v>
      </c>
      <c r="DH296" s="11">
        <f t="shared" si="103"/>
        <v>2633</v>
      </c>
      <c r="DI296" s="12">
        <f t="shared" si="104"/>
        <v>0</v>
      </c>
      <c r="DJ296" s="77">
        <f>+SUM(Tabla1[[#This Row],[EJECUTADO 01]:[EJECUTADO 06]])</f>
        <v>0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0</v>
      </c>
      <c r="DP296" s="76">
        <f>+Tabla1[[#This Row],[mto_devenga_06]]</f>
        <v>0</v>
      </c>
      <c r="DQ296" s="76">
        <f>+Tabla1[[#This Row],[mto_devenga_07]]</f>
        <v>0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0</v>
      </c>
      <c r="DX296" s="76">
        <f>IFERROR(VLOOKUP(Tabla1[[#This Row],[COD SE]],PF_OCTUBRE,18,0),"0")</f>
        <v>0</v>
      </c>
      <c r="DY296" s="76">
        <f>IFERROR(VLOOKUP(Tabla1[[#This Row],[COD SE]],PF_OCTUBRE,19,0),"0")</f>
        <v>2633</v>
      </c>
      <c r="DZ296" s="76">
        <f>IFERROR(VLOOKUP(Tabla1[[#This Row],[COD SE]],PF_OCTUBRE,20,0),"0")</f>
        <v>2633</v>
      </c>
      <c r="EA296" s="76">
        <f>+Tabla1[[#This Row],[TOTAL EJEC REAL]]+Tabla1[[#This Row],[SALDO FINAL]]</f>
        <v>2633</v>
      </c>
      <c r="EB296" s="76">
        <f>IFERROR(VLOOKUP(Tabla1[[#This Row],[COD SE]],PF_OCTUBRE,22,0),"0")</f>
        <v>2633</v>
      </c>
      <c r="EC296" s="76">
        <f>+IFERROR(VLOOKUP(Tabla1[[#This Row],[COD SE]],SALDO_ESC_2,7,0),0)</f>
        <v>0</v>
      </c>
      <c r="ED296" s="76">
        <f>+IFERROR(VLOOKUP(Tabla1[[#This Row],[COD SE]],SALDO_ESC_3,7,0),0)</f>
        <v>2633</v>
      </c>
      <c r="EE296" s="76">
        <f>+Tabla1[[#This Row],[mto_pim]]-Tabla1[[#This Row],[TRANSF ESC2 ]]</f>
        <v>2633</v>
      </c>
      <c r="EF296" s="76">
        <f>+Tabla1[[#This Row],[mto_pim]]-Tabla1[[#This Row],[TRANFS ESC 3 ]]</f>
        <v>0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0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0</v>
      </c>
      <c r="ER296" s="58">
        <f>+SUM(Tabla1[[#This Row],[EJECUTADO 07]:[EJECUTADO 09]])</f>
        <v>0</v>
      </c>
      <c r="ES296" s="58">
        <f>+SUM(Tabla1[[#This Row],[PF OCTUBRE]:[PF DICIEMBRE
]])</f>
        <v>0</v>
      </c>
      <c r="ET296" s="58">
        <f>+SUM(Tabla1[[#This Row],[EJECUTADO 01]:[EJECUTADO 09]])</f>
        <v>0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2006</v>
      </c>
      <c r="AE297" s="369" t="s">
        <v>2007</v>
      </c>
      <c r="AF297" s="369" t="s">
        <v>2007</v>
      </c>
      <c r="AG297" s="369" t="s">
        <v>2015</v>
      </c>
      <c r="AH297" s="369">
        <v>0</v>
      </c>
      <c r="AI297" s="369">
        <v>14190</v>
      </c>
      <c r="AJ297" s="369">
        <v>14190</v>
      </c>
      <c r="AK297" s="370">
        <v>14190</v>
      </c>
      <c r="AL297" s="370">
        <v>14086.43</v>
      </c>
      <c r="AM297" s="370">
        <v>0</v>
      </c>
      <c r="AN297" s="370">
        <v>0</v>
      </c>
      <c r="AO297" s="370">
        <v>0</v>
      </c>
      <c r="AP297" s="370">
        <v>0</v>
      </c>
      <c r="AQ297" s="370">
        <v>12750.59</v>
      </c>
      <c r="AR297" s="370">
        <v>0</v>
      </c>
      <c r="AS297" s="370">
        <v>1333.34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12854.16</v>
      </c>
      <c r="BD297" s="370">
        <v>-103.57</v>
      </c>
      <c r="BE297" s="370">
        <v>1333.34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12854.16</v>
      </c>
      <c r="BP297" s="370">
        <v>-103.57</v>
      </c>
      <c r="BQ297" s="370">
        <v>1333.34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8718.2999999999993</v>
      </c>
      <c r="CB297" s="370">
        <v>0</v>
      </c>
      <c r="CC297" s="370">
        <v>1333.34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1993</v>
      </c>
      <c r="CL297" s="48" t="s">
        <v>1990</v>
      </c>
      <c r="CM297" s="48" t="s">
        <v>1990</v>
      </c>
      <c r="CN297" s="48" t="s">
        <v>1989</v>
      </c>
      <c r="CO297" s="10" t="str">
        <f t="shared" si="96"/>
        <v>2.1.4.1.1.7</v>
      </c>
      <c r="CP297" s="10" t="str">
        <f>+VLOOKUP(Tabla1[[#This Row],[ESPECÍFICA]],CLASIFICADOR_,2,0)</f>
        <v>2.1.4.1.1.7 - VACACIONES TRUNCAS PERSONAL CAS</v>
      </c>
      <c r="CQ297" s="10" t="str">
        <f>+VLOOKUP(Tabla1[[#This Row],[ESPECÍFICA]],CLASIFICADOR_,3,0)</f>
        <v>01.CAS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6"/>
        <v>0016-DETN</v>
      </c>
      <c r="CY297" s="5" t="str">
        <f t="shared" si="63"/>
        <v>0016-DETN (EX DAMER)</v>
      </c>
      <c r="CZ297" t="str">
        <f t="shared" si="87"/>
        <v>0016-DETN</v>
      </c>
      <c r="DA297" s="113" t="str">
        <f>+CONCATENATE(Tabla1[[#This Row],[CC COMPLETO]],Tabla1[[#This Row],[ESPECÍFICA]])</f>
        <v>0016-DETN2.1.4.1.1.7</v>
      </c>
      <c r="DB297" s="11">
        <f t="shared" si="97"/>
        <v>14083.93</v>
      </c>
      <c r="DC297" s="11">
        <f t="shared" si="98"/>
        <v>14083.93</v>
      </c>
      <c r="DD297" s="11">
        <f t="shared" si="99"/>
        <v>14083.93</v>
      </c>
      <c r="DE297" s="11">
        <f t="shared" si="100"/>
        <v>0</v>
      </c>
      <c r="DF297" s="11">
        <f t="shared" si="101"/>
        <v>103.56999999999971</v>
      </c>
      <c r="DG297" s="11">
        <f t="shared" si="102"/>
        <v>2.5</v>
      </c>
      <c r="DH297" s="11">
        <f t="shared" si="103"/>
        <v>106.06999999999971</v>
      </c>
      <c r="DI297" s="12">
        <f t="shared" si="104"/>
        <v>0</v>
      </c>
      <c r="DJ297" s="77">
        <f>+SUM(Tabla1[[#This Row],[EJECUTADO 01]:[EJECUTADO 06]])</f>
        <v>12750.59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12854.16</v>
      </c>
      <c r="DP297" s="76">
        <f>+Tabla1[[#This Row],[mto_devenga_06]]</f>
        <v>-103.57</v>
      </c>
      <c r="DQ297" s="76">
        <f>+Tabla1[[#This Row],[mto_devenga_07]]</f>
        <v>1333.34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14083.93</v>
      </c>
      <c r="DX297" s="76">
        <f>IFERROR(VLOOKUP(Tabla1[[#This Row],[COD SE]],PF_OCTUBRE,18,0),"0")</f>
        <v>0</v>
      </c>
      <c r="DY297" s="76">
        <f>IFERROR(VLOOKUP(Tabla1[[#This Row],[COD SE]],PF_OCTUBRE,19,0),"0")</f>
        <v>106.07</v>
      </c>
      <c r="DZ297" s="76">
        <f>IFERROR(VLOOKUP(Tabla1[[#This Row],[COD SE]],PF_OCTUBRE,20,0),"0")</f>
        <v>106.07</v>
      </c>
      <c r="EA297" s="76">
        <f>+Tabla1[[#This Row],[TOTAL EJEC REAL]]+Tabla1[[#This Row],[SALDO FINAL]]</f>
        <v>14190</v>
      </c>
      <c r="EB297" s="76">
        <f>IFERROR(VLOOKUP(Tabla1[[#This Row],[COD SE]],PF_OCTUBRE,22,0),"0")</f>
        <v>106.07</v>
      </c>
      <c r="EC297" s="76">
        <f>+IFERROR(VLOOKUP(Tabla1[[#This Row],[COD SE]],SALDO_ESC_2,7,0),0)</f>
        <v>0</v>
      </c>
      <c r="ED297" s="76">
        <f>+IFERROR(VLOOKUP(Tabla1[[#This Row],[COD SE]],SALDO_ESC_3,7,0),0)</f>
        <v>106.07</v>
      </c>
      <c r="EE297" s="76">
        <f>+Tabla1[[#This Row],[mto_pim]]-Tabla1[[#This Row],[TRANSF ESC2 ]]</f>
        <v>14190</v>
      </c>
      <c r="EF297" s="76">
        <f>+Tabla1[[#This Row],[mto_pim]]-Tabla1[[#This Row],[TRANFS ESC 3 ]]</f>
        <v>14083.93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6145</v>
      </c>
      <c r="EL297" s="76">
        <f>+IFERROR(VLOOKUP(Tabla1[[#This Row],[COD SE]],HISTORICO,9,0),0)</f>
        <v>0</v>
      </c>
      <c r="EM297" s="76">
        <f>+IFERROR(VLOOKUP(Tabla1[[#This Row],[COD SE]],HISTORICO,10,0),0)</f>
        <v>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12750.59</v>
      </c>
      <c r="ER297" s="58">
        <f>+SUM(Tabla1[[#This Row],[EJECUTADO 07]:[EJECUTADO 09]])</f>
        <v>1333.34</v>
      </c>
      <c r="ES297" s="58">
        <f>+SUM(Tabla1[[#This Row],[PF OCTUBRE]:[PF DICIEMBRE
]])</f>
        <v>0</v>
      </c>
      <c r="ET297" s="58">
        <f>+SUM(Tabla1[[#This Row],[EJECUTADO 01]:[EJECUTADO 09]])</f>
        <v>14083.93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1656</v>
      </c>
      <c r="AD298" s="369" t="s">
        <v>1657</v>
      </c>
      <c r="AE298" s="369" t="s">
        <v>1664</v>
      </c>
      <c r="AF298" s="369" t="s">
        <v>1665</v>
      </c>
      <c r="AG298" s="369" t="s">
        <v>1666</v>
      </c>
      <c r="AH298" s="369">
        <v>0</v>
      </c>
      <c r="AI298" s="369">
        <v>18708</v>
      </c>
      <c r="AJ298" s="369">
        <v>18708</v>
      </c>
      <c r="AK298" s="370">
        <v>0</v>
      </c>
      <c r="AL298" s="370">
        <v>0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0</v>
      </c>
      <c r="AT298" s="370">
        <v>0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0</v>
      </c>
      <c r="BF298" s="370">
        <v>0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0</v>
      </c>
      <c r="BR298" s="370">
        <v>0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0</v>
      </c>
      <c r="CD298" s="370">
        <v>0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1990</v>
      </c>
      <c r="CK298" s="48" t="s">
        <v>1990</v>
      </c>
      <c r="CL298" s="48" t="s">
        <v>2005</v>
      </c>
      <c r="CM298" s="48" t="s">
        <v>1990</v>
      </c>
      <c r="CN298" s="48" t="s">
        <v>1987</v>
      </c>
      <c r="CO298" s="10" t="str">
        <f t="shared" si="96"/>
        <v>2.1.1.9.1.2</v>
      </c>
      <c r="CP298" s="10" t="str">
        <f>+VLOOKUP(Tabla1[[#This Row],[ESPECÍFICA]],CLASIFICADOR_,2,0)</f>
        <v>2.1.1.9.1.2 - AGUINALDOS</v>
      </c>
      <c r="CQ298" s="10" t="str">
        <f>+VLOOKUP(Tabla1[[#This Row],[ESPECÍFICA]],CLASIFICADOR_,3,0)</f>
        <v>02.SERVIR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2.1.PERSONAL Y OBLIGACIONES SOCIALES</v>
      </c>
      <c r="CX298" s="10" t="str">
        <f t="shared" si="86"/>
        <v>0016-DETN</v>
      </c>
      <c r="CY298" s="5" t="str">
        <f t="shared" si="63"/>
        <v>0016-DETN (EX DAMER)</v>
      </c>
      <c r="CZ298" t="str">
        <f t="shared" si="87"/>
        <v>0016-DETN</v>
      </c>
      <c r="DA298" s="113" t="str">
        <f>+CONCATENATE(Tabla1[[#This Row],[CC COMPLETO]],Tabla1[[#This Row],[ESPECÍFICA]])</f>
        <v>0016-DETN2.1.1.9.1.2</v>
      </c>
      <c r="DB298" s="11">
        <f t="shared" si="97"/>
        <v>0</v>
      </c>
      <c r="DC298" s="11">
        <f t="shared" si="98"/>
        <v>0</v>
      </c>
      <c r="DD298" s="11">
        <f t="shared" si="99"/>
        <v>0</v>
      </c>
      <c r="DE298" s="11">
        <f t="shared" si="100"/>
        <v>18708</v>
      </c>
      <c r="DF298" s="11">
        <f t="shared" si="101"/>
        <v>0</v>
      </c>
      <c r="DG298" s="11">
        <f t="shared" si="102"/>
        <v>0</v>
      </c>
      <c r="DH298" s="11">
        <f t="shared" si="103"/>
        <v>18708</v>
      </c>
      <c r="DI298" s="12">
        <f t="shared" si="104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0</v>
      </c>
      <c r="DR298" s="76">
        <f>+Tabla1[[#This Row],[mto_devenga_08]]</f>
        <v>0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0</v>
      </c>
      <c r="DX298" s="76">
        <f>IFERROR(VLOOKUP(Tabla1[[#This Row],[COD SE]],PF_OCTUBRE,18,0),"0")</f>
        <v>0</v>
      </c>
      <c r="DY298" s="76">
        <f>IFERROR(VLOOKUP(Tabla1[[#This Row],[COD SE]],PF_OCTUBRE,19,0),"0")</f>
        <v>18708</v>
      </c>
      <c r="DZ298" s="76">
        <f>IFERROR(VLOOKUP(Tabla1[[#This Row],[COD SE]],PF_OCTUBRE,20,0),"0")</f>
        <v>18708</v>
      </c>
      <c r="EA298" s="76">
        <f>+Tabla1[[#This Row],[TOTAL EJEC REAL]]+Tabla1[[#This Row],[SALDO FINAL]]</f>
        <v>18708</v>
      </c>
      <c r="EB298" s="76">
        <f>IFERROR(VLOOKUP(Tabla1[[#This Row],[COD SE]],PF_OCTUBRE,22,0),"0")</f>
        <v>18708</v>
      </c>
      <c r="EC298" s="76">
        <f>+IFERROR(VLOOKUP(Tabla1[[#This Row],[COD SE]],SALDO_ESC_2,7,0),0)</f>
        <v>0</v>
      </c>
      <c r="ED298" s="76">
        <f>+IFERROR(VLOOKUP(Tabla1[[#This Row],[COD SE]],SALDO_ESC_3,7,0),0)</f>
        <v>18708</v>
      </c>
      <c r="EE298" s="76">
        <f>+Tabla1[[#This Row],[mto_pim]]-Tabla1[[#This Row],[TRANSF ESC2 ]]</f>
        <v>18708</v>
      </c>
      <c r="EF298" s="76">
        <f>+Tabla1[[#This Row],[mto_pim]]-Tabla1[[#This Row],[TRANFS ESC 3 ]]</f>
        <v>0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0</v>
      </c>
      <c r="EN298" s="76">
        <f>+IFERROR(VLOOKUP(Tabla1[[#This Row],[COD SE]],HISTORICO,11,0),0)</f>
        <v>0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0</v>
      </c>
      <c r="ES298" s="58">
        <f>+SUM(Tabla1[[#This Row],[PF OCTUBRE]:[PF DICIEMBRE
]])</f>
        <v>0</v>
      </c>
      <c r="ET298" s="58">
        <f>+SUM(Tabla1[[#This Row],[EJECUTADO 01]:[EJECUTADO 09]])</f>
        <v>0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1672</v>
      </c>
      <c r="AD299" s="369" t="s">
        <v>1684</v>
      </c>
      <c r="AE299" s="369" t="s">
        <v>1685</v>
      </c>
      <c r="AF299" s="369" t="s">
        <v>1686</v>
      </c>
      <c r="AG299" s="369" t="s">
        <v>1687</v>
      </c>
      <c r="AH299" s="369">
        <v>1600</v>
      </c>
      <c r="AI299" s="369">
        <v>-1600</v>
      </c>
      <c r="AJ299" s="369">
        <v>0</v>
      </c>
      <c r="AK299" s="370">
        <v>0</v>
      </c>
      <c r="AL299" s="370">
        <v>0</v>
      </c>
      <c r="AM299" s="370">
        <v>0</v>
      </c>
      <c r="AN299" s="370">
        <v>0</v>
      </c>
      <c r="AO299" s="370">
        <v>0</v>
      </c>
      <c r="AP299" s="370">
        <v>0</v>
      </c>
      <c r="AQ299" s="370">
        <v>0</v>
      </c>
      <c r="AR299" s="370">
        <v>0</v>
      </c>
      <c r="AS299" s="370">
        <v>0</v>
      </c>
      <c r="AT299" s="370">
        <v>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0</v>
      </c>
      <c r="AZ299" s="370">
        <v>0</v>
      </c>
      <c r="BA299" s="370">
        <v>0</v>
      </c>
      <c r="BB299" s="370">
        <v>0</v>
      </c>
      <c r="BC299" s="370">
        <v>0</v>
      </c>
      <c r="BD299" s="370">
        <v>0</v>
      </c>
      <c r="BE299" s="370">
        <v>0</v>
      </c>
      <c r="BF299" s="370">
        <v>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0</v>
      </c>
      <c r="BL299" s="370">
        <v>0</v>
      </c>
      <c r="BM299" s="370">
        <v>0</v>
      </c>
      <c r="BN299" s="370">
        <v>0</v>
      </c>
      <c r="BO299" s="370">
        <v>0</v>
      </c>
      <c r="BP299" s="370">
        <v>0</v>
      </c>
      <c r="BQ299" s="370">
        <v>0</v>
      </c>
      <c r="BR299" s="370">
        <v>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0</v>
      </c>
      <c r="BX299" s="370">
        <v>0</v>
      </c>
      <c r="BY299" s="370">
        <v>0</v>
      </c>
      <c r="BZ299" s="370">
        <v>0</v>
      </c>
      <c r="CA299" s="370">
        <v>0</v>
      </c>
      <c r="CB299" s="370">
        <v>0</v>
      </c>
      <c r="CC299" s="370">
        <v>0</v>
      </c>
      <c r="CD299" s="370">
        <v>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1991</v>
      </c>
      <c r="CK299" s="48" t="s">
        <v>1990</v>
      </c>
      <c r="CL299" s="48" t="s">
        <v>1998</v>
      </c>
      <c r="CM299" s="48" t="s">
        <v>1990</v>
      </c>
      <c r="CN299" s="48" t="s">
        <v>1991</v>
      </c>
      <c r="CO299" s="10" t="str">
        <f t="shared" si="96"/>
        <v>2.3.1.99.1.3</v>
      </c>
      <c r="CP299" s="10" t="str">
        <f>+VLOOKUP(Tabla1[[#This Row],[ESPECÍFICA]],CLASIFICADOR_,2,0)</f>
        <v>2.3.1.99.1.3 - LIBROS, DIARIOS, REVISTAS Y OTROS BIENES IMPRESOS NO VINCULADOS A ENSEÑANZA</v>
      </c>
      <c r="CQ299" s="10" t="str">
        <f>+VLOOKUP(Tabla1[[#This Row],[ESPECÍFICA]],CLASIFICADOR_,3,0)</f>
        <v>2.3.1.99 - COMPRA DE OTROS BIENES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2.3.BIENES Y SERVICIOS</v>
      </c>
      <c r="CX299" s="10" t="str">
        <f t="shared" si="86"/>
        <v>0016-DETN</v>
      </c>
      <c r="CY299" s="5" t="str">
        <f t="shared" si="63"/>
        <v>0016-DETN (EX DAMER)</v>
      </c>
      <c r="CZ299" t="str">
        <f t="shared" si="87"/>
        <v>0016-DETN</v>
      </c>
      <c r="DA299" s="113" t="str">
        <f>+CONCATENATE(Tabla1[[#This Row],[CC COMPLETO]],Tabla1[[#This Row],[ESPECÍFICA]])</f>
        <v>0016-DETN2.3.1.99.1.3</v>
      </c>
      <c r="DB299" s="11">
        <f t="shared" si="97"/>
        <v>0</v>
      </c>
      <c r="DC299" s="11">
        <f t="shared" si="98"/>
        <v>0</v>
      </c>
      <c r="DD299" s="11">
        <f t="shared" si="99"/>
        <v>0</v>
      </c>
      <c r="DE299" s="11">
        <f t="shared" si="100"/>
        <v>0</v>
      </c>
      <c r="DF299" s="11">
        <f t="shared" si="101"/>
        <v>0</v>
      </c>
      <c r="DG299" s="11">
        <f t="shared" si="102"/>
        <v>0</v>
      </c>
      <c r="DH299" s="11">
        <f t="shared" si="103"/>
        <v>0</v>
      </c>
      <c r="DI299" s="12">
        <f t="shared" si="104"/>
        <v>0</v>
      </c>
      <c r="DJ299" s="77">
        <f>+SUM(Tabla1[[#This Row],[EJECUTADO 01]:[EJECUTADO 06]])</f>
        <v>0</v>
      </c>
      <c r="DK299" s="77">
        <f>+Tabla1[[#This Row],[mto_devenga_01]]</f>
        <v>0</v>
      </c>
      <c r="DL299" s="285">
        <f>+Tabla1[[#This Row],[mto_devenga_02]]</f>
        <v>0</v>
      </c>
      <c r="DM299" s="285">
        <f>+Tabla1[[#This Row],[mto_devenga_03]]</f>
        <v>0</v>
      </c>
      <c r="DN299" s="286">
        <f>+Tabla1[[#This Row],[mto_devenga_04]]</f>
        <v>0</v>
      </c>
      <c r="DO299" s="285">
        <f>+Tabla1[[#This Row],[mto_devenga_05]]</f>
        <v>0</v>
      </c>
      <c r="DP299" s="76">
        <f>+Tabla1[[#This Row],[mto_devenga_06]]</f>
        <v>0</v>
      </c>
      <c r="DQ299" s="76">
        <f>+Tabla1[[#This Row],[mto_devenga_07]]</f>
        <v>0</v>
      </c>
      <c r="DR299" s="76">
        <f>+Tabla1[[#This Row],[mto_devenga_08]]</f>
        <v>0</v>
      </c>
      <c r="DS299" s="76">
        <f>+Tabla1[[#This Row],[mto_devenga_09]]</f>
        <v>0</v>
      </c>
      <c r="DT299" s="76">
        <f>IFERROR(VLOOKUP(Tabla1[[#This Row],[COD SE]],PF_OCTUBRE,14,0),"0")</f>
        <v>0</v>
      </c>
      <c r="DU299" s="76">
        <f>IFERROR(VLOOKUP(Tabla1[[#This Row],[COD SE]],PF_OCTUBRE,15,0),"0")</f>
        <v>0</v>
      </c>
      <c r="DV299" s="76">
        <f>IFERROR(VLOOKUP(Tabla1[[#This Row],[COD SE]],PF_OCTUBRE,16,0),"0")</f>
        <v>0</v>
      </c>
      <c r="DW299" s="76">
        <f>+SUM(Tabla1[[#This Row],[EJECUTADO 01]:[PF DICIEMBRE
]])</f>
        <v>0</v>
      </c>
      <c r="DX299" s="76">
        <f>IFERROR(VLOOKUP(Tabla1[[#This Row],[COD SE]],PF_OCTUBRE,18,0),"0")</f>
        <v>0</v>
      </c>
      <c r="DY299" s="76">
        <f>IFERROR(VLOOKUP(Tabla1[[#This Row],[COD SE]],PF_OCTUBRE,19,0),"0")</f>
        <v>0</v>
      </c>
      <c r="DZ299" s="76">
        <f>IFERROR(VLOOKUP(Tabla1[[#This Row],[COD SE]],PF_OCTUBRE,20,0),"0")</f>
        <v>0</v>
      </c>
      <c r="EA299" s="76">
        <f>+Tabla1[[#This Row],[TOTAL EJEC REAL]]+Tabla1[[#This Row],[SALDO FINAL]]</f>
        <v>0</v>
      </c>
      <c r="EB299" s="76">
        <f>IFERROR(VLOOKUP(Tabla1[[#This Row],[COD SE]],PF_OCTUBRE,22,0),"0")</f>
        <v>0</v>
      </c>
      <c r="EC299" s="76">
        <f>+IFERROR(VLOOKUP(Tabla1[[#This Row],[COD SE]],SALDO_ESC_2,7,0),0)</f>
        <v>0</v>
      </c>
      <c r="ED299" s="76">
        <f>+IFERROR(VLOOKUP(Tabla1[[#This Row],[COD SE]],SALDO_ESC_3,7,0),0)</f>
        <v>0</v>
      </c>
      <c r="EE299" s="76">
        <f>+Tabla1[[#This Row],[mto_pim]]-Tabla1[[#This Row],[TRANSF ESC2 ]]</f>
        <v>0</v>
      </c>
      <c r="EF299" s="76">
        <f>+Tabla1[[#This Row],[mto_pim]]-Tabla1[[#This Row],[TRANFS ESC 3 ]]</f>
        <v>0</v>
      </c>
      <c r="EG299" s="76">
        <f>+IFERROR(VLOOKUP(Tabla1[[#This Row],[COD SE]],HISTORICO,4,0),0)</f>
        <v>0</v>
      </c>
      <c r="EH299" s="76">
        <f>+IFERROR(VLOOKUP(Tabla1[[#This Row],[COD SE]],HISTORICO,5,0),0)</f>
        <v>0</v>
      </c>
      <c r="EI299" s="76">
        <f>+IFERROR(VLOOKUP(Tabla1[[#This Row],[COD SE]],HISTORICO,6,0),0)</f>
        <v>0</v>
      </c>
      <c r="EJ299" s="76">
        <f>+IFERROR(VLOOKUP(Tabla1[[#This Row],[COD SE]],HISTORICO,7,0),0)</f>
        <v>0</v>
      </c>
      <c r="EK299" s="76">
        <f>+IFERROR(VLOOKUP(Tabla1[[#This Row],[COD SE]],HISTORICO,8,0),0)</f>
        <v>0</v>
      </c>
      <c r="EL299" s="76">
        <f>+IFERROR(VLOOKUP(Tabla1[[#This Row],[COD SE]],HISTORICO,9,0),0)</f>
        <v>0</v>
      </c>
      <c r="EM299" s="76">
        <f>+IFERROR(VLOOKUP(Tabla1[[#This Row],[COD SE]],HISTORICO,10,0),0)</f>
        <v>0</v>
      </c>
      <c r="EN299" s="76">
        <f>+IFERROR(VLOOKUP(Tabla1[[#This Row],[COD SE]],HISTORICO,11,0),0)</f>
        <v>0</v>
      </c>
      <c r="EO299" s="76">
        <f>+IFERROR(VLOOKUP(Tabla1[[#This Row],[COD SE]],HISTORICO,12,0),0)</f>
        <v>0</v>
      </c>
      <c r="EP299" s="58">
        <f>+SUM(Tabla1[[#This Row],[EJECUTADO 01]:[EJECUTADO 03]])</f>
        <v>0</v>
      </c>
      <c r="EQ299" s="58">
        <f>+SUM(Tabla1[[#This Row],[EJECUTADO 04]:[EJECUTADO 06]])</f>
        <v>0</v>
      </c>
      <c r="ER299" s="58">
        <f>+SUM(Tabla1[[#This Row],[EJECUTADO 07]:[EJECUTADO 09]])</f>
        <v>0</v>
      </c>
      <c r="ES299" s="58">
        <f>+SUM(Tabla1[[#This Row],[PF OCTUBRE]:[PF DICIEMBRE
]])</f>
        <v>0</v>
      </c>
      <c r="ET299" s="58">
        <f>+SUM(Tabla1[[#This Row],[EJECUTADO 01]:[EJECUTADO 09]])</f>
        <v>0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2067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2068</v>
      </c>
      <c r="P300" s="369" t="s">
        <v>2032</v>
      </c>
      <c r="Q300" s="369">
        <v>31</v>
      </c>
      <c r="R300" s="369">
        <v>0</v>
      </c>
      <c r="S300" s="369">
        <v>0</v>
      </c>
      <c r="T300" s="369">
        <v>0</v>
      </c>
      <c r="U300" s="369">
        <v>16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1657</v>
      </c>
      <c r="AE300" s="369" t="s">
        <v>1660</v>
      </c>
      <c r="AF300" s="369" t="s">
        <v>1661</v>
      </c>
      <c r="AG300" s="369" t="s">
        <v>1663</v>
      </c>
      <c r="AH300" s="369">
        <v>783763</v>
      </c>
      <c r="AI300" s="369">
        <v>-345909</v>
      </c>
      <c r="AJ300" s="369">
        <v>437854</v>
      </c>
      <c r="AK300" s="370">
        <v>260531.94</v>
      </c>
      <c r="AL300" s="370">
        <v>260531.94</v>
      </c>
      <c r="AM300" s="370">
        <v>42600</v>
      </c>
      <c r="AN300" s="370">
        <v>42600</v>
      </c>
      <c r="AO300" s="370">
        <v>42568.23</v>
      </c>
      <c r="AP300" s="370">
        <v>38163.71</v>
      </c>
      <c r="AQ300" s="370">
        <v>18300</v>
      </c>
      <c r="AR300" s="370">
        <v>30800</v>
      </c>
      <c r="AS300" s="370">
        <v>21800</v>
      </c>
      <c r="AT300" s="370">
        <v>23700</v>
      </c>
      <c r="AU300" s="370">
        <v>0</v>
      </c>
      <c r="AV300" s="370">
        <v>0</v>
      </c>
      <c r="AW300" s="370">
        <v>0</v>
      </c>
      <c r="AX300" s="370">
        <v>0</v>
      </c>
      <c r="AY300" s="370">
        <v>42600</v>
      </c>
      <c r="AZ300" s="370">
        <v>42600</v>
      </c>
      <c r="BA300" s="370">
        <v>42568.23</v>
      </c>
      <c r="BB300" s="370">
        <v>42600</v>
      </c>
      <c r="BC300" s="370">
        <v>14267.71</v>
      </c>
      <c r="BD300" s="370">
        <v>30800</v>
      </c>
      <c r="BE300" s="370">
        <v>20782.29</v>
      </c>
      <c r="BF300" s="370">
        <v>23700</v>
      </c>
      <c r="BG300" s="370">
        <v>0</v>
      </c>
      <c r="BH300" s="370">
        <v>0</v>
      </c>
      <c r="BI300" s="370">
        <v>0</v>
      </c>
      <c r="BJ300" s="370">
        <v>0</v>
      </c>
      <c r="BK300" s="370">
        <v>42478.5</v>
      </c>
      <c r="BL300" s="370">
        <v>42721.5</v>
      </c>
      <c r="BM300" s="370">
        <v>42568.23</v>
      </c>
      <c r="BN300" s="370">
        <v>37413.410000000003</v>
      </c>
      <c r="BO300" s="370">
        <v>18840.59</v>
      </c>
      <c r="BP300" s="370">
        <v>30800</v>
      </c>
      <c r="BQ300" s="370">
        <v>21396</v>
      </c>
      <c r="BR300" s="370">
        <v>23700</v>
      </c>
      <c r="BS300" s="370">
        <v>0</v>
      </c>
      <c r="BT300" s="370">
        <v>0</v>
      </c>
      <c r="BU300" s="370">
        <v>0</v>
      </c>
      <c r="BV300" s="370">
        <v>0</v>
      </c>
      <c r="BW300" s="370">
        <v>42600</v>
      </c>
      <c r="BX300" s="370">
        <v>42600</v>
      </c>
      <c r="BY300" s="370">
        <v>42568.23</v>
      </c>
      <c r="BZ300" s="370">
        <v>41986.29</v>
      </c>
      <c r="CA300" s="370">
        <v>18300</v>
      </c>
      <c r="CB300" s="370">
        <v>30800</v>
      </c>
      <c r="CC300" s="370">
        <v>21800</v>
      </c>
      <c r="CD300" s="370">
        <v>23700</v>
      </c>
      <c r="CE300" s="370">
        <v>0</v>
      </c>
      <c r="CF300" s="370">
        <v>0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1990</v>
      </c>
      <c r="CL300" s="48" t="s">
        <v>2010</v>
      </c>
      <c r="CM300" s="48" t="s">
        <v>1990</v>
      </c>
      <c r="CN300" s="48" t="s">
        <v>1987</v>
      </c>
      <c r="CO300" s="10" t="str">
        <f t="shared" si="96"/>
        <v>2.1.1.13.1.2</v>
      </c>
      <c r="CP300" s="10" t="str">
        <f>+VLOOKUP(Tabla1[[#This Row],[ESPECÍFICA]],CLASIFICADOR_,2,0)</f>
        <v>2.1.1.13.1.2 - CONTRATO ADMINISTRATIVO DE SERVICIOS - TRANSITORIO</v>
      </c>
      <c r="CQ300" s="10" t="str">
        <f>+VLOOKUP(Tabla1[[#This Row],[ESPECÍFICA]],CLASIFICADOR_,3,0)</f>
        <v>01.CAS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6"/>
        <v>0016-DETN</v>
      </c>
      <c r="CY300" s="5" t="str">
        <f t="shared" si="63"/>
        <v>0016-DETN (EX DAMER)</v>
      </c>
      <c r="CZ300" t="str">
        <f t="shared" si="87"/>
        <v>0016-DETN</v>
      </c>
      <c r="DA300" s="113" t="str">
        <f>+CONCATENATE(Tabla1[[#This Row],[CC COMPLETO]],Tabla1[[#This Row],[ESPECÍFICA]])</f>
        <v>0016-DETN2.1.1.13.1.2</v>
      </c>
      <c r="DB300" s="11">
        <f t="shared" si="97"/>
        <v>260531.94</v>
      </c>
      <c r="DC300" s="11">
        <f t="shared" si="98"/>
        <v>259918.23</v>
      </c>
      <c r="DD300" s="11">
        <f t="shared" si="99"/>
        <v>259918.23</v>
      </c>
      <c r="DE300" s="11">
        <f t="shared" si="100"/>
        <v>177322.06</v>
      </c>
      <c r="DF300" s="11">
        <f t="shared" si="101"/>
        <v>0</v>
      </c>
      <c r="DG300" s="11">
        <f t="shared" si="102"/>
        <v>613.70999999999185</v>
      </c>
      <c r="DH300" s="11">
        <f t="shared" si="103"/>
        <v>177935.77</v>
      </c>
      <c r="DI300" s="12">
        <f t="shared" si="104"/>
        <v>0.33162860456541071</v>
      </c>
      <c r="DJ300" s="77">
        <f>+SUM(Tabla1[[#This Row],[EJECUTADO 01]:[EJECUTADO 06]])</f>
        <v>215435.94</v>
      </c>
      <c r="DK300" s="77">
        <f>+Tabla1[[#This Row],[mto_devenga_01]]</f>
        <v>42600</v>
      </c>
      <c r="DL300" s="285">
        <f>+Tabla1[[#This Row],[mto_devenga_02]]</f>
        <v>42600</v>
      </c>
      <c r="DM300" s="285">
        <f>+Tabla1[[#This Row],[mto_devenga_03]]</f>
        <v>42568.23</v>
      </c>
      <c r="DN300" s="286">
        <f>+Tabla1[[#This Row],[mto_devenga_04]]</f>
        <v>42600</v>
      </c>
      <c r="DO300" s="285">
        <f>+Tabla1[[#This Row],[mto_devenga_05]]</f>
        <v>14267.71</v>
      </c>
      <c r="DP300" s="76">
        <f>+Tabla1[[#This Row],[mto_devenga_06]]</f>
        <v>30800</v>
      </c>
      <c r="DQ300" s="76">
        <f>+Tabla1[[#This Row],[mto_devenga_07]]</f>
        <v>20782.29</v>
      </c>
      <c r="DR300" s="76">
        <f>+Tabla1[[#This Row],[mto_devenga_08]]</f>
        <v>23700</v>
      </c>
      <c r="DS300" s="76">
        <f>+Tabla1[[#This Row],[mto_devenga_09]]</f>
        <v>0</v>
      </c>
      <c r="DT300" s="76">
        <f>IFERROR(VLOOKUP(Tabla1[[#This Row],[COD SE]],PF_OCTUBRE,14,0),"0")</f>
        <v>0</v>
      </c>
      <c r="DU300" s="76">
        <f>IFERROR(VLOOKUP(Tabla1[[#This Row],[COD SE]],PF_OCTUBRE,15,0),"0")</f>
        <v>0</v>
      </c>
      <c r="DV300" s="76">
        <f>IFERROR(VLOOKUP(Tabla1[[#This Row],[COD SE]],PF_OCTUBRE,16,0),"0")</f>
        <v>0</v>
      </c>
      <c r="DW300" s="76">
        <f>+SUM(Tabla1[[#This Row],[EJECUTADO 01]:[PF DICIEMBRE
]])</f>
        <v>259918.23</v>
      </c>
      <c r="DX300" s="76">
        <f>IFERROR(VLOOKUP(Tabla1[[#This Row],[COD SE]],PF_OCTUBRE,18,0),"0")</f>
        <v>0</v>
      </c>
      <c r="DY300" s="76">
        <f>IFERROR(VLOOKUP(Tabla1[[#This Row],[COD SE]],PF_OCTUBRE,19,0),"0")</f>
        <v>154915.76999999999</v>
      </c>
      <c r="DZ300" s="76">
        <f>IFERROR(VLOOKUP(Tabla1[[#This Row],[COD SE]],PF_OCTUBRE,20,0),"0")</f>
        <v>154915.76999999999</v>
      </c>
      <c r="EA300" s="76">
        <f>+Tabla1[[#This Row],[TOTAL EJEC REAL]]+Tabla1[[#This Row],[SALDO FINAL]]</f>
        <v>414834</v>
      </c>
      <c r="EB300" s="76">
        <f>IFERROR(VLOOKUP(Tabla1[[#This Row],[COD SE]],PF_OCTUBRE,22,0),"0")</f>
        <v>154915.76999999999</v>
      </c>
      <c r="EC300" s="76">
        <f>+IFERROR(VLOOKUP(Tabla1[[#This Row],[COD SE]],SALDO_ESC_2,7,0),0)</f>
        <v>0</v>
      </c>
      <c r="ED300" s="76">
        <f>+IFERROR(VLOOKUP(Tabla1[[#This Row],[COD SE]],SALDO_ESC_3,7,0),0)</f>
        <v>154915.76999999999</v>
      </c>
      <c r="EE300" s="76">
        <f>+Tabla1[[#This Row],[mto_pim]]-Tabla1[[#This Row],[TRANSF ESC2 ]]</f>
        <v>437854</v>
      </c>
      <c r="EF300" s="76">
        <f>+Tabla1[[#This Row],[mto_pim]]-Tabla1[[#This Row],[TRANFS ESC 3 ]]</f>
        <v>282938.23</v>
      </c>
      <c r="EG300" s="76">
        <f>+IFERROR(VLOOKUP(Tabla1[[#This Row],[COD SE]],HISTORICO,4,0),0)</f>
        <v>70549.33</v>
      </c>
      <c r="EH300" s="76">
        <f>+IFERROR(VLOOKUP(Tabla1[[#This Row],[COD SE]],HISTORICO,5,0),0)</f>
        <v>43056.76</v>
      </c>
      <c r="EI300" s="76">
        <f>+IFERROR(VLOOKUP(Tabla1[[#This Row],[COD SE]],HISTORICO,6,0),0)</f>
        <v>70549.33</v>
      </c>
      <c r="EJ300" s="76">
        <f>+IFERROR(VLOOKUP(Tabla1[[#This Row],[COD SE]],HISTORICO,7,0),0)</f>
        <v>43056.76</v>
      </c>
      <c r="EK300" s="76">
        <f>+IFERROR(VLOOKUP(Tabla1[[#This Row],[COD SE]],HISTORICO,8,0),0)</f>
        <v>18528.38</v>
      </c>
      <c r="EL300" s="76">
        <f>+IFERROR(VLOOKUP(Tabla1[[#This Row],[COD SE]],HISTORICO,9,0),0)</f>
        <v>33792.57</v>
      </c>
      <c r="EM300" s="76">
        <f>+IFERROR(VLOOKUP(Tabla1[[#This Row],[COD SE]],HISTORICO,10,0),0)</f>
        <v>18528.38</v>
      </c>
      <c r="EN300" s="76">
        <f>+IFERROR(VLOOKUP(Tabla1[[#This Row],[COD SE]],HISTORICO,11,0),0)</f>
        <v>26028.380000000005</v>
      </c>
      <c r="EO300" s="76">
        <f>+IFERROR(VLOOKUP(Tabla1[[#This Row],[COD SE]],HISTORICO,12,0),0)</f>
        <v>0</v>
      </c>
      <c r="EP300" s="58">
        <f>+SUM(Tabla1[[#This Row],[EJECUTADO 01]:[EJECUTADO 03]])</f>
        <v>127768.23000000001</v>
      </c>
      <c r="EQ300" s="58">
        <f>+SUM(Tabla1[[#This Row],[EJECUTADO 04]:[EJECUTADO 06]])</f>
        <v>87667.709999999992</v>
      </c>
      <c r="ER300" s="58">
        <f>+SUM(Tabla1[[#This Row],[EJECUTADO 07]:[EJECUTADO 09]])</f>
        <v>44482.29</v>
      </c>
      <c r="ES300" s="58">
        <f>+SUM(Tabla1[[#This Row],[PF OCTUBRE]:[PF DICIEMBRE
]])</f>
        <v>0</v>
      </c>
      <c r="ET300" s="58">
        <f>+SUM(Tabla1[[#This Row],[EJECUTADO 01]:[EJECUTADO 09]])</f>
        <v>259918.23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1668</v>
      </c>
      <c r="AE301" s="369" t="s">
        <v>1669</v>
      </c>
      <c r="AF301" s="369" t="s">
        <v>1669</v>
      </c>
      <c r="AG301" s="369" t="s">
        <v>1671</v>
      </c>
      <c r="AH301" s="369">
        <v>0</v>
      </c>
      <c r="AI301" s="369">
        <v>4334</v>
      </c>
      <c r="AJ301" s="369">
        <v>4334</v>
      </c>
      <c r="AK301" s="370">
        <v>4334</v>
      </c>
      <c r="AL301" s="370">
        <v>4334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1300.08</v>
      </c>
      <c r="AV301" s="370">
        <v>1300.08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1300.08</v>
      </c>
      <c r="BH301" s="370">
        <v>1300.08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1300.08</v>
      </c>
      <c r="BT301" s="370">
        <v>1300.08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1300.08</v>
      </c>
      <c r="CF301" s="370">
        <v>1300.08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1991</v>
      </c>
      <c r="CL301" s="48" t="s">
        <v>1990</v>
      </c>
      <c r="CM301" s="48" t="s">
        <v>1990</v>
      </c>
      <c r="CN301" s="48" t="s">
        <v>2014</v>
      </c>
      <c r="CO301" s="10" t="str">
        <f t="shared" si="96"/>
        <v>2.1.3.1.1.15</v>
      </c>
      <c r="CP301" s="10" t="str">
        <f>+VLOOKUP(Tabla1[[#This Row],[ESPECÍFICA]],CLASIFICADOR_,2,0)</f>
        <v>2.1.3.1.1.15 - CONTRIBUCIONES A ESSALUD DE CONTRATO ADMINISTRATIVO DE SERVICIOS</v>
      </c>
      <c r="CQ301" s="10" t="str">
        <f>+VLOOKUP(Tabla1[[#This Row],[ESPECÍFICA]],CLASIFICADOR_,3,0)</f>
        <v>01.CAS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6"/>
        <v>0020-DETN</v>
      </c>
      <c r="CY301" s="5" t="str">
        <f t="shared" si="63"/>
        <v>0020-DETN (INF ESTRAT)</v>
      </c>
      <c r="CZ301">
        <f t="shared" si="87"/>
        <v>0</v>
      </c>
      <c r="DA301" s="113" t="str">
        <f>+CONCATENATE(Tabla1[[#This Row],[CC COMPLETO]],Tabla1[[#This Row],[ESPECÍFICA]])</f>
        <v>0020-DETN2.1.3.1.1.15</v>
      </c>
      <c r="DB301" s="11">
        <f t="shared" si="97"/>
        <v>2600.16</v>
      </c>
      <c r="DC301" s="11">
        <f t="shared" si="98"/>
        <v>2600.16</v>
      </c>
      <c r="DD301" s="11">
        <f t="shared" si="99"/>
        <v>2600.16</v>
      </c>
      <c r="DE301" s="11">
        <f t="shared" si="100"/>
        <v>0</v>
      </c>
      <c r="DF301" s="11">
        <f t="shared" si="101"/>
        <v>0</v>
      </c>
      <c r="DG301" s="11">
        <f t="shared" si="102"/>
        <v>1733.8400000000001</v>
      </c>
      <c r="DH301" s="11">
        <f t="shared" si="103"/>
        <v>1733.8400000000001</v>
      </c>
      <c r="DI301" s="12">
        <f t="shared" si="104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1300.08</v>
      </c>
      <c r="DT301" s="76">
        <f>IFERROR(VLOOKUP(Tabla1[[#This Row],[COD SE]],PF_OCTUBRE,14,0),"0")</f>
        <v>1300.0800000000002</v>
      </c>
      <c r="DU301" s="76">
        <f>IFERROR(VLOOKUP(Tabla1[[#This Row],[COD SE]],PF_OCTUBRE,15,0),"0")</f>
        <v>1300.0800000000002</v>
      </c>
      <c r="DV301" s="76">
        <f>IFERROR(VLOOKUP(Tabla1[[#This Row],[COD SE]],PF_OCTUBRE,16,0),"0")</f>
        <v>0</v>
      </c>
      <c r="DW301" s="76">
        <f>+SUM(Tabla1[[#This Row],[EJECUTADO 01]:[PF DICIEMBRE
]])</f>
        <v>3900.24</v>
      </c>
      <c r="DX301" s="76">
        <f>IFERROR(VLOOKUP(Tabla1[[#This Row],[COD SE]],PF_OCTUBRE,18,0),"0")</f>
        <v>0</v>
      </c>
      <c r="DY301" s="76">
        <f>IFERROR(VLOOKUP(Tabla1[[#This Row],[COD SE]],PF_OCTUBRE,19,0),"0")</f>
        <v>433.76</v>
      </c>
      <c r="DZ301" s="76">
        <f>IFERROR(VLOOKUP(Tabla1[[#This Row],[COD SE]],PF_OCTUBRE,20,0),"0")</f>
        <v>433.76</v>
      </c>
      <c r="EA301" s="76">
        <f>+Tabla1[[#This Row],[TOTAL EJEC REAL]]+Tabla1[[#This Row],[SALDO FINAL]]</f>
        <v>4334</v>
      </c>
      <c r="EB301" s="76">
        <f>IFERROR(VLOOKUP(Tabla1[[#This Row],[COD SE]],PF_OCTUBRE,22,0),"0")</f>
        <v>433.76</v>
      </c>
      <c r="EC301" s="76">
        <f>+IFERROR(VLOOKUP(Tabla1[[#This Row],[COD SE]],SALDO_ESC_2,7,0),0)</f>
        <v>0</v>
      </c>
      <c r="ED301" s="76">
        <f>+IFERROR(VLOOKUP(Tabla1[[#This Row],[COD SE]],SALDO_ESC_3,7,0),0)</f>
        <v>433.76</v>
      </c>
      <c r="EE301" s="76">
        <f>+Tabla1[[#This Row],[mto_pim]]-Tabla1[[#This Row],[TRANSF ESC2 ]]</f>
        <v>4334</v>
      </c>
      <c r="EF301" s="76">
        <f>+Tabla1[[#This Row],[mto_pim]]-Tabla1[[#This Row],[TRANFS ESC 3 ]]</f>
        <v>3900.24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1516.7600000000002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1300.08</v>
      </c>
      <c r="ES301" s="58">
        <f>+SUM(Tabla1[[#This Row],[PF OCTUBRE]:[PF DICIEMBRE
]])</f>
        <v>2600.1600000000003</v>
      </c>
      <c r="ET301" s="58">
        <f>+SUM(Tabla1[[#This Row],[EJECUTADO 01]:[EJECUTADO 09]])</f>
        <v>1300.08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1657</v>
      </c>
      <c r="AE302" s="369" t="s">
        <v>1660</v>
      </c>
      <c r="AF302" s="369" t="s">
        <v>1661</v>
      </c>
      <c r="AG302" s="369" t="s">
        <v>1662</v>
      </c>
      <c r="AH302" s="369">
        <v>0</v>
      </c>
      <c r="AI302" s="369">
        <v>126228</v>
      </c>
      <c r="AJ302" s="369">
        <v>126228</v>
      </c>
      <c r="AK302" s="370">
        <v>126228</v>
      </c>
      <c r="AL302" s="370">
        <v>126228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31380.38</v>
      </c>
      <c r="AV302" s="370">
        <v>31413.34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31380.38</v>
      </c>
      <c r="BH302" s="370">
        <v>31413.34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31380.38</v>
      </c>
      <c r="BT302" s="370">
        <v>27603.25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31380.38</v>
      </c>
      <c r="CF302" s="370">
        <v>27603.25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1990</v>
      </c>
      <c r="CL302" s="48" t="s">
        <v>2010</v>
      </c>
      <c r="CM302" s="48" t="s">
        <v>1990</v>
      </c>
      <c r="CN302" s="48" t="s">
        <v>1990</v>
      </c>
      <c r="CO302" s="10" t="str">
        <f t="shared" si="96"/>
        <v>2.1.1.13.1.1</v>
      </c>
      <c r="CP302" s="10" t="str">
        <f>+VLOOKUP(Tabla1[[#This Row],[ESPECÍFICA]],CLASIFICADOR_,2,0)</f>
        <v>2.1.1.13.1.1 - CONTRATO ADMINISTRATIVO DE SERVICIOS - INDETERMINADO</v>
      </c>
      <c r="CQ302" s="10" t="str">
        <f>+VLOOKUP(Tabla1[[#This Row],[ESPECÍFICA]],CLASIFICADOR_,3,0)</f>
        <v>01.CAS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6"/>
        <v>0020-DETN</v>
      </c>
      <c r="CY302" s="5" t="str">
        <f t="shared" si="63"/>
        <v>0020-DETN (INF ESTRAT)</v>
      </c>
      <c r="CZ302">
        <f t="shared" si="87"/>
        <v>0</v>
      </c>
      <c r="DA302" s="113" t="str">
        <f>+CONCATENATE(Tabla1[[#This Row],[CC COMPLETO]],Tabla1[[#This Row],[ESPECÍFICA]])</f>
        <v>0020-DETN2.1.1.13.1.1</v>
      </c>
      <c r="DB302" s="11">
        <f t="shared" si="97"/>
        <v>62793.72</v>
      </c>
      <c r="DC302" s="11">
        <f t="shared" si="98"/>
        <v>62793.72</v>
      </c>
      <c r="DD302" s="11">
        <f t="shared" si="99"/>
        <v>58983.630000000005</v>
      </c>
      <c r="DE302" s="11">
        <f t="shared" si="100"/>
        <v>0</v>
      </c>
      <c r="DF302" s="11">
        <f t="shared" si="101"/>
        <v>0</v>
      </c>
      <c r="DG302" s="11">
        <f t="shared" si="102"/>
        <v>63434.28</v>
      </c>
      <c r="DH302" s="11">
        <f t="shared" si="103"/>
        <v>63434.28</v>
      </c>
      <c r="DI302" s="12">
        <f t="shared" si="104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31380.38</v>
      </c>
      <c r="DT302" s="76">
        <f>IFERROR(VLOOKUP(Tabla1[[#This Row],[COD SE]],PF_OCTUBRE,14,0),"0")</f>
        <v>31556.76</v>
      </c>
      <c r="DU302" s="76">
        <f>IFERROR(VLOOKUP(Tabla1[[#This Row],[COD SE]],PF_OCTUBRE,15,0),"0")</f>
        <v>31556.76</v>
      </c>
      <c r="DV302" s="76">
        <f>IFERROR(VLOOKUP(Tabla1[[#This Row],[COD SE]],PF_OCTUBRE,16,0),"0")</f>
        <v>31556.76</v>
      </c>
      <c r="DW302" s="76">
        <f>+SUM(Tabla1[[#This Row],[EJECUTADO 01]:[PF DICIEMBRE
]])</f>
        <v>126050.65999999999</v>
      </c>
      <c r="DX302" s="76">
        <f>IFERROR(VLOOKUP(Tabla1[[#This Row],[COD SE]],PF_OCTUBRE,18,0),"0")</f>
        <v>0</v>
      </c>
      <c r="DY302" s="76">
        <f>IFERROR(VLOOKUP(Tabla1[[#This Row],[COD SE]],PF_OCTUBRE,19,0),"0")</f>
        <v>177.33999999999833</v>
      </c>
      <c r="DZ302" s="76">
        <f>IFERROR(VLOOKUP(Tabla1[[#This Row],[COD SE]],PF_OCTUBRE,20,0),"0")</f>
        <v>177.33999999999833</v>
      </c>
      <c r="EA302" s="76">
        <f>+Tabla1[[#This Row],[TOTAL EJEC REAL]]+Tabla1[[#This Row],[SALDO FINAL]]</f>
        <v>126227.99999999999</v>
      </c>
      <c r="EB302" s="76">
        <f>IFERROR(VLOOKUP(Tabla1[[#This Row],[COD SE]],PF_OCTUBRE,22,0),"0")</f>
        <v>31734.1</v>
      </c>
      <c r="EC302" s="76">
        <f>+IFERROR(VLOOKUP(Tabla1[[#This Row],[COD SE]],SALDO_ESC_2,7,0),0)</f>
        <v>0</v>
      </c>
      <c r="ED302" s="76">
        <f>+IFERROR(VLOOKUP(Tabla1[[#This Row],[COD SE]],SALDO_ESC_3,7,0),0)</f>
        <v>177.33999999999833</v>
      </c>
      <c r="EE302" s="76">
        <f>+Tabla1[[#This Row],[mto_pim]]-Tabla1[[#This Row],[TRANSF ESC2 ]]</f>
        <v>126228</v>
      </c>
      <c r="EF302" s="76">
        <f>+Tabla1[[#This Row],[mto_pim]]-Tabla1[[#This Row],[TRANFS ESC 3 ]]</f>
        <v>126050.66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31556.76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31380.38</v>
      </c>
      <c r="ES302" s="58">
        <f>+SUM(Tabla1[[#This Row],[PF OCTUBRE]:[PF DICIEMBRE
]])</f>
        <v>94670.28</v>
      </c>
      <c r="ET302" s="58">
        <f>+SUM(Tabla1[[#This Row],[EJECUTADO 01]:[EJECUTADO 09]])</f>
        <v>31380.38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1657</v>
      </c>
      <c r="AE303" s="369" t="s">
        <v>1664</v>
      </c>
      <c r="AF303" s="369" t="s">
        <v>1665</v>
      </c>
      <c r="AG303" s="369" t="s">
        <v>1667</v>
      </c>
      <c r="AH303" s="369">
        <v>0</v>
      </c>
      <c r="AI303" s="369">
        <v>2100</v>
      </c>
      <c r="AJ303" s="369">
        <v>2100</v>
      </c>
      <c r="AK303" s="370">
        <v>2100</v>
      </c>
      <c r="AL303" s="370">
        <v>2100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0</v>
      </c>
      <c r="AV303" s="370">
        <v>0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0</v>
      </c>
      <c r="BH303" s="370">
        <v>0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0</v>
      </c>
      <c r="BT303" s="370">
        <v>0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0</v>
      </c>
      <c r="CF303" s="370">
        <v>0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1990</v>
      </c>
      <c r="CL303" s="48" t="s">
        <v>2005</v>
      </c>
      <c r="CM303" s="48" t="s">
        <v>1990</v>
      </c>
      <c r="CN303" s="48" t="s">
        <v>1993</v>
      </c>
      <c r="CO303" s="10" t="str">
        <f t="shared" si="96"/>
        <v>2.1.1.9.1.4</v>
      </c>
      <c r="CP303" s="10" t="str">
        <f>+VLOOKUP(Tabla1[[#This Row],[ESPECÍFICA]],CLASIFICADOR_,2,0)</f>
        <v>2.1.1.9.1.4 - AGUINALDOS DE CONTRATO ADMINISTRATIVO DE SERVICIOS</v>
      </c>
      <c r="CQ303" s="10" t="str">
        <f>+VLOOKUP(Tabla1[[#This Row],[ESPECÍFICA]],CLASIFICADOR_,3,0)</f>
        <v>01.CAS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6"/>
        <v>0020-DETN</v>
      </c>
      <c r="CY303" s="5" t="str">
        <f t="shared" si="63"/>
        <v>0020-DETN (INF ESTRAT)</v>
      </c>
      <c r="CZ303">
        <f t="shared" si="87"/>
        <v>0</v>
      </c>
      <c r="DA303" s="113" t="str">
        <f>+CONCATENATE(Tabla1[[#This Row],[CC COMPLETO]],Tabla1[[#This Row],[ESPECÍFICA]])</f>
        <v>0020-DETN2.1.1.9.1.4</v>
      </c>
      <c r="DB303" s="11">
        <f t="shared" si="97"/>
        <v>0</v>
      </c>
      <c r="DC303" s="11">
        <f t="shared" si="98"/>
        <v>0</v>
      </c>
      <c r="DD303" s="11">
        <f t="shared" si="99"/>
        <v>0</v>
      </c>
      <c r="DE303" s="11">
        <f t="shared" si="100"/>
        <v>0</v>
      </c>
      <c r="DF303" s="11">
        <f t="shared" si="101"/>
        <v>0</v>
      </c>
      <c r="DG303" s="11">
        <f t="shared" si="102"/>
        <v>2100</v>
      </c>
      <c r="DH303" s="11">
        <f t="shared" si="103"/>
        <v>2100</v>
      </c>
      <c r="DI303" s="12">
        <f t="shared" si="104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0</v>
      </c>
      <c r="DT303" s="76">
        <f>IFERROR(VLOOKUP(Tabla1[[#This Row],[COD SE]],PF_OCTUBRE,14,0),"0")</f>
        <v>0</v>
      </c>
      <c r="DU303" s="76">
        <f>IFERROR(VLOOKUP(Tabla1[[#This Row],[COD SE]],PF_OCTUBRE,15,0),"0")</f>
        <v>0</v>
      </c>
      <c r="DV303" s="76">
        <f>IFERROR(VLOOKUP(Tabla1[[#This Row],[COD SE]],PF_OCTUBRE,16,0),"0")</f>
        <v>0</v>
      </c>
      <c r="DW303" s="76">
        <f>+SUM(Tabla1[[#This Row],[EJECUTADO 01]:[PF DICIEMBRE
]])</f>
        <v>0</v>
      </c>
      <c r="DX303" s="76">
        <f>IFERROR(VLOOKUP(Tabla1[[#This Row],[COD SE]],PF_OCTUBRE,18,0),"0")</f>
        <v>0</v>
      </c>
      <c r="DY303" s="76">
        <f>IFERROR(VLOOKUP(Tabla1[[#This Row],[COD SE]],PF_OCTUBRE,19,0),"0")</f>
        <v>2100</v>
      </c>
      <c r="DZ303" s="76">
        <f>IFERROR(VLOOKUP(Tabla1[[#This Row],[COD SE]],PF_OCTUBRE,20,0),"0")</f>
        <v>2100</v>
      </c>
      <c r="EA303" s="76">
        <f>+Tabla1[[#This Row],[TOTAL EJEC REAL]]+Tabla1[[#This Row],[SALDO FINAL]]</f>
        <v>2100</v>
      </c>
      <c r="EB303" s="76">
        <f>IFERROR(VLOOKUP(Tabla1[[#This Row],[COD SE]],PF_OCTUBRE,22,0),"0")</f>
        <v>2100</v>
      </c>
      <c r="EC303" s="76">
        <f>+IFERROR(VLOOKUP(Tabla1[[#This Row],[COD SE]],SALDO_ESC_2,7,0),0)</f>
        <v>0</v>
      </c>
      <c r="ED303" s="76">
        <f>+IFERROR(VLOOKUP(Tabla1[[#This Row],[COD SE]],SALDO_ESC_3,7,0),0)</f>
        <v>2100</v>
      </c>
      <c r="EE303" s="76">
        <f>+Tabla1[[#This Row],[mto_pim]]-Tabla1[[#This Row],[TRANSF ESC2 ]]</f>
        <v>2100</v>
      </c>
      <c r="EF303" s="76">
        <f>+Tabla1[[#This Row],[mto_pim]]-Tabla1[[#This Row],[TRANFS ESC 3 ]]</f>
        <v>0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0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0</v>
      </c>
      <c r="ES303" s="58">
        <f>+SUM(Tabla1[[#This Row],[PF OCTUBRE]:[PF DICIEMBRE
]])</f>
        <v>0</v>
      </c>
      <c r="ET303" s="58">
        <f>+SUM(Tabla1[[#This Row],[EJECUTADO 01]:[EJECUTADO 09]])</f>
        <v>0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1657</v>
      </c>
      <c r="AE304" s="369" t="s">
        <v>1660</v>
      </c>
      <c r="AF304" s="369" t="s">
        <v>1661</v>
      </c>
      <c r="AG304" s="369" t="s">
        <v>1663</v>
      </c>
      <c r="AH304" s="369">
        <v>0</v>
      </c>
      <c r="AI304" s="369">
        <v>84600</v>
      </c>
      <c r="AJ304" s="369">
        <v>84600</v>
      </c>
      <c r="AK304" s="370">
        <v>84600</v>
      </c>
      <c r="AL304" s="370">
        <v>84600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18085</v>
      </c>
      <c r="AV304" s="370">
        <v>18021.87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18085</v>
      </c>
      <c r="BH304" s="370">
        <v>18021.87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18085</v>
      </c>
      <c r="BT304" s="370">
        <v>15830.95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18085</v>
      </c>
      <c r="CF304" s="370">
        <v>15830.95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1990</v>
      </c>
      <c r="CL304" s="48" t="s">
        <v>2010</v>
      </c>
      <c r="CM304" s="48" t="s">
        <v>1990</v>
      </c>
      <c r="CN304" s="48" t="s">
        <v>1987</v>
      </c>
      <c r="CO304" s="10" t="str">
        <f t="shared" si="96"/>
        <v>2.1.1.13.1.2</v>
      </c>
      <c r="CP304" s="10" t="str">
        <f>+VLOOKUP(Tabla1[[#This Row],[ESPECÍFICA]],CLASIFICADOR_,2,0)</f>
        <v>2.1.1.13.1.2 - CONTRATO ADMINISTRATIVO DE SERVICIOS - TRANSITORIO</v>
      </c>
      <c r="CQ304" s="10" t="str">
        <f>+VLOOKUP(Tabla1[[#This Row],[ESPECÍFICA]],CLASIFICADOR_,3,0)</f>
        <v>01.CAS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6"/>
        <v>0020-DETN</v>
      </c>
      <c r="CY304" s="5" t="str">
        <f t="shared" si="63"/>
        <v>0020-DETN (INF ESTRAT)</v>
      </c>
      <c r="CZ304">
        <f t="shared" si="87"/>
        <v>0</v>
      </c>
      <c r="DA304" s="113" t="str">
        <f>+CONCATENATE(Tabla1[[#This Row],[CC COMPLETO]],Tabla1[[#This Row],[ESPECÍFICA]])</f>
        <v>0020-DETN2.1.1.13.1.2</v>
      </c>
      <c r="DB304" s="11">
        <f t="shared" si="97"/>
        <v>36106.869999999995</v>
      </c>
      <c r="DC304" s="11">
        <f t="shared" si="98"/>
        <v>36106.869999999995</v>
      </c>
      <c r="DD304" s="11">
        <f t="shared" si="99"/>
        <v>33915.949999999997</v>
      </c>
      <c r="DE304" s="11">
        <f t="shared" si="100"/>
        <v>0</v>
      </c>
      <c r="DF304" s="11">
        <f t="shared" si="101"/>
        <v>0</v>
      </c>
      <c r="DG304" s="11">
        <f t="shared" si="102"/>
        <v>48493.130000000005</v>
      </c>
      <c r="DH304" s="11">
        <f t="shared" si="103"/>
        <v>48493.130000000005</v>
      </c>
      <c r="DI304" s="12">
        <f t="shared" si="104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18085</v>
      </c>
      <c r="DT304" s="76">
        <f>IFERROR(VLOOKUP(Tabla1[[#This Row],[COD SE]],PF_OCTUBRE,14,0),"0")</f>
        <v>18150</v>
      </c>
      <c r="DU304" s="76">
        <f>IFERROR(VLOOKUP(Tabla1[[#This Row],[COD SE]],PF_OCTUBRE,15,0),"0")</f>
        <v>24150</v>
      </c>
      <c r="DV304" s="76">
        <f>IFERROR(VLOOKUP(Tabla1[[#This Row],[COD SE]],PF_OCTUBRE,16,0),"0")</f>
        <v>24150</v>
      </c>
      <c r="DW304" s="76">
        <f>+SUM(Tabla1[[#This Row],[EJECUTADO 01]:[PF DICIEMBRE
]])</f>
        <v>84535</v>
      </c>
      <c r="DX304" s="76">
        <f>IFERROR(VLOOKUP(Tabla1[[#This Row],[COD SE]],PF_OCTUBRE,18,0),"0")</f>
        <v>0</v>
      </c>
      <c r="DY304" s="76">
        <f>IFERROR(VLOOKUP(Tabla1[[#This Row],[COD SE]],PF_OCTUBRE,19,0),"0")</f>
        <v>65</v>
      </c>
      <c r="DZ304" s="76">
        <f>IFERROR(VLOOKUP(Tabla1[[#This Row],[COD SE]],PF_OCTUBRE,20,0),"0")</f>
        <v>65</v>
      </c>
      <c r="EA304" s="76">
        <f>+Tabla1[[#This Row],[TOTAL EJEC REAL]]+Tabla1[[#This Row],[SALDO FINAL]]</f>
        <v>84600</v>
      </c>
      <c r="EB304" s="76">
        <f>IFERROR(VLOOKUP(Tabla1[[#This Row],[COD SE]],PF_OCTUBRE,22,0),"0")</f>
        <v>24215</v>
      </c>
      <c r="EC304" s="76">
        <f>+IFERROR(VLOOKUP(Tabla1[[#This Row],[COD SE]],SALDO_ESC_2,7,0),0)</f>
        <v>0</v>
      </c>
      <c r="ED304" s="76">
        <f>+IFERROR(VLOOKUP(Tabla1[[#This Row],[COD SE]],SALDO_ESC_3,7,0),0)</f>
        <v>65</v>
      </c>
      <c r="EE304" s="76">
        <f>+Tabla1[[#This Row],[mto_pim]]-Tabla1[[#This Row],[TRANSF ESC2 ]]</f>
        <v>84600</v>
      </c>
      <c r="EF304" s="76">
        <f>+Tabla1[[#This Row],[mto_pim]]-Tabla1[[#This Row],[TRANFS ESC 3 ]]</f>
        <v>84535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18150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18085</v>
      </c>
      <c r="ES304" s="58">
        <f>+SUM(Tabla1[[#This Row],[PF OCTUBRE]:[PF DICIEMBRE
]])</f>
        <v>66450</v>
      </c>
      <c r="ET304" s="58">
        <f>+SUM(Tabla1[[#This Row],[EJECUTADO 01]:[EJECUTADO 09]])</f>
        <v>18085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2006</v>
      </c>
      <c r="AE305" s="369" t="s">
        <v>2007</v>
      </c>
      <c r="AF305" s="369" t="s">
        <v>2007</v>
      </c>
      <c r="AG305" s="369" t="s">
        <v>2009</v>
      </c>
      <c r="AH305" s="369">
        <v>0</v>
      </c>
      <c r="AI305" s="369">
        <v>9353</v>
      </c>
      <c r="AJ305" s="369">
        <v>9353</v>
      </c>
      <c r="AK305" s="370">
        <v>9353</v>
      </c>
      <c r="AL305" s="370">
        <v>9353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0</v>
      </c>
      <c r="AV305" s="370">
        <v>0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0</v>
      </c>
      <c r="BH305" s="370">
        <v>0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0</v>
      </c>
      <c r="BT305" s="370">
        <v>0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0</v>
      </c>
      <c r="CF305" s="370">
        <v>0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1993</v>
      </c>
      <c r="CL305" s="48" t="s">
        <v>1990</v>
      </c>
      <c r="CM305" s="48" t="s">
        <v>1990</v>
      </c>
      <c r="CN305" s="48" t="s">
        <v>1990</v>
      </c>
      <c r="CO305" s="10" t="str">
        <f t="shared" si="96"/>
        <v>2.1.4.1.1.1</v>
      </c>
      <c r="CP305" s="10" t="str">
        <f>+VLOOKUP(Tabla1[[#This Row],[ESPECÍFICA]],CLASIFICADOR_,2,0)</f>
        <v>2.1.4.1.1.1 - COMPENSACION POR TIEMPO DE SERVICIOS DEL REGIMEN LABORAL PRIVADO Y REGIMEN DEL SERVICIO CIVIL</v>
      </c>
      <c r="CQ305" s="10" t="str">
        <f>+VLOOKUP(Tabla1[[#This Row],[ESPECÍFICA]],CLASIFICADOR_,3,0)</f>
        <v>02.SERVIR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6"/>
        <v>0020-DETN</v>
      </c>
      <c r="CY305" s="5" t="str">
        <f t="shared" si="63"/>
        <v>0020-DETN (INF ESTRAT)</v>
      </c>
      <c r="CZ305">
        <f t="shared" si="87"/>
        <v>0</v>
      </c>
      <c r="DA305" s="113" t="str">
        <f>+CONCATENATE(Tabla1[[#This Row],[CC COMPLETO]],Tabla1[[#This Row],[ESPECÍFICA]])</f>
        <v>0020-DETN2.1.4.1.1.1</v>
      </c>
      <c r="DB305" s="11">
        <f t="shared" si="97"/>
        <v>0</v>
      </c>
      <c r="DC305" s="11">
        <f t="shared" si="98"/>
        <v>0</v>
      </c>
      <c r="DD305" s="11">
        <f t="shared" si="99"/>
        <v>0</v>
      </c>
      <c r="DE305" s="11">
        <f t="shared" si="100"/>
        <v>0</v>
      </c>
      <c r="DF305" s="11">
        <f t="shared" si="101"/>
        <v>0</v>
      </c>
      <c r="DG305" s="11">
        <f t="shared" si="102"/>
        <v>9353</v>
      </c>
      <c r="DH305" s="11">
        <f t="shared" si="103"/>
        <v>9353</v>
      </c>
      <c r="DI305" s="12">
        <f t="shared" si="104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0</v>
      </c>
      <c r="DT305" s="76">
        <f>IFERROR(VLOOKUP(Tabla1[[#This Row],[COD SE]],PF_OCTUBRE,14,0),"0")</f>
        <v>0</v>
      </c>
      <c r="DU305" s="76">
        <f>IFERROR(VLOOKUP(Tabla1[[#This Row],[COD SE]],PF_OCTUBRE,15,0),"0")</f>
        <v>9353</v>
      </c>
      <c r="DV305" s="76">
        <f>IFERROR(VLOOKUP(Tabla1[[#This Row],[COD SE]],PF_OCTUBRE,16,0),"0")</f>
        <v>0</v>
      </c>
      <c r="DW305" s="76">
        <f>+SUM(Tabla1[[#This Row],[EJECUTADO 01]:[PF DICIEMBRE
]])</f>
        <v>9353</v>
      </c>
      <c r="DX305" s="76">
        <f>IFERROR(VLOOKUP(Tabla1[[#This Row],[COD SE]],PF_OCTUBRE,18,0),"0")</f>
        <v>0</v>
      </c>
      <c r="DY305" s="76">
        <f>IFERROR(VLOOKUP(Tabla1[[#This Row],[COD SE]],PF_OCTUBRE,19,0),"0")</f>
        <v>0</v>
      </c>
      <c r="DZ305" s="76">
        <f>IFERROR(VLOOKUP(Tabla1[[#This Row],[COD SE]],PF_OCTUBRE,20,0),"0")</f>
        <v>0</v>
      </c>
      <c r="EA305" s="76">
        <f>+Tabla1[[#This Row],[TOTAL EJEC REAL]]+Tabla1[[#This Row],[SALDO FINAL]]</f>
        <v>9353</v>
      </c>
      <c r="EB305" s="76">
        <f>IFERROR(VLOOKUP(Tabla1[[#This Row],[COD SE]],PF_OCTUBRE,22,0),"0")</f>
        <v>0</v>
      </c>
      <c r="EC305" s="76">
        <f>+IFERROR(VLOOKUP(Tabla1[[#This Row],[COD SE]],SALDO_ESC_2,7,0),0)</f>
        <v>0</v>
      </c>
      <c r="ED305" s="76">
        <f>+IFERROR(VLOOKUP(Tabla1[[#This Row],[COD SE]],SALDO_ESC_3,7,0),0)</f>
        <v>0</v>
      </c>
      <c r="EE305" s="76">
        <f>+Tabla1[[#This Row],[mto_pim]]-Tabla1[[#This Row],[TRANSF ESC2 ]]</f>
        <v>9353</v>
      </c>
      <c r="EF305" s="76">
        <f>+Tabla1[[#This Row],[mto_pim]]-Tabla1[[#This Row],[TRANFS ESC 3 ]]</f>
        <v>9353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0</v>
      </c>
      <c r="ES305" s="58">
        <f>+SUM(Tabla1[[#This Row],[PF OCTUBRE]:[PF DICIEMBRE
]])</f>
        <v>9353</v>
      </c>
      <c r="ET305" s="58">
        <f>+SUM(Tabla1[[#This Row],[EJECUTADO 01]:[EJECUTADO 09]])</f>
        <v>0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1657</v>
      </c>
      <c r="AE306" s="369" t="s">
        <v>1664</v>
      </c>
      <c r="AF306" s="369" t="s">
        <v>1665</v>
      </c>
      <c r="AG306" s="369" t="s">
        <v>1666</v>
      </c>
      <c r="AH306" s="369">
        <v>0</v>
      </c>
      <c r="AI306" s="369">
        <v>18707</v>
      </c>
      <c r="AJ306" s="369">
        <v>18707</v>
      </c>
      <c r="AK306" s="370">
        <v>18707</v>
      </c>
      <c r="AL306" s="370">
        <v>18707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0</v>
      </c>
      <c r="AV306" s="370">
        <v>0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0</v>
      </c>
      <c r="BH306" s="370">
        <v>0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0</v>
      </c>
      <c r="BT306" s="370">
        <v>0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0</v>
      </c>
      <c r="CF306" s="370">
        <v>0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1990</v>
      </c>
      <c r="CL306" s="48" t="s">
        <v>2005</v>
      </c>
      <c r="CM306" s="48" t="s">
        <v>1990</v>
      </c>
      <c r="CN306" s="48" t="s">
        <v>1987</v>
      </c>
      <c r="CO306" s="10" t="str">
        <f t="shared" si="96"/>
        <v>2.1.1.9.1.2</v>
      </c>
      <c r="CP306" s="10" t="str">
        <f>+VLOOKUP(Tabla1[[#This Row],[ESPECÍFICA]],CLASIFICADOR_,2,0)</f>
        <v>2.1.1.9.1.2 - AGUINALDOS</v>
      </c>
      <c r="CQ306" s="10" t="str">
        <f>+VLOOKUP(Tabla1[[#This Row],[ESPECÍFICA]],CLASIFICADOR_,3,0)</f>
        <v>02.SERVIR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6"/>
        <v>0020-DETN</v>
      </c>
      <c r="CY306" s="5" t="str">
        <f t="shared" si="63"/>
        <v>0020-DETN (INF ESTRAT)</v>
      </c>
      <c r="CZ306">
        <f t="shared" si="87"/>
        <v>0</v>
      </c>
      <c r="DA306" s="113" t="str">
        <f>+CONCATENATE(Tabla1[[#This Row],[CC COMPLETO]],Tabla1[[#This Row],[ESPECÍFICA]])</f>
        <v>0020-DETN2.1.1.9.1.2</v>
      </c>
      <c r="DB306" s="11">
        <f t="shared" si="97"/>
        <v>0</v>
      </c>
      <c r="DC306" s="11">
        <f t="shared" si="98"/>
        <v>0</v>
      </c>
      <c r="DD306" s="11">
        <f t="shared" si="99"/>
        <v>0</v>
      </c>
      <c r="DE306" s="11">
        <f t="shared" si="100"/>
        <v>0</v>
      </c>
      <c r="DF306" s="11">
        <f t="shared" si="101"/>
        <v>0</v>
      </c>
      <c r="DG306" s="11">
        <f t="shared" si="102"/>
        <v>18707</v>
      </c>
      <c r="DH306" s="11">
        <f t="shared" si="103"/>
        <v>18707</v>
      </c>
      <c r="DI306" s="12">
        <f t="shared" si="104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0</v>
      </c>
      <c r="DT306" s="76">
        <f>IFERROR(VLOOKUP(Tabla1[[#This Row],[COD SE]],PF_OCTUBRE,14,0),"0")</f>
        <v>0</v>
      </c>
      <c r="DU306" s="76">
        <f>IFERROR(VLOOKUP(Tabla1[[#This Row],[COD SE]],PF_OCTUBRE,15,0),"0")</f>
        <v>0</v>
      </c>
      <c r="DV306" s="76">
        <f>IFERROR(VLOOKUP(Tabla1[[#This Row],[COD SE]],PF_OCTUBRE,16,0),"0")</f>
        <v>18707</v>
      </c>
      <c r="DW306" s="76">
        <f>+SUM(Tabla1[[#This Row],[EJECUTADO 01]:[PF DICIEMBRE
]])</f>
        <v>18707</v>
      </c>
      <c r="DX306" s="76">
        <f>IFERROR(VLOOKUP(Tabla1[[#This Row],[COD SE]],PF_OCTUBRE,18,0),"0")</f>
        <v>0</v>
      </c>
      <c r="DY306" s="76">
        <f>IFERROR(VLOOKUP(Tabla1[[#This Row],[COD SE]],PF_OCTUBRE,19,0),"0")</f>
        <v>0</v>
      </c>
      <c r="DZ306" s="76">
        <f>IFERROR(VLOOKUP(Tabla1[[#This Row],[COD SE]],PF_OCTUBRE,20,0),"0")</f>
        <v>0</v>
      </c>
      <c r="EA306" s="76">
        <f>+Tabla1[[#This Row],[TOTAL EJEC REAL]]+Tabla1[[#This Row],[SALDO FINAL]]</f>
        <v>18707</v>
      </c>
      <c r="EB306" s="76">
        <f>IFERROR(VLOOKUP(Tabla1[[#This Row],[COD SE]],PF_OCTUBRE,22,0),"0")</f>
        <v>18707</v>
      </c>
      <c r="EC306" s="76">
        <f>+IFERROR(VLOOKUP(Tabla1[[#This Row],[COD SE]],SALDO_ESC_2,7,0),0)</f>
        <v>0</v>
      </c>
      <c r="ED306" s="76">
        <f>+IFERROR(VLOOKUP(Tabla1[[#This Row],[COD SE]],SALDO_ESC_3,7,0),0)</f>
        <v>0</v>
      </c>
      <c r="EE306" s="76">
        <f>+Tabla1[[#This Row],[mto_pim]]-Tabla1[[#This Row],[TRANSF ESC2 ]]</f>
        <v>18707</v>
      </c>
      <c r="EF306" s="76">
        <f>+Tabla1[[#This Row],[mto_pim]]-Tabla1[[#This Row],[TRANFS ESC 3 ]]</f>
        <v>18707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0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0</v>
      </c>
      <c r="ES306" s="58">
        <f>+SUM(Tabla1[[#This Row],[PF OCTUBRE]:[PF DICIEMBRE
]])</f>
        <v>18707</v>
      </c>
      <c r="ET306" s="58">
        <f>+SUM(Tabla1[[#This Row],[EJECUTADO 01]:[EJECUTADO 09]])</f>
        <v>0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1656</v>
      </c>
      <c r="AD307" s="369" t="s">
        <v>1657</v>
      </c>
      <c r="AE307" s="369" t="s">
        <v>1658</v>
      </c>
      <c r="AF307" s="369" t="s">
        <v>1658</v>
      </c>
      <c r="AG307" s="369" t="s">
        <v>1659</v>
      </c>
      <c r="AH307" s="369">
        <v>0</v>
      </c>
      <c r="AI307" s="369">
        <v>74829</v>
      </c>
      <c r="AJ307" s="369">
        <v>74829</v>
      </c>
      <c r="AK307" s="370">
        <v>74829</v>
      </c>
      <c r="AL307" s="370">
        <v>74829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18707.14</v>
      </c>
      <c r="AV307" s="370">
        <v>18707.14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18707.14</v>
      </c>
      <c r="BH307" s="370">
        <v>18707.14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18707.14</v>
      </c>
      <c r="BT307" s="370">
        <v>16370.27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18707.14</v>
      </c>
      <c r="CF307" s="370">
        <v>16370.27</v>
      </c>
      <c r="CG307" s="370">
        <v>0</v>
      </c>
      <c r="CH307" s="370">
        <v>0</v>
      </c>
      <c r="CI307" s="48" t="s">
        <v>1987</v>
      </c>
      <c r="CJ307" s="48" t="s">
        <v>1990</v>
      </c>
      <c r="CK307" s="48" t="s">
        <v>1990</v>
      </c>
      <c r="CL307" s="48" t="s">
        <v>1990</v>
      </c>
      <c r="CM307" s="48" t="s">
        <v>1990</v>
      </c>
      <c r="CN307" s="48" t="s">
        <v>1992</v>
      </c>
      <c r="CO307" s="10" t="str">
        <f t="shared" si="96"/>
        <v>2.1.1.1.1.8</v>
      </c>
      <c r="CP307" s="10" t="str">
        <f>+VLOOKUP(Tabla1[[#This Row],[ESPECÍFICA]],CLASIFICADOR_,2,0)</f>
        <v>2.1.1.1.1.8 - PERSONAL DE LA LEY SERVIR (RÉGIMEN DEL SERVICIO CIVIL)</v>
      </c>
      <c r="CQ307" s="10" t="str">
        <f>+VLOOKUP(Tabla1[[#This Row],[ESPECÍFICA]],CLASIFICADOR_,3,0)</f>
        <v>02.SERVIR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2.1.PERSONAL Y OBLIGACIONES SOCIALES</v>
      </c>
      <c r="CX307" s="10" t="str">
        <f t="shared" si="86"/>
        <v>0020-DETN</v>
      </c>
      <c r="CY307" s="5" t="str">
        <f t="shared" si="63"/>
        <v>0020-DETN (INF ESTRAT)</v>
      </c>
      <c r="CZ307">
        <f t="shared" si="87"/>
        <v>0</v>
      </c>
      <c r="DA307" s="113" t="str">
        <f>+CONCATENATE(Tabla1[[#This Row],[CC COMPLETO]],Tabla1[[#This Row],[ESPECÍFICA]])</f>
        <v>0020-DETN2.1.1.1.1.8</v>
      </c>
      <c r="DB307" s="11">
        <f t="shared" si="97"/>
        <v>37414.28</v>
      </c>
      <c r="DC307" s="11">
        <f t="shared" si="98"/>
        <v>37414.28</v>
      </c>
      <c r="DD307" s="11">
        <f t="shared" si="99"/>
        <v>35077.410000000003</v>
      </c>
      <c r="DE307" s="11">
        <f t="shared" si="100"/>
        <v>0</v>
      </c>
      <c r="DF307" s="11">
        <f t="shared" si="101"/>
        <v>0</v>
      </c>
      <c r="DG307" s="11">
        <f t="shared" si="102"/>
        <v>37414.720000000001</v>
      </c>
      <c r="DH307" s="11">
        <f t="shared" si="103"/>
        <v>37414.720000000001</v>
      </c>
      <c r="DI307" s="12">
        <f t="shared" si="104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18707.14</v>
      </c>
      <c r="DT307" s="76">
        <f>IFERROR(VLOOKUP(Tabla1[[#This Row],[COD SE]],PF_OCTUBRE,14,0),"0")</f>
        <v>18707.14</v>
      </c>
      <c r="DU307" s="76">
        <f>IFERROR(VLOOKUP(Tabla1[[#This Row],[COD SE]],PF_OCTUBRE,15,0),"0")</f>
        <v>18707.14</v>
      </c>
      <c r="DV307" s="76">
        <f>IFERROR(VLOOKUP(Tabla1[[#This Row],[COD SE]],PF_OCTUBRE,16,0),"0")</f>
        <v>18707.14</v>
      </c>
      <c r="DW307" s="76">
        <f>+SUM(Tabla1[[#This Row],[EJECUTADO 01]:[PF DICIEMBRE
]])</f>
        <v>74828.56</v>
      </c>
      <c r="DX307" s="76">
        <f>IFERROR(VLOOKUP(Tabla1[[#This Row],[COD SE]],PF_OCTUBRE,18,0),"0")</f>
        <v>0</v>
      </c>
      <c r="DY307" s="76">
        <f>IFERROR(VLOOKUP(Tabla1[[#This Row],[COD SE]],PF_OCTUBRE,19,0),"0")</f>
        <v>0.44000000000232831</v>
      </c>
      <c r="DZ307" s="76">
        <f>IFERROR(VLOOKUP(Tabla1[[#This Row],[COD SE]],PF_OCTUBRE,20,0),"0")</f>
        <v>0.44000000000232831</v>
      </c>
      <c r="EA307" s="76">
        <f>+Tabla1[[#This Row],[TOTAL EJEC REAL]]+Tabla1[[#This Row],[SALDO FINAL]]</f>
        <v>74829</v>
      </c>
      <c r="EB307" s="76">
        <f>IFERROR(VLOOKUP(Tabla1[[#This Row],[COD SE]],PF_OCTUBRE,22,0),"0")</f>
        <v>18707.580000000002</v>
      </c>
      <c r="EC307" s="76">
        <f>+IFERROR(VLOOKUP(Tabla1[[#This Row],[COD SE]],SALDO_ESC_2,7,0),0)</f>
        <v>0</v>
      </c>
      <c r="ED307" s="76">
        <f>+IFERROR(VLOOKUP(Tabla1[[#This Row],[COD SE]],SALDO_ESC_3,7,0),0)</f>
        <v>0.44000000000232831</v>
      </c>
      <c r="EE307" s="76">
        <f>+Tabla1[[#This Row],[mto_pim]]-Tabla1[[#This Row],[TRANSF ESC2 ]]</f>
        <v>74829</v>
      </c>
      <c r="EF307" s="76">
        <f>+Tabla1[[#This Row],[mto_pim]]-Tabla1[[#This Row],[TRANFS ESC 3 ]]</f>
        <v>74828.56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18707.14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18707.14</v>
      </c>
      <c r="ES307" s="58">
        <f>+SUM(Tabla1[[#This Row],[PF OCTUBRE]:[PF DICIEMBRE
]])</f>
        <v>56121.42</v>
      </c>
      <c r="ET307" s="58">
        <f>+SUM(Tabla1[[#This Row],[EJECUTADO 01]:[EJECUTADO 09]])</f>
        <v>18707.14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1</v>
      </c>
      <c r="O308" s="369" t="s">
        <v>2070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20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1672</v>
      </c>
      <c r="AD308" s="369" t="s">
        <v>1673</v>
      </c>
      <c r="AE308" s="369" t="s">
        <v>1681</v>
      </c>
      <c r="AF308" s="369" t="s">
        <v>1682</v>
      </c>
      <c r="AG308" s="369" t="s">
        <v>1682</v>
      </c>
      <c r="AH308" s="369">
        <v>0</v>
      </c>
      <c r="AI308" s="369">
        <v>21700</v>
      </c>
      <c r="AJ308" s="369">
        <v>21700</v>
      </c>
      <c r="AK308" s="370">
        <v>21700</v>
      </c>
      <c r="AL308" s="370">
        <v>0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0</v>
      </c>
      <c r="AU308" s="370">
        <v>0</v>
      </c>
      <c r="AV308" s="370">
        <v>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1991</v>
      </c>
      <c r="CK308" s="48" t="s">
        <v>1987</v>
      </c>
      <c r="CL308" s="48" t="s">
        <v>2005</v>
      </c>
      <c r="CM308" s="48" t="s">
        <v>1990</v>
      </c>
      <c r="CN308" s="48" t="s">
        <v>1990</v>
      </c>
      <c r="CO308" s="10" t="str">
        <f t="shared" si="96"/>
        <v>2.3.2.9.1.1</v>
      </c>
      <c r="CP308" s="10" t="str">
        <f>+VLOOKUP(Tabla1[[#This Row],[ESPECÍFICA]],CLASIFICADOR_,2,0)</f>
        <v>2.3.2.9.1.1 - LOCACIÓN DE SERVICIOS REALIZADOS POR PERSONA NATURAL</v>
      </c>
      <c r="CQ308" s="10" t="str">
        <f>+VLOOKUP(Tabla1[[#This Row],[ESPECÍFICA]],CLASIFICADOR_,3,0)</f>
        <v>2.3.2.9 - LOCACIÓN DE SERVICIOS REALIZADOS POR PERSONA NATURAL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2.3.BIENES Y SERVICIOS</v>
      </c>
      <c r="CX308" s="10" t="str">
        <f t="shared" si="86"/>
        <v>0020-DETN</v>
      </c>
      <c r="CY308" s="5" t="str">
        <f t="shared" si="63"/>
        <v>0020-DETN (INF ESTRAT)</v>
      </c>
      <c r="CZ308">
        <f t="shared" si="87"/>
        <v>0</v>
      </c>
      <c r="DA308" s="113" t="str">
        <f>+CONCATENATE(Tabla1[[#This Row],[CC COMPLETO]],Tabla1[[#This Row],[ESPECÍFICA]])</f>
        <v>0020-DETN2.3.2.9.1.1</v>
      </c>
      <c r="DB308" s="11">
        <f t="shared" si="97"/>
        <v>0</v>
      </c>
      <c r="DC308" s="11">
        <f t="shared" si="98"/>
        <v>0</v>
      </c>
      <c r="DD308" s="11">
        <f t="shared" si="99"/>
        <v>0</v>
      </c>
      <c r="DE308" s="11">
        <f t="shared" si="100"/>
        <v>0</v>
      </c>
      <c r="DF308" s="11">
        <f t="shared" si="101"/>
        <v>21700</v>
      </c>
      <c r="DG308" s="11">
        <f t="shared" si="102"/>
        <v>0</v>
      </c>
      <c r="DH308" s="11">
        <f t="shared" si="103"/>
        <v>21700</v>
      </c>
      <c r="DI308" s="12">
        <f t="shared" si="104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0</v>
      </c>
      <c r="DT308" s="76" t="str">
        <f>IFERROR(VLOOKUP(Tabla1[[#This Row],[COD SE]],PF_OCTUBRE,14,0),"0")</f>
        <v>0</v>
      </c>
      <c r="DU308" s="76" t="str">
        <f>IFERROR(VLOOKUP(Tabla1[[#This Row],[COD SE]],PF_OCTUBRE,15,0),"0")</f>
        <v>0</v>
      </c>
      <c r="DV308" s="76" t="str">
        <f>IFERROR(VLOOKUP(Tabla1[[#This Row],[COD SE]],PF_OCTUBRE,16,0),"0")</f>
        <v>0</v>
      </c>
      <c r="DW308" s="76">
        <f>+SUM(Tabla1[[#This Row],[EJECUTADO 01]:[PF DICIEMBRE
]])</f>
        <v>0</v>
      </c>
      <c r="DX308" s="76" t="str">
        <f>IFERROR(VLOOKUP(Tabla1[[#This Row],[COD SE]],PF_OCTUBRE,18,0),"0")</f>
        <v>0</v>
      </c>
      <c r="DY308" s="76" t="str">
        <f>IFERROR(VLOOKUP(Tabla1[[#This Row],[COD SE]],PF_OCTUBRE,19,0),"0")</f>
        <v>0</v>
      </c>
      <c r="DZ308" s="76" t="str">
        <f>IFERROR(VLOOKUP(Tabla1[[#This Row],[COD SE]],PF_OCTUBRE,20,0),"0")</f>
        <v>0</v>
      </c>
      <c r="EA308" s="76">
        <f>+Tabla1[[#This Row],[TOTAL EJEC REAL]]+Tabla1[[#This Row],[SALDO FINAL]]</f>
        <v>0</v>
      </c>
      <c r="EB308" s="76" t="str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21700</v>
      </c>
      <c r="EF308" s="76">
        <f>+Tabla1[[#This Row],[mto_pim]]-Tabla1[[#This Row],[TRANFS ESC 3 ]]</f>
        <v>21700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0</v>
      </c>
      <c r="ES308" s="58">
        <f>+SUM(Tabla1[[#This Row],[PF OCTUBRE]:[PF DICIEMBRE
]])</f>
        <v>0</v>
      </c>
      <c r="ET308" s="58">
        <f>+SUM(Tabla1[[#This Row],[EJECUTADO 01]:[EJECUTADO 09]])</f>
        <v>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1</v>
      </c>
      <c r="O309" s="369" t="s">
        <v>2070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20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1668</v>
      </c>
      <c r="AE309" s="369" t="s">
        <v>1669</v>
      </c>
      <c r="AF309" s="369" t="s">
        <v>1669</v>
      </c>
      <c r="AG309" s="369" t="s">
        <v>1670</v>
      </c>
      <c r="AH309" s="369">
        <v>0</v>
      </c>
      <c r="AI309" s="369">
        <v>6735</v>
      </c>
      <c r="AJ309" s="369">
        <v>6735</v>
      </c>
      <c r="AK309" s="370">
        <v>6735</v>
      </c>
      <c r="AL309" s="370">
        <v>6735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1683.64</v>
      </c>
      <c r="AV309" s="370">
        <v>1683.64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1683.64</v>
      </c>
      <c r="BH309" s="370">
        <v>1683.64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1683.64</v>
      </c>
      <c r="BT309" s="370">
        <v>1683.64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1683.64</v>
      </c>
      <c r="CF309" s="370">
        <v>1683.64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1991</v>
      </c>
      <c r="CL309" s="48" t="s">
        <v>1990</v>
      </c>
      <c r="CM309" s="48" t="s">
        <v>1990</v>
      </c>
      <c r="CN309" s="48" t="s">
        <v>2010</v>
      </c>
      <c r="CO309" s="10" t="str">
        <f t="shared" si="96"/>
        <v>2.1.3.1.1.13</v>
      </c>
      <c r="CP309" s="10" t="str">
        <f>+VLOOKUP(Tabla1[[#This Row],[ESPECÍFICA]],CLASIFICADOR_,2,0)</f>
        <v>2.1.3.1.1.13 - CONTRIBUCIONES A ESSALUD DEL PERSONAL ADMINISTRATIVO</v>
      </c>
      <c r="CQ309" s="10" t="str">
        <f>+VLOOKUP(Tabla1[[#This Row],[ESPECÍFICA]],CLASIFICADOR_,3,0)</f>
        <v>02.SERVIR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6"/>
        <v>0020-DETN</v>
      </c>
      <c r="CY309" s="5" t="str">
        <f t="shared" si="63"/>
        <v>0020-DETN (INF ESTRAT)</v>
      </c>
      <c r="CZ309">
        <f t="shared" si="87"/>
        <v>0</v>
      </c>
      <c r="DA309" s="113" t="str">
        <f>+CONCATENATE(Tabla1[[#This Row],[CC COMPLETO]],Tabla1[[#This Row],[ESPECÍFICA]])</f>
        <v>0020-DETN2.1.3.1.1.13</v>
      </c>
      <c r="DB309" s="11">
        <f t="shared" si="97"/>
        <v>3367.28</v>
      </c>
      <c r="DC309" s="11">
        <f t="shared" si="98"/>
        <v>3367.28</v>
      </c>
      <c r="DD309" s="11">
        <f t="shared" si="99"/>
        <v>3367.28</v>
      </c>
      <c r="DE309" s="11">
        <f t="shared" si="100"/>
        <v>0</v>
      </c>
      <c r="DF309" s="11">
        <f t="shared" si="101"/>
        <v>0</v>
      </c>
      <c r="DG309" s="11">
        <f t="shared" si="102"/>
        <v>3367.72</v>
      </c>
      <c r="DH309" s="11">
        <f t="shared" si="103"/>
        <v>3367.72</v>
      </c>
      <c r="DI309" s="12">
        <f t="shared" si="104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1683.64</v>
      </c>
      <c r="DT309" s="76">
        <f>IFERROR(VLOOKUP(Tabla1[[#This Row],[COD SE]],PF_OCTUBRE,14,0),"0")</f>
        <v>1683.64</v>
      </c>
      <c r="DU309" s="76">
        <f>IFERROR(VLOOKUP(Tabla1[[#This Row],[COD SE]],PF_OCTUBRE,15,0),"0")</f>
        <v>1683.64</v>
      </c>
      <c r="DV309" s="76">
        <f>IFERROR(VLOOKUP(Tabla1[[#This Row],[COD SE]],PF_OCTUBRE,16,0),"0")</f>
        <v>1684.08</v>
      </c>
      <c r="DW309" s="76">
        <f>+SUM(Tabla1[[#This Row],[EJECUTADO 01]:[PF DICIEMBRE
]])</f>
        <v>6735</v>
      </c>
      <c r="DX309" s="76">
        <f>IFERROR(VLOOKUP(Tabla1[[#This Row],[COD SE]],PF_OCTUBRE,18,0),"0")</f>
        <v>0</v>
      </c>
      <c r="DY309" s="76">
        <f>IFERROR(VLOOKUP(Tabla1[[#This Row],[COD SE]],PF_OCTUBRE,19,0),"0")</f>
        <v>0</v>
      </c>
      <c r="DZ309" s="76">
        <f>IFERROR(VLOOKUP(Tabla1[[#This Row],[COD SE]],PF_OCTUBRE,20,0),"0")</f>
        <v>0</v>
      </c>
      <c r="EA309" s="76">
        <f>+Tabla1[[#This Row],[TOTAL EJEC REAL]]+Tabla1[[#This Row],[SALDO FINAL]]</f>
        <v>6735</v>
      </c>
      <c r="EB309" s="76">
        <f>IFERROR(VLOOKUP(Tabla1[[#This Row],[COD SE]],PF_OCTUBRE,22,0),"0")</f>
        <v>1684.08</v>
      </c>
      <c r="EC309" s="76">
        <f>+IFERROR(VLOOKUP(Tabla1[[#This Row],[COD SE]],SALDO_ESC_2,7,0),0)</f>
        <v>0</v>
      </c>
      <c r="ED309" s="76">
        <f>+IFERROR(VLOOKUP(Tabla1[[#This Row],[COD SE]],SALDO_ESC_3,7,0),0)</f>
        <v>0</v>
      </c>
      <c r="EE309" s="76">
        <f>+Tabla1[[#This Row],[mto_pim]]-Tabla1[[#This Row],[TRANSF ESC2 ]]</f>
        <v>6735</v>
      </c>
      <c r="EF309" s="76">
        <f>+Tabla1[[#This Row],[mto_pim]]-Tabla1[[#This Row],[TRANFS ESC 3 ]]</f>
        <v>6735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1683.64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1683.64</v>
      </c>
      <c r="ES309" s="58">
        <f>+SUM(Tabla1[[#This Row],[PF OCTUBRE]:[PF DICIEMBRE
]])</f>
        <v>5051.3600000000006</v>
      </c>
      <c r="ET309" s="58">
        <f>+SUM(Tabla1[[#This Row],[EJECUTADO 01]:[EJECUTADO 09]])</f>
        <v>1683.64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1656</v>
      </c>
      <c r="AD310" s="369" t="s">
        <v>1668</v>
      </c>
      <c r="AE310" s="369" t="s">
        <v>1669</v>
      </c>
      <c r="AF310" s="369" t="s">
        <v>1669</v>
      </c>
      <c r="AG310" s="369" t="s">
        <v>1671</v>
      </c>
      <c r="AH310" s="369">
        <v>0</v>
      </c>
      <c r="AI310" s="369">
        <v>2601</v>
      </c>
      <c r="AJ310" s="369">
        <v>2601</v>
      </c>
      <c r="AK310" s="370">
        <v>2601</v>
      </c>
      <c r="AL310" s="370">
        <v>2601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0</v>
      </c>
      <c r="AU310" s="370">
        <v>650.04</v>
      </c>
      <c r="AV310" s="370">
        <v>650.04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650.04</v>
      </c>
      <c r="BH310" s="370">
        <v>650.04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650.04</v>
      </c>
      <c r="BT310" s="370">
        <v>650.04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0</v>
      </c>
      <c r="CE310" s="370">
        <v>650.04</v>
      </c>
      <c r="CF310" s="370">
        <v>650.04</v>
      </c>
      <c r="CG310" s="370">
        <v>0</v>
      </c>
      <c r="CH310" s="370">
        <v>0</v>
      </c>
      <c r="CI310" s="48" t="s">
        <v>1987</v>
      </c>
      <c r="CJ310" s="48" t="s">
        <v>1990</v>
      </c>
      <c r="CK310" s="48" t="s">
        <v>1991</v>
      </c>
      <c r="CL310" s="48" t="s">
        <v>1990</v>
      </c>
      <c r="CM310" s="48" t="s">
        <v>1990</v>
      </c>
      <c r="CN310" s="48" t="s">
        <v>2014</v>
      </c>
      <c r="CO310" s="10" t="str">
        <f t="shared" si="96"/>
        <v>2.1.3.1.1.15</v>
      </c>
      <c r="CP310" s="10" t="str">
        <f>+VLOOKUP(Tabla1[[#This Row],[ESPECÍFICA]],CLASIFICADOR_,2,0)</f>
        <v>2.1.3.1.1.15 - CONTRIBUCIONES A ESSALUD DE CONTRATO ADMINISTRATIVO DE SERVICIOS</v>
      </c>
      <c r="CQ310" s="10" t="str">
        <f>+VLOOKUP(Tabla1[[#This Row],[ESPECÍFICA]],CLASIFICADOR_,3,0)</f>
        <v>01.CAS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2.1.PERSONAL Y OBLIGACIONES SOCIALES</v>
      </c>
      <c r="CX310" s="10" t="str">
        <f t="shared" si="86"/>
        <v>0021-DETN</v>
      </c>
      <c r="CY310" s="5" t="str">
        <f t="shared" si="63"/>
        <v>0021-DETN (EV DESEMPEÑO)</v>
      </c>
      <c r="CZ310">
        <f t="shared" si="87"/>
        <v>0</v>
      </c>
      <c r="DA310" s="113" t="str">
        <f>+CONCATENATE(Tabla1[[#This Row],[CC COMPLETO]],Tabla1[[#This Row],[ESPECÍFICA]])</f>
        <v>0021-DETN2.1.3.1.1.15</v>
      </c>
      <c r="DB310" s="11">
        <f t="shared" si="97"/>
        <v>1300.08</v>
      </c>
      <c r="DC310" s="11">
        <f t="shared" si="98"/>
        <v>1300.08</v>
      </c>
      <c r="DD310" s="11">
        <f t="shared" si="99"/>
        <v>1300.08</v>
      </c>
      <c r="DE310" s="11">
        <f t="shared" si="100"/>
        <v>0</v>
      </c>
      <c r="DF310" s="11">
        <f t="shared" si="101"/>
        <v>0</v>
      </c>
      <c r="DG310" s="11">
        <f t="shared" si="102"/>
        <v>1300.92</v>
      </c>
      <c r="DH310" s="11">
        <f t="shared" si="103"/>
        <v>1300.92</v>
      </c>
      <c r="DI310" s="12">
        <f t="shared" si="104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650.04</v>
      </c>
      <c r="DT310" s="76">
        <f>IFERROR(VLOOKUP(Tabla1[[#This Row],[COD SE]],PF_OCTUBRE,14,0),"0")</f>
        <v>650.04</v>
      </c>
      <c r="DU310" s="76">
        <f>IFERROR(VLOOKUP(Tabla1[[#This Row],[COD SE]],PF_OCTUBRE,15,0),"0")</f>
        <v>650.04</v>
      </c>
      <c r="DV310" s="76">
        <f>IFERROR(VLOOKUP(Tabla1[[#This Row],[COD SE]],PF_OCTUBRE,16,0),"0")</f>
        <v>0</v>
      </c>
      <c r="DW310" s="76">
        <f>+SUM(Tabla1[[#This Row],[EJECUTADO 01]:[PF DICIEMBRE
]])</f>
        <v>1950.12</v>
      </c>
      <c r="DX310" s="76">
        <f>IFERROR(VLOOKUP(Tabla1[[#This Row],[COD SE]],PF_OCTUBRE,18,0),"0")</f>
        <v>0</v>
      </c>
      <c r="DY310" s="76">
        <f>IFERROR(VLOOKUP(Tabla1[[#This Row],[COD SE]],PF_OCTUBRE,19,0),"0")</f>
        <v>650.88000000000011</v>
      </c>
      <c r="DZ310" s="76">
        <f>IFERROR(VLOOKUP(Tabla1[[#This Row],[COD SE]],PF_OCTUBRE,20,0),"0")</f>
        <v>650.88000000000011</v>
      </c>
      <c r="EA310" s="76">
        <f>+Tabla1[[#This Row],[TOTAL EJEC REAL]]+Tabla1[[#This Row],[SALDO FINAL]]</f>
        <v>2601</v>
      </c>
      <c r="EB310" s="76">
        <f>IFERROR(VLOOKUP(Tabla1[[#This Row],[COD SE]],PF_OCTUBRE,22,0),"0")</f>
        <v>650.88000000000011</v>
      </c>
      <c r="EC310" s="76">
        <f>+IFERROR(VLOOKUP(Tabla1[[#This Row],[COD SE]],SALDO_ESC_2,7,0),0)</f>
        <v>0</v>
      </c>
      <c r="ED310" s="76">
        <f>+IFERROR(VLOOKUP(Tabla1[[#This Row],[COD SE]],SALDO_ESC_3,7,0),0)</f>
        <v>650.88000000000011</v>
      </c>
      <c r="EE310" s="76">
        <f>+Tabla1[[#This Row],[mto_pim]]-Tabla1[[#This Row],[TRANSF ESC2 ]]</f>
        <v>2601</v>
      </c>
      <c r="EF310" s="76">
        <f>+Tabla1[[#This Row],[mto_pim]]-Tabla1[[#This Row],[TRANFS ESC 3 ]]</f>
        <v>1950.12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650.04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650.04</v>
      </c>
      <c r="ES310" s="58">
        <f>+SUM(Tabla1[[#This Row],[PF OCTUBRE]:[PF DICIEMBRE
]])</f>
        <v>1300.08</v>
      </c>
      <c r="ET310" s="58">
        <f>+SUM(Tabla1[[#This Row],[EJECUTADO 01]:[EJECUTADO 09]])</f>
        <v>650.04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1657</v>
      </c>
      <c r="AE311" s="369" t="s">
        <v>1660</v>
      </c>
      <c r="AF311" s="369" t="s">
        <v>1661</v>
      </c>
      <c r="AG311" s="369" t="s">
        <v>1662</v>
      </c>
      <c r="AH311" s="369">
        <v>0</v>
      </c>
      <c r="AI311" s="369">
        <v>87171</v>
      </c>
      <c r="AJ311" s="369">
        <v>87171</v>
      </c>
      <c r="AK311" s="370">
        <v>87171</v>
      </c>
      <c r="AL311" s="370">
        <v>87171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21792.57</v>
      </c>
      <c r="AV311" s="370">
        <v>21792.57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21792.57</v>
      </c>
      <c r="BH311" s="370">
        <v>21792.57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21792.57</v>
      </c>
      <c r="BT311" s="370">
        <v>19079.080000000002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21792.57</v>
      </c>
      <c r="CF311" s="370">
        <v>19079.080000000002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1990</v>
      </c>
      <c r="CL311" s="48" t="s">
        <v>2010</v>
      </c>
      <c r="CM311" s="48" t="s">
        <v>1990</v>
      </c>
      <c r="CN311" s="48" t="s">
        <v>1990</v>
      </c>
      <c r="CO311" s="10" t="str">
        <f t="shared" si="96"/>
        <v>2.1.1.13.1.1</v>
      </c>
      <c r="CP311" s="10" t="str">
        <f>+VLOOKUP(Tabla1[[#This Row],[ESPECÍFICA]],CLASIFICADOR_,2,0)</f>
        <v>2.1.1.13.1.1 - CONTRATO ADMINISTRATIVO DE SERVICIOS - INDETERMINADO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6"/>
        <v>0021-DETN</v>
      </c>
      <c r="CY311" s="5" t="str">
        <f t="shared" si="63"/>
        <v>0021-DETN (EV DESEMPEÑO)</v>
      </c>
      <c r="CZ311">
        <f t="shared" si="87"/>
        <v>0</v>
      </c>
      <c r="DA311" s="113" t="str">
        <f>+CONCATENATE(Tabla1[[#This Row],[CC COMPLETO]],Tabla1[[#This Row],[ESPECÍFICA]])</f>
        <v>0021-DETN2.1.1.13.1.1</v>
      </c>
      <c r="DB311" s="11">
        <f t="shared" si="97"/>
        <v>43585.14</v>
      </c>
      <c r="DC311" s="11">
        <f t="shared" si="98"/>
        <v>43585.14</v>
      </c>
      <c r="DD311" s="11">
        <f t="shared" si="99"/>
        <v>40871.65</v>
      </c>
      <c r="DE311" s="11">
        <f t="shared" si="100"/>
        <v>0</v>
      </c>
      <c r="DF311" s="11">
        <f t="shared" si="101"/>
        <v>0</v>
      </c>
      <c r="DG311" s="11">
        <f t="shared" si="102"/>
        <v>43585.86</v>
      </c>
      <c r="DH311" s="11">
        <f t="shared" si="103"/>
        <v>43585.86</v>
      </c>
      <c r="DI311" s="12">
        <f t="shared" si="104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21792.57</v>
      </c>
      <c r="DT311" s="76">
        <f>IFERROR(VLOOKUP(Tabla1[[#This Row],[COD SE]],PF_OCTUBRE,14,0),"0")</f>
        <v>21792.57</v>
      </c>
      <c r="DU311" s="76">
        <f>IFERROR(VLOOKUP(Tabla1[[#This Row],[COD SE]],PF_OCTUBRE,15,0),"0")</f>
        <v>21792.57</v>
      </c>
      <c r="DV311" s="76">
        <f>IFERROR(VLOOKUP(Tabla1[[#This Row],[COD SE]],PF_OCTUBRE,16,0),"0")</f>
        <v>21792.57</v>
      </c>
      <c r="DW311" s="76">
        <f>+SUM(Tabla1[[#This Row],[EJECUTADO 01]:[PF DICIEMBRE
]])</f>
        <v>87170.28</v>
      </c>
      <c r="DX311" s="76">
        <f>IFERROR(VLOOKUP(Tabla1[[#This Row],[COD SE]],PF_OCTUBRE,18,0),"0")</f>
        <v>0</v>
      </c>
      <c r="DY311" s="76">
        <f>IFERROR(VLOOKUP(Tabla1[[#This Row],[COD SE]],PF_OCTUBRE,19,0),"0")</f>
        <v>0.71999999999934516</v>
      </c>
      <c r="DZ311" s="76">
        <f>IFERROR(VLOOKUP(Tabla1[[#This Row],[COD SE]],PF_OCTUBRE,20,0),"0")</f>
        <v>0.71999999999934516</v>
      </c>
      <c r="EA311" s="76">
        <f>+Tabla1[[#This Row],[TOTAL EJEC REAL]]+Tabla1[[#This Row],[SALDO FINAL]]</f>
        <v>87171</v>
      </c>
      <c r="EB311" s="76">
        <f>IFERROR(VLOOKUP(Tabla1[[#This Row],[COD SE]],PF_OCTUBRE,22,0),"0")</f>
        <v>21793.289999999997</v>
      </c>
      <c r="EC311" s="76">
        <f>+IFERROR(VLOOKUP(Tabla1[[#This Row],[COD SE]],SALDO_ESC_2,7,0),0)</f>
        <v>0</v>
      </c>
      <c r="ED311" s="76">
        <f>+IFERROR(VLOOKUP(Tabla1[[#This Row],[COD SE]],SALDO_ESC_3,7,0),0)</f>
        <v>0.71999999999934516</v>
      </c>
      <c r="EE311" s="76">
        <f>+Tabla1[[#This Row],[mto_pim]]-Tabla1[[#This Row],[TRANSF ESC2 ]]</f>
        <v>87171</v>
      </c>
      <c r="EF311" s="76">
        <f>+Tabla1[[#This Row],[mto_pim]]-Tabla1[[#This Row],[TRANFS ESC 3 ]]</f>
        <v>87170.28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21792.57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21792.57</v>
      </c>
      <c r="ES311" s="58">
        <f>+SUM(Tabla1[[#This Row],[PF OCTUBRE]:[PF DICIEMBRE
]])</f>
        <v>65377.71</v>
      </c>
      <c r="ET311" s="58">
        <f>+SUM(Tabla1[[#This Row],[EJECUTADO 01]:[EJECUTADO 09]])</f>
        <v>21792.57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2</v>
      </c>
      <c r="O312" s="369" t="s">
        <v>2071</v>
      </c>
      <c r="P312" s="369" t="s">
        <v>2032</v>
      </c>
      <c r="Q312" s="369">
        <v>6</v>
      </c>
      <c r="R312" s="369">
        <v>0</v>
      </c>
      <c r="S312" s="369">
        <v>0</v>
      </c>
      <c r="T312" s="369">
        <v>0</v>
      </c>
      <c r="U312" s="369">
        <v>21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900</v>
      </c>
      <c r="AJ312" s="369">
        <v>900</v>
      </c>
      <c r="AK312" s="370">
        <v>900</v>
      </c>
      <c r="AL312" s="370">
        <v>900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6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6"/>
        <v>0021-DETN</v>
      </c>
      <c r="CY312" s="5" t="str">
        <f t="shared" si="63"/>
        <v>0021-DETN (EV DESEMPEÑO)</v>
      </c>
      <c r="CZ312">
        <f t="shared" si="87"/>
        <v>0</v>
      </c>
      <c r="DA312" s="113" t="str">
        <f>+CONCATENATE(Tabla1[[#This Row],[CC COMPLETO]],Tabla1[[#This Row],[ESPECÍFICA]])</f>
        <v>0021-DETN2.1.1.9.1.4</v>
      </c>
      <c r="DB312" s="11">
        <f t="shared" si="97"/>
        <v>0</v>
      </c>
      <c r="DC312" s="11">
        <f t="shared" si="98"/>
        <v>0</v>
      </c>
      <c r="DD312" s="11">
        <f t="shared" si="99"/>
        <v>0</v>
      </c>
      <c r="DE312" s="11">
        <f t="shared" si="100"/>
        <v>0</v>
      </c>
      <c r="DF312" s="11">
        <f t="shared" si="101"/>
        <v>0</v>
      </c>
      <c r="DG312" s="11">
        <f t="shared" si="102"/>
        <v>900</v>
      </c>
      <c r="DH312" s="11">
        <f t="shared" si="103"/>
        <v>900</v>
      </c>
      <c r="DI312" s="12">
        <f t="shared" si="104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900</v>
      </c>
      <c r="DZ312" s="76">
        <f>IFERROR(VLOOKUP(Tabla1[[#This Row],[COD SE]],PF_OCTUBRE,20,0),"0")</f>
        <v>900</v>
      </c>
      <c r="EA312" s="76">
        <f>+Tabla1[[#This Row],[TOTAL EJEC REAL]]+Tabla1[[#This Row],[SALDO FINAL]]</f>
        <v>900</v>
      </c>
      <c r="EB312" s="76">
        <f>IFERROR(VLOOKUP(Tabla1[[#This Row],[COD SE]],PF_OCTUBRE,22,0),"0")</f>
        <v>900</v>
      </c>
      <c r="EC312" s="76">
        <f>+IFERROR(VLOOKUP(Tabla1[[#This Row],[COD SE]],SALDO_ESC_2,7,0),0)</f>
        <v>0</v>
      </c>
      <c r="ED312" s="76">
        <f>+IFERROR(VLOOKUP(Tabla1[[#This Row],[COD SE]],SALDO_ESC_3,7,0),0)</f>
        <v>900</v>
      </c>
      <c r="EE312" s="76">
        <f>+Tabla1[[#This Row],[mto_pim]]-Tabla1[[#This Row],[TRANSF ESC2 ]]</f>
        <v>900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2</v>
      </c>
      <c r="O313" s="369" t="s">
        <v>2071</v>
      </c>
      <c r="P313" s="369" t="s">
        <v>2032</v>
      </c>
      <c r="Q313" s="369">
        <v>6</v>
      </c>
      <c r="R313" s="369">
        <v>0</v>
      </c>
      <c r="S313" s="369">
        <v>0</v>
      </c>
      <c r="T313" s="369">
        <v>0</v>
      </c>
      <c r="U313" s="369">
        <v>21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1672</v>
      </c>
      <c r="AD313" s="369" t="s">
        <v>1673</v>
      </c>
      <c r="AE313" s="369" t="s">
        <v>1681</v>
      </c>
      <c r="AF313" s="369" t="s">
        <v>1682</v>
      </c>
      <c r="AG313" s="369" t="s">
        <v>1682</v>
      </c>
      <c r="AH313" s="369">
        <v>0</v>
      </c>
      <c r="AI313" s="369">
        <v>26000</v>
      </c>
      <c r="AJ313" s="369">
        <v>26000</v>
      </c>
      <c r="AK313" s="370">
        <v>26000</v>
      </c>
      <c r="AL313" s="370">
        <v>26000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26000</v>
      </c>
      <c r="AU313" s="370">
        <v>0</v>
      </c>
      <c r="AV313" s="370">
        <v>0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13000</v>
      </c>
      <c r="BH313" s="370">
        <v>0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0</v>
      </c>
      <c r="BT313" s="370">
        <v>13000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13000</v>
      </c>
      <c r="CE313" s="370">
        <v>0</v>
      </c>
      <c r="CF313" s="370">
        <v>0</v>
      </c>
      <c r="CG313" s="370">
        <v>0</v>
      </c>
      <c r="CH313" s="370">
        <v>0</v>
      </c>
      <c r="CI313" s="48" t="s">
        <v>1987</v>
      </c>
      <c r="CJ313" s="48" t="s">
        <v>1991</v>
      </c>
      <c r="CK313" s="48" t="s">
        <v>1987</v>
      </c>
      <c r="CL313" s="48" t="s">
        <v>2005</v>
      </c>
      <c r="CM313" s="48" t="s">
        <v>1990</v>
      </c>
      <c r="CN313" s="48" t="s">
        <v>1990</v>
      </c>
      <c r="CO313" s="10" t="str">
        <f t="shared" si="96"/>
        <v>2.3.2.9.1.1</v>
      </c>
      <c r="CP313" s="10" t="str">
        <f>+VLOOKUP(Tabla1[[#This Row],[ESPECÍFICA]],CLASIFICADOR_,2,0)</f>
        <v>2.3.2.9.1.1 - LOCACIÓN DE SERVICIOS REALIZADOS POR PERSONA NATURAL</v>
      </c>
      <c r="CQ313" s="10" t="str">
        <f>+VLOOKUP(Tabla1[[#This Row],[ESPECÍFICA]],CLASIFICADOR_,3,0)</f>
        <v>2.3.2.9 - LOCACIÓN DE SERVICIOS REALIZADOS POR PERSONA NATURAL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2.3.BIENES Y SERVICIOS</v>
      </c>
      <c r="CX313" s="10" t="str">
        <f t="shared" si="86"/>
        <v>0021-DETN</v>
      </c>
      <c r="CY313" s="5" t="str">
        <f t="shared" si="63"/>
        <v>0021-DETN (EV DESEMPEÑO)</v>
      </c>
      <c r="CZ313">
        <f t="shared" si="87"/>
        <v>0</v>
      </c>
      <c r="DA313" s="113" t="str">
        <f>+CONCATENATE(Tabla1[[#This Row],[CC COMPLETO]],Tabla1[[#This Row],[ESPECÍFICA]])</f>
        <v>0021-DETN2.3.2.9.1.1</v>
      </c>
      <c r="DB313" s="11">
        <f t="shared" si="97"/>
        <v>26000</v>
      </c>
      <c r="DC313" s="11">
        <f t="shared" si="98"/>
        <v>13000</v>
      </c>
      <c r="DD313" s="11">
        <f t="shared" si="99"/>
        <v>13000</v>
      </c>
      <c r="DE313" s="11">
        <f t="shared" si="100"/>
        <v>0</v>
      </c>
      <c r="DF313" s="11">
        <f t="shared" si="101"/>
        <v>0</v>
      </c>
      <c r="DG313" s="11">
        <f t="shared" si="102"/>
        <v>13000</v>
      </c>
      <c r="DH313" s="11">
        <f t="shared" si="103"/>
        <v>13000</v>
      </c>
      <c r="DI313" s="12">
        <f t="shared" si="104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13000</v>
      </c>
      <c r="DT313" s="76">
        <f>IFERROR(VLOOKUP(Tabla1[[#This Row],[COD SE]],PF_OCTUBRE,14,0),"0")</f>
        <v>13000</v>
      </c>
      <c r="DU313" s="76">
        <f>IFERROR(VLOOKUP(Tabla1[[#This Row],[COD SE]],PF_OCTUBRE,15,0),"0")</f>
        <v>0</v>
      </c>
      <c r="DV313" s="76">
        <f>IFERROR(VLOOKUP(Tabla1[[#This Row],[COD SE]],PF_OCTUBRE,16,0),"0")</f>
        <v>0</v>
      </c>
      <c r="DW313" s="76">
        <f>+SUM(Tabla1[[#This Row],[EJECUTADO 01]:[PF DICIEMBRE
]])</f>
        <v>26000</v>
      </c>
      <c r="DX313" s="76">
        <f>IFERROR(VLOOKUP(Tabla1[[#This Row],[COD SE]],PF_OCTUBRE,18,0),"0")</f>
        <v>0</v>
      </c>
      <c r="DY313" s="76">
        <f>IFERROR(VLOOKUP(Tabla1[[#This Row],[COD SE]],PF_OCTUBRE,19,0),"0")</f>
        <v>0</v>
      </c>
      <c r="DZ313" s="76">
        <f>IFERROR(VLOOKUP(Tabla1[[#This Row],[COD SE]],PF_OCTUBRE,20,0),"0")</f>
        <v>0</v>
      </c>
      <c r="EA313" s="76">
        <f>+Tabla1[[#This Row],[TOTAL EJEC REAL]]+Tabla1[[#This Row],[SALDO FINAL]]</f>
        <v>26000</v>
      </c>
      <c r="EB313" s="76">
        <f>IFERROR(VLOOKUP(Tabla1[[#This Row],[COD SE]],PF_OCTUBRE,22,0),"0")</f>
        <v>0</v>
      </c>
      <c r="EC313" s="76">
        <f>+IFERROR(VLOOKUP(Tabla1[[#This Row],[COD SE]],SALDO_ESC_2,7,0),0)</f>
        <v>0</v>
      </c>
      <c r="ED313" s="76">
        <f>+IFERROR(VLOOKUP(Tabla1[[#This Row],[COD SE]],SALDO_ESC_3,7,0),0)</f>
        <v>0</v>
      </c>
      <c r="EE313" s="76">
        <f>+Tabla1[[#This Row],[mto_pim]]-Tabla1[[#This Row],[TRANSF ESC2 ]]</f>
        <v>26000</v>
      </c>
      <c r="EF313" s="76">
        <f>+Tabla1[[#This Row],[mto_pim]]-Tabla1[[#This Row],[TRANFS ESC 3 ]]</f>
        <v>26000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13000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13000</v>
      </c>
      <c r="ES313" s="58">
        <f>+SUM(Tabla1[[#This Row],[PF OCTUBRE]:[PF DICIEMBRE
]])</f>
        <v>13000</v>
      </c>
      <c r="ET313" s="58">
        <f>+SUM(Tabla1[[#This Row],[EJECUTADO 01]:[EJECUTADO 09]])</f>
        <v>13000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1656</v>
      </c>
      <c r="AD314" s="369" t="s">
        <v>1657</v>
      </c>
      <c r="AE314" s="369" t="s">
        <v>1660</v>
      </c>
      <c r="AF314" s="369" t="s">
        <v>1661</v>
      </c>
      <c r="AG314" s="369" t="s">
        <v>1662</v>
      </c>
      <c r="AH314" s="369">
        <v>0</v>
      </c>
      <c r="AI314" s="369">
        <v>171284</v>
      </c>
      <c r="AJ314" s="369">
        <v>171284</v>
      </c>
      <c r="AK314" s="370">
        <v>171284</v>
      </c>
      <c r="AL314" s="370">
        <v>171284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0</v>
      </c>
      <c r="AU314" s="370">
        <v>42820.1</v>
      </c>
      <c r="AV314" s="370">
        <v>42820.95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42820.1</v>
      </c>
      <c r="BH314" s="370">
        <v>42820.95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42820.1</v>
      </c>
      <c r="BT314" s="370">
        <v>37689.449999999997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0</v>
      </c>
      <c r="CE314" s="370">
        <v>42820.1</v>
      </c>
      <c r="CF314" s="370">
        <v>37689.449999999997</v>
      </c>
      <c r="CG314" s="370">
        <v>0</v>
      </c>
      <c r="CH314" s="370">
        <v>0</v>
      </c>
      <c r="CI314" s="48" t="s">
        <v>1987</v>
      </c>
      <c r="CJ314" s="48" t="s">
        <v>1990</v>
      </c>
      <c r="CK314" s="48" t="s">
        <v>1990</v>
      </c>
      <c r="CL314" s="48" t="s">
        <v>2010</v>
      </c>
      <c r="CM314" s="48" t="s">
        <v>1990</v>
      </c>
      <c r="CN314" s="48" t="s">
        <v>1990</v>
      </c>
      <c r="CO314" s="10" t="str">
        <f t="shared" si="96"/>
        <v>2.1.1.13.1.1</v>
      </c>
      <c r="CP314" s="10" t="str">
        <f>+VLOOKUP(Tabla1[[#This Row],[ESPECÍFICA]],CLASIFICADOR_,2,0)</f>
        <v>2.1.1.13.1.1 - CONTRATO ADMINISTRATIVO DE SERVICIOS - INDETERMINADO</v>
      </c>
      <c r="CQ314" s="10" t="str">
        <f>+VLOOKUP(Tabla1[[#This Row],[ESPECÍFICA]],CLASIFICADOR_,3,0)</f>
        <v>01.CAS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2.1.PERSONAL Y OBLIGACIONES SOCIALES</v>
      </c>
      <c r="CX314" s="10" t="str">
        <f t="shared" si="86"/>
        <v>0022-DETN</v>
      </c>
      <c r="CY314" s="5" t="str">
        <f t="shared" si="63"/>
        <v>0022-DETN ( OPI TEC NOR)</v>
      </c>
      <c r="CZ314">
        <f t="shared" si="87"/>
        <v>0</v>
      </c>
      <c r="DA314" s="113" t="str">
        <f>+CONCATENATE(Tabla1[[#This Row],[CC COMPLETO]],Tabla1[[#This Row],[ESPECÍFICA]])</f>
        <v>0022-DETN2.1.1.13.1.1</v>
      </c>
      <c r="DB314" s="11">
        <f t="shared" si="97"/>
        <v>85641.049999999988</v>
      </c>
      <c r="DC314" s="11">
        <f t="shared" si="98"/>
        <v>85641.049999999988</v>
      </c>
      <c r="DD314" s="11">
        <f t="shared" si="99"/>
        <v>80509.549999999988</v>
      </c>
      <c r="DE314" s="11">
        <f t="shared" si="100"/>
        <v>0</v>
      </c>
      <c r="DF314" s="11">
        <f t="shared" si="101"/>
        <v>0</v>
      </c>
      <c r="DG314" s="11">
        <f t="shared" si="102"/>
        <v>85642.950000000012</v>
      </c>
      <c r="DH314" s="11">
        <f t="shared" si="103"/>
        <v>85642.950000000012</v>
      </c>
      <c r="DI314" s="12">
        <f t="shared" si="104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42820.1</v>
      </c>
      <c r="DT314" s="76">
        <f>IFERROR(VLOOKUP(Tabla1[[#This Row],[COD SE]],PF_OCTUBRE,14,0),"0")</f>
        <v>42820.950000000004</v>
      </c>
      <c r="DU314" s="76">
        <f>IFERROR(VLOOKUP(Tabla1[[#This Row],[COD SE]],PF_OCTUBRE,15,0),"0")</f>
        <v>42820.950000000004</v>
      </c>
      <c r="DV314" s="76">
        <f>IFERROR(VLOOKUP(Tabla1[[#This Row],[COD SE]],PF_OCTUBRE,16,0),"0")</f>
        <v>0</v>
      </c>
      <c r="DW314" s="76">
        <f>+SUM(Tabla1[[#This Row],[EJECUTADO 01]:[PF DICIEMBRE
]])</f>
        <v>128462</v>
      </c>
      <c r="DX314" s="76">
        <f>IFERROR(VLOOKUP(Tabla1[[#This Row],[COD SE]],PF_OCTUBRE,18,0),"0")</f>
        <v>0</v>
      </c>
      <c r="DY314" s="76">
        <f>IFERROR(VLOOKUP(Tabla1[[#This Row],[COD SE]],PF_OCTUBRE,19,0),"0")</f>
        <v>42822.000000000007</v>
      </c>
      <c r="DZ314" s="76">
        <f>IFERROR(VLOOKUP(Tabla1[[#This Row],[COD SE]],PF_OCTUBRE,20,0),"0")</f>
        <v>42822.000000000007</v>
      </c>
      <c r="EA314" s="76">
        <f>+Tabla1[[#This Row],[TOTAL EJEC REAL]]+Tabla1[[#This Row],[SALDO FINAL]]</f>
        <v>171284</v>
      </c>
      <c r="EB314" s="76">
        <f>IFERROR(VLOOKUP(Tabla1[[#This Row],[COD SE]],PF_OCTUBRE,22,0),"0")</f>
        <v>42822.000000000007</v>
      </c>
      <c r="EC314" s="76">
        <f>+IFERROR(VLOOKUP(Tabla1[[#This Row],[COD SE]],SALDO_ESC_2,7,0),0)</f>
        <v>0</v>
      </c>
      <c r="ED314" s="76">
        <f>+IFERROR(VLOOKUP(Tabla1[[#This Row],[COD SE]],SALDO_ESC_3,7,0),0)</f>
        <v>42822.000000000007</v>
      </c>
      <c r="EE314" s="76">
        <f>+Tabla1[[#This Row],[mto_pim]]-Tabla1[[#This Row],[TRANSF ESC2 ]]</f>
        <v>171284</v>
      </c>
      <c r="EF314" s="76">
        <f>+Tabla1[[#This Row],[mto_pim]]-Tabla1[[#This Row],[TRANFS ESC 3 ]]</f>
        <v>128462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42820.950000000004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42820.1</v>
      </c>
      <c r="ES314" s="58">
        <f>+SUM(Tabla1[[#This Row],[PF OCTUBRE]:[PF DICIEMBRE
]])</f>
        <v>85641.900000000009</v>
      </c>
      <c r="ET314" s="58">
        <f>+SUM(Tabla1[[#This Row],[EJECUTADO 01]:[EJECUTADO 09]])</f>
        <v>42820.1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1664</v>
      </c>
      <c r="AF315" s="369" t="s">
        <v>1665</v>
      </c>
      <c r="AG315" s="369" t="s">
        <v>1667</v>
      </c>
      <c r="AH315" s="369">
        <v>0</v>
      </c>
      <c r="AI315" s="369">
        <v>1800</v>
      </c>
      <c r="AJ315" s="369">
        <v>1800</v>
      </c>
      <c r="AK315" s="370">
        <v>1800</v>
      </c>
      <c r="AL315" s="370">
        <v>1800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0</v>
      </c>
      <c r="AV315" s="370">
        <v>0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0</v>
      </c>
      <c r="BH315" s="370">
        <v>0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0</v>
      </c>
      <c r="BT315" s="370">
        <v>0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0</v>
      </c>
      <c r="CF315" s="370">
        <v>0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2005</v>
      </c>
      <c r="CM315" s="48" t="s">
        <v>1990</v>
      </c>
      <c r="CN315" s="48" t="s">
        <v>1993</v>
      </c>
      <c r="CO315" s="10" t="str">
        <f t="shared" si="96"/>
        <v>2.1.1.9.1.4</v>
      </c>
      <c r="CP315" s="10" t="str">
        <f>+VLOOKUP(Tabla1[[#This Row],[ESPECÍFICA]],CLASIFICADOR_,2,0)</f>
        <v>2.1.1.9.1.4 - AGUINALDOS DE CONTRATO ADMINISTRATIVO DE SERVICIOS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6"/>
        <v>0022-DETN</v>
      </c>
      <c r="CY315" s="5" t="str">
        <f t="shared" si="63"/>
        <v>0022-DETN ( OPI TEC NOR)</v>
      </c>
      <c r="CZ315">
        <f t="shared" si="87"/>
        <v>0</v>
      </c>
      <c r="DA315" s="113" t="str">
        <f>+CONCATENATE(Tabla1[[#This Row],[CC COMPLETO]],Tabla1[[#This Row],[ESPECÍFICA]])</f>
        <v>0022-DETN2.1.1.9.1.4</v>
      </c>
      <c r="DB315" s="11">
        <f t="shared" si="97"/>
        <v>0</v>
      </c>
      <c r="DC315" s="11">
        <f t="shared" si="98"/>
        <v>0</v>
      </c>
      <c r="DD315" s="11">
        <f t="shared" si="99"/>
        <v>0</v>
      </c>
      <c r="DE315" s="11">
        <f t="shared" si="100"/>
        <v>0</v>
      </c>
      <c r="DF315" s="11">
        <f t="shared" si="101"/>
        <v>0</v>
      </c>
      <c r="DG315" s="11">
        <f t="shared" si="102"/>
        <v>1800</v>
      </c>
      <c r="DH315" s="11">
        <f t="shared" si="103"/>
        <v>1800</v>
      </c>
      <c r="DI315" s="12">
        <f t="shared" si="104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0</v>
      </c>
      <c r="DT315" s="76">
        <f>IFERROR(VLOOKUP(Tabla1[[#This Row],[COD SE]],PF_OCTUBRE,14,0),"0")</f>
        <v>0</v>
      </c>
      <c r="DU315" s="76">
        <f>IFERROR(VLOOKUP(Tabla1[[#This Row],[COD SE]],PF_OCTUBRE,15,0),"0")</f>
        <v>0</v>
      </c>
      <c r="DV315" s="76">
        <f>IFERROR(VLOOKUP(Tabla1[[#This Row],[COD SE]],PF_OCTUBRE,16,0),"0")</f>
        <v>0</v>
      </c>
      <c r="DW315" s="76">
        <f>+SUM(Tabla1[[#This Row],[EJECUTADO 01]:[PF DICIEMBRE
]])</f>
        <v>0</v>
      </c>
      <c r="DX315" s="76">
        <f>IFERROR(VLOOKUP(Tabla1[[#This Row],[COD SE]],PF_OCTUBRE,18,0),"0")</f>
        <v>0</v>
      </c>
      <c r="DY315" s="76">
        <f>IFERROR(VLOOKUP(Tabla1[[#This Row],[COD SE]],PF_OCTUBRE,19,0),"0")</f>
        <v>1800</v>
      </c>
      <c r="DZ315" s="76">
        <f>IFERROR(VLOOKUP(Tabla1[[#This Row],[COD SE]],PF_OCTUBRE,20,0),"0")</f>
        <v>1800</v>
      </c>
      <c r="EA315" s="76">
        <f>+Tabla1[[#This Row],[TOTAL EJEC REAL]]+Tabla1[[#This Row],[SALDO FINAL]]</f>
        <v>1800</v>
      </c>
      <c r="EB315" s="76">
        <f>IFERROR(VLOOKUP(Tabla1[[#This Row],[COD SE]],PF_OCTUBRE,22,0),"0")</f>
        <v>1800</v>
      </c>
      <c r="EC315" s="76">
        <f>+IFERROR(VLOOKUP(Tabla1[[#This Row],[COD SE]],SALDO_ESC_2,7,0),0)</f>
        <v>0</v>
      </c>
      <c r="ED315" s="76">
        <f>+IFERROR(VLOOKUP(Tabla1[[#This Row],[COD SE]],SALDO_ESC_3,7,0),0)</f>
        <v>1800</v>
      </c>
      <c r="EE315" s="76">
        <f>+Tabla1[[#This Row],[mto_pim]]-Tabla1[[#This Row],[TRANSF ESC2 ]]</f>
        <v>1800</v>
      </c>
      <c r="EF315" s="76">
        <f>+Tabla1[[#This Row],[mto_pim]]-Tabla1[[#This Row],[TRANFS ESC 3 ]]</f>
        <v>0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0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0</v>
      </c>
      <c r="ES315" s="58">
        <f>+SUM(Tabla1[[#This Row],[PF OCTUBRE]:[PF DICIEMBRE
]])</f>
        <v>0</v>
      </c>
      <c r="ET315" s="58">
        <f>+SUM(Tabla1[[#This Row],[EJECUTADO 01]:[EJECUTADO 09]])</f>
        <v>0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1656</v>
      </c>
      <c r="AD316" s="369" t="s">
        <v>1657</v>
      </c>
      <c r="AE316" s="369" t="s">
        <v>1660</v>
      </c>
      <c r="AF316" s="369" t="s">
        <v>1661</v>
      </c>
      <c r="AG316" s="369" t="s">
        <v>1663</v>
      </c>
      <c r="AH316" s="369">
        <v>0</v>
      </c>
      <c r="AI316" s="369">
        <v>37057</v>
      </c>
      <c r="AJ316" s="369">
        <v>37057</v>
      </c>
      <c r="AK316" s="370">
        <v>37057</v>
      </c>
      <c r="AL316" s="370">
        <v>37057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0</v>
      </c>
      <c r="AU316" s="370">
        <v>9150</v>
      </c>
      <c r="AV316" s="370">
        <v>9150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9150</v>
      </c>
      <c r="BH316" s="370">
        <v>9150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9150</v>
      </c>
      <c r="BT316" s="370">
        <v>8109.64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0</v>
      </c>
      <c r="CE316" s="370">
        <v>9150</v>
      </c>
      <c r="CF316" s="370">
        <v>8109.64</v>
      </c>
      <c r="CG316" s="370">
        <v>0</v>
      </c>
      <c r="CH316" s="370">
        <v>0</v>
      </c>
      <c r="CI316" s="48" t="s">
        <v>1987</v>
      </c>
      <c r="CJ316" s="48" t="s">
        <v>1990</v>
      </c>
      <c r="CK316" s="48" t="s">
        <v>1990</v>
      </c>
      <c r="CL316" s="48" t="s">
        <v>2010</v>
      </c>
      <c r="CM316" s="48" t="s">
        <v>1990</v>
      </c>
      <c r="CN316" s="48" t="s">
        <v>1987</v>
      </c>
      <c r="CO316" s="10" t="str">
        <f>+CONCATENATE(CI316,".",CJ316,".",CK316,".",CL316,".",CM316,".",CN316)</f>
        <v>2.1.1.13.1.2</v>
      </c>
      <c r="CP316" s="10" t="str">
        <f>+VLOOKUP(Tabla1[[#This Row],[ESPECÍFICA]],CLASIFICADOR_,2,0)</f>
        <v>2.1.1.13.1.2 - CONTRATO ADMINISTRATIVO DE SERVICIOS - TRANSITORIO</v>
      </c>
      <c r="CQ316" s="10" t="str">
        <f>+VLOOKUP(Tabla1[[#This Row],[ESPECÍFICA]],CLASIFICADOR_,3,0)</f>
        <v>01.CAS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2.1.PERSONAL Y OBLIGACIONES SOCIALES</v>
      </c>
      <c r="CX316" s="10" t="str">
        <f t="shared" ref="CX316:CX321" si="105">+VLOOKUP(U316,CC_COMPLETO,2,0)</f>
        <v>0022-DETN</v>
      </c>
      <c r="CY316" s="5" t="str">
        <f t="shared" ref="CY316:CY321" si="106">+VLOOKUP(U316,CC_COMPLETO,3,0)</f>
        <v>0022-DETN ( OPI TEC NOR)</v>
      </c>
      <c r="CZ316">
        <f t="shared" ref="CZ316:CZ321" si="107">+VLOOKUP(U316,CC_COMPLETO,4,0)</f>
        <v>0</v>
      </c>
      <c r="DA316" s="5" t="str">
        <f>+CONCATENATE(Tabla1[[#This Row],[CC COMPLETO]],Tabla1[[#This Row],[ESPECÍFICA]])</f>
        <v>0022-DETN2.1.1.13.1.2</v>
      </c>
      <c r="DB316" s="11">
        <f>SUM(AM316:AX316)</f>
        <v>18300</v>
      </c>
      <c r="DC316" s="11">
        <f>+SUM(AY316:BJ316)</f>
        <v>18300</v>
      </c>
      <c r="DD316" s="11">
        <f>+SUM(BK316:BV316)</f>
        <v>17259.64</v>
      </c>
      <c r="DE316" s="11">
        <f>+AJ316-AK316</f>
        <v>0</v>
      </c>
      <c r="DF316" s="11">
        <f>+AK316-AL316</f>
        <v>0</v>
      </c>
      <c r="DG316" s="11">
        <f>+AL316-DC316</f>
        <v>18757</v>
      </c>
      <c r="DH316" s="11">
        <f>+AJ316-DC316</f>
        <v>18757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9150</v>
      </c>
      <c r="DT316" s="76">
        <f>IFERROR(VLOOKUP(Tabla1[[#This Row],[COD SE]],PF_OCTUBRE,14,0),"0")</f>
        <v>9150</v>
      </c>
      <c r="DU316" s="76">
        <f>IFERROR(VLOOKUP(Tabla1[[#This Row],[COD SE]],PF_OCTUBRE,15,0),"0")</f>
        <v>9150</v>
      </c>
      <c r="DV316" s="76">
        <f>IFERROR(VLOOKUP(Tabla1[[#This Row],[COD SE]],PF_OCTUBRE,16,0),"0")</f>
        <v>0</v>
      </c>
      <c r="DW316" s="76">
        <f>+SUM(Tabla1[[#This Row],[EJECUTADO 01]:[PF DICIEMBRE
]])</f>
        <v>27450</v>
      </c>
      <c r="DX316" s="76">
        <f>IFERROR(VLOOKUP(Tabla1[[#This Row],[COD SE]],PF_OCTUBRE,18,0),"0")</f>
        <v>0</v>
      </c>
      <c r="DY316" s="76">
        <f>IFERROR(VLOOKUP(Tabla1[[#This Row],[COD SE]],PF_OCTUBRE,19,0),"0")</f>
        <v>9607</v>
      </c>
      <c r="DZ316" s="76">
        <f>IFERROR(VLOOKUP(Tabla1[[#This Row],[COD SE]],PF_OCTUBRE,20,0),"0")</f>
        <v>9607</v>
      </c>
      <c r="EA316" s="76">
        <f>+Tabla1[[#This Row],[TOTAL EJEC REAL]]+Tabla1[[#This Row],[SALDO FINAL]]</f>
        <v>37057</v>
      </c>
      <c r="EB316" s="76">
        <f>IFERROR(VLOOKUP(Tabla1[[#This Row],[COD SE]],PF_OCTUBRE,22,0),"0")</f>
        <v>9607</v>
      </c>
      <c r="EC316" s="76">
        <f>+IFERROR(VLOOKUP(Tabla1[[#This Row],[COD SE]],SALDO_ESC_2,7,0),0)</f>
        <v>0</v>
      </c>
      <c r="ED316" s="76">
        <f>+IFERROR(VLOOKUP(Tabla1[[#This Row],[COD SE]],SALDO_ESC_3,7,0),0)</f>
        <v>9607</v>
      </c>
      <c r="EE316" s="76">
        <f>+Tabla1[[#This Row],[mto_pim]]-Tabla1[[#This Row],[TRANSF ESC2 ]]</f>
        <v>37057</v>
      </c>
      <c r="EF316" s="76">
        <f>+Tabla1[[#This Row],[mto_pim]]-Tabla1[[#This Row],[TRANFS ESC 3 ]]</f>
        <v>27450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9150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9150</v>
      </c>
      <c r="ES316" s="58">
        <f>+SUM(Tabla1[[#This Row],[PF OCTUBRE]:[PF DICIEMBRE
]])</f>
        <v>18300</v>
      </c>
      <c r="ET316" s="58">
        <f>+SUM(Tabla1[[#This Row],[EJECUTADO 01]:[EJECUTADO 09]])</f>
        <v>9150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2069</v>
      </c>
      <c r="K317" s="369" t="s">
        <v>1975</v>
      </c>
      <c r="L317" s="369" t="s">
        <v>2034</v>
      </c>
      <c r="M317" s="369" t="s">
        <v>2035</v>
      </c>
      <c r="N317" s="369">
        <v>3</v>
      </c>
      <c r="O317" s="369" t="s">
        <v>2072</v>
      </c>
      <c r="P317" s="369" t="s">
        <v>2032</v>
      </c>
      <c r="Q317" s="369">
        <v>19</v>
      </c>
      <c r="R317" s="369">
        <v>0</v>
      </c>
      <c r="S317" s="369">
        <v>0</v>
      </c>
      <c r="T317" s="369">
        <v>0</v>
      </c>
      <c r="U317" s="369">
        <v>22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1672</v>
      </c>
      <c r="AD317" s="369" t="s">
        <v>1673</v>
      </c>
      <c r="AE317" s="369" t="s">
        <v>1693</v>
      </c>
      <c r="AF317" s="369" t="s">
        <v>1694</v>
      </c>
      <c r="AG317" s="369" t="s">
        <v>1695</v>
      </c>
      <c r="AH317" s="369">
        <v>0</v>
      </c>
      <c r="AI317" s="369">
        <v>6900</v>
      </c>
      <c r="AJ317" s="369">
        <v>6900</v>
      </c>
      <c r="AK317" s="370">
        <v>0</v>
      </c>
      <c r="AL317" s="370">
        <v>0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0</v>
      </c>
      <c r="AV317" s="370">
        <v>0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0</v>
      </c>
      <c r="BH317" s="370">
        <v>0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0</v>
      </c>
      <c r="BT317" s="370">
        <v>0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0</v>
      </c>
      <c r="CF317" s="370">
        <v>0</v>
      </c>
      <c r="CG317" s="370">
        <v>0</v>
      </c>
      <c r="CH317" s="370">
        <v>0</v>
      </c>
      <c r="CI317" s="48" t="s">
        <v>1987</v>
      </c>
      <c r="CJ317" s="48" t="s">
        <v>1991</v>
      </c>
      <c r="CK317" s="48" t="s">
        <v>1987</v>
      </c>
      <c r="CL317" s="48" t="s">
        <v>2011</v>
      </c>
      <c r="CM317" s="48" t="s">
        <v>1990</v>
      </c>
      <c r="CN317" s="48" t="s">
        <v>1998</v>
      </c>
      <c r="CO317" s="10" t="str">
        <f>+CONCATENATE(CI317,".",CJ317,".",CK317,".",CL317,".",CM317,".",CN317)</f>
        <v>2.3.2.5.1.99</v>
      </c>
      <c r="CP317" s="10" t="str">
        <f>+VLOOKUP(Tabla1[[#This Row],[ESPECÍFICA]],CLASIFICADOR_,2,0)</f>
        <v>2.3.2.5.1.99 - DE OTROS BIENES Y ACTIVOS</v>
      </c>
      <c r="CQ317" s="10" t="str">
        <f>+VLOOKUP(Tabla1[[#This Row],[ESPECÍFICA]],CLASIFICADOR_,3,0)</f>
        <v>2.3.2.5 - ALQUILERES DE MUEBLES E INMUEBLES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2.3.BIENES Y SERVICIOS</v>
      </c>
      <c r="CX317" s="10" t="str">
        <f t="shared" si="105"/>
        <v>0022-DETN</v>
      </c>
      <c r="CY317" s="5" t="str">
        <f t="shared" si="106"/>
        <v>0022-DETN ( OPI TEC NOR)</v>
      </c>
      <c r="CZ317">
        <f t="shared" si="107"/>
        <v>0</v>
      </c>
      <c r="DA317" s="5" t="str">
        <f>+CONCATENATE(Tabla1[[#This Row],[CC COMPLETO]],Tabla1[[#This Row],[ESPECÍFICA]])</f>
        <v>0022-DETN2.3.2.5.1.99</v>
      </c>
      <c r="DB317" s="11">
        <f>SUM(AM317:AX317)</f>
        <v>0</v>
      </c>
      <c r="DC317" s="11">
        <f>+SUM(AY317:BJ317)</f>
        <v>0</v>
      </c>
      <c r="DD317" s="11">
        <f>+SUM(BK317:BV317)</f>
        <v>0</v>
      </c>
      <c r="DE317" s="11">
        <f>+AJ317-AK317</f>
        <v>6900</v>
      </c>
      <c r="DF317" s="11">
        <f>+AK317-AL317</f>
        <v>0</v>
      </c>
      <c r="DG317" s="11">
        <f>+AL317-DC317</f>
        <v>0</v>
      </c>
      <c r="DH317" s="11">
        <f>+AJ317-DC317</f>
        <v>6900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0</v>
      </c>
      <c r="DT317" s="76" t="str">
        <f>IFERROR(VLOOKUP(Tabla1[[#This Row],[COD SE]],PF_OCTUBRE,14,0),"0")</f>
        <v>0</v>
      </c>
      <c r="DU317" s="76" t="str">
        <f>IFERROR(VLOOKUP(Tabla1[[#This Row],[COD SE]],PF_OCTUBRE,15,0),"0")</f>
        <v>0</v>
      </c>
      <c r="DV317" s="76" t="str">
        <f>IFERROR(VLOOKUP(Tabla1[[#This Row],[COD SE]],PF_OCTUBRE,16,0),"0")</f>
        <v>0</v>
      </c>
      <c r="DW317" s="76">
        <f>+SUM(Tabla1[[#This Row],[EJECUTADO 01]:[PF DICIEMBRE
]])</f>
        <v>0</v>
      </c>
      <c r="DX317" s="76" t="str">
        <f>IFERROR(VLOOKUP(Tabla1[[#This Row],[COD SE]],PF_OCTUBRE,18,0),"0")</f>
        <v>0</v>
      </c>
      <c r="DY317" s="76" t="str">
        <f>IFERROR(VLOOKUP(Tabla1[[#This Row],[COD SE]],PF_OCTUBRE,19,0),"0")</f>
        <v>0</v>
      </c>
      <c r="DZ317" s="76" t="str">
        <f>IFERROR(VLOOKUP(Tabla1[[#This Row],[COD SE]],PF_OCTUBRE,20,0),"0")</f>
        <v>0</v>
      </c>
      <c r="EA317" s="76">
        <f>+Tabla1[[#This Row],[TOTAL EJEC REAL]]+Tabla1[[#This Row],[SALDO FINAL]]</f>
        <v>0</v>
      </c>
      <c r="EB317" s="76" t="str">
        <f>IFERROR(VLOOKUP(Tabla1[[#This Row],[COD SE]],PF_OCTUBRE,22,0),"0")</f>
        <v>0</v>
      </c>
      <c r="EC317" s="76">
        <f>+IFERROR(VLOOKUP(Tabla1[[#This Row],[COD SE]],SALDO_ESC_2,7,0),0)</f>
        <v>0</v>
      </c>
      <c r="ED317" s="76">
        <f>+IFERROR(VLOOKUP(Tabla1[[#This Row],[COD SE]],SALDO_ESC_3,7,0),0)</f>
        <v>0</v>
      </c>
      <c r="EE317" s="76">
        <f>+Tabla1[[#This Row],[mto_pim]]-Tabla1[[#This Row],[TRANSF ESC2 ]]</f>
        <v>6900</v>
      </c>
      <c r="EF317" s="76">
        <f>+Tabla1[[#This Row],[mto_pim]]-Tabla1[[#This Row],[TRANFS ESC 3 ]]</f>
        <v>6900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0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0</v>
      </c>
      <c r="ES317" s="58">
        <f>+SUM(Tabla1[[#This Row],[PF OCTUBRE]:[PF DICIEMBRE
]])</f>
        <v>0</v>
      </c>
      <c r="ET317" s="58">
        <f>+SUM(Tabla1[[#This Row],[EJECUTADO 01]:[EJECUTADO 09]])</f>
        <v>0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2069</v>
      </c>
      <c r="K318" s="369" t="s">
        <v>1975</v>
      </c>
      <c r="L318" s="369" t="s">
        <v>2034</v>
      </c>
      <c r="M318" s="369" t="s">
        <v>2035</v>
      </c>
      <c r="N318" s="369">
        <v>3</v>
      </c>
      <c r="O318" s="369" t="s">
        <v>2072</v>
      </c>
      <c r="P318" s="369" t="s">
        <v>2032</v>
      </c>
      <c r="Q318" s="369">
        <v>19</v>
      </c>
      <c r="R318" s="369">
        <v>0</v>
      </c>
      <c r="S318" s="369">
        <v>0</v>
      </c>
      <c r="T318" s="369">
        <v>0</v>
      </c>
      <c r="U318" s="369">
        <v>22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1668</v>
      </c>
      <c r="AE318" s="369" t="s">
        <v>1669</v>
      </c>
      <c r="AF318" s="369" t="s">
        <v>1669</v>
      </c>
      <c r="AG318" s="369" t="s">
        <v>1671</v>
      </c>
      <c r="AH318" s="369">
        <v>0</v>
      </c>
      <c r="AI318" s="369">
        <v>4358</v>
      </c>
      <c r="AJ318" s="369">
        <v>4358</v>
      </c>
      <c r="AK318" s="370">
        <v>4358</v>
      </c>
      <c r="AL318" s="370">
        <v>4358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1300.08</v>
      </c>
      <c r="AV318" s="370">
        <v>1300.08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1300.08</v>
      </c>
      <c r="BH318" s="370">
        <v>1300.08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1300.08</v>
      </c>
      <c r="BT318" s="370">
        <v>1300.08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1300.08</v>
      </c>
      <c r="CF318" s="370">
        <v>1300.08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1991</v>
      </c>
      <c r="CL318" s="48" t="s">
        <v>1990</v>
      </c>
      <c r="CM318" s="48" t="s">
        <v>1990</v>
      </c>
      <c r="CN318" s="48" t="s">
        <v>2014</v>
      </c>
      <c r="CO318" s="10" t="str">
        <f t="shared" ref="CO318:CO319" si="108">+CONCATENATE(CI318,".",CJ318,".",CK318,".",CL318,".",CM318,".",CN318)</f>
        <v>2.1.3.1.1.15</v>
      </c>
      <c r="CP318" s="10" t="str">
        <f>+VLOOKUP(Tabla1[[#This Row],[ESPECÍFICA]],CLASIFICADOR_,2,0)</f>
        <v>2.1.3.1.1.15 - CONTRIBUCIONES A ESSALUD DE CONTRATO ADMINISTRATIVO DE SERVICIOS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5"/>
        <v>0022-DETN</v>
      </c>
      <c r="CY318" s="5" t="str">
        <f t="shared" si="106"/>
        <v>0022-DETN ( OPI TEC NOR)</v>
      </c>
      <c r="CZ318">
        <f t="shared" si="107"/>
        <v>0</v>
      </c>
      <c r="DA318" s="5" t="str">
        <f>+CONCATENATE(Tabla1[[#This Row],[CC COMPLETO]],Tabla1[[#This Row],[ESPECÍFICA]])</f>
        <v>0022-DETN2.1.3.1.1.15</v>
      </c>
      <c r="DB318" s="11">
        <f t="shared" ref="DB318:DB319" si="109">SUM(AM318:AX318)</f>
        <v>2600.16</v>
      </c>
      <c r="DC318" s="11">
        <f t="shared" ref="DC318:DC319" si="110">+SUM(AY318:BJ318)</f>
        <v>2600.16</v>
      </c>
      <c r="DD318" s="11">
        <f t="shared" ref="DD318:DD319" si="111">+SUM(BK318:BV318)</f>
        <v>2600.16</v>
      </c>
      <c r="DE318" s="11">
        <f t="shared" ref="DE318:DE319" si="112">+AJ318-AK318</f>
        <v>0</v>
      </c>
      <c r="DF318" s="11">
        <f t="shared" ref="DF318:DF319" si="113">+AK318-AL318</f>
        <v>0</v>
      </c>
      <c r="DG318" s="11">
        <f t="shared" ref="DG318:DG319" si="114">+AL318-DC318</f>
        <v>1757.8400000000001</v>
      </c>
      <c r="DH318" s="11">
        <f t="shared" ref="DH318:DH319" si="115">+AJ318-DC318</f>
        <v>1757.8400000000001</v>
      </c>
      <c r="DI318" s="12">
        <f t="shared" ref="DI318:DI319" si="116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1300.08</v>
      </c>
      <c r="DT318" s="76">
        <f>IFERROR(VLOOKUP(Tabla1[[#This Row],[COD SE]],PF_OCTUBRE,14,0),"0")</f>
        <v>1300.0800000000002</v>
      </c>
      <c r="DU318" s="76">
        <f>IFERROR(VLOOKUP(Tabla1[[#This Row],[COD SE]],PF_OCTUBRE,15,0),"0")</f>
        <v>1300.0800000000002</v>
      </c>
      <c r="DV318" s="76">
        <f>IFERROR(VLOOKUP(Tabla1[[#This Row],[COD SE]],PF_OCTUBRE,16,0),"0")</f>
        <v>0</v>
      </c>
      <c r="DW318" s="76">
        <f>+SUM(Tabla1[[#This Row],[EJECUTADO 01]:[PF DICIEMBRE
]])</f>
        <v>3900.24</v>
      </c>
      <c r="DX318" s="76">
        <f>IFERROR(VLOOKUP(Tabla1[[#This Row],[COD SE]],PF_OCTUBRE,18,0),"0")</f>
        <v>0</v>
      </c>
      <c r="DY318" s="76">
        <f>IFERROR(VLOOKUP(Tabla1[[#This Row],[COD SE]],PF_OCTUBRE,19,0),"0")</f>
        <v>457.76</v>
      </c>
      <c r="DZ318" s="76">
        <f>IFERROR(VLOOKUP(Tabla1[[#This Row],[COD SE]],PF_OCTUBRE,20,0),"0")</f>
        <v>457.76</v>
      </c>
      <c r="EA318" s="76">
        <f>+Tabla1[[#This Row],[TOTAL EJEC REAL]]+Tabla1[[#This Row],[SALDO FINAL]]</f>
        <v>4358</v>
      </c>
      <c r="EB318" s="76">
        <f>IFERROR(VLOOKUP(Tabla1[[#This Row],[COD SE]],PF_OCTUBRE,22,0),"0")</f>
        <v>457.76</v>
      </c>
      <c r="EC318" s="76">
        <f>+IFERROR(VLOOKUP(Tabla1[[#This Row],[COD SE]],SALDO_ESC_2,7,0),0)</f>
        <v>0</v>
      </c>
      <c r="ED318" s="76">
        <f>+IFERROR(VLOOKUP(Tabla1[[#This Row],[COD SE]],SALDO_ESC_3,7,0),0)</f>
        <v>457.76</v>
      </c>
      <c r="EE318" s="76">
        <f>+Tabla1[[#This Row],[mto_pim]]-Tabla1[[#This Row],[TRANSF ESC2 ]]</f>
        <v>4358</v>
      </c>
      <c r="EF318" s="76">
        <f>+Tabla1[[#This Row],[mto_pim]]-Tabla1[[#This Row],[TRANFS ESC 3 ]]</f>
        <v>3900.24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1300.0800000000002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1300.08</v>
      </c>
      <c r="ES318" s="58">
        <f>+SUM(Tabla1[[#This Row],[PF OCTUBRE]:[PF DICIEMBRE
]])</f>
        <v>2600.1600000000003</v>
      </c>
      <c r="ET318" s="58">
        <f>+SUM(Tabla1[[#This Row],[EJECUTADO 01]:[EJECUTADO 09]])</f>
        <v>1300.08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2069</v>
      </c>
      <c r="K319" s="369" t="s">
        <v>1975</v>
      </c>
      <c r="L319" s="369" t="s">
        <v>2034</v>
      </c>
      <c r="M319" s="369" t="s">
        <v>2035</v>
      </c>
      <c r="N319" s="369">
        <v>3</v>
      </c>
      <c r="O319" s="369" t="s">
        <v>2072</v>
      </c>
      <c r="P319" s="369" t="s">
        <v>2032</v>
      </c>
      <c r="Q319" s="369">
        <v>19</v>
      </c>
      <c r="R319" s="369">
        <v>0</v>
      </c>
      <c r="S319" s="369">
        <v>0</v>
      </c>
      <c r="T319" s="369">
        <v>0</v>
      </c>
      <c r="U319" s="369">
        <v>22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1672</v>
      </c>
      <c r="AD319" s="369" t="s">
        <v>1673</v>
      </c>
      <c r="AE319" s="369" t="s">
        <v>1681</v>
      </c>
      <c r="AF319" s="369" t="s">
        <v>1682</v>
      </c>
      <c r="AG319" s="369" t="s">
        <v>1682</v>
      </c>
      <c r="AH319" s="369">
        <v>0</v>
      </c>
      <c r="AI319" s="369">
        <v>36000</v>
      </c>
      <c r="AJ319" s="369">
        <v>36000</v>
      </c>
      <c r="AK319" s="370">
        <v>36000</v>
      </c>
      <c r="AL319" s="370">
        <v>36000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36000</v>
      </c>
      <c r="AU319" s="370">
        <v>0</v>
      </c>
      <c r="AV319" s="370">
        <v>0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11880</v>
      </c>
      <c r="BH319" s="370">
        <v>0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0</v>
      </c>
      <c r="BT319" s="370">
        <v>11880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11880</v>
      </c>
      <c r="CE319" s="370">
        <v>0</v>
      </c>
      <c r="CF319" s="370">
        <v>0</v>
      </c>
      <c r="CG319" s="370">
        <v>0</v>
      </c>
      <c r="CH319" s="370">
        <v>0</v>
      </c>
      <c r="CI319" s="48" t="s">
        <v>1987</v>
      </c>
      <c r="CJ319" s="48" t="s">
        <v>1991</v>
      </c>
      <c r="CK319" s="48" t="s">
        <v>1987</v>
      </c>
      <c r="CL319" s="48" t="s">
        <v>2005</v>
      </c>
      <c r="CM319" s="48" t="s">
        <v>1990</v>
      </c>
      <c r="CN319" s="48" t="s">
        <v>1990</v>
      </c>
      <c r="CO319" s="10" t="str">
        <f t="shared" si="108"/>
        <v>2.3.2.9.1.1</v>
      </c>
      <c r="CP319" s="10" t="str">
        <f>+VLOOKUP(Tabla1[[#This Row],[ESPECÍFICA]],CLASIFICADOR_,2,0)</f>
        <v>2.3.2.9.1.1 - LOCACIÓN DE SERVICIOS REALIZADOS POR PERSONA NATURAL</v>
      </c>
      <c r="CQ319" s="10" t="str">
        <f>+VLOOKUP(Tabla1[[#This Row],[ESPECÍFICA]],CLASIFICADOR_,3,0)</f>
        <v>2.3.2.9 - LOCACIÓN DE SERVICIOS REALIZADOS POR PERSONA NATURAL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2.3.BIENES Y SERVICIOS</v>
      </c>
      <c r="CX319" s="10" t="str">
        <f t="shared" si="105"/>
        <v>0022-DETN</v>
      </c>
      <c r="CY319" s="5" t="str">
        <f t="shared" si="106"/>
        <v>0022-DETN ( OPI TEC NOR)</v>
      </c>
      <c r="CZ319">
        <f t="shared" si="107"/>
        <v>0</v>
      </c>
      <c r="DA319" s="5" t="str">
        <f>+CONCATENATE(Tabla1[[#This Row],[CC COMPLETO]],Tabla1[[#This Row],[ESPECÍFICA]])</f>
        <v>0022-DETN2.3.2.9.1.1</v>
      </c>
      <c r="DB319" s="11">
        <f t="shared" si="109"/>
        <v>36000</v>
      </c>
      <c r="DC319" s="11">
        <f t="shared" si="110"/>
        <v>11880</v>
      </c>
      <c r="DD319" s="11">
        <f t="shared" si="111"/>
        <v>11880</v>
      </c>
      <c r="DE319" s="11">
        <f t="shared" si="112"/>
        <v>0</v>
      </c>
      <c r="DF319" s="11">
        <f t="shared" si="113"/>
        <v>0</v>
      </c>
      <c r="DG319" s="11">
        <f t="shared" si="114"/>
        <v>24120</v>
      </c>
      <c r="DH319" s="11">
        <f t="shared" si="115"/>
        <v>24120</v>
      </c>
      <c r="DI319" s="12">
        <f t="shared" si="116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11880</v>
      </c>
      <c r="DT319" s="76">
        <f>IFERROR(VLOOKUP(Tabla1[[#This Row],[COD SE]],PF_OCTUBRE,14,0),"0")</f>
        <v>11880</v>
      </c>
      <c r="DU319" s="76">
        <f>IFERROR(VLOOKUP(Tabla1[[#This Row],[COD SE]],PF_OCTUBRE,15,0),"0")</f>
        <v>12240</v>
      </c>
      <c r="DV319" s="76">
        <f>IFERROR(VLOOKUP(Tabla1[[#This Row],[COD SE]],PF_OCTUBRE,16,0),"0")</f>
        <v>0</v>
      </c>
      <c r="DW319" s="76">
        <f>+SUM(Tabla1[[#This Row],[EJECUTADO 01]:[PF DICIEMBRE
]])</f>
        <v>36000</v>
      </c>
      <c r="DX319" s="76">
        <f>IFERROR(VLOOKUP(Tabla1[[#This Row],[COD SE]],PF_OCTUBRE,18,0),"0")</f>
        <v>0</v>
      </c>
      <c r="DY319" s="76">
        <f>IFERROR(VLOOKUP(Tabla1[[#This Row],[COD SE]],PF_OCTUBRE,19,0),"0")</f>
        <v>0</v>
      </c>
      <c r="DZ319" s="76">
        <f>IFERROR(VLOOKUP(Tabla1[[#This Row],[COD SE]],PF_OCTUBRE,20,0),"0")</f>
        <v>0</v>
      </c>
      <c r="EA319" s="76">
        <f>+Tabla1[[#This Row],[TOTAL EJEC REAL]]+Tabla1[[#This Row],[SALDO FINAL]]</f>
        <v>36000</v>
      </c>
      <c r="EB319" s="76">
        <f>IFERROR(VLOOKUP(Tabla1[[#This Row],[COD SE]],PF_OCTUBRE,22,0),"0")</f>
        <v>0</v>
      </c>
      <c r="EC319" s="76">
        <f>+IFERROR(VLOOKUP(Tabla1[[#This Row],[COD SE]],SALDO_ESC_2,7,0),0)</f>
        <v>0</v>
      </c>
      <c r="ED319" s="76">
        <f>+IFERROR(VLOOKUP(Tabla1[[#This Row],[COD SE]],SALDO_ESC_3,7,0),0)</f>
        <v>0</v>
      </c>
      <c r="EE319" s="76">
        <f>+Tabla1[[#This Row],[mto_pim]]-Tabla1[[#This Row],[TRANSF ESC2 ]]</f>
        <v>36000</v>
      </c>
      <c r="EF319" s="76">
        <f>+Tabla1[[#This Row],[mto_pim]]-Tabla1[[#This Row],[TRANFS ESC 3 ]]</f>
        <v>36000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12000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11880</v>
      </c>
      <c r="ES319" s="58">
        <f>+SUM(Tabla1[[#This Row],[PF OCTUBRE]:[PF DICIEMBRE
]])</f>
        <v>24120</v>
      </c>
      <c r="ET319" s="58">
        <f>+SUM(Tabla1[[#This Row],[EJECUTADO 01]:[EJECUTADO 09]])</f>
        <v>11880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1664</v>
      </c>
      <c r="AF320" s="369" t="s">
        <v>1665</v>
      </c>
      <c r="AG320" s="369" t="s">
        <v>1667</v>
      </c>
      <c r="AH320" s="369">
        <v>0</v>
      </c>
      <c r="AI320" s="369">
        <v>1500</v>
      </c>
      <c r="AJ320" s="369">
        <v>1500</v>
      </c>
      <c r="AK320" s="370">
        <v>1500</v>
      </c>
      <c r="AL320" s="370">
        <v>1500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0</v>
      </c>
      <c r="AV320" s="370">
        <v>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0</v>
      </c>
      <c r="BH320" s="370">
        <v>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0</v>
      </c>
      <c r="BT320" s="370">
        <v>0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0</v>
      </c>
      <c r="CF320" s="370">
        <v>0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2005</v>
      </c>
      <c r="CM320" s="48" t="s">
        <v>1990</v>
      </c>
      <c r="CN320" s="48" t="s">
        <v>1993</v>
      </c>
      <c r="CO320" s="10" t="str">
        <f>+CONCATENATE(CI320,".",CJ320,".",CK320,".",CL320,".",CM320,".",CN320)</f>
        <v>2.1.1.9.1.4</v>
      </c>
      <c r="CP320" s="10" t="str">
        <f>+VLOOKUP(Tabla1[[#This Row],[ESPECÍFICA]],CLASIFICADOR_,2,0)</f>
        <v>2.1.1.9.1.4 - AGUINALDOS DE CONTRATO ADMINISTRATIVO DE SERVICIOS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5"/>
        <v>0018-DCEME</v>
      </c>
      <c r="CY320" s="5" t="str">
        <f t="shared" si="106"/>
        <v>0018-DCEME (C X ENCARGO)</v>
      </c>
      <c r="CZ320">
        <f t="shared" si="107"/>
        <v>0</v>
      </c>
      <c r="DA320" s="5" t="str">
        <f>+CONCATENATE(Tabla1[[#This Row],[CC COMPLETO]],Tabla1[[#This Row],[ESPECÍFICA]])</f>
        <v>0018-DCEME2.1.1.9.1.4</v>
      </c>
      <c r="DB320" s="11">
        <f>SUM(AM320:AX320)</f>
        <v>0</v>
      </c>
      <c r="DC320" s="11">
        <f>+SUM(AY320:BJ320)</f>
        <v>0</v>
      </c>
      <c r="DD320" s="11">
        <f>+SUM(BK320:BV320)</f>
        <v>0</v>
      </c>
      <c r="DE320" s="11">
        <f>+AJ320-AK320</f>
        <v>0</v>
      </c>
      <c r="DF320" s="11">
        <f>+AK320-AL320</f>
        <v>0</v>
      </c>
      <c r="DG320" s="11">
        <f>+AL320-DC320</f>
        <v>1500</v>
      </c>
      <c r="DH320" s="11">
        <f>+AJ320-DC320</f>
        <v>1500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0</v>
      </c>
      <c r="DT320" s="76">
        <f>IFERROR(VLOOKUP(Tabla1[[#This Row],[COD SE]],PF_OCTUBRE,14,0),"0")</f>
        <v>0</v>
      </c>
      <c r="DU320" s="76">
        <f>IFERROR(VLOOKUP(Tabla1[[#This Row],[COD SE]],PF_OCTUBRE,15,0),"0")</f>
        <v>0</v>
      </c>
      <c r="DV320" s="76">
        <f>IFERROR(VLOOKUP(Tabla1[[#This Row],[COD SE]],PF_OCTUBRE,16,0),"0")</f>
        <v>1500</v>
      </c>
      <c r="DW320" s="76">
        <f>+SUM(Tabla1[[#This Row],[EJECUTADO 01]:[PF DICIEMBRE
]])</f>
        <v>1500</v>
      </c>
      <c r="DX320" s="76">
        <f>IFERROR(VLOOKUP(Tabla1[[#This Row],[COD SE]],PF_OCTUBRE,18,0),"0")</f>
        <v>0</v>
      </c>
      <c r="DY320" s="76">
        <f>IFERROR(VLOOKUP(Tabla1[[#This Row],[COD SE]],PF_OCTUBRE,19,0),"0")</f>
        <v>0</v>
      </c>
      <c r="DZ320" s="76">
        <f>IFERROR(VLOOKUP(Tabla1[[#This Row],[COD SE]],PF_OCTUBRE,20,0),"0")</f>
        <v>0</v>
      </c>
      <c r="EA320" s="76">
        <f>+Tabla1[[#This Row],[TOTAL EJEC REAL]]+Tabla1[[#This Row],[SALDO FINAL]]</f>
        <v>1500</v>
      </c>
      <c r="EB320" s="76">
        <f>IFERROR(VLOOKUP(Tabla1[[#This Row],[COD SE]],PF_OCTUBRE,22,0),"0")</f>
        <v>1500</v>
      </c>
      <c r="EC320" s="76">
        <f>+IFERROR(VLOOKUP(Tabla1[[#This Row],[COD SE]],SALDO_ESC_2,7,0),0)</f>
        <v>0</v>
      </c>
      <c r="ED320" s="76">
        <f>+IFERROR(VLOOKUP(Tabla1[[#This Row],[COD SE]],SALDO_ESC_3,7,0),0)</f>
        <v>0</v>
      </c>
      <c r="EE320" s="76">
        <f>+Tabla1[[#This Row],[mto_pim]]-Tabla1[[#This Row],[TRANSF ESC2 ]]</f>
        <v>1500</v>
      </c>
      <c r="EF320" s="76">
        <f>+Tabla1[[#This Row],[mto_pim]]-Tabla1[[#This Row],[TRANFS ESC 3 ]]</f>
        <v>1500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0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0</v>
      </c>
      <c r="ES320" s="58">
        <f>+SUM(Tabla1[[#This Row],[PF OCTUBRE]:[PF DICIEMBRE
]])</f>
        <v>1500</v>
      </c>
      <c r="ET320" s="58">
        <f>+SUM(Tabla1[[#This Row],[EJECUTADO 01]:[EJECUTADO 09]])</f>
        <v>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1</v>
      </c>
      <c r="O321" s="369" t="s">
        <v>2074</v>
      </c>
      <c r="P321" s="369" t="s">
        <v>2032</v>
      </c>
      <c r="Q321" s="369">
        <v>5</v>
      </c>
      <c r="R321" s="369">
        <v>0</v>
      </c>
      <c r="S321" s="369">
        <v>0</v>
      </c>
      <c r="T321" s="369">
        <v>0</v>
      </c>
      <c r="U321" s="369">
        <v>18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1668</v>
      </c>
      <c r="AE321" s="369" t="s">
        <v>1669</v>
      </c>
      <c r="AF321" s="369" t="s">
        <v>1669</v>
      </c>
      <c r="AG321" s="369" t="s">
        <v>1671</v>
      </c>
      <c r="AH321" s="369">
        <v>0</v>
      </c>
      <c r="AI321" s="369">
        <v>4334</v>
      </c>
      <c r="AJ321" s="369">
        <v>4334</v>
      </c>
      <c r="AK321" s="370">
        <v>4334</v>
      </c>
      <c r="AL321" s="370">
        <v>3684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866.72</v>
      </c>
      <c r="AV321" s="370">
        <v>866.72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866.72</v>
      </c>
      <c r="BH321" s="370">
        <v>866.72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866.72</v>
      </c>
      <c r="BT321" s="370">
        <v>866.72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866.72</v>
      </c>
      <c r="CF321" s="370">
        <v>866.72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1991</v>
      </c>
      <c r="CL321" s="48" t="s">
        <v>1990</v>
      </c>
      <c r="CM321" s="48" t="s">
        <v>1990</v>
      </c>
      <c r="CN321" s="48" t="s">
        <v>2014</v>
      </c>
      <c r="CO321" s="48" t="str">
        <f>+CONCATENATE(CI321,".",CJ321,".",CK321,".",CL321,".",CM321,".",CN321)</f>
        <v>2.1.3.1.1.15</v>
      </c>
      <c r="CP321" s="48" t="str">
        <f>+VLOOKUP(Tabla1[[#This Row],[ESPECÍFICA]],CLASIFICADOR_,2,0)</f>
        <v>2.1.3.1.1.15 - CONTRIBUCIONES A ESSALUD DE CONTRATO ADMINISTRATIVO DE SERVICIOS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5"/>
        <v>0018-DCEME</v>
      </c>
      <c r="CY321" s="113" t="str">
        <f t="shared" si="106"/>
        <v>0018-DCEME (C X ENCARGO)</v>
      </c>
      <c r="CZ321" s="20">
        <f t="shared" si="107"/>
        <v>0</v>
      </c>
      <c r="DA321" s="113" t="str">
        <f>+CONCATENATE(Tabla1[[#This Row],[CC COMPLETO]],Tabla1[[#This Row],[ESPECÍFICA]])</f>
        <v>0018-DCEME2.1.3.1.1.15</v>
      </c>
      <c r="DB321" s="49">
        <f>SUM(AM321:AX321)</f>
        <v>1733.44</v>
      </c>
      <c r="DC321" s="49">
        <f>+SUM(AY321:BJ321)</f>
        <v>1733.44</v>
      </c>
      <c r="DD321" s="49">
        <f>+SUM(BK321:BV321)</f>
        <v>1733.44</v>
      </c>
      <c r="DE321" s="49">
        <f>+AJ321-AK321</f>
        <v>0</v>
      </c>
      <c r="DF321" s="49">
        <f>+AK321-AL321</f>
        <v>650</v>
      </c>
      <c r="DG321" s="49">
        <f>+AL321-DC321</f>
        <v>1950.56</v>
      </c>
      <c r="DH321" s="49">
        <f>+AJ321-DC321</f>
        <v>2600.56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866.72</v>
      </c>
      <c r="DT321" s="76">
        <f>IFERROR(VLOOKUP(Tabla1[[#This Row],[COD SE]],PF_OCTUBRE,14,0),"0")</f>
        <v>1083.4000000000001</v>
      </c>
      <c r="DU321" s="76">
        <f>IFERROR(VLOOKUP(Tabla1[[#This Row],[COD SE]],PF_OCTUBRE,15,0),"0")</f>
        <v>1083.4000000000001</v>
      </c>
      <c r="DV321" s="76">
        <f>IFERROR(VLOOKUP(Tabla1[[#This Row],[COD SE]],PF_OCTUBRE,16,0),"0")</f>
        <v>1083.4000000000001</v>
      </c>
      <c r="DW321" s="76">
        <f>+SUM(Tabla1[[#This Row],[EJECUTADO 01]:[PF DICIEMBRE
]])</f>
        <v>4116.92</v>
      </c>
      <c r="DX321" s="76">
        <f>IFERROR(VLOOKUP(Tabla1[[#This Row],[COD SE]],PF_OCTUBRE,18,0),"0")</f>
        <v>0</v>
      </c>
      <c r="DY321" s="76">
        <f>IFERROR(VLOOKUP(Tabla1[[#This Row],[COD SE]],PF_OCTUBRE,19,0),"0")</f>
        <v>217.07999999999998</v>
      </c>
      <c r="DZ321" s="76">
        <f>IFERROR(VLOOKUP(Tabla1[[#This Row],[COD SE]],PF_OCTUBRE,20,0),"0")</f>
        <v>217.07999999999998</v>
      </c>
      <c r="EA321" s="76">
        <f>+Tabla1[[#This Row],[TOTAL EJEC REAL]]+Tabla1[[#This Row],[SALDO FINAL]]</f>
        <v>4334</v>
      </c>
      <c r="EB321" s="76">
        <f>IFERROR(VLOOKUP(Tabla1[[#This Row],[COD SE]],PF_OCTUBRE,22,0),"0")</f>
        <v>1300.4800000000002</v>
      </c>
      <c r="EC321" s="76">
        <f>+IFERROR(VLOOKUP(Tabla1[[#This Row],[COD SE]],SALDO_ESC_2,7,0),0)</f>
        <v>0</v>
      </c>
      <c r="ED321" s="76">
        <f>+IFERROR(VLOOKUP(Tabla1[[#This Row],[COD SE]],SALDO_ESC_3,7,0),0)</f>
        <v>217.07999999999998</v>
      </c>
      <c r="EE321" s="76">
        <f>+Tabla1[[#This Row],[mto_pim]]-Tabla1[[#This Row],[TRANSF ESC2 ]]</f>
        <v>4334</v>
      </c>
      <c r="EF321" s="76">
        <f>+Tabla1[[#This Row],[mto_pim]]-Tabla1[[#This Row],[TRANFS ESC 3 ]]</f>
        <v>4116.92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1083.4000000000001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866.72</v>
      </c>
      <c r="ES321" s="58">
        <f>+SUM(Tabla1[[#This Row],[PF OCTUBRE]:[PF DICIEMBRE
]])</f>
        <v>3250.2000000000003</v>
      </c>
      <c r="ET321" s="58">
        <f>+SUM(Tabla1[[#This Row],[EJECUTADO 01]:[EJECUTADO 09]])</f>
        <v>866.72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1</v>
      </c>
      <c r="O322" s="369" t="s">
        <v>2074</v>
      </c>
      <c r="P322" s="369" t="s">
        <v>2032</v>
      </c>
      <c r="Q322" s="369">
        <v>5</v>
      </c>
      <c r="R322" s="369">
        <v>0</v>
      </c>
      <c r="S322" s="369">
        <v>0</v>
      </c>
      <c r="T322" s="369">
        <v>0</v>
      </c>
      <c r="U322" s="369">
        <v>18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160228</v>
      </c>
      <c r="AJ322" s="369">
        <v>160228</v>
      </c>
      <c r="AK322" s="370">
        <v>123268</v>
      </c>
      <c r="AL322" s="370">
        <v>86308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27727.59</v>
      </c>
      <c r="AV322" s="370">
        <v>27690.28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27727.59</v>
      </c>
      <c r="BH322" s="370">
        <v>27690.28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27727.59</v>
      </c>
      <c r="BT322" s="370">
        <v>25283.83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27727.59</v>
      </c>
      <c r="CF322" s="370">
        <v>25283.83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7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 t="shared" ref="CX322:CX328" si="118">+VLOOKUP(U322,CC_COMPLETO,2,0)</f>
        <v>0018-DCEME</v>
      </c>
      <c r="CY322" s="373" t="str">
        <f t="shared" ref="CY322:CY328" si="119">+VLOOKUP(U322,CC_COMPLETO,3,0)</f>
        <v>0018-DCEME (C X ENCARGO)</v>
      </c>
      <c r="CZ322" s="375">
        <f t="shared" ref="CZ322:CZ328" si="120">+VLOOKUP(U322,CC_COMPLETO,4,0)</f>
        <v>0</v>
      </c>
      <c r="DA322" s="373" t="str">
        <f>+CONCATENATE(Tabla1[[#This Row],[CC COMPLETO]],Tabla1[[#This Row],[ESPECÍFICA]])</f>
        <v>0018-DCEME2.1.1.13.1.1</v>
      </c>
      <c r="DB322" s="376">
        <f t="shared" ref="DB322:DB323" si="121">SUM(AM322:AX322)</f>
        <v>55417.869999999995</v>
      </c>
      <c r="DC322" s="376">
        <f t="shared" ref="DC322:DC323" si="122">+SUM(AY322:BJ322)</f>
        <v>55417.869999999995</v>
      </c>
      <c r="DD322" s="376">
        <f t="shared" ref="DD322:DD323" si="123">+SUM(BK322:BV322)</f>
        <v>53011.42</v>
      </c>
      <c r="DE322" s="376">
        <f t="shared" ref="DE322:DE323" si="124">+AJ322-AK322</f>
        <v>36960</v>
      </c>
      <c r="DF322" s="376">
        <f t="shared" ref="DF322:DF323" si="125">+AK322-AL322</f>
        <v>36960</v>
      </c>
      <c r="DG322" s="376">
        <f t="shared" ref="DG322:DG323" si="126">+AL322-DC322</f>
        <v>30890.130000000005</v>
      </c>
      <c r="DH322" s="376">
        <f t="shared" ref="DH322:DH323" si="127">+AJ322-DC322</f>
        <v>104810.13</v>
      </c>
      <c r="DI322" s="12">
        <f t="shared" ref="DI322:DI323" si="128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27727.59</v>
      </c>
      <c r="DT322" s="379">
        <f>IFERROR(VLOOKUP(Tabla1[[#This Row],[COD SE]],PF_OCTUBRE,14,0),"0")</f>
        <v>27792.57</v>
      </c>
      <c r="DU322" s="379">
        <f>IFERROR(VLOOKUP(Tabla1[[#This Row],[COD SE]],PF_OCTUBRE,15,0),"0")</f>
        <v>27792.57</v>
      </c>
      <c r="DV322" s="379">
        <f>IFERROR(VLOOKUP(Tabla1[[#This Row],[COD SE]],PF_OCTUBRE,16,0),"0")</f>
        <v>76850.290000000008</v>
      </c>
      <c r="DW322" s="379">
        <f>+SUM(Tabla1[[#This Row],[EJECUTADO 01]:[PF DICIEMBRE
]])</f>
        <v>160163.02000000002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64.979999999999563</v>
      </c>
      <c r="DZ322" s="379">
        <f>IFERROR(VLOOKUP(Tabla1[[#This Row],[COD SE]],PF_OCTUBRE,20,0),"0")</f>
        <v>64.979999999999563</v>
      </c>
      <c r="EA322" s="379">
        <f>+Tabla1[[#This Row],[TOTAL EJEC REAL]]+Tabla1[[#This Row],[SALDO FINAL]]</f>
        <v>160228.00000000003</v>
      </c>
      <c r="EB322" s="379">
        <f>IFERROR(VLOOKUP(Tabla1[[#This Row],[COD SE]],PF_OCTUBRE,22,0),"0")</f>
        <v>76915.27</v>
      </c>
      <c r="EC322" s="379">
        <f>+IFERROR(VLOOKUP(Tabla1[[#This Row],[COD SE]],SALDO_ESC_2,7,0),0)</f>
        <v>0</v>
      </c>
      <c r="ED322" s="379">
        <f>+IFERROR(VLOOKUP(Tabla1[[#This Row],[COD SE]],SALDO_ESC_3,7,0),0)</f>
        <v>64.979999999999563</v>
      </c>
      <c r="EE322" s="379">
        <f>+Tabla1[[#This Row],[mto_pim]]-Tabla1[[#This Row],[TRANSF ESC2 ]]</f>
        <v>160228</v>
      </c>
      <c r="EF322" s="379">
        <f>+Tabla1[[#This Row],[mto_pim]]-Tabla1[[#This Row],[TRANFS ESC 3 ]]</f>
        <v>160163.01999999999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27792.57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27727.59</v>
      </c>
      <c r="ES322" s="380">
        <f>+SUM(Tabla1[[#This Row],[PF OCTUBRE]:[PF DICIEMBRE
]])</f>
        <v>132435.43</v>
      </c>
      <c r="ET322" s="380">
        <f>+SUM(Tabla1[[#This Row],[EJECUTADO 01]:[EJECUTADO 09]])</f>
        <v>27727.59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1</v>
      </c>
      <c r="O323" s="369" t="s">
        <v>2074</v>
      </c>
      <c r="P323" s="369" t="s">
        <v>2032</v>
      </c>
      <c r="Q323" s="369">
        <v>5</v>
      </c>
      <c r="R323" s="369">
        <v>0</v>
      </c>
      <c r="S323" s="369">
        <v>0</v>
      </c>
      <c r="T323" s="369">
        <v>0</v>
      </c>
      <c r="U323" s="369">
        <v>18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1657</v>
      </c>
      <c r="AE323" s="369" t="s">
        <v>1660</v>
      </c>
      <c r="AF323" s="369" t="s">
        <v>1661</v>
      </c>
      <c r="AG323" s="369" t="s">
        <v>1663</v>
      </c>
      <c r="AH323" s="369">
        <v>0</v>
      </c>
      <c r="AI323" s="369">
        <v>37057</v>
      </c>
      <c r="AJ323" s="369">
        <v>37057</v>
      </c>
      <c r="AK323" s="370">
        <v>37057</v>
      </c>
      <c r="AL323" s="370">
        <v>36929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9200</v>
      </c>
      <c r="AV323" s="370">
        <v>9200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9200</v>
      </c>
      <c r="BH323" s="370">
        <v>9200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9200</v>
      </c>
      <c r="BT323" s="370">
        <v>8153.96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9200</v>
      </c>
      <c r="CF323" s="370">
        <v>8153.96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1990</v>
      </c>
      <c r="CL323" s="371" t="s">
        <v>2010</v>
      </c>
      <c r="CM323" s="371" t="s">
        <v>1990</v>
      </c>
      <c r="CN323" s="372" t="s">
        <v>1987</v>
      </c>
      <c r="CO323" s="371" t="str">
        <f t="shared" si="117"/>
        <v>2.1.1.13.1.2</v>
      </c>
      <c r="CP323" s="372" t="str">
        <f>+VLOOKUP(Tabla1[[#This Row],[ESPECÍFICA]],CLASIFICADOR_,2,0)</f>
        <v>2.1.1.13.1.2 - CONTRATO ADMINISTRATIVO DE SERVICIOS - TRANSITORIO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 t="shared" si="118"/>
        <v>0018-DCEME</v>
      </c>
      <c r="CY323" s="373" t="str">
        <f t="shared" si="119"/>
        <v>0018-DCEME (C X ENCARGO)</v>
      </c>
      <c r="CZ323" s="375">
        <f t="shared" si="120"/>
        <v>0</v>
      </c>
      <c r="DA323" s="373" t="str">
        <f>+CONCATENATE(Tabla1[[#This Row],[CC COMPLETO]],Tabla1[[#This Row],[ESPECÍFICA]])</f>
        <v>0018-DCEME2.1.1.13.1.2</v>
      </c>
      <c r="DB323" s="376">
        <f t="shared" si="121"/>
        <v>18400</v>
      </c>
      <c r="DC323" s="376">
        <f t="shared" si="122"/>
        <v>18400</v>
      </c>
      <c r="DD323" s="376">
        <f t="shared" si="123"/>
        <v>17353.96</v>
      </c>
      <c r="DE323" s="376">
        <f t="shared" si="124"/>
        <v>0</v>
      </c>
      <c r="DF323" s="376">
        <f t="shared" si="125"/>
        <v>128</v>
      </c>
      <c r="DG323" s="376">
        <f t="shared" si="126"/>
        <v>18529</v>
      </c>
      <c r="DH323" s="376">
        <f t="shared" si="127"/>
        <v>18657</v>
      </c>
      <c r="DI323" s="12">
        <f t="shared" si="128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9200</v>
      </c>
      <c r="DT323" s="379">
        <f>IFERROR(VLOOKUP(Tabla1[[#This Row],[COD SE]],PF_OCTUBRE,14,0),"0")</f>
        <v>9264.19</v>
      </c>
      <c r="DU323" s="379">
        <f>IFERROR(VLOOKUP(Tabla1[[#This Row],[COD SE]],PF_OCTUBRE,15,0),"0")</f>
        <v>9264.19</v>
      </c>
      <c r="DV323" s="379">
        <f>IFERROR(VLOOKUP(Tabla1[[#This Row],[COD SE]],PF_OCTUBRE,16,0),"0")</f>
        <v>9264.19</v>
      </c>
      <c r="DW323" s="379">
        <f>+SUM(Tabla1[[#This Row],[EJECUTADO 01]:[PF DICIEMBRE
]])</f>
        <v>36992.570000000007</v>
      </c>
      <c r="DX323" s="379">
        <f>IFERROR(VLOOKUP(Tabla1[[#This Row],[COD SE]],PF_OCTUBRE,18,0),"0")</f>
        <v>0</v>
      </c>
      <c r="DY323" s="379">
        <f>IFERROR(VLOOKUP(Tabla1[[#This Row],[COD SE]],PF_OCTUBRE,19,0),"0")</f>
        <v>64.430000000000291</v>
      </c>
      <c r="DZ323" s="379">
        <f>IFERROR(VLOOKUP(Tabla1[[#This Row],[COD SE]],PF_OCTUBRE,20,0),"0")</f>
        <v>64.430000000000291</v>
      </c>
      <c r="EA323" s="379">
        <f>+Tabla1[[#This Row],[TOTAL EJEC REAL]]+Tabla1[[#This Row],[SALDO FINAL]]</f>
        <v>37057.000000000007</v>
      </c>
      <c r="EB323" s="379">
        <f>IFERROR(VLOOKUP(Tabla1[[#This Row],[COD SE]],PF_OCTUBRE,22,0),"0")</f>
        <v>9328.6200000000008</v>
      </c>
      <c r="EC323" s="379">
        <f>+IFERROR(VLOOKUP(Tabla1[[#This Row],[COD SE]],SALDO_ESC_2,7,0),0)</f>
        <v>0</v>
      </c>
      <c r="ED323" s="379">
        <f>+IFERROR(VLOOKUP(Tabla1[[#This Row],[COD SE]],SALDO_ESC_3,7,0),0)</f>
        <v>64.430000000000291</v>
      </c>
      <c r="EE323" s="379">
        <f>+Tabla1[[#This Row],[mto_pim]]-Tabla1[[#This Row],[TRANSF ESC2 ]]</f>
        <v>37057</v>
      </c>
      <c r="EF323" s="379">
        <f>+Tabla1[[#This Row],[mto_pim]]-Tabla1[[#This Row],[TRANFS ESC 3 ]]</f>
        <v>36992.57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9264.19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9200</v>
      </c>
      <c r="ES323" s="380">
        <f>+SUM(Tabla1[[#This Row],[PF OCTUBRE]:[PF DICIEMBRE
]])</f>
        <v>27792.57</v>
      </c>
      <c r="ET323" s="380">
        <f>+SUM(Tabla1[[#This Row],[EJECUTADO 01]:[EJECUTADO 09]])</f>
        <v>9200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1657</v>
      </c>
      <c r="AE324" s="369" t="s">
        <v>1660</v>
      </c>
      <c r="AF324" s="369" t="s">
        <v>1661</v>
      </c>
      <c r="AG324" s="369" t="s">
        <v>1662</v>
      </c>
      <c r="AH324" s="369">
        <v>0</v>
      </c>
      <c r="AI324" s="369">
        <v>132228</v>
      </c>
      <c r="AJ324" s="369">
        <v>132228</v>
      </c>
      <c r="AK324" s="370">
        <v>131637</v>
      </c>
      <c r="AL324" s="370">
        <v>131046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32619.87</v>
      </c>
      <c r="AV324" s="370">
        <v>32903.39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32619.87</v>
      </c>
      <c r="BH324" s="370">
        <v>32903.39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32619.87</v>
      </c>
      <c r="BT324" s="370">
        <v>28652.27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32619.87</v>
      </c>
      <c r="CF324" s="370">
        <v>28652.27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1990</v>
      </c>
      <c r="CL324" s="371" t="s">
        <v>2010</v>
      </c>
      <c r="CM324" s="371" t="s">
        <v>1990</v>
      </c>
      <c r="CN324" s="372" t="s">
        <v>1990</v>
      </c>
      <c r="CO324" s="371" t="str">
        <f t="shared" ref="CO324:CO325" si="129">+CONCATENATE(CI324,".",CJ324,".",CK324,".",CL324,".",CM324,".",CN324)</f>
        <v>2.1.1.13.1.1</v>
      </c>
      <c r="CP324" s="372" t="str">
        <f>+VLOOKUP(Tabla1[[#This Row],[ESPECÍFICA]],CLASIFICADOR_,2,0)</f>
        <v>2.1.1.13.1.1 - CONTRATO ADMINISTRATIVO DE SERVICIOS - INDETERMINADO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 t="shared" si="118"/>
        <v>0019-DCEME</v>
      </c>
      <c r="CY324" s="373" t="str">
        <f t="shared" si="119"/>
        <v>0019-DCEME (C CORP)</v>
      </c>
      <c r="CZ324" s="375">
        <f t="shared" si="120"/>
        <v>0</v>
      </c>
      <c r="DA324" s="373" t="str">
        <f>+CONCATENATE(Tabla1[[#This Row],[CC COMPLETO]],Tabla1[[#This Row],[ESPECÍFICA]])</f>
        <v>0019-DCEME2.1.1.13.1.1</v>
      </c>
      <c r="DB324" s="376">
        <f t="shared" ref="DB324:DB325" si="130">SUM(AM324:AX324)</f>
        <v>65523.259999999995</v>
      </c>
      <c r="DC324" s="376">
        <f t="shared" ref="DC324:DC325" si="131">+SUM(AY324:BJ324)</f>
        <v>65523.259999999995</v>
      </c>
      <c r="DD324" s="376">
        <f t="shared" ref="DD324:DD325" si="132">+SUM(BK324:BV324)</f>
        <v>61272.14</v>
      </c>
      <c r="DE324" s="376">
        <f t="shared" ref="DE324:DE325" si="133">+AJ324-AK324</f>
        <v>591</v>
      </c>
      <c r="DF324" s="376">
        <f t="shared" ref="DF324:DF325" si="134">+AK324-AL324</f>
        <v>591</v>
      </c>
      <c r="DG324" s="376">
        <f t="shared" ref="DG324:DG325" si="135">+AL324-DC324</f>
        <v>65522.740000000005</v>
      </c>
      <c r="DH324" s="376">
        <f t="shared" ref="DH324:DH325" si="136">+AJ324-DC324</f>
        <v>66704.740000000005</v>
      </c>
      <c r="DI324" s="12">
        <f t="shared" ref="DI324:DI325" si="137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32619.87</v>
      </c>
      <c r="DT324" s="379">
        <f>IFERROR(VLOOKUP(Tabla1[[#This Row],[COD SE]],PF_OCTUBRE,14,0),"0")</f>
        <v>33056.76</v>
      </c>
      <c r="DU324" s="379">
        <f>IFERROR(VLOOKUP(Tabla1[[#This Row],[COD SE]],PF_OCTUBRE,15,0),"0")</f>
        <v>33056.76</v>
      </c>
      <c r="DV324" s="379">
        <f>IFERROR(VLOOKUP(Tabla1[[#This Row],[COD SE]],PF_OCTUBRE,16,0),"0")</f>
        <v>33056.76</v>
      </c>
      <c r="DW324" s="379">
        <f>+SUM(Tabla1[[#This Row],[EJECUTADO 01]:[PF DICIEMBRE
]])</f>
        <v>131790.15000000002</v>
      </c>
      <c r="DX324" s="379">
        <f>IFERROR(VLOOKUP(Tabla1[[#This Row],[COD SE]],PF_OCTUBRE,18,0),"0")</f>
        <v>0</v>
      </c>
      <c r="DY324" s="379">
        <f>IFERROR(VLOOKUP(Tabla1[[#This Row],[COD SE]],PF_OCTUBRE,19,0),"0")</f>
        <v>437.85000000000036</v>
      </c>
      <c r="DZ324" s="379">
        <f>IFERROR(VLOOKUP(Tabla1[[#This Row],[COD SE]],PF_OCTUBRE,20,0),"0")</f>
        <v>437.85000000000036</v>
      </c>
      <c r="EA324" s="379">
        <f>+Tabla1[[#This Row],[TOTAL EJEC REAL]]+Tabla1[[#This Row],[SALDO FINAL]]</f>
        <v>132228.00000000003</v>
      </c>
      <c r="EB324" s="379">
        <f>IFERROR(VLOOKUP(Tabla1[[#This Row],[COD SE]],PF_OCTUBRE,22,0),"0")</f>
        <v>33494.61</v>
      </c>
      <c r="EC324" s="379">
        <f>+IFERROR(VLOOKUP(Tabla1[[#This Row],[COD SE]],SALDO_ESC_2,7,0),0)</f>
        <v>0</v>
      </c>
      <c r="ED324" s="379">
        <f>+IFERROR(VLOOKUP(Tabla1[[#This Row],[COD SE]],SALDO_ESC_3,7,0),0)</f>
        <v>437.85000000000036</v>
      </c>
      <c r="EE324" s="379">
        <f>+Tabla1[[#This Row],[mto_pim]]-Tabla1[[#This Row],[TRANSF ESC2 ]]</f>
        <v>132228</v>
      </c>
      <c r="EF324" s="379">
        <f>+Tabla1[[#This Row],[mto_pim]]-Tabla1[[#This Row],[TRANFS ESC 3 ]]</f>
        <v>131790.15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33056.76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32619.87</v>
      </c>
      <c r="ES324" s="380">
        <f>+SUM(Tabla1[[#This Row],[PF OCTUBRE]:[PF DICIEMBRE
]])</f>
        <v>99170.28</v>
      </c>
      <c r="ET324" s="380">
        <f>+SUM(Tabla1[[#This Row],[EJECUTADO 01]:[EJECUTADO 09]])</f>
        <v>32619.87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1668</v>
      </c>
      <c r="AE325" s="369" t="s">
        <v>1669</v>
      </c>
      <c r="AF325" s="369" t="s">
        <v>1669</v>
      </c>
      <c r="AG325" s="369" t="s">
        <v>1671</v>
      </c>
      <c r="AH325" s="369">
        <v>0</v>
      </c>
      <c r="AI325" s="369">
        <v>7801</v>
      </c>
      <c r="AJ325" s="369">
        <v>7801</v>
      </c>
      <c r="AK325" s="370">
        <v>7801</v>
      </c>
      <c r="AL325" s="370">
        <v>7585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1733.44</v>
      </c>
      <c r="AV325" s="370">
        <v>1516.76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1733.44</v>
      </c>
      <c r="BH325" s="370">
        <v>1516.76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1516.76</v>
      </c>
      <c r="BT325" s="370">
        <v>1733.44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1733.44</v>
      </c>
      <c r="CF325" s="370">
        <v>1516.76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1991</v>
      </c>
      <c r="CL325" s="371" t="s">
        <v>1990</v>
      </c>
      <c r="CM325" s="371" t="s">
        <v>1990</v>
      </c>
      <c r="CN325" s="372" t="s">
        <v>2014</v>
      </c>
      <c r="CO325" s="371" t="str">
        <f t="shared" si="129"/>
        <v>2.1.3.1.1.15</v>
      </c>
      <c r="CP325" s="372" t="str">
        <f>+VLOOKUP(Tabla1[[#This Row],[ESPECÍFICA]],CLASIFICADOR_,2,0)</f>
        <v>2.1.3.1.1.15 - CONTRIBUCIONES A ESSALUD DE CONTRATO ADMINISTRATIVO DE SERVICIOS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 t="shared" si="118"/>
        <v>0019-DCEME</v>
      </c>
      <c r="CY325" s="373" t="str">
        <f t="shared" si="119"/>
        <v>0019-DCEME (C CORP)</v>
      </c>
      <c r="CZ325" s="375">
        <f t="shared" si="120"/>
        <v>0</v>
      </c>
      <c r="DA325" s="373" t="str">
        <f>+CONCATENATE(Tabla1[[#This Row],[CC COMPLETO]],Tabla1[[#This Row],[ESPECÍFICA]])</f>
        <v>0019-DCEME2.1.3.1.1.15</v>
      </c>
      <c r="DB325" s="376">
        <f t="shared" si="130"/>
        <v>3250.2</v>
      </c>
      <c r="DC325" s="376">
        <f t="shared" si="131"/>
        <v>3250.2</v>
      </c>
      <c r="DD325" s="376">
        <f t="shared" si="132"/>
        <v>3250.2</v>
      </c>
      <c r="DE325" s="376">
        <f t="shared" si="133"/>
        <v>0</v>
      </c>
      <c r="DF325" s="376">
        <f t="shared" si="134"/>
        <v>216</v>
      </c>
      <c r="DG325" s="376">
        <f t="shared" si="135"/>
        <v>4334.8</v>
      </c>
      <c r="DH325" s="376">
        <f t="shared" si="136"/>
        <v>4550.8</v>
      </c>
      <c r="DI325" s="12">
        <f t="shared" si="137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1733.44</v>
      </c>
      <c r="DT325" s="379">
        <f>IFERROR(VLOOKUP(Tabla1[[#This Row],[COD SE]],PF_OCTUBRE,14,0),"0")</f>
        <v>1950.1200000000003</v>
      </c>
      <c r="DU325" s="379">
        <f>IFERROR(VLOOKUP(Tabla1[[#This Row],[COD SE]],PF_OCTUBRE,15,0),"0")</f>
        <v>1950.1200000000003</v>
      </c>
      <c r="DV325" s="379">
        <f>IFERROR(VLOOKUP(Tabla1[[#This Row],[COD SE]],PF_OCTUBRE,16,0),"0")</f>
        <v>1950.1200000000003</v>
      </c>
      <c r="DW325" s="379">
        <f>+SUM(Tabla1[[#This Row],[EJECUTADO 01]:[PF DICIEMBRE
]])</f>
        <v>7583.8000000000011</v>
      </c>
      <c r="DX325" s="379">
        <f>IFERROR(VLOOKUP(Tabla1[[#This Row],[COD SE]],PF_OCTUBRE,18,0),"0")</f>
        <v>0</v>
      </c>
      <c r="DY325" s="379">
        <f>IFERROR(VLOOKUP(Tabla1[[#This Row],[COD SE]],PF_OCTUBRE,19,0),"0")</f>
        <v>217.2</v>
      </c>
      <c r="DZ325" s="379">
        <f>IFERROR(VLOOKUP(Tabla1[[#This Row],[COD SE]],PF_OCTUBRE,20,0),"0")</f>
        <v>217.2</v>
      </c>
      <c r="EA325" s="379">
        <f>+Tabla1[[#This Row],[TOTAL EJEC REAL]]+Tabla1[[#This Row],[SALDO FINAL]]</f>
        <v>7801.0000000000009</v>
      </c>
      <c r="EB325" s="379">
        <f>IFERROR(VLOOKUP(Tabla1[[#This Row],[COD SE]],PF_OCTUBRE,22,0),"0")</f>
        <v>2167.3200000000002</v>
      </c>
      <c r="EC325" s="379">
        <f>+IFERROR(VLOOKUP(Tabla1[[#This Row],[COD SE]],SALDO_ESC_2,7,0),0)</f>
        <v>0</v>
      </c>
      <c r="ED325" s="379">
        <f>+IFERROR(VLOOKUP(Tabla1[[#This Row],[COD SE]],SALDO_ESC_3,7,0),0)</f>
        <v>217.2</v>
      </c>
      <c r="EE325" s="379">
        <f>+Tabla1[[#This Row],[mto_pim]]-Tabla1[[#This Row],[TRANSF ESC2 ]]</f>
        <v>7801</v>
      </c>
      <c r="EF325" s="379">
        <f>+Tabla1[[#This Row],[mto_pim]]-Tabla1[[#This Row],[TRANFS ESC 3 ]]</f>
        <v>7583.8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1950.1200000000003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1733.44</v>
      </c>
      <c r="ES325" s="380">
        <f>+SUM(Tabla1[[#This Row],[PF OCTUBRE]:[PF DICIEMBRE
]])</f>
        <v>5850.3600000000006</v>
      </c>
      <c r="ET325" s="380">
        <f>+SUM(Tabla1[[#This Row],[EJECUTADO 01]:[EJECUTADO 09]])</f>
        <v>1733.44</v>
      </c>
    </row>
    <row r="326" spans="1:150" x14ac:dyDescent="0.2">
      <c r="A326" s="369">
        <v>2025</v>
      </c>
      <c r="B326" s="369" t="s">
        <v>1969</v>
      </c>
      <c r="C326" s="369" t="s">
        <v>1970</v>
      </c>
      <c r="D326" s="369" t="s">
        <v>1971</v>
      </c>
      <c r="E326" s="369">
        <v>1650</v>
      </c>
      <c r="F326" s="369" t="s">
        <v>1601</v>
      </c>
      <c r="G326" s="369" t="s">
        <v>1999</v>
      </c>
      <c r="H326" s="369" t="s">
        <v>1606</v>
      </c>
      <c r="I326" s="369" t="s">
        <v>2000</v>
      </c>
      <c r="J326" s="369" t="s">
        <v>2073</v>
      </c>
      <c r="K326" s="369" t="s">
        <v>1975</v>
      </c>
      <c r="L326" s="369" t="s">
        <v>2034</v>
      </c>
      <c r="M326" s="369" t="s">
        <v>2035</v>
      </c>
      <c r="N326" s="369">
        <v>2</v>
      </c>
      <c r="O326" s="369" t="s">
        <v>2075</v>
      </c>
      <c r="P326" s="369" t="s">
        <v>2076</v>
      </c>
      <c r="Q326" s="369">
        <v>257</v>
      </c>
      <c r="R326" s="369">
        <v>0</v>
      </c>
      <c r="S326" s="369">
        <v>0</v>
      </c>
      <c r="T326" s="369">
        <v>0</v>
      </c>
      <c r="U326" s="369">
        <v>19</v>
      </c>
      <c r="V326" s="369" t="s">
        <v>1980</v>
      </c>
      <c r="W326" s="369" t="s">
        <v>1981</v>
      </c>
      <c r="X326" s="369" t="s">
        <v>1982</v>
      </c>
      <c r="Y326" s="369" t="s">
        <v>1983</v>
      </c>
      <c r="Z326" s="369" t="s">
        <v>1984</v>
      </c>
      <c r="AA326" s="369" t="s">
        <v>2004</v>
      </c>
      <c r="AB326" s="369" t="s">
        <v>1986</v>
      </c>
      <c r="AC326" s="369" t="s">
        <v>1656</v>
      </c>
      <c r="AD326" s="369" t="s">
        <v>1657</v>
      </c>
      <c r="AE326" s="369" t="s">
        <v>1660</v>
      </c>
      <c r="AF326" s="369" t="s">
        <v>1661</v>
      </c>
      <c r="AG326" s="369" t="s">
        <v>1663</v>
      </c>
      <c r="AH326" s="369">
        <v>0</v>
      </c>
      <c r="AI326" s="369">
        <v>169284</v>
      </c>
      <c r="AJ326" s="369">
        <v>169284</v>
      </c>
      <c r="AK326" s="370">
        <v>169284</v>
      </c>
      <c r="AL326" s="370">
        <v>153592</v>
      </c>
      <c r="AM326" s="370">
        <v>0</v>
      </c>
      <c r="AN326" s="370">
        <v>0</v>
      </c>
      <c r="AO326" s="370">
        <v>0</v>
      </c>
      <c r="AP326" s="370">
        <v>0</v>
      </c>
      <c r="AQ326" s="370">
        <v>0</v>
      </c>
      <c r="AR326" s="370">
        <v>0</v>
      </c>
      <c r="AS326" s="370">
        <v>0</v>
      </c>
      <c r="AT326" s="370">
        <v>0</v>
      </c>
      <c r="AU326" s="370">
        <v>20480.810000000001</v>
      </c>
      <c r="AV326" s="370">
        <v>20468.439999999999</v>
      </c>
      <c r="AW326" s="370">
        <v>0</v>
      </c>
      <c r="AX326" s="370">
        <v>0</v>
      </c>
      <c r="AY326" s="370">
        <v>0</v>
      </c>
      <c r="AZ326" s="370">
        <v>0</v>
      </c>
      <c r="BA326" s="370">
        <v>0</v>
      </c>
      <c r="BB326" s="370">
        <v>0</v>
      </c>
      <c r="BC326" s="370">
        <v>0</v>
      </c>
      <c r="BD326" s="370">
        <v>0</v>
      </c>
      <c r="BE326" s="370">
        <v>0</v>
      </c>
      <c r="BF326" s="370">
        <v>0</v>
      </c>
      <c r="BG326" s="370">
        <v>20480.810000000001</v>
      </c>
      <c r="BH326" s="370">
        <v>20468.439999999999</v>
      </c>
      <c r="BI326" s="370">
        <v>0</v>
      </c>
      <c r="BJ326" s="370">
        <v>0</v>
      </c>
      <c r="BK326" s="370">
        <v>0</v>
      </c>
      <c r="BL326" s="370">
        <v>0</v>
      </c>
      <c r="BM326" s="370">
        <v>0</v>
      </c>
      <c r="BN326" s="370">
        <v>0</v>
      </c>
      <c r="BO326" s="370">
        <v>0</v>
      </c>
      <c r="BP326" s="370">
        <v>0</v>
      </c>
      <c r="BQ326" s="370">
        <v>0</v>
      </c>
      <c r="BR326" s="370">
        <v>0</v>
      </c>
      <c r="BS326" s="370">
        <v>20480.810000000001</v>
      </c>
      <c r="BT326" s="370">
        <v>18030.34</v>
      </c>
      <c r="BU326" s="370">
        <v>0</v>
      </c>
      <c r="BV326" s="370">
        <v>0</v>
      </c>
      <c r="BW326" s="370">
        <v>0</v>
      </c>
      <c r="BX326" s="370">
        <v>0</v>
      </c>
      <c r="BY326" s="370">
        <v>0</v>
      </c>
      <c r="BZ326" s="370">
        <v>0</v>
      </c>
      <c r="CA326" s="370">
        <v>0</v>
      </c>
      <c r="CB326" s="370">
        <v>0</v>
      </c>
      <c r="CC326" s="370">
        <v>0</v>
      </c>
      <c r="CD326" s="370">
        <v>0</v>
      </c>
      <c r="CE326" s="370">
        <v>20480.810000000001</v>
      </c>
      <c r="CF326" s="370">
        <v>18030.34</v>
      </c>
      <c r="CG326" s="370">
        <v>0</v>
      </c>
      <c r="CH326" s="370">
        <v>0</v>
      </c>
      <c r="CI326" s="371" t="s">
        <v>1987</v>
      </c>
      <c r="CJ326" s="371" t="s">
        <v>1990</v>
      </c>
      <c r="CK326" s="371" t="s">
        <v>1990</v>
      </c>
      <c r="CL326" s="371" t="s">
        <v>2010</v>
      </c>
      <c r="CM326" s="371" t="s">
        <v>1990</v>
      </c>
      <c r="CN326" s="372" t="s">
        <v>1987</v>
      </c>
      <c r="CO326" s="371" t="str">
        <f t="shared" ref="CO326:CO328" si="138">+CONCATENATE(CI326,".",CJ326,".",CK326,".",CL326,".",CM326,".",CN326)</f>
        <v>2.1.1.13.1.2</v>
      </c>
      <c r="CP326" s="372" t="str">
        <f>+VLOOKUP(Tabla1[[#This Row],[ESPECÍFICA]],CLASIFICADOR_,2,0)</f>
        <v>2.1.1.13.1.2 - CONTRATO ADMINISTRATIVO DE SERVICIOS - TRANSITORIO</v>
      </c>
      <c r="CQ326" s="372" t="str">
        <f>+VLOOKUP(Tabla1[[#This Row],[ESPECÍFICA]],CLASIFICADOR_,3,0)</f>
        <v>01.CAS</v>
      </c>
      <c r="CR326" s="372" t="str">
        <f>+VLOOKUP(Tabla1[[#This Row],[ESPECÍFICA]],CLASIFICADOR_,4,0)</f>
        <v xml:space="preserve"> </v>
      </c>
      <c r="CS326" s="372">
        <f>+VLOOKUP(Tabla1[[#This Row],[ESPECÍFICA]],CLASIFICADOR_,5,0)</f>
        <v>0</v>
      </c>
      <c r="CT326" s="373" t="str">
        <f>+VLOOKUP(Tabla1[[#This Row],[ESPECÍFICA]],CLASIFICADOR_,6,0)</f>
        <v>N/R</v>
      </c>
      <c r="CU326" s="372" t="str">
        <f>+VLOOKUP(Tabla1[[#This Row],[ESPECÍFICA]],CLASIFICADOR_,7,0)</f>
        <v>N/R</v>
      </c>
      <c r="CV326" s="372">
        <f>+VLOOKUP(Tabla1[[#This Row],[ESPECÍFICA]],CLASIFICADOR_,8,0)</f>
        <v>0</v>
      </c>
      <c r="CW326" s="374" t="str">
        <f>+CONCATENATE("2.",Tabla1[[#This Row],[generica]])</f>
        <v>2.1.PERSONAL Y OBLIGACIONES SOCIALES</v>
      </c>
      <c r="CX326" s="372" t="str">
        <f t="shared" si="118"/>
        <v>0019-DCEME</v>
      </c>
      <c r="CY326" s="373" t="str">
        <f t="shared" si="119"/>
        <v>0019-DCEME (C CORP)</v>
      </c>
      <c r="CZ326" s="375">
        <f t="shared" si="120"/>
        <v>0</v>
      </c>
      <c r="DA326" s="373" t="str">
        <f>+CONCATENATE(Tabla1[[#This Row],[CC COMPLETO]],Tabla1[[#This Row],[ESPECÍFICA]])</f>
        <v>0019-DCEME2.1.1.13.1.2</v>
      </c>
      <c r="DB326" s="376">
        <f t="shared" ref="DB326:DB328" si="139">SUM(AM326:AX326)</f>
        <v>40949.25</v>
      </c>
      <c r="DC326" s="376">
        <f t="shared" ref="DC326:DC328" si="140">+SUM(AY326:BJ326)</f>
        <v>40949.25</v>
      </c>
      <c r="DD326" s="376">
        <f t="shared" ref="DD326:DD328" si="141">+SUM(BK326:BV326)</f>
        <v>38511.15</v>
      </c>
      <c r="DE326" s="376">
        <f t="shared" ref="DE326:DE328" si="142">+AJ326-AK326</f>
        <v>0</v>
      </c>
      <c r="DF326" s="376">
        <f t="shared" ref="DF326:DF328" si="143">+AK326-AL326</f>
        <v>15692</v>
      </c>
      <c r="DG326" s="376">
        <f t="shared" ref="DG326:DG328" si="144">+AL326-DC326</f>
        <v>112642.75</v>
      </c>
      <c r="DH326" s="376">
        <f t="shared" ref="DH326:DH328" si="145">+AJ326-DC326</f>
        <v>128334.75</v>
      </c>
      <c r="DI326" s="12">
        <f t="shared" ref="DI326:DI328" si="146">+IFERROR((DC326/AH326),0)</f>
        <v>0</v>
      </c>
      <c r="DJ326" s="77">
        <f>+SUM(Tabla1[[#This Row],[EJECUTADO 01]:[EJECUTADO 06]])</f>
        <v>0</v>
      </c>
      <c r="DK326" s="77">
        <f>+Tabla1[[#This Row],[mto_devenga_01]]</f>
        <v>0</v>
      </c>
      <c r="DL326" s="377">
        <f>+Tabla1[[#This Row],[mto_devenga_02]]</f>
        <v>0</v>
      </c>
      <c r="DM326" s="377">
        <f>+Tabla1[[#This Row],[mto_devenga_03]]</f>
        <v>0</v>
      </c>
      <c r="DN326" s="378">
        <f>+Tabla1[[#This Row],[mto_devenga_04]]</f>
        <v>0</v>
      </c>
      <c r="DO326" s="377">
        <f>+Tabla1[[#This Row],[mto_devenga_05]]</f>
        <v>0</v>
      </c>
      <c r="DP326" s="379">
        <f>+Tabla1[[#This Row],[mto_devenga_06]]</f>
        <v>0</v>
      </c>
      <c r="DQ326" s="379">
        <f>+Tabla1[[#This Row],[mto_devenga_07]]</f>
        <v>0</v>
      </c>
      <c r="DR326" s="379">
        <f>+Tabla1[[#This Row],[mto_devenga_08]]</f>
        <v>0</v>
      </c>
      <c r="DS326" s="379">
        <f>+Tabla1[[#This Row],[mto_devenga_09]]</f>
        <v>20480.810000000001</v>
      </c>
      <c r="DT326" s="379">
        <f>IFERROR(VLOOKUP(Tabla1[[#This Row],[COD SE]],PF_OCTUBRE,14,0),"0")</f>
        <v>42320.950000000004</v>
      </c>
      <c r="DU326" s="379">
        <f>IFERROR(VLOOKUP(Tabla1[[#This Row],[COD SE]],PF_OCTUBRE,15,0),"0")</f>
        <v>42320.950000000004</v>
      </c>
      <c r="DV326" s="379">
        <f>IFERROR(VLOOKUP(Tabla1[[#This Row],[COD SE]],PF_OCTUBRE,16,0),"0")</f>
        <v>42320.950000000004</v>
      </c>
      <c r="DW326" s="379">
        <f>+SUM(Tabla1[[#This Row],[EJECUTADO 01]:[PF DICIEMBRE
]])</f>
        <v>147443.66000000003</v>
      </c>
      <c r="DX326" s="379">
        <f>IFERROR(VLOOKUP(Tabla1[[#This Row],[COD SE]],PF_OCTUBRE,18,0),"0")</f>
        <v>0</v>
      </c>
      <c r="DY326" s="379">
        <f>IFERROR(VLOOKUP(Tabla1[[#This Row],[COD SE]],PF_OCTUBRE,19,0),"0")</f>
        <v>21840.340000000004</v>
      </c>
      <c r="DZ326" s="379">
        <f>IFERROR(VLOOKUP(Tabla1[[#This Row],[COD SE]],PF_OCTUBRE,20,0),"0")</f>
        <v>21840.340000000004</v>
      </c>
      <c r="EA326" s="379">
        <f>+Tabla1[[#This Row],[TOTAL EJEC REAL]]+Tabla1[[#This Row],[SALDO FINAL]]</f>
        <v>169284.00000000003</v>
      </c>
      <c r="EB326" s="379">
        <f>IFERROR(VLOOKUP(Tabla1[[#This Row],[COD SE]],PF_OCTUBRE,22,0),"0")</f>
        <v>64161.289999999994</v>
      </c>
      <c r="EC326" s="379">
        <f>+IFERROR(VLOOKUP(Tabla1[[#This Row],[COD SE]],SALDO_ESC_2,7,0),0)</f>
        <v>0</v>
      </c>
      <c r="ED326" s="379">
        <f>+IFERROR(VLOOKUP(Tabla1[[#This Row],[COD SE]],SALDO_ESC_3,7,0),0)</f>
        <v>21840.340000000004</v>
      </c>
      <c r="EE326" s="379">
        <f>+Tabla1[[#This Row],[mto_pim]]-Tabla1[[#This Row],[TRANSF ESC2 ]]</f>
        <v>169284</v>
      </c>
      <c r="EF326" s="379">
        <f>+Tabla1[[#This Row],[mto_pim]]-Tabla1[[#This Row],[TRANFS ESC 3 ]]</f>
        <v>147443.66</v>
      </c>
      <c r="EG326" s="379">
        <f>+IFERROR(VLOOKUP(Tabla1[[#This Row],[COD SE]],HISTORICO,4,0),0)</f>
        <v>0</v>
      </c>
      <c r="EH326" s="379">
        <f>+IFERROR(VLOOKUP(Tabla1[[#This Row],[COD SE]],HISTORICO,5,0),0)</f>
        <v>0</v>
      </c>
      <c r="EI326" s="379">
        <f>+IFERROR(VLOOKUP(Tabla1[[#This Row],[COD SE]],HISTORICO,6,0),0)</f>
        <v>0</v>
      </c>
      <c r="EJ326" s="379">
        <f>+IFERROR(VLOOKUP(Tabla1[[#This Row],[COD SE]],HISTORICO,7,0),0)</f>
        <v>0</v>
      </c>
      <c r="EK326" s="379">
        <f>+IFERROR(VLOOKUP(Tabla1[[#This Row],[COD SE]],HISTORICO,8,0),0)</f>
        <v>0</v>
      </c>
      <c r="EL326" s="379">
        <f>+IFERROR(VLOOKUP(Tabla1[[#This Row],[COD SE]],HISTORICO,9,0),0)</f>
        <v>0</v>
      </c>
      <c r="EM326" s="379">
        <f>+IFERROR(VLOOKUP(Tabla1[[#This Row],[COD SE]],HISTORICO,10,0),0)</f>
        <v>0</v>
      </c>
      <c r="EN326" s="379">
        <f>+IFERROR(VLOOKUP(Tabla1[[#This Row],[COD SE]],HISTORICO,11,0),0)</f>
        <v>0</v>
      </c>
      <c r="EO326" s="379">
        <f>+IFERROR(VLOOKUP(Tabla1[[#This Row],[COD SE]],HISTORICO,12,0),0)</f>
        <v>42320.950000000004</v>
      </c>
      <c r="EP326" s="380">
        <f>+SUM(Tabla1[[#This Row],[EJECUTADO 01]:[EJECUTADO 03]])</f>
        <v>0</v>
      </c>
      <c r="EQ326" s="380">
        <f>+SUM(Tabla1[[#This Row],[EJECUTADO 04]:[EJECUTADO 06]])</f>
        <v>0</v>
      </c>
      <c r="ER326" s="380">
        <f>+SUM(Tabla1[[#This Row],[EJECUTADO 07]:[EJECUTADO 09]])</f>
        <v>20480.810000000001</v>
      </c>
      <c r="ES326" s="380">
        <f>+SUM(Tabla1[[#This Row],[PF OCTUBRE]:[PF DICIEMBRE
]])</f>
        <v>126962.85</v>
      </c>
      <c r="ET326" s="380">
        <f>+SUM(Tabla1[[#This Row],[EJECUTADO 01]:[EJECUTADO 09]])</f>
        <v>20480.810000000001</v>
      </c>
    </row>
    <row r="327" spans="1:150" x14ac:dyDescent="0.2">
      <c r="A327" s="369">
        <v>2025</v>
      </c>
      <c r="B327" s="369" t="s">
        <v>1969</v>
      </c>
      <c r="C327" s="369" t="s">
        <v>1970</v>
      </c>
      <c r="D327" s="369" t="s">
        <v>1971</v>
      </c>
      <c r="E327" s="369">
        <v>1650</v>
      </c>
      <c r="F327" s="369" t="s">
        <v>1601</v>
      </c>
      <c r="G327" s="369" t="s">
        <v>1999</v>
      </c>
      <c r="H327" s="369" t="s">
        <v>1606</v>
      </c>
      <c r="I327" s="369" t="s">
        <v>2000</v>
      </c>
      <c r="J327" s="369" t="s">
        <v>2073</v>
      </c>
      <c r="K327" s="369" t="s">
        <v>1975</v>
      </c>
      <c r="L327" s="369" t="s">
        <v>2034</v>
      </c>
      <c r="M327" s="369" t="s">
        <v>2035</v>
      </c>
      <c r="N327" s="369">
        <v>2</v>
      </c>
      <c r="O327" s="369" t="s">
        <v>2075</v>
      </c>
      <c r="P327" s="369" t="s">
        <v>2076</v>
      </c>
      <c r="Q327" s="369">
        <v>257</v>
      </c>
      <c r="R327" s="369">
        <v>0</v>
      </c>
      <c r="S327" s="369">
        <v>0</v>
      </c>
      <c r="T327" s="369">
        <v>0</v>
      </c>
      <c r="U327" s="369">
        <v>19</v>
      </c>
      <c r="V327" s="369" t="s">
        <v>1980</v>
      </c>
      <c r="W327" s="369" t="s">
        <v>1981</v>
      </c>
      <c r="X327" s="369" t="s">
        <v>1982</v>
      </c>
      <c r="Y327" s="369" t="s">
        <v>1983</v>
      </c>
      <c r="Z327" s="369" t="s">
        <v>1984</v>
      </c>
      <c r="AA327" s="369" t="s">
        <v>2004</v>
      </c>
      <c r="AB327" s="369" t="s">
        <v>1986</v>
      </c>
      <c r="AC327" s="369" t="s">
        <v>1656</v>
      </c>
      <c r="AD327" s="369" t="s">
        <v>1657</v>
      </c>
      <c r="AE327" s="369" t="s">
        <v>1664</v>
      </c>
      <c r="AF327" s="369" t="s">
        <v>1665</v>
      </c>
      <c r="AG327" s="369" t="s">
        <v>1667</v>
      </c>
      <c r="AH327" s="369">
        <v>0</v>
      </c>
      <c r="AI327" s="369">
        <v>2100</v>
      </c>
      <c r="AJ327" s="369">
        <v>2100</v>
      </c>
      <c r="AK327" s="370">
        <v>2100</v>
      </c>
      <c r="AL327" s="370">
        <v>2100</v>
      </c>
      <c r="AM327" s="370">
        <v>0</v>
      </c>
      <c r="AN327" s="370">
        <v>0</v>
      </c>
      <c r="AO327" s="370">
        <v>0</v>
      </c>
      <c r="AP327" s="370">
        <v>0</v>
      </c>
      <c r="AQ327" s="370">
        <v>0</v>
      </c>
      <c r="AR327" s="370">
        <v>0</v>
      </c>
      <c r="AS327" s="370">
        <v>0</v>
      </c>
      <c r="AT327" s="370">
        <v>0</v>
      </c>
      <c r="AU327" s="370">
        <v>0</v>
      </c>
      <c r="AV327" s="370">
        <v>0</v>
      </c>
      <c r="AW327" s="370">
        <v>0</v>
      </c>
      <c r="AX327" s="370">
        <v>0</v>
      </c>
      <c r="AY327" s="370">
        <v>0</v>
      </c>
      <c r="AZ327" s="370">
        <v>0</v>
      </c>
      <c r="BA327" s="370">
        <v>0</v>
      </c>
      <c r="BB327" s="370">
        <v>0</v>
      </c>
      <c r="BC327" s="370">
        <v>0</v>
      </c>
      <c r="BD327" s="370">
        <v>0</v>
      </c>
      <c r="BE327" s="370">
        <v>0</v>
      </c>
      <c r="BF327" s="370">
        <v>0</v>
      </c>
      <c r="BG327" s="370">
        <v>0</v>
      </c>
      <c r="BH327" s="370">
        <v>0</v>
      </c>
      <c r="BI327" s="370">
        <v>0</v>
      </c>
      <c r="BJ327" s="370">
        <v>0</v>
      </c>
      <c r="BK327" s="370">
        <v>0</v>
      </c>
      <c r="BL327" s="370">
        <v>0</v>
      </c>
      <c r="BM327" s="370">
        <v>0</v>
      </c>
      <c r="BN327" s="370">
        <v>0</v>
      </c>
      <c r="BO327" s="370">
        <v>0</v>
      </c>
      <c r="BP327" s="370">
        <v>0</v>
      </c>
      <c r="BQ327" s="370">
        <v>0</v>
      </c>
      <c r="BR327" s="370">
        <v>0</v>
      </c>
      <c r="BS327" s="370">
        <v>0</v>
      </c>
      <c r="BT327" s="370">
        <v>0</v>
      </c>
      <c r="BU327" s="370">
        <v>0</v>
      </c>
      <c r="BV327" s="370">
        <v>0</v>
      </c>
      <c r="BW327" s="370">
        <v>0</v>
      </c>
      <c r="BX327" s="370">
        <v>0</v>
      </c>
      <c r="BY327" s="370">
        <v>0</v>
      </c>
      <c r="BZ327" s="370">
        <v>0</v>
      </c>
      <c r="CA327" s="370">
        <v>0</v>
      </c>
      <c r="CB327" s="370">
        <v>0</v>
      </c>
      <c r="CC327" s="370">
        <v>0</v>
      </c>
      <c r="CD327" s="370">
        <v>0</v>
      </c>
      <c r="CE327" s="370">
        <v>0</v>
      </c>
      <c r="CF327" s="370">
        <v>0</v>
      </c>
      <c r="CG327" s="370">
        <v>0</v>
      </c>
      <c r="CH327" s="370">
        <v>0</v>
      </c>
      <c r="CI327" s="371" t="s">
        <v>1987</v>
      </c>
      <c r="CJ327" s="371" t="s">
        <v>1990</v>
      </c>
      <c r="CK327" s="371" t="s">
        <v>1990</v>
      </c>
      <c r="CL327" s="371" t="s">
        <v>2005</v>
      </c>
      <c r="CM327" s="371" t="s">
        <v>1990</v>
      </c>
      <c r="CN327" s="372" t="s">
        <v>1993</v>
      </c>
      <c r="CO327" s="371" t="str">
        <f t="shared" si="138"/>
        <v>2.1.1.9.1.4</v>
      </c>
      <c r="CP327" s="372" t="str">
        <f>+VLOOKUP(Tabla1[[#This Row],[ESPECÍFICA]],CLASIFICADOR_,2,0)</f>
        <v>2.1.1.9.1.4 - AGUINALDOS DE CONTRATO ADMINISTRATIVO DE SERVICIOS</v>
      </c>
      <c r="CQ327" s="372" t="str">
        <f>+VLOOKUP(Tabla1[[#This Row],[ESPECÍFICA]],CLASIFICADOR_,3,0)</f>
        <v>01.CAS</v>
      </c>
      <c r="CR327" s="372" t="str">
        <f>+VLOOKUP(Tabla1[[#This Row],[ESPECÍFICA]],CLASIFICADOR_,4,0)</f>
        <v xml:space="preserve"> </v>
      </c>
      <c r="CS327" s="372">
        <f>+VLOOKUP(Tabla1[[#This Row],[ESPECÍFICA]],CLASIFICADOR_,5,0)</f>
        <v>0</v>
      </c>
      <c r="CT327" s="373" t="str">
        <f>+VLOOKUP(Tabla1[[#This Row],[ESPECÍFICA]],CLASIFICADOR_,6,0)</f>
        <v>N/R</v>
      </c>
      <c r="CU327" s="372" t="str">
        <f>+VLOOKUP(Tabla1[[#This Row],[ESPECÍFICA]],CLASIFICADOR_,7,0)</f>
        <v>N/R</v>
      </c>
      <c r="CV327" s="372">
        <f>+VLOOKUP(Tabla1[[#This Row],[ESPECÍFICA]],CLASIFICADOR_,8,0)</f>
        <v>0</v>
      </c>
      <c r="CW327" s="374" t="str">
        <f>+CONCATENATE("2.",Tabla1[[#This Row],[generica]])</f>
        <v>2.1.PERSONAL Y OBLIGACIONES SOCIALES</v>
      </c>
      <c r="CX327" s="372" t="str">
        <f t="shared" si="118"/>
        <v>0019-DCEME</v>
      </c>
      <c r="CY327" s="373" t="str">
        <f t="shared" si="119"/>
        <v>0019-DCEME (C CORP)</v>
      </c>
      <c r="CZ327" s="375">
        <f t="shared" si="120"/>
        <v>0</v>
      </c>
      <c r="DA327" s="373" t="str">
        <f>+CONCATENATE(Tabla1[[#This Row],[CC COMPLETO]],Tabla1[[#This Row],[ESPECÍFICA]])</f>
        <v>0019-DCEME2.1.1.9.1.4</v>
      </c>
      <c r="DB327" s="376">
        <f t="shared" si="139"/>
        <v>0</v>
      </c>
      <c r="DC327" s="376">
        <f t="shared" si="140"/>
        <v>0</v>
      </c>
      <c r="DD327" s="376">
        <f t="shared" si="141"/>
        <v>0</v>
      </c>
      <c r="DE327" s="376">
        <f t="shared" si="142"/>
        <v>0</v>
      </c>
      <c r="DF327" s="376">
        <f t="shared" si="143"/>
        <v>0</v>
      </c>
      <c r="DG327" s="376">
        <f t="shared" si="144"/>
        <v>2100</v>
      </c>
      <c r="DH327" s="376">
        <f t="shared" si="145"/>
        <v>2100</v>
      </c>
      <c r="DI327" s="12">
        <f t="shared" si="146"/>
        <v>0</v>
      </c>
      <c r="DJ327" s="77">
        <f>+SUM(Tabla1[[#This Row],[EJECUTADO 01]:[EJECUTADO 06]])</f>
        <v>0</v>
      </c>
      <c r="DK327" s="77">
        <f>+Tabla1[[#This Row],[mto_devenga_01]]</f>
        <v>0</v>
      </c>
      <c r="DL327" s="377">
        <f>+Tabla1[[#This Row],[mto_devenga_02]]</f>
        <v>0</v>
      </c>
      <c r="DM327" s="377">
        <f>+Tabla1[[#This Row],[mto_devenga_03]]</f>
        <v>0</v>
      </c>
      <c r="DN327" s="378">
        <f>+Tabla1[[#This Row],[mto_devenga_04]]</f>
        <v>0</v>
      </c>
      <c r="DO327" s="377">
        <f>+Tabla1[[#This Row],[mto_devenga_05]]</f>
        <v>0</v>
      </c>
      <c r="DP327" s="379">
        <f>+Tabla1[[#This Row],[mto_devenga_06]]</f>
        <v>0</v>
      </c>
      <c r="DQ327" s="379">
        <f>+Tabla1[[#This Row],[mto_devenga_07]]</f>
        <v>0</v>
      </c>
      <c r="DR327" s="379">
        <f>+Tabla1[[#This Row],[mto_devenga_08]]</f>
        <v>0</v>
      </c>
      <c r="DS327" s="379">
        <f>+Tabla1[[#This Row],[mto_devenga_09]]</f>
        <v>0</v>
      </c>
      <c r="DT327" s="379">
        <f>IFERROR(VLOOKUP(Tabla1[[#This Row],[COD SE]],PF_OCTUBRE,14,0),"0")</f>
        <v>0</v>
      </c>
      <c r="DU327" s="379">
        <f>IFERROR(VLOOKUP(Tabla1[[#This Row],[COD SE]],PF_OCTUBRE,15,0),"0")</f>
        <v>0</v>
      </c>
      <c r="DV327" s="379">
        <f>IFERROR(VLOOKUP(Tabla1[[#This Row],[COD SE]],PF_OCTUBRE,16,0),"0")</f>
        <v>2100</v>
      </c>
      <c r="DW327" s="379">
        <f>+SUM(Tabla1[[#This Row],[EJECUTADO 01]:[PF DICIEMBRE
]])</f>
        <v>2100</v>
      </c>
      <c r="DX327" s="379">
        <f>IFERROR(VLOOKUP(Tabla1[[#This Row],[COD SE]],PF_OCTUBRE,18,0),"0")</f>
        <v>0</v>
      </c>
      <c r="DY327" s="379">
        <f>IFERROR(VLOOKUP(Tabla1[[#This Row],[COD SE]],PF_OCTUBRE,19,0),"0")</f>
        <v>0</v>
      </c>
      <c r="DZ327" s="379">
        <f>IFERROR(VLOOKUP(Tabla1[[#This Row],[COD SE]],PF_OCTUBRE,20,0),"0")</f>
        <v>0</v>
      </c>
      <c r="EA327" s="379">
        <f>+Tabla1[[#This Row],[TOTAL EJEC REAL]]+Tabla1[[#This Row],[SALDO FINAL]]</f>
        <v>2100</v>
      </c>
      <c r="EB327" s="379">
        <f>IFERROR(VLOOKUP(Tabla1[[#This Row],[COD SE]],PF_OCTUBRE,22,0),"0")</f>
        <v>2100</v>
      </c>
      <c r="EC327" s="379">
        <f>+IFERROR(VLOOKUP(Tabla1[[#This Row],[COD SE]],SALDO_ESC_2,7,0),0)</f>
        <v>0</v>
      </c>
      <c r="ED327" s="379">
        <f>+IFERROR(VLOOKUP(Tabla1[[#This Row],[COD SE]],SALDO_ESC_3,7,0),0)</f>
        <v>0</v>
      </c>
      <c r="EE327" s="379">
        <f>+Tabla1[[#This Row],[mto_pim]]-Tabla1[[#This Row],[TRANSF ESC2 ]]</f>
        <v>2100</v>
      </c>
      <c r="EF327" s="379">
        <f>+Tabla1[[#This Row],[mto_pim]]-Tabla1[[#This Row],[TRANFS ESC 3 ]]</f>
        <v>2100</v>
      </c>
      <c r="EG327" s="379">
        <f>+IFERROR(VLOOKUP(Tabla1[[#This Row],[COD SE]],HISTORICO,4,0),0)</f>
        <v>0</v>
      </c>
      <c r="EH327" s="379">
        <f>+IFERROR(VLOOKUP(Tabla1[[#This Row],[COD SE]],HISTORICO,5,0),0)</f>
        <v>0</v>
      </c>
      <c r="EI327" s="379">
        <f>+IFERROR(VLOOKUP(Tabla1[[#This Row],[COD SE]],HISTORICO,6,0),0)</f>
        <v>0</v>
      </c>
      <c r="EJ327" s="379">
        <f>+IFERROR(VLOOKUP(Tabla1[[#This Row],[COD SE]],HISTORICO,7,0),0)</f>
        <v>0</v>
      </c>
      <c r="EK327" s="379">
        <f>+IFERROR(VLOOKUP(Tabla1[[#This Row],[COD SE]],HISTORICO,8,0),0)</f>
        <v>0</v>
      </c>
      <c r="EL327" s="379">
        <f>+IFERROR(VLOOKUP(Tabla1[[#This Row],[COD SE]],HISTORICO,9,0),0)</f>
        <v>0</v>
      </c>
      <c r="EM327" s="379">
        <f>+IFERROR(VLOOKUP(Tabla1[[#This Row],[COD SE]],HISTORICO,10,0),0)</f>
        <v>0</v>
      </c>
      <c r="EN327" s="379">
        <f>+IFERROR(VLOOKUP(Tabla1[[#This Row],[COD SE]],HISTORICO,11,0),0)</f>
        <v>0</v>
      </c>
      <c r="EO327" s="379">
        <f>+IFERROR(VLOOKUP(Tabla1[[#This Row],[COD SE]],HISTORICO,12,0),0)</f>
        <v>0</v>
      </c>
      <c r="EP327" s="380">
        <f>+SUM(Tabla1[[#This Row],[EJECUTADO 01]:[EJECUTADO 03]])</f>
        <v>0</v>
      </c>
      <c r="EQ327" s="380">
        <f>+SUM(Tabla1[[#This Row],[EJECUTADO 04]:[EJECUTADO 06]])</f>
        <v>0</v>
      </c>
      <c r="ER327" s="380">
        <f>+SUM(Tabla1[[#This Row],[EJECUTADO 07]:[EJECUTADO 09]])</f>
        <v>0</v>
      </c>
      <c r="ES327" s="380">
        <f>+SUM(Tabla1[[#This Row],[PF OCTUBRE]:[PF DICIEMBRE
]])</f>
        <v>2100</v>
      </c>
      <c r="ET327" s="380">
        <f>+SUM(Tabla1[[#This Row],[EJECUTADO 01]:[EJECUTADO 09]])</f>
        <v>0</v>
      </c>
    </row>
    <row r="328" spans="1:150" x14ac:dyDescent="0.2">
      <c r="A328" s="369">
        <v>2025</v>
      </c>
      <c r="B328" s="369" t="s">
        <v>1969</v>
      </c>
      <c r="C328" s="369" t="s">
        <v>1970</v>
      </c>
      <c r="D328" s="369" t="s">
        <v>1971</v>
      </c>
      <c r="E328" s="369">
        <v>1650</v>
      </c>
      <c r="F328" s="369" t="s">
        <v>1601</v>
      </c>
      <c r="G328" s="369" t="s">
        <v>1999</v>
      </c>
      <c r="H328" s="369" t="s">
        <v>1606</v>
      </c>
      <c r="I328" s="369" t="s">
        <v>2000</v>
      </c>
      <c r="J328" s="369" t="s">
        <v>2073</v>
      </c>
      <c r="K328" s="369" t="s">
        <v>1975</v>
      </c>
      <c r="L328" s="369" t="s">
        <v>2034</v>
      </c>
      <c r="M328" s="369" t="s">
        <v>2035</v>
      </c>
      <c r="N328" s="369">
        <v>2</v>
      </c>
      <c r="O328" s="369" t="s">
        <v>2075</v>
      </c>
      <c r="P328" s="369" t="s">
        <v>2076</v>
      </c>
      <c r="Q328" s="369">
        <v>257</v>
      </c>
      <c r="R328" s="369">
        <v>0</v>
      </c>
      <c r="S328" s="369">
        <v>0</v>
      </c>
      <c r="T328" s="369">
        <v>0</v>
      </c>
      <c r="U328" s="369">
        <v>19</v>
      </c>
      <c r="V328" s="369" t="s">
        <v>1980</v>
      </c>
      <c r="W328" s="369" t="s">
        <v>1981</v>
      </c>
      <c r="X328" s="369" t="s">
        <v>1982</v>
      </c>
      <c r="Y328" s="369" t="s">
        <v>1983</v>
      </c>
      <c r="Z328" s="369" t="s">
        <v>1984</v>
      </c>
      <c r="AA328" s="369" t="s">
        <v>2004</v>
      </c>
      <c r="AB328" s="369" t="s">
        <v>1986</v>
      </c>
      <c r="AC328" s="369" t="s">
        <v>1656</v>
      </c>
      <c r="AD328" s="369" t="s">
        <v>2006</v>
      </c>
      <c r="AE328" s="369" t="s">
        <v>2007</v>
      </c>
      <c r="AF328" s="369" t="s">
        <v>2007</v>
      </c>
      <c r="AG328" s="369" t="s">
        <v>2015</v>
      </c>
      <c r="AH328" s="369">
        <v>0</v>
      </c>
      <c r="AI328" s="369">
        <v>12610</v>
      </c>
      <c r="AJ328" s="369">
        <v>12610</v>
      </c>
      <c r="AK328" s="370">
        <v>12610</v>
      </c>
      <c r="AL328" s="370">
        <v>12610</v>
      </c>
      <c r="AM328" s="370">
        <v>0</v>
      </c>
      <c r="AN328" s="370">
        <v>0</v>
      </c>
      <c r="AO328" s="370">
        <v>0</v>
      </c>
      <c r="AP328" s="370">
        <v>0</v>
      </c>
      <c r="AQ328" s="370">
        <v>0</v>
      </c>
      <c r="AR328" s="370">
        <v>0</v>
      </c>
      <c r="AS328" s="370">
        <v>0</v>
      </c>
      <c r="AT328" s="370">
        <v>0</v>
      </c>
      <c r="AU328" s="370">
        <v>12609.52</v>
      </c>
      <c r="AV328" s="370">
        <v>0</v>
      </c>
      <c r="AW328" s="370">
        <v>0</v>
      </c>
      <c r="AX328" s="370">
        <v>0</v>
      </c>
      <c r="AY328" s="370">
        <v>0</v>
      </c>
      <c r="AZ328" s="370">
        <v>0</v>
      </c>
      <c r="BA328" s="370">
        <v>0</v>
      </c>
      <c r="BB328" s="370">
        <v>0</v>
      </c>
      <c r="BC328" s="370">
        <v>0</v>
      </c>
      <c r="BD328" s="370">
        <v>0</v>
      </c>
      <c r="BE328" s="370">
        <v>0</v>
      </c>
      <c r="BF328" s="370">
        <v>0</v>
      </c>
      <c r="BG328" s="370">
        <v>12609.52</v>
      </c>
      <c r="BH328" s="370">
        <v>0</v>
      </c>
      <c r="BI328" s="370">
        <v>0</v>
      </c>
      <c r="BJ328" s="370">
        <v>0</v>
      </c>
      <c r="BK328" s="370">
        <v>0</v>
      </c>
      <c r="BL328" s="370">
        <v>0</v>
      </c>
      <c r="BM328" s="370">
        <v>0</v>
      </c>
      <c r="BN328" s="370">
        <v>0</v>
      </c>
      <c r="BO328" s="370">
        <v>0</v>
      </c>
      <c r="BP328" s="370">
        <v>0</v>
      </c>
      <c r="BQ328" s="370">
        <v>0</v>
      </c>
      <c r="BR328" s="370">
        <v>0</v>
      </c>
      <c r="BS328" s="370">
        <v>0</v>
      </c>
      <c r="BT328" s="370">
        <v>12609.52</v>
      </c>
      <c r="BU328" s="370">
        <v>0</v>
      </c>
      <c r="BV328" s="370">
        <v>0</v>
      </c>
      <c r="BW328" s="370">
        <v>0</v>
      </c>
      <c r="BX328" s="370">
        <v>0</v>
      </c>
      <c r="BY328" s="370">
        <v>0</v>
      </c>
      <c r="BZ328" s="370">
        <v>0</v>
      </c>
      <c r="CA328" s="370">
        <v>0</v>
      </c>
      <c r="CB328" s="370">
        <v>0</v>
      </c>
      <c r="CC328" s="370">
        <v>0</v>
      </c>
      <c r="CD328" s="370">
        <v>0</v>
      </c>
      <c r="CE328" s="370">
        <v>12528.46</v>
      </c>
      <c r="CF328" s="370">
        <v>0</v>
      </c>
      <c r="CG328" s="370">
        <v>0</v>
      </c>
      <c r="CH328" s="370">
        <v>0</v>
      </c>
      <c r="CI328" s="371" t="s">
        <v>1987</v>
      </c>
      <c r="CJ328" s="371" t="s">
        <v>1990</v>
      </c>
      <c r="CK328" s="371" t="s">
        <v>1993</v>
      </c>
      <c r="CL328" s="371" t="s">
        <v>1990</v>
      </c>
      <c r="CM328" s="371" t="s">
        <v>1990</v>
      </c>
      <c r="CN328" s="372" t="s">
        <v>1989</v>
      </c>
      <c r="CO328" s="371" t="str">
        <f t="shared" si="138"/>
        <v>2.1.4.1.1.7</v>
      </c>
      <c r="CP328" s="372" t="str">
        <f>+VLOOKUP(Tabla1[[#This Row],[ESPECÍFICA]],CLASIFICADOR_,2,0)</f>
        <v>2.1.4.1.1.7 - VACACIONES TRUNCAS PERSONAL CAS</v>
      </c>
      <c r="CQ328" s="372" t="str">
        <f>+VLOOKUP(Tabla1[[#This Row],[ESPECÍFICA]],CLASIFICADOR_,3,0)</f>
        <v>01.CAS</v>
      </c>
      <c r="CR328" s="372" t="str">
        <f>+VLOOKUP(Tabla1[[#This Row],[ESPECÍFICA]],CLASIFICADOR_,4,0)</f>
        <v xml:space="preserve"> </v>
      </c>
      <c r="CS328" s="372">
        <f>+VLOOKUP(Tabla1[[#This Row],[ESPECÍFICA]],CLASIFICADOR_,5,0)</f>
        <v>0</v>
      </c>
      <c r="CT328" s="373" t="str">
        <f>+VLOOKUP(Tabla1[[#This Row],[ESPECÍFICA]],CLASIFICADOR_,6,0)</f>
        <v>N/R</v>
      </c>
      <c r="CU328" s="372" t="str">
        <f>+VLOOKUP(Tabla1[[#This Row],[ESPECÍFICA]],CLASIFICADOR_,7,0)</f>
        <v>N/R</v>
      </c>
      <c r="CV328" s="372">
        <f>+VLOOKUP(Tabla1[[#This Row],[ESPECÍFICA]],CLASIFICADOR_,8,0)</f>
        <v>0</v>
      </c>
      <c r="CW328" s="374" t="str">
        <f>+CONCATENATE("2.",Tabla1[[#This Row],[generica]])</f>
        <v>2.1.PERSONAL Y OBLIGACIONES SOCIALES</v>
      </c>
      <c r="CX328" s="372" t="str">
        <f t="shared" si="118"/>
        <v>0019-DCEME</v>
      </c>
      <c r="CY328" s="373" t="str">
        <f t="shared" si="119"/>
        <v>0019-DCEME (C CORP)</v>
      </c>
      <c r="CZ328" s="375">
        <f t="shared" si="120"/>
        <v>0</v>
      </c>
      <c r="DA328" s="373" t="str">
        <f>+CONCATENATE(Tabla1[[#This Row],[CC COMPLETO]],Tabla1[[#This Row],[ESPECÍFICA]])</f>
        <v>0019-DCEME2.1.4.1.1.7</v>
      </c>
      <c r="DB328" s="376">
        <f t="shared" si="139"/>
        <v>12609.52</v>
      </c>
      <c r="DC328" s="376">
        <f t="shared" si="140"/>
        <v>12609.52</v>
      </c>
      <c r="DD328" s="376">
        <f t="shared" si="141"/>
        <v>12609.52</v>
      </c>
      <c r="DE328" s="376">
        <f t="shared" si="142"/>
        <v>0</v>
      </c>
      <c r="DF328" s="376">
        <f t="shared" si="143"/>
        <v>0</v>
      </c>
      <c r="DG328" s="376">
        <f t="shared" si="144"/>
        <v>0.47999999999956344</v>
      </c>
      <c r="DH328" s="376">
        <f t="shared" si="145"/>
        <v>0.47999999999956344</v>
      </c>
      <c r="DI328" s="12">
        <f t="shared" si="146"/>
        <v>0</v>
      </c>
      <c r="DJ328" s="77">
        <f>+SUM(Tabla1[[#This Row],[EJECUTADO 01]:[EJECUTADO 06]])</f>
        <v>0</v>
      </c>
      <c r="DK328" s="77">
        <f>+Tabla1[[#This Row],[mto_devenga_01]]</f>
        <v>0</v>
      </c>
      <c r="DL328" s="377">
        <f>+Tabla1[[#This Row],[mto_devenga_02]]</f>
        <v>0</v>
      </c>
      <c r="DM328" s="377">
        <f>+Tabla1[[#This Row],[mto_devenga_03]]</f>
        <v>0</v>
      </c>
      <c r="DN328" s="378">
        <f>+Tabla1[[#This Row],[mto_devenga_04]]</f>
        <v>0</v>
      </c>
      <c r="DO328" s="377">
        <f>+Tabla1[[#This Row],[mto_devenga_05]]</f>
        <v>0</v>
      </c>
      <c r="DP328" s="379">
        <f>+Tabla1[[#This Row],[mto_devenga_06]]</f>
        <v>0</v>
      </c>
      <c r="DQ328" s="379">
        <f>+Tabla1[[#This Row],[mto_devenga_07]]</f>
        <v>0</v>
      </c>
      <c r="DR328" s="379">
        <f>+Tabla1[[#This Row],[mto_devenga_08]]</f>
        <v>0</v>
      </c>
      <c r="DS328" s="379">
        <f>+Tabla1[[#This Row],[mto_devenga_09]]</f>
        <v>12609.52</v>
      </c>
      <c r="DT328" s="379">
        <f>IFERROR(VLOOKUP(Tabla1[[#This Row],[COD SE]],PF_OCTUBRE,14,0),"0")</f>
        <v>0</v>
      </c>
      <c r="DU328" s="379">
        <f>IFERROR(VLOOKUP(Tabla1[[#This Row],[COD SE]],PF_OCTUBRE,15,0),"0")</f>
        <v>0</v>
      </c>
      <c r="DV328" s="379">
        <f>IFERROR(VLOOKUP(Tabla1[[#This Row],[COD SE]],PF_OCTUBRE,16,0),"0")</f>
        <v>0</v>
      </c>
      <c r="DW328" s="379">
        <f>+SUM(Tabla1[[#This Row],[EJECUTADO 01]:[PF DICIEMBRE
]])</f>
        <v>12609.52</v>
      </c>
      <c r="DX328" s="379">
        <f>IFERROR(VLOOKUP(Tabla1[[#This Row],[COD SE]],PF_OCTUBRE,18,0),"0")</f>
        <v>0</v>
      </c>
      <c r="DY328" s="379">
        <f>IFERROR(VLOOKUP(Tabla1[[#This Row],[COD SE]],PF_OCTUBRE,19,0),"0")</f>
        <v>0.48</v>
      </c>
      <c r="DZ328" s="379">
        <f>IFERROR(VLOOKUP(Tabla1[[#This Row],[COD SE]],PF_OCTUBRE,20,0),"0")</f>
        <v>0.48</v>
      </c>
      <c r="EA328" s="379">
        <f>+Tabla1[[#This Row],[TOTAL EJEC REAL]]+Tabla1[[#This Row],[SALDO FINAL]]</f>
        <v>12610</v>
      </c>
      <c r="EB328" s="379">
        <f>IFERROR(VLOOKUP(Tabla1[[#This Row],[COD SE]],PF_OCTUBRE,22,0),"0")</f>
        <v>0.48</v>
      </c>
      <c r="EC328" s="379">
        <f>+IFERROR(VLOOKUP(Tabla1[[#This Row],[COD SE]],SALDO_ESC_2,7,0),0)</f>
        <v>0</v>
      </c>
      <c r="ED328" s="379">
        <f>+IFERROR(VLOOKUP(Tabla1[[#This Row],[COD SE]],SALDO_ESC_3,7,0),0)</f>
        <v>0.48</v>
      </c>
      <c r="EE328" s="379">
        <f>+Tabla1[[#This Row],[mto_pim]]-Tabla1[[#This Row],[TRANSF ESC2 ]]</f>
        <v>12610</v>
      </c>
      <c r="EF328" s="379">
        <f>+Tabla1[[#This Row],[mto_pim]]-Tabla1[[#This Row],[TRANFS ESC 3 ]]</f>
        <v>12609.52</v>
      </c>
      <c r="EG328" s="379">
        <f>+IFERROR(VLOOKUP(Tabla1[[#This Row],[COD SE]],HISTORICO,4,0),0)</f>
        <v>0</v>
      </c>
      <c r="EH328" s="379">
        <f>+IFERROR(VLOOKUP(Tabla1[[#This Row],[COD SE]],HISTORICO,5,0),0)</f>
        <v>0</v>
      </c>
      <c r="EI328" s="379">
        <f>+IFERROR(VLOOKUP(Tabla1[[#This Row],[COD SE]],HISTORICO,6,0),0)</f>
        <v>0</v>
      </c>
      <c r="EJ328" s="379">
        <f>+IFERROR(VLOOKUP(Tabla1[[#This Row],[COD SE]],HISTORICO,7,0),0)</f>
        <v>0</v>
      </c>
      <c r="EK328" s="379">
        <f>+IFERROR(VLOOKUP(Tabla1[[#This Row],[COD SE]],HISTORICO,8,0),0)</f>
        <v>0</v>
      </c>
      <c r="EL328" s="379">
        <f>+IFERROR(VLOOKUP(Tabla1[[#This Row],[COD SE]],HISTORICO,9,0),0)</f>
        <v>0</v>
      </c>
      <c r="EM328" s="379">
        <f>+IFERROR(VLOOKUP(Tabla1[[#This Row],[COD SE]],HISTORICO,10,0),0)</f>
        <v>0</v>
      </c>
      <c r="EN328" s="379">
        <f>+IFERROR(VLOOKUP(Tabla1[[#This Row],[COD SE]],HISTORICO,11,0),0)</f>
        <v>0</v>
      </c>
      <c r="EO328" s="379">
        <f>+IFERROR(VLOOKUP(Tabla1[[#This Row],[COD SE]],HISTORICO,12,0),0)</f>
        <v>0</v>
      </c>
      <c r="EP328" s="380">
        <f>+SUM(Tabla1[[#This Row],[EJECUTADO 01]:[EJECUTADO 03]])</f>
        <v>0</v>
      </c>
      <c r="EQ328" s="380">
        <f>+SUM(Tabla1[[#This Row],[EJECUTADO 04]:[EJECUTADO 06]])</f>
        <v>0</v>
      </c>
      <c r="ER328" s="380">
        <f>+SUM(Tabla1[[#This Row],[EJECUTADO 07]:[EJECUTADO 09]])</f>
        <v>12609.52</v>
      </c>
      <c r="ES328" s="380">
        <f>+SUM(Tabla1[[#This Row],[PF OCTUBRE]:[PF DICIEMBRE
]])</f>
        <v>0</v>
      </c>
      <c r="ET328" s="380">
        <f>+SUM(Tabla1[[#This Row],[EJECUTADO 01]:[EJECUTADO 09]])</f>
        <v>12609.52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A6" sqref="A6:I253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84"/>
  <sheetViews>
    <sheetView workbookViewId="0">
      <selection activeCell="B21" sqref="B21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85546875" style="194" bestFit="1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4038535.37</v>
      </c>
      <c r="D6" s="366">
        <v>4038535.37</v>
      </c>
      <c r="E6" s="366">
        <v>2143581.42</v>
      </c>
      <c r="F6" s="367">
        <v>0.34692284088183512</v>
      </c>
      <c r="G6" s="366">
        <v>191138.96000000002</v>
      </c>
      <c r="H6" s="366">
        <v>153658.28999999998</v>
      </c>
      <c r="I6" s="367">
        <v>0.8039087897098528</v>
      </c>
    </row>
    <row r="7" spans="1:10" x14ac:dyDescent="0.2">
      <c r="A7" s="5" t="s">
        <v>2218</v>
      </c>
      <c r="B7" s="366">
        <v>6178842</v>
      </c>
      <c r="C7" s="366">
        <v>4038535.37</v>
      </c>
      <c r="D7" s="366">
        <v>4038535.37</v>
      </c>
      <c r="E7" s="366">
        <v>2143581.42</v>
      </c>
      <c r="F7" s="367">
        <v>0.34692284088183512</v>
      </c>
      <c r="G7" s="366">
        <v>191138.96000000002</v>
      </c>
      <c r="H7" s="366">
        <v>153658.28999999998</v>
      </c>
      <c r="I7" s="367">
        <v>0.8039087897098528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998296.34</v>
      </c>
      <c r="F9" s="367">
        <v>0.21850502007438785</v>
      </c>
      <c r="G9" s="366">
        <v>86371.07</v>
      </c>
      <c r="H9" s="366">
        <v>98609.62</v>
      </c>
      <c r="I9" s="367">
        <v>1.1416973299045616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1273468.6000000001</v>
      </c>
      <c r="D12" s="366">
        <v>1273468.6000000001</v>
      </c>
      <c r="E12" s="366">
        <v>984837.75999999989</v>
      </c>
      <c r="F12" s="367">
        <v>0.72992794387300564</v>
      </c>
      <c r="G12" s="366">
        <v>83678.61</v>
      </c>
      <c r="H12" s="366">
        <v>55048.67</v>
      </c>
      <c r="I12" s="367">
        <v>0.6578583224554041</v>
      </c>
    </row>
    <row r="13" spans="1:10" x14ac:dyDescent="0.2">
      <c r="A13" s="368" t="s">
        <v>1522</v>
      </c>
      <c r="B13" s="366">
        <v>8149030</v>
      </c>
      <c r="C13" s="366">
        <v>7049987.3799999999</v>
      </c>
      <c r="D13" s="366">
        <v>6852876.5899999999</v>
      </c>
      <c r="E13" s="366">
        <v>5650694.71</v>
      </c>
      <c r="F13" s="367">
        <v>0.69341930389261053</v>
      </c>
      <c r="G13" s="366">
        <v>633068.44000000018</v>
      </c>
      <c r="H13" s="366">
        <v>577854.14</v>
      </c>
      <c r="I13" s="367">
        <v>0.91278304759592799</v>
      </c>
      <c r="J13" s="258"/>
    </row>
    <row r="14" spans="1:10" x14ac:dyDescent="0.2">
      <c r="A14" s="5" t="s">
        <v>2219</v>
      </c>
      <c r="B14" s="366">
        <v>7349922</v>
      </c>
      <c r="C14" s="366">
        <v>6668467.25</v>
      </c>
      <c r="D14" s="366">
        <v>6474955.9000000004</v>
      </c>
      <c r="E14" s="366">
        <v>5389274.0200000005</v>
      </c>
      <c r="F14" s="367">
        <v>0.73324234189151949</v>
      </c>
      <c r="G14" s="366">
        <v>609068.44000000018</v>
      </c>
      <c r="H14" s="366">
        <v>559206.48</v>
      </c>
      <c r="I14" s="367">
        <v>0.91813406059916647</v>
      </c>
    </row>
    <row r="15" spans="1:10" x14ac:dyDescent="0.2">
      <c r="A15" s="5" t="s">
        <v>2220</v>
      </c>
      <c r="B15" s="366">
        <v>799108</v>
      </c>
      <c r="C15" s="366">
        <v>381520.13</v>
      </c>
      <c r="D15" s="366">
        <v>377920.69</v>
      </c>
      <c r="E15" s="366">
        <v>261420.69</v>
      </c>
      <c r="F15" s="367">
        <v>0.32714062429609014</v>
      </c>
      <c r="G15" s="366">
        <v>24000</v>
      </c>
      <c r="H15" s="366">
        <v>18647.66</v>
      </c>
      <c r="I15" s="367">
        <v>0.77698583333333338</v>
      </c>
    </row>
    <row r="16" spans="1:10" x14ac:dyDescent="0.2">
      <c r="A16" s="5" t="s">
        <v>522</v>
      </c>
      <c r="B16" s="366">
        <v>1015</v>
      </c>
      <c r="C16" s="366">
        <v>0</v>
      </c>
      <c r="D16" s="366">
        <v>0</v>
      </c>
      <c r="E16" s="366">
        <v>0</v>
      </c>
      <c r="F16" s="367">
        <v>0</v>
      </c>
      <c r="G16" s="366">
        <v>0</v>
      </c>
      <c r="H16" s="366">
        <v>0</v>
      </c>
      <c r="I16" s="367">
        <v>0</v>
      </c>
    </row>
    <row r="17" spans="1:9" x14ac:dyDescent="0.2">
      <c r="A17" s="5" t="s">
        <v>542</v>
      </c>
      <c r="B17" s="366">
        <v>37820</v>
      </c>
      <c r="C17" s="366">
        <v>20942.830000000002</v>
      </c>
      <c r="D17" s="366">
        <v>19692.39</v>
      </c>
      <c r="E17" s="366">
        <v>19692.39</v>
      </c>
      <c r="F17" s="367">
        <v>0.52068720253833944</v>
      </c>
      <c r="G17" s="366">
        <v>0</v>
      </c>
      <c r="H17" s="366">
        <v>6483.66</v>
      </c>
      <c r="I17" s="367">
        <v>0</v>
      </c>
    </row>
    <row r="18" spans="1:9" x14ac:dyDescent="0.2">
      <c r="A18" s="5" t="s">
        <v>544</v>
      </c>
      <c r="B18" s="366">
        <v>19566</v>
      </c>
      <c r="C18" s="366">
        <v>11397.3</v>
      </c>
      <c r="D18" s="366">
        <v>10728.3</v>
      </c>
      <c r="E18" s="366">
        <v>10728.300000000001</v>
      </c>
      <c r="F18" s="367">
        <v>0.54831340079730151</v>
      </c>
      <c r="G18" s="366">
        <v>0</v>
      </c>
      <c r="H18" s="366">
        <v>3164</v>
      </c>
      <c r="I18" s="367">
        <v>0</v>
      </c>
    </row>
    <row r="19" spans="1:9" x14ac:dyDescent="0.2">
      <c r="A19" s="5" t="s">
        <v>668</v>
      </c>
      <c r="B19" s="366">
        <v>5100</v>
      </c>
      <c r="C19" s="366">
        <v>2180</v>
      </c>
      <c r="D19" s="366">
        <v>500</v>
      </c>
      <c r="E19" s="366">
        <v>0</v>
      </c>
      <c r="F19" s="367">
        <v>0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673</v>
      </c>
      <c r="B20" s="366">
        <v>76227</v>
      </c>
      <c r="C20" s="366">
        <v>0</v>
      </c>
      <c r="D20" s="366">
        <v>0</v>
      </c>
      <c r="E20" s="366">
        <v>0</v>
      </c>
      <c r="F20" s="367">
        <v>0</v>
      </c>
      <c r="G20" s="366">
        <v>0</v>
      </c>
      <c r="H20" s="366">
        <v>0</v>
      </c>
      <c r="I20" s="367">
        <v>0</v>
      </c>
    </row>
    <row r="21" spans="1:9" x14ac:dyDescent="0.2">
      <c r="A21" s="5" t="s">
        <v>701</v>
      </c>
      <c r="B21" s="366">
        <v>36000</v>
      </c>
      <c r="C21" s="366">
        <v>36000</v>
      </c>
      <c r="D21" s="366">
        <v>36000</v>
      </c>
      <c r="E21" s="366">
        <v>0</v>
      </c>
      <c r="F21" s="367">
        <v>0</v>
      </c>
      <c r="G21" s="366">
        <v>0</v>
      </c>
      <c r="H21" s="366">
        <v>0</v>
      </c>
      <c r="I21" s="367">
        <v>0</v>
      </c>
    </row>
    <row r="22" spans="1:9" x14ac:dyDescent="0.2">
      <c r="A22" s="5" t="s">
        <v>739</v>
      </c>
      <c r="B22" s="366">
        <v>13560</v>
      </c>
      <c r="C22" s="366">
        <v>0</v>
      </c>
      <c r="D22" s="366">
        <v>0</v>
      </c>
      <c r="E22" s="366">
        <v>0</v>
      </c>
      <c r="F22" s="367">
        <v>0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749</v>
      </c>
      <c r="B23" s="366">
        <v>1000</v>
      </c>
      <c r="C23" s="366">
        <v>0</v>
      </c>
      <c r="D23" s="366">
        <v>0</v>
      </c>
      <c r="E23" s="366">
        <v>0</v>
      </c>
      <c r="F23" s="367">
        <v>0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775</v>
      </c>
      <c r="B24" s="366">
        <v>608820</v>
      </c>
      <c r="C24" s="366">
        <v>311000</v>
      </c>
      <c r="D24" s="366">
        <v>311000</v>
      </c>
      <c r="E24" s="366">
        <v>231000</v>
      </c>
      <c r="F24" s="367">
        <v>0.3794224894057357</v>
      </c>
      <c r="G24" s="366">
        <v>24000</v>
      </c>
      <c r="H24" s="366">
        <v>9000</v>
      </c>
      <c r="I24" s="367">
        <v>0.375</v>
      </c>
    </row>
    <row r="25" spans="1:9" x14ac:dyDescent="0.2">
      <c r="A25" s="368" t="s">
        <v>1531</v>
      </c>
      <c r="B25" s="366">
        <v>7033865</v>
      </c>
      <c r="C25" s="366">
        <v>5802138.9800000004</v>
      </c>
      <c r="D25" s="366">
        <v>5367350.9800000004</v>
      </c>
      <c r="E25" s="366">
        <v>4416610.99</v>
      </c>
      <c r="F25" s="367">
        <v>0.62790670420885253</v>
      </c>
      <c r="G25" s="366">
        <v>430357.14000000007</v>
      </c>
      <c r="H25" s="366">
        <v>377187.10000000003</v>
      </c>
      <c r="I25" s="367">
        <v>0.87645135851585954</v>
      </c>
    </row>
    <row r="26" spans="1:9" x14ac:dyDescent="0.2">
      <c r="A26" s="5" t="s">
        <v>2219</v>
      </c>
      <c r="B26" s="366">
        <v>6098573</v>
      </c>
      <c r="C26" s="366">
        <v>5402917.04</v>
      </c>
      <c r="D26" s="366">
        <v>5041194.1900000004</v>
      </c>
      <c r="E26" s="366">
        <v>4195515.78</v>
      </c>
      <c r="F26" s="367">
        <v>0.68795040741498059</v>
      </c>
      <c r="G26" s="366">
        <v>410792.34000000008</v>
      </c>
      <c r="H26" s="366">
        <v>371317.66000000003</v>
      </c>
      <c r="I26" s="367">
        <v>0.90390599785770098</v>
      </c>
    </row>
    <row r="27" spans="1:9" x14ac:dyDescent="0.2">
      <c r="A27" s="5" t="s">
        <v>2220</v>
      </c>
      <c r="B27" s="366">
        <v>935292</v>
      </c>
      <c r="C27" s="366">
        <v>399221.94</v>
      </c>
      <c r="D27" s="366">
        <v>326156.79000000004</v>
      </c>
      <c r="E27" s="366">
        <v>221095.21000000002</v>
      </c>
      <c r="F27" s="367">
        <v>0.23639164025780188</v>
      </c>
      <c r="G27" s="366">
        <v>19564.8</v>
      </c>
      <c r="H27" s="366">
        <v>5869.44</v>
      </c>
      <c r="I27" s="367">
        <v>0.3</v>
      </c>
    </row>
    <row r="28" spans="1:9" x14ac:dyDescent="0.2">
      <c r="A28" s="5" t="s">
        <v>522</v>
      </c>
      <c r="B28" s="366">
        <v>7000</v>
      </c>
      <c r="C28" s="366">
        <v>1903.99</v>
      </c>
      <c r="D28" s="366">
        <v>1903.99</v>
      </c>
      <c r="E28" s="366">
        <v>1903.99</v>
      </c>
      <c r="F28" s="367">
        <v>0.27199857142857142</v>
      </c>
      <c r="G28" s="366">
        <v>0</v>
      </c>
      <c r="H28" s="366">
        <v>0</v>
      </c>
      <c r="I28" s="367">
        <v>0</v>
      </c>
    </row>
    <row r="29" spans="1:9" x14ac:dyDescent="0.2">
      <c r="A29" s="5" t="s">
        <v>542</v>
      </c>
      <c r="B29" s="366">
        <v>9600</v>
      </c>
      <c r="C29" s="366">
        <v>2393.1</v>
      </c>
      <c r="D29" s="366">
        <v>2393.1</v>
      </c>
      <c r="E29" s="366">
        <v>2393.1000000000004</v>
      </c>
      <c r="F29" s="367">
        <v>0.24928125000000004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544</v>
      </c>
      <c r="B30" s="366">
        <v>7560</v>
      </c>
      <c r="C30" s="366">
        <v>2131.5</v>
      </c>
      <c r="D30" s="366">
        <v>2131.5</v>
      </c>
      <c r="E30" s="366">
        <v>2131.5</v>
      </c>
      <c r="F30" s="367">
        <v>0.28194444444444444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575</v>
      </c>
      <c r="B31" s="366">
        <v>8781</v>
      </c>
      <c r="C31" s="366">
        <v>0</v>
      </c>
      <c r="D31" s="366">
        <v>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580</v>
      </c>
      <c r="B32" s="366">
        <v>299200</v>
      </c>
      <c r="C32" s="366">
        <v>151228.20000000001</v>
      </c>
      <c r="D32" s="366">
        <v>151228.20000000001</v>
      </c>
      <c r="E32" s="366">
        <v>46166.62000000001</v>
      </c>
      <c r="F32" s="367">
        <v>0.1543002005347594</v>
      </c>
      <c r="G32" s="366">
        <v>19564.8</v>
      </c>
      <c r="H32" s="366">
        <v>5869.44</v>
      </c>
      <c r="I32" s="367">
        <v>0.3</v>
      </c>
    </row>
    <row r="33" spans="1:9" x14ac:dyDescent="0.2">
      <c r="A33" s="5" t="s">
        <v>625</v>
      </c>
      <c r="B33" s="366">
        <v>6500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668</v>
      </c>
      <c r="B34" s="366">
        <v>45000</v>
      </c>
      <c r="C34" s="366">
        <v>0</v>
      </c>
      <c r="D34" s="366">
        <v>0</v>
      </c>
      <c r="E34" s="366">
        <v>0</v>
      </c>
      <c r="F34" s="367">
        <v>0</v>
      </c>
      <c r="G34" s="366">
        <v>0</v>
      </c>
      <c r="H34" s="366">
        <v>0</v>
      </c>
      <c r="I34" s="367">
        <v>0</v>
      </c>
    </row>
    <row r="35" spans="1:9" x14ac:dyDescent="0.2">
      <c r="A35" s="5" t="s">
        <v>673</v>
      </c>
      <c r="B35" s="366">
        <v>11651</v>
      </c>
      <c r="C35" s="366">
        <v>0</v>
      </c>
      <c r="D35" s="366">
        <v>0</v>
      </c>
      <c r="E35" s="366">
        <v>0</v>
      </c>
      <c r="F35" s="367">
        <v>0</v>
      </c>
      <c r="G35" s="366">
        <v>0</v>
      </c>
      <c r="H35" s="366">
        <v>0</v>
      </c>
      <c r="I35" s="367">
        <v>0</v>
      </c>
    </row>
    <row r="36" spans="1:9" x14ac:dyDescent="0.2">
      <c r="A36" s="5" t="s">
        <v>689</v>
      </c>
      <c r="B36" s="366">
        <v>90000</v>
      </c>
      <c r="C36" s="366">
        <v>73065.149999999994</v>
      </c>
      <c r="D36" s="366">
        <v>0</v>
      </c>
      <c r="E36" s="366">
        <v>0</v>
      </c>
      <c r="F36" s="367">
        <v>0</v>
      </c>
      <c r="G36" s="366">
        <v>0</v>
      </c>
      <c r="H36" s="366">
        <v>0</v>
      </c>
      <c r="I36" s="367">
        <v>0</v>
      </c>
    </row>
    <row r="37" spans="1:9" x14ac:dyDescent="0.2">
      <c r="A37" s="5" t="s">
        <v>707</v>
      </c>
      <c r="B37" s="366">
        <v>366000</v>
      </c>
      <c r="C37" s="366">
        <v>168500</v>
      </c>
      <c r="D37" s="366">
        <v>168500</v>
      </c>
      <c r="E37" s="366">
        <v>168500</v>
      </c>
      <c r="F37" s="367">
        <v>0.4603825136612022</v>
      </c>
      <c r="G37" s="366">
        <v>0</v>
      </c>
      <c r="H37" s="366">
        <v>0</v>
      </c>
      <c r="I37" s="367">
        <v>0</v>
      </c>
    </row>
    <row r="38" spans="1:9" x14ac:dyDescent="0.2">
      <c r="A38" s="5" t="s">
        <v>775</v>
      </c>
      <c r="B38" s="366">
        <v>84000</v>
      </c>
      <c r="C38" s="366">
        <v>0</v>
      </c>
      <c r="D38" s="366">
        <v>0</v>
      </c>
      <c r="E38" s="366">
        <v>0</v>
      </c>
      <c r="F38" s="367">
        <v>0</v>
      </c>
      <c r="G38" s="366">
        <v>0</v>
      </c>
      <c r="H38" s="366">
        <v>0</v>
      </c>
      <c r="I38" s="367">
        <v>0</v>
      </c>
    </row>
    <row r="39" spans="1:9" x14ac:dyDescent="0.2">
      <c r="A39" s="368" t="s">
        <v>12</v>
      </c>
      <c r="B39" s="366">
        <v>264154</v>
      </c>
      <c r="C39" s="366">
        <v>247752.51</v>
      </c>
      <c r="D39" s="366">
        <v>175766.26</v>
      </c>
      <c r="E39" s="366">
        <v>135766.26</v>
      </c>
      <c r="F39" s="367">
        <v>0.51396632267540909</v>
      </c>
      <c r="G39" s="366">
        <v>9600</v>
      </c>
      <c r="H39" s="366">
        <v>9600</v>
      </c>
      <c r="I39" s="367">
        <v>1</v>
      </c>
    </row>
    <row r="40" spans="1:9" x14ac:dyDescent="0.2">
      <c r="A40" s="5" t="s">
        <v>2218</v>
      </c>
      <c r="B40" s="366">
        <v>264154</v>
      </c>
      <c r="C40" s="366">
        <v>247752.51</v>
      </c>
      <c r="D40" s="366">
        <v>175766.26</v>
      </c>
      <c r="E40" s="366">
        <v>135766.26</v>
      </c>
      <c r="F40" s="367">
        <v>0.51396632267540909</v>
      </c>
      <c r="G40" s="366">
        <v>9600</v>
      </c>
      <c r="H40" s="366">
        <v>9600</v>
      </c>
      <c r="I40" s="367">
        <v>1</v>
      </c>
    </row>
    <row r="41" spans="1:9" x14ac:dyDescent="0.2">
      <c r="A41" s="5" t="s">
        <v>1144</v>
      </c>
      <c r="B41" s="366">
        <v>26581</v>
      </c>
      <c r="C41" s="366">
        <v>26581</v>
      </c>
      <c r="D41" s="366">
        <v>26581</v>
      </c>
      <c r="E41" s="366">
        <v>26581</v>
      </c>
      <c r="F41" s="367">
        <v>1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1150</v>
      </c>
      <c r="B42" s="366">
        <v>71987</v>
      </c>
      <c r="C42" s="366">
        <v>71986.25</v>
      </c>
      <c r="D42" s="366">
        <v>0</v>
      </c>
      <c r="E42" s="366">
        <v>0</v>
      </c>
      <c r="F42" s="367">
        <v>0</v>
      </c>
      <c r="G42" s="366">
        <v>0</v>
      </c>
      <c r="H42" s="366">
        <v>0</v>
      </c>
      <c r="I42" s="367">
        <v>0</v>
      </c>
    </row>
    <row r="43" spans="1:9" x14ac:dyDescent="0.2">
      <c r="A43" s="5" t="s">
        <v>1152</v>
      </c>
      <c r="B43" s="366">
        <v>42796</v>
      </c>
      <c r="C43" s="366">
        <v>42795.06</v>
      </c>
      <c r="D43" s="366">
        <v>42795.06</v>
      </c>
      <c r="E43" s="366">
        <v>42795.06</v>
      </c>
      <c r="F43" s="367">
        <v>0.99997803533040464</v>
      </c>
      <c r="G43" s="366">
        <v>0</v>
      </c>
      <c r="H43" s="366">
        <v>0</v>
      </c>
      <c r="I43" s="367">
        <v>0</v>
      </c>
    </row>
    <row r="44" spans="1:9" x14ac:dyDescent="0.2">
      <c r="A44" s="5" t="s">
        <v>1182</v>
      </c>
      <c r="B44" s="366">
        <v>42391</v>
      </c>
      <c r="C44" s="366">
        <v>42390.2</v>
      </c>
      <c r="D44" s="366">
        <v>42390.2</v>
      </c>
      <c r="E44" s="366">
        <v>42390.2</v>
      </c>
      <c r="F44" s="367">
        <v>0.99998112806963735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1279</v>
      </c>
      <c r="B45" s="366">
        <v>0</v>
      </c>
      <c r="C45" s="366">
        <v>0</v>
      </c>
      <c r="D45" s="366">
        <v>0</v>
      </c>
      <c r="E45" s="366">
        <v>0</v>
      </c>
      <c r="F45" s="367">
        <v>0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1285</v>
      </c>
      <c r="B46" s="366">
        <v>80399</v>
      </c>
      <c r="C46" s="366">
        <v>64000</v>
      </c>
      <c r="D46" s="366">
        <v>64000</v>
      </c>
      <c r="E46" s="366">
        <v>24000</v>
      </c>
      <c r="F46" s="367">
        <v>0.29851117551213324</v>
      </c>
      <c r="G46" s="366">
        <v>9600</v>
      </c>
      <c r="H46" s="366">
        <v>9600</v>
      </c>
      <c r="I46" s="367">
        <v>1</v>
      </c>
    </row>
    <row r="47" spans="1:9" x14ac:dyDescent="0.2">
      <c r="A47" s="368" t="s">
        <v>13</v>
      </c>
      <c r="B47" s="366">
        <v>2410175</v>
      </c>
      <c r="C47" s="366">
        <v>2037421.96</v>
      </c>
      <c r="D47" s="366">
        <v>1875308.4600000002</v>
      </c>
      <c r="E47" s="366">
        <v>1557776.6300000001</v>
      </c>
      <c r="F47" s="367">
        <v>0.64633341147427059</v>
      </c>
      <c r="G47" s="366">
        <v>165628.35</v>
      </c>
      <c r="H47" s="366">
        <v>165125.39000000001</v>
      </c>
      <c r="I47" s="367">
        <v>0.99696332179847236</v>
      </c>
    </row>
    <row r="48" spans="1:9" x14ac:dyDescent="0.2">
      <c r="A48" s="5" t="s">
        <v>2219</v>
      </c>
      <c r="B48" s="366">
        <v>2070738</v>
      </c>
      <c r="C48" s="366">
        <v>1731391.96</v>
      </c>
      <c r="D48" s="366">
        <v>1569278.4600000002</v>
      </c>
      <c r="E48" s="366">
        <v>1301948.3</v>
      </c>
      <c r="F48" s="367">
        <v>0.62873637321573272</v>
      </c>
      <c r="G48" s="366">
        <v>150998.35</v>
      </c>
      <c r="H48" s="366">
        <v>150495.39000000001</v>
      </c>
      <c r="I48" s="367">
        <v>0.99666910267562536</v>
      </c>
    </row>
    <row r="49" spans="1:9" x14ac:dyDescent="0.2">
      <c r="A49" s="5" t="s">
        <v>2220</v>
      </c>
      <c r="B49" s="366">
        <v>339437</v>
      </c>
      <c r="C49" s="366">
        <v>306030</v>
      </c>
      <c r="D49" s="366">
        <v>306030</v>
      </c>
      <c r="E49" s="366">
        <v>255828.33000000002</v>
      </c>
      <c r="F49" s="367">
        <v>0.75368427720018738</v>
      </c>
      <c r="G49" s="366">
        <v>14630</v>
      </c>
      <c r="H49" s="366">
        <v>14630</v>
      </c>
      <c r="I49" s="367">
        <v>1</v>
      </c>
    </row>
    <row r="50" spans="1:9" x14ac:dyDescent="0.2">
      <c r="A50" s="5" t="s">
        <v>589</v>
      </c>
      <c r="B50" s="366">
        <v>0</v>
      </c>
      <c r="C50" s="366">
        <v>0</v>
      </c>
      <c r="D50" s="366">
        <v>0</v>
      </c>
      <c r="E50" s="366">
        <v>0</v>
      </c>
      <c r="F50" s="367">
        <v>0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668</v>
      </c>
      <c r="B51" s="366">
        <v>1100</v>
      </c>
      <c r="C51" s="366">
        <v>1100</v>
      </c>
      <c r="D51" s="366">
        <v>1100</v>
      </c>
      <c r="E51" s="366">
        <v>1100</v>
      </c>
      <c r="F51" s="367">
        <v>1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689</v>
      </c>
      <c r="B52" s="366">
        <v>2926</v>
      </c>
      <c r="C52" s="366">
        <v>0</v>
      </c>
      <c r="D52" s="366">
        <v>0</v>
      </c>
      <c r="E52" s="366">
        <v>0</v>
      </c>
      <c r="F52" s="367">
        <v>0</v>
      </c>
      <c r="G52" s="366">
        <v>0</v>
      </c>
      <c r="H52" s="366">
        <v>0</v>
      </c>
      <c r="I52" s="367">
        <v>0</v>
      </c>
    </row>
    <row r="53" spans="1:9" x14ac:dyDescent="0.2">
      <c r="A53" s="5" t="s">
        <v>701</v>
      </c>
      <c r="B53" s="366">
        <v>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707</v>
      </c>
      <c r="B54" s="366">
        <v>29000</v>
      </c>
      <c r="C54" s="366">
        <v>29000</v>
      </c>
      <c r="D54" s="366">
        <v>29000</v>
      </c>
      <c r="E54" s="366">
        <v>29000</v>
      </c>
      <c r="F54" s="367">
        <v>1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739</v>
      </c>
      <c r="B55" s="366">
        <v>5650</v>
      </c>
      <c r="C55" s="366">
        <v>5650</v>
      </c>
      <c r="D55" s="366">
        <v>5650</v>
      </c>
      <c r="E55" s="366">
        <v>2448.33</v>
      </c>
      <c r="F55" s="367">
        <v>0.43333274336283184</v>
      </c>
      <c r="G55" s="366">
        <v>1130</v>
      </c>
      <c r="H55" s="366">
        <v>1130</v>
      </c>
      <c r="I55" s="367">
        <v>1</v>
      </c>
    </row>
    <row r="56" spans="1:9" x14ac:dyDescent="0.2">
      <c r="A56" s="5" t="s">
        <v>775</v>
      </c>
      <c r="B56" s="366">
        <v>300761</v>
      </c>
      <c r="C56" s="366">
        <v>270280</v>
      </c>
      <c r="D56" s="366">
        <v>270280</v>
      </c>
      <c r="E56" s="366">
        <v>223280</v>
      </c>
      <c r="F56" s="367">
        <v>0.74238348722074998</v>
      </c>
      <c r="G56" s="366">
        <v>13500</v>
      </c>
      <c r="H56" s="366">
        <v>13500</v>
      </c>
      <c r="I56" s="367">
        <v>1</v>
      </c>
    </row>
    <row r="57" spans="1:9" x14ac:dyDescent="0.2">
      <c r="A57" s="368" t="s">
        <v>14</v>
      </c>
      <c r="B57" s="366">
        <v>871313</v>
      </c>
      <c r="C57" s="366">
        <v>577173.32000000007</v>
      </c>
      <c r="D57" s="366">
        <v>428738.27</v>
      </c>
      <c r="E57" s="366">
        <v>320763.57000000007</v>
      </c>
      <c r="F57" s="367">
        <v>0.36813816619286072</v>
      </c>
      <c r="G57" s="366">
        <v>44465.74</v>
      </c>
      <c r="H57" s="366">
        <v>22484.87</v>
      </c>
      <c r="I57" s="367">
        <v>0.50566728452062193</v>
      </c>
    </row>
    <row r="58" spans="1:9" x14ac:dyDescent="0.2">
      <c r="A58" s="5" t="s">
        <v>2219</v>
      </c>
      <c r="B58" s="366">
        <v>751313</v>
      </c>
      <c r="C58" s="366">
        <v>477173.32</v>
      </c>
      <c r="D58" s="366">
        <v>328738.27</v>
      </c>
      <c r="E58" s="366">
        <v>274763.57000000007</v>
      </c>
      <c r="F58" s="367">
        <v>0.36571118827971838</v>
      </c>
      <c r="G58" s="366">
        <v>26465.739999999998</v>
      </c>
      <c r="H58" s="366">
        <v>22484.87</v>
      </c>
      <c r="I58" s="367">
        <v>0.84958402825690882</v>
      </c>
    </row>
    <row r="59" spans="1:9" x14ac:dyDescent="0.2">
      <c r="A59" s="5" t="s">
        <v>2220</v>
      </c>
      <c r="B59" s="366">
        <v>120000</v>
      </c>
      <c r="C59" s="366">
        <v>100000</v>
      </c>
      <c r="D59" s="366">
        <v>100000</v>
      </c>
      <c r="E59" s="366">
        <v>46000</v>
      </c>
      <c r="F59" s="367">
        <v>0.38333333333333336</v>
      </c>
      <c r="G59" s="366">
        <v>18000</v>
      </c>
      <c r="H59" s="366">
        <v>0</v>
      </c>
      <c r="I59" s="367">
        <v>0</v>
      </c>
    </row>
    <row r="60" spans="1:9" x14ac:dyDescent="0.2">
      <c r="A60" s="5" t="s">
        <v>542</v>
      </c>
      <c r="B60" s="366">
        <v>12000</v>
      </c>
      <c r="C60" s="366">
        <v>0</v>
      </c>
      <c r="D60" s="366">
        <v>0</v>
      </c>
      <c r="E60" s="366">
        <v>0</v>
      </c>
      <c r="F60" s="367">
        <v>0</v>
      </c>
      <c r="G60" s="366">
        <v>0</v>
      </c>
      <c r="H60" s="366">
        <v>0</v>
      </c>
      <c r="I60" s="367">
        <v>0</v>
      </c>
    </row>
    <row r="61" spans="1:9" x14ac:dyDescent="0.2">
      <c r="A61" s="5" t="s">
        <v>544</v>
      </c>
      <c r="B61" s="366">
        <v>8000</v>
      </c>
      <c r="C61" s="366">
        <v>0</v>
      </c>
      <c r="D61" s="366">
        <v>0</v>
      </c>
      <c r="E61" s="366">
        <v>0</v>
      </c>
      <c r="F61" s="367">
        <v>0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775</v>
      </c>
      <c r="B62" s="366">
        <v>100000</v>
      </c>
      <c r="C62" s="366">
        <v>100000</v>
      </c>
      <c r="D62" s="366">
        <v>100000</v>
      </c>
      <c r="E62" s="366">
        <v>46000</v>
      </c>
      <c r="F62" s="367">
        <v>0.46</v>
      </c>
      <c r="G62" s="366">
        <v>18000</v>
      </c>
      <c r="H62" s="366">
        <v>0</v>
      </c>
      <c r="I62" s="367">
        <v>0</v>
      </c>
    </row>
    <row r="63" spans="1:9" x14ac:dyDescent="0.2">
      <c r="A63" s="368" t="s">
        <v>15</v>
      </c>
      <c r="B63" s="366">
        <v>1299208</v>
      </c>
      <c r="C63" s="366">
        <v>987705.08000000007</v>
      </c>
      <c r="D63" s="366">
        <v>852327.88</v>
      </c>
      <c r="E63" s="366">
        <v>681230.22</v>
      </c>
      <c r="F63" s="367">
        <v>0.52434269185534566</v>
      </c>
      <c r="G63" s="366">
        <v>69229.03</v>
      </c>
      <c r="H63" s="366">
        <v>52203.93</v>
      </c>
      <c r="I63" s="367">
        <v>0.75407571072424384</v>
      </c>
    </row>
    <row r="64" spans="1:9" x14ac:dyDescent="0.2">
      <c r="A64" s="5" t="s">
        <v>2219</v>
      </c>
      <c r="B64" s="366">
        <v>1093098</v>
      </c>
      <c r="C64" s="366">
        <v>795860.08000000007</v>
      </c>
      <c r="D64" s="366">
        <v>660482.88</v>
      </c>
      <c r="E64" s="366">
        <v>524710.22</v>
      </c>
      <c r="F64" s="367">
        <v>0.48002120578392787</v>
      </c>
      <c r="G64" s="366">
        <v>55099.03</v>
      </c>
      <c r="H64" s="366">
        <v>51073.93</v>
      </c>
      <c r="I64" s="367">
        <v>0.92694789726788296</v>
      </c>
    </row>
    <row r="65" spans="1:9" x14ac:dyDescent="0.2">
      <c r="A65" s="5" t="s">
        <v>2220</v>
      </c>
      <c r="B65" s="366">
        <v>206110</v>
      </c>
      <c r="C65" s="366">
        <v>191845</v>
      </c>
      <c r="D65" s="366">
        <v>191845</v>
      </c>
      <c r="E65" s="366">
        <v>156520</v>
      </c>
      <c r="F65" s="367">
        <v>0.7594003202173597</v>
      </c>
      <c r="G65" s="366">
        <v>14130</v>
      </c>
      <c r="H65" s="366">
        <v>1130</v>
      </c>
      <c r="I65" s="367">
        <v>7.9971691436659595E-2</v>
      </c>
    </row>
    <row r="66" spans="1:9" x14ac:dyDescent="0.2">
      <c r="A66" s="5" t="s">
        <v>739</v>
      </c>
      <c r="B66" s="366">
        <v>14690</v>
      </c>
      <c r="C66" s="366">
        <v>7345</v>
      </c>
      <c r="D66" s="366">
        <v>7345</v>
      </c>
      <c r="E66" s="366">
        <v>4520</v>
      </c>
      <c r="F66" s="367">
        <v>0.30769230769230771</v>
      </c>
      <c r="G66" s="366">
        <v>1130</v>
      </c>
      <c r="H66" s="366">
        <v>1130</v>
      </c>
      <c r="I66" s="367">
        <v>1</v>
      </c>
    </row>
    <row r="67" spans="1:9" x14ac:dyDescent="0.2">
      <c r="A67" s="5" t="s">
        <v>749</v>
      </c>
      <c r="B67" s="366">
        <v>0</v>
      </c>
      <c r="C67" s="366">
        <v>0</v>
      </c>
      <c r="D67" s="366">
        <v>0</v>
      </c>
      <c r="E67" s="366">
        <v>0</v>
      </c>
      <c r="F67" s="367">
        <v>0</v>
      </c>
      <c r="G67" s="366">
        <v>0</v>
      </c>
      <c r="H67" s="366">
        <v>0</v>
      </c>
      <c r="I67" s="367">
        <v>0</v>
      </c>
    </row>
    <row r="68" spans="1:9" x14ac:dyDescent="0.2">
      <c r="A68" s="5" t="s">
        <v>775</v>
      </c>
      <c r="B68" s="366">
        <v>191420</v>
      </c>
      <c r="C68" s="366">
        <v>184500</v>
      </c>
      <c r="D68" s="366">
        <v>184500</v>
      </c>
      <c r="E68" s="366">
        <v>152000</v>
      </c>
      <c r="F68" s="367">
        <v>0.79406540591369768</v>
      </c>
      <c r="G68" s="366">
        <v>13000</v>
      </c>
      <c r="H68" s="366">
        <v>0</v>
      </c>
      <c r="I68" s="367">
        <v>0</v>
      </c>
    </row>
    <row r="69" spans="1:9" x14ac:dyDescent="0.2">
      <c r="A69" s="368" t="s">
        <v>16</v>
      </c>
      <c r="B69" s="366">
        <v>1543777</v>
      </c>
      <c r="C69" s="366">
        <v>1346197.0999999999</v>
      </c>
      <c r="D69" s="366">
        <v>1217288.49</v>
      </c>
      <c r="E69" s="366">
        <v>1057664.95</v>
      </c>
      <c r="F69" s="367">
        <v>0.68511511053733798</v>
      </c>
      <c r="G69" s="366">
        <v>109017.4</v>
      </c>
      <c r="H69" s="366">
        <v>92222.26999999999</v>
      </c>
      <c r="I69" s="367">
        <v>0.84594083146360122</v>
      </c>
    </row>
    <row r="70" spans="1:9" x14ac:dyDescent="0.2">
      <c r="A70" s="5" t="s">
        <v>2219</v>
      </c>
      <c r="B70" s="366">
        <v>1280737</v>
      </c>
      <c r="C70" s="366">
        <v>1145871.3599999999</v>
      </c>
      <c r="D70" s="366">
        <v>1016962.75</v>
      </c>
      <c r="E70" s="366">
        <v>875551.71</v>
      </c>
      <c r="F70" s="367">
        <v>0.68363115143858577</v>
      </c>
      <c r="G70" s="366">
        <v>96444.62999999999</v>
      </c>
      <c r="H70" s="366">
        <v>79925.98</v>
      </c>
      <c r="I70" s="367">
        <v>0.82872400464390816</v>
      </c>
    </row>
    <row r="71" spans="1:9" x14ac:dyDescent="0.2">
      <c r="A71" s="5" t="s">
        <v>2220</v>
      </c>
      <c r="B71" s="366">
        <v>263040</v>
      </c>
      <c r="C71" s="366">
        <v>200325.74</v>
      </c>
      <c r="D71" s="366">
        <v>200325.74</v>
      </c>
      <c r="E71" s="366">
        <v>182113.24</v>
      </c>
      <c r="F71" s="367">
        <v>0.69234048053527975</v>
      </c>
      <c r="G71" s="366">
        <v>12572.77</v>
      </c>
      <c r="H71" s="366">
        <v>12296.29</v>
      </c>
      <c r="I71" s="367">
        <v>0.97800961920086027</v>
      </c>
    </row>
    <row r="72" spans="1:9" x14ac:dyDescent="0.2">
      <c r="A72" s="5" t="s">
        <v>434</v>
      </c>
      <c r="B72" s="366">
        <v>5329</v>
      </c>
      <c r="C72" s="366">
        <v>2329</v>
      </c>
      <c r="D72" s="366">
        <v>2329</v>
      </c>
      <c r="E72" s="366">
        <v>2329</v>
      </c>
      <c r="F72" s="367">
        <v>0.43704259711015198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465</v>
      </c>
      <c r="B73" s="366">
        <v>4240</v>
      </c>
      <c r="C73" s="366">
        <v>3440</v>
      </c>
      <c r="D73" s="366">
        <v>3440</v>
      </c>
      <c r="E73" s="366">
        <v>3440</v>
      </c>
      <c r="F73" s="367">
        <v>0.81132075471698117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482</v>
      </c>
      <c r="B74" s="366">
        <v>0</v>
      </c>
      <c r="C74" s="366">
        <v>0</v>
      </c>
      <c r="D74" s="366">
        <v>0</v>
      </c>
      <c r="E74" s="366">
        <v>0</v>
      </c>
      <c r="F74" s="367">
        <v>0</v>
      </c>
      <c r="G74" s="366">
        <v>0</v>
      </c>
      <c r="H74" s="366">
        <v>0</v>
      </c>
      <c r="I74" s="367">
        <v>0</v>
      </c>
    </row>
    <row r="75" spans="1:9" x14ac:dyDescent="0.2">
      <c r="A75" s="5" t="s">
        <v>504</v>
      </c>
      <c r="B75" s="366">
        <v>360</v>
      </c>
      <c r="C75" s="366">
        <v>360</v>
      </c>
      <c r="D75" s="366">
        <v>360</v>
      </c>
      <c r="E75" s="366">
        <v>360</v>
      </c>
      <c r="F75" s="367">
        <v>1</v>
      </c>
      <c r="G75" s="366">
        <v>0</v>
      </c>
      <c r="H75" s="366">
        <v>0</v>
      </c>
      <c r="I75" s="367">
        <v>0</v>
      </c>
    </row>
    <row r="76" spans="1:9" x14ac:dyDescent="0.2">
      <c r="A76" s="5" t="s">
        <v>542</v>
      </c>
      <c r="B76" s="366">
        <v>0</v>
      </c>
      <c r="C76" s="366">
        <v>0</v>
      </c>
      <c r="D76" s="366">
        <v>0</v>
      </c>
      <c r="E76" s="366">
        <v>0</v>
      </c>
      <c r="F76" s="367">
        <v>0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544</v>
      </c>
      <c r="B77" s="366">
        <v>0</v>
      </c>
      <c r="C77" s="366">
        <v>0</v>
      </c>
      <c r="D77" s="366">
        <v>0</v>
      </c>
      <c r="E77" s="366">
        <v>0</v>
      </c>
      <c r="F77" s="367">
        <v>0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571</v>
      </c>
      <c r="B78" s="366">
        <v>7834</v>
      </c>
      <c r="C78" s="366">
        <v>7833.5</v>
      </c>
      <c r="D78" s="366">
        <v>7833.5</v>
      </c>
      <c r="E78" s="366">
        <v>6557.5</v>
      </c>
      <c r="F78" s="367">
        <v>0.83705642073015063</v>
      </c>
      <c r="G78" s="366">
        <v>139</v>
      </c>
      <c r="H78" s="366">
        <v>139</v>
      </c>
      <c r="I78" s="367">
        <v>1</v>
      </c>
    </row>
    <row r="79" spans="1:9" x14ac:dyDescent="0.2">
      <c r="A79" s="5" t="s">
        <v>589</v>
      </c>
      <c r="B79" s="366">
        <v>9895</v>
      </c>
      <c r="C79" s="366">
        <v>9895</v>
      </c>
      <c r="D79" s="366">
        <v>9895</v>
      </c>
      <c r="E79" s="366">
        <v>9895</v>
      </c>
      <c r="F79" s="367">
        <v>1</v>
      </c>
      <c r="G79" s="366">
        <v>0</v>
      </c>
      <c r="H79" s="366">
        <v>0</v>
      </c>
      <c r="I79" s="367">
        <v>0</v>
      </c>
    </row>
    <row r="80" spans="1:9" x14ac:dyDescent="0.2">
      <c r="A80" s="5" t="s">
        <v>625</v>
      </c>
      <c r="B80" s="366">
        <v>40356</v>
      </c>
      <c r="C80" s="366">
        <v>40356</v>
      </c>
      <c r="D80" s="366">
        <v>40356</v>
      </c>
      <c r="E80" s="366">
        <v>40356</v>
      </c>
      <c r="F80" s="367">
        <v>1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685</v>
      </c>
      <c r="B81" s="366">
        <v>3829</v>
      </c>
      <c r="C81" s="366">
        <v>1829</v>
      </c>
      <c r="D81" s="366">
        <v>1829</v>
      </c>
      <c r="E81" s="366">
        <v>1829</v>
      </c>
      <c r="F81" s="367">
        <v>0.47767041002872812</v>
      </c>
      <c r="G81" s="366">
        <v>1829</v>
      </c>
      <c r="H81" s="366">
        <v>1829</v>
      </c>
      <c r="I81" s="367">
        <v>1</v>
      </c>
    </row>
    <row r="82" spans="1:9" x14ac:dyDescent="0.2">
      <c r="A82" s="5" t="s">
        <v>701</v>
      </c>
      <c r="B82" s="366">
        <v>32024</v>
      </c>
      <c r="C82" s="366">
        <v>31783.24</v>
      </c>
      <c r="D82" s="366">
        <v>31783.24</v>
      </c>
      <c r="E82" s="366">
        <v>29846.74</v>
      </c>
      <c r="F82" s="367">
        <v>0.93201161628778417</v>
      </c>
      <c r="G82" s="366">
        <v>1104.77</v>
      </c>
      <c r="H82" s="366">
        <v>828.29</v>
      </c>
      <c r="I82" s="367">
        <v>0.74973976483793003</v>
      </c>
    </row>
    <row r="83" spans="1:9" x14ac:dyDescent="0.2">
      <c r="A83" s="5" t="s">
        <v>707</v>
      </c>
      <c r="B83" s="366">
        <v>71673</v>
      </c>
      <c r="C83" s="366">
        <v>15000</v>
      </c>
      <c r="D83" s="366">
        <v>15000</v>
      </c>
      <c r="E83" s="366">
        <v>15000</v>
      </c>
      <c r="F83" s="367">
        <v>0.20928383073123771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775</v>
      </c>
      <c r="B84" s="366">
        <v>87500</v>
      </c>
      <c r="C84" s="366">
        <v>87500</v>
      </c>
      <c r="D84" s="366">
        <v>87500</v>
      </c>
      <c r="E84" s="366">
        <v>72500</v>
      </c>
      <c r="F84" s="367">
        <v>0.82857142857142863</v>
      </c>
      <c r="G84" s="366">
        <v>9500</v>
      </c>
      <c r="H84" s="366">
        <v>9500</v>
      </c>
      <c r="I84" s="367">
        <v>1</v>
      </c>
    </row>
    <row r="85" spans="1:9" x14ac:dyDescent="0.2">
      <c r="A85" s="5" t="s">
        <v>2218</v>
      </c>
      <c r="B85" s="366">
        <v>0</v>
      </c>
      <c r="C85" s="366">
        <v>0</v>
      </c>
      <c r="D85" s="366">
        <v>0</v>
      </c>
      <c r="E85" s="366">
        <v>0</v>
      </c>
      <c r="F85" s="367">
        <v>0</v>
      </c>
      <c r="G85" s="366">
        <v>0</v>
      </c>
      <c r="H85" s="366">
        <v>0</v>
      </c>
      <c r="I85" s="367">
        <v>0</v>
      </c>
    </row>
    <row r="86" spans="1:9" x14ac:dyDescent="0.2">
      <c r="A86" s="5" t="s">
        <v>1144</v>
      </c>
      <c r="B86" s="366">
        <v>0</v>
      </c>
      <c r="C86" s="366">
        <v>0</v>
      </c>
      <c r="D86" s="366">
        <v>0</v>
      </c>
      <c r="E86" s="366">
        <v>0</v>
      </c>
      <c r="F86" s="367">
        <v>0</v>
      </c>
      <c r="G86" s="366">
        <v>0</v>
      </c>
      <c r="H86" s="366">
        <v>0</v>
      </c>
      <c r="I86" s="367">
        <v>0</v>
      </c>
    </row>
    <row r="87" spans="1:9" x14ac:dyDescent="0.2">
      <c r="A87" s="368" t="s">
        <v>17</v>
      </c>
      <c r="B87" s="366">
        <v>5248466</v>
      </c>
      <c r="C87" s="366">
        <v>4016799.58</v>
      </c>
      <c r="D87" s="366">
        <v>3478147.02</v>
      </c>
      <c r="E87" s="366">
        <v>2687774.56</v>
      </c>
      <c r="F87" s="367">
        <v>0.51210669174574053</v>
      </c>
      <c r="G87" s="366">
        <v>429492.65</v>
      </c>
      <c r="H87" s="366">
        <v>190311.63</v>
      </c>
      <c r="I87" s="367">
        <v>0.44310800196464362</v>
      </c>
    </row>
    <row r="88" spans="1:9" x14ac:dyDescent="0.2">
      <c r="A88" s="5" t="s">
        <v>2219</v>
      </c>
      <c r="B88" s="366">
        <v>2954696</v>
      </c>
      <c r="C88" s="366">
        <v>2025355.25</v>
      </c>
      <c r="D88" s="366">
        <v>1822303.39</v>
      </c>
      <c r="E88" s="366">
        <v>1542741.81</v>
      </c>
      <c r="F88" s="367">
        <v>0.52213216181969313</v>
      </c>
      <c r="G88" s="366">
        <v>190195.84</v>
      </c>
      <c r="H88" s="366">
        <v>153924.19</v>
      </c>
      <c r="I88" s="367">
        <v>0.80929314752625503</v>
      </c>
    </row>
    <row r="89" spans="1:9" x14ac:dyDescent="0.2">
      <c r="A89" s="5" t="s">
        <v>2220</v>
      </c>
      <c r="B89" s="366">
        <v>1969243</v>
      </c>
      <c r="C89" s="366">
        <v>1708649.3299999998</v>
      </c>
      <c r="D89" s="366">
        <v>1613049.3299999998</v>
      </c>
      <c r="E89" s="366">
        <v>1103517.95</v>
      </c>
      <c r="F89" s="367">
        <v>0.56037672851953768</v>
      </c>
      <c r="G89" s="366">
        <v>225766.81000000003</v>
      </c>
      <c r="H89" s="366">
        <v>35737.339999999997</v>
      </c>
      <c r="I89" s="367">
        <v>0.15829315212453057</v>
      </c>
    </row>
    <row r="90" spans="1:9" x14ac:dyDescent="0.2">
      <c r="A90" s="5" t="s">
        <v>460</v>
      </c>
      <c r="B90" s="366">
        <v>71439</v>
      </c>
      <c r="C90" s="366">
        <v>48575.92</v>
      </c>
      <c r="D90" s="366">
        <v>48575.92</v>
      </c>
      <c r="E90" s="366">
        <v>24331.1</v>
      </c>
      <c r="F90" s="367">
        <v>0.34058567449152422</v>
      </c>
      <c r="G90" s="366">
        <v>23350</v>
      </c>
      <c r="H90" s="366">
        <v>0</v>
      </c>
      <c r="I90" s="367">
        <v>0</v>
      </c>
    </row>
    <row r="91" spans="1:9" x14ac:dyDescent="0.2">
      <c r="A91" s="5" t="s">
        <v>465</v>
      </c>
      <c r="B91" s="366">
        <v>4920</v>
      </c>
      <c r="C91" s="366">
        <v>4868.68</v>
      </c>
      <c r="D91" s="366">
        <v>4868.68</v>
      </c>
      <c r="E91" s="366">
        <v>4720</v>
      </c>
      <c r="F91" s="367">
        <v>0.95934959349593496</v>
      </c>
      <c r="G91" s="366">
        <v>200</v>
      </c>
      <c r="H91" s="366">
        <v>0</v>
      </c>
      <c r="I91" s="367">
        <v>0</v>
      </c>
    </row>
    <row r="92" spans="1:9" x14ac:dyDescent="0.2">
      <c r="A92" s="5" t="s">
        <v>469</v>
      </c>
      <c r="B92" s="366">
        <v>870</v>
      </c>
      <c r="C92" s="366">
        <v>869.66</v>
      </c>
      <c r="D92" s="366">
        <v>869.66</v>
      </c>
      <c r="E92" s="366">
        <v>0</v>
      </c>
      <c r="F92" s="367">
        <v>0</v>
      </c>
      <c r="G92" s="366">
        <v>860</v>
      </c>
      <c r="H92" s="366">
        <v>0</v>
      </c>
      <c r="I92" s="367">
        <v>0</v>
      </c>
    </row>
    <row r="93" spans="1:9" x14ac:dyDescent="0.2">
      <c r="A93" s="5" t="s">
        <v>473</v>
      </c>
      <c r="B93" s="366">
        <v>11991</v>
      </c>
      <c r="C93" s="366">
        <v>11989.7</v>
      </c>
      <c r="D93" s="366">
        <v>11989.7</v>
      </c>
      <c r="E93" s="366">
        <v>0</v>
      </c>
      <c r="F93" s="367">
        <v>0</v>
      </c>
      <c r="G93" s="366">
        <v>8400</v>
      </c>
      <c r="H93" s="366">
        <v>0</v>
      </c>
      <c r="I93" s="367">
        <v>0</v>
      </c>
    </row>
    <row r="94" spans="1:9" x14ac:dyDescent="0.2">
      <c r="A94" s="5" t="s">
        <v>486</v>
      </c>
      <c r="B94" s="366">
        <v>0</v>
      </c>
      <c r="C94" s="366">
        <v>0</v>
      </c>
      <c r="D94" s="366">
        <v>0</v>
      </c>
      <c r="E94" s="366">
        <v>0</v>
      </c>
      <c r="F94" s="367">
        <v>0</v>
      </c>
      <c r="G94" s="366">
        <v>0</v>
      </c>
      <c r="H94" s="366">
        <v>0</v>
      </c>
      <c r="I94" s="367">
        <v>0</v>
      </c>
    </row>
    <row r="95" spans="1:9" x14ac:dyDescent="0.2">
      <c r="A95" s="5" t="s">
        <v>488</v>
      </c>
      <c r="B95" s="366">
        <v>300</v>
      </c>
      <c r="C95" s="366">
        <v>300</v>
      </c>
      <c r="D95" s="366">
        <v>300</v>
      </c>
      <c r="E95" s="366">
        <v>0</v>
      </c>
      <c r="F95" s="367">
        <v>0</v>
      </c>
      <c r="G95" s="366">
        <v>100</v>
      </c>
      <c r="H95" s="366">
        <v>0</v>
      </c>
      <c r="I95" s="367">
        <v>0</v>
      </c>
    </row>
    <row r="96" spans="1:9" x14ac:dyDescent="0.2">
      <c r="A96" s="5" t="s">
        <v>528</v>
      </c>
      <c r="B96" s="366">
        <v>700</v>
      </c>
      <c r="C96" s="366">
        <v>358.72</v>
      </c>
      <c r="D96" s="366">
        <v>358.72</v>
      </c>
      <c r="E96" s="366">
        <v>0</v>
      </c>
      <c r="F96" s="367">
        <v>0</v>
      </c>
      <c r="G96" s="366">
        <v>700</v>
      </c>
      <c r="H96" s="366">
        <v>0</v>
      </c>
      <c r="I96" s="367">
        <v>0</v>
      </c>
    </row>
    <row r="97" spans="1:9" x14ac:dyDescent="0.2">
      <c r="A97" s="5" t="s">
        <v>564</v>
      </c>
      <c r="B97" s="366">
        <v>32469</v>
      </c>
      <c r="C97" s="366">
        <v>29469</v>
      </c>
      <c r="D97" s="366">
        <v>29469</v>
      </c>
      <c r="E97" s="366">
        <v>26790</v>
      </c>
      <c r="F97" s="367">
        <v>0.82509470571930144</v>
      </c>
      <c r="G97" s="366">
        <v>2679</v>
      </c>
      <c r="H97" s="366">
        <v>5358</v>
      </c>
      <c r="I97" s="367">
        <v>2</v>
      </c>
    </row>
    <row r="98" spans="1:9" x14ac:dyDescent="0.2">
      <c r="A98" s="5" t="s">
        <v>567</v>
      </c>
      <c r="B98" s="366">
        <v>67361</v>
      </c>
      <c r="C98" s="366">
        <v>67360.009999999995</v>
      </c>
      <c r="D98" s="366">
        <v>67360.009999999995</v>
      </c>
      <c r="E98" s="366">
        <v>49526.7</v>
      </c>
      <c r="F98" s="367">
        <v>0.73524294473063045</v>
      </c>
      <c r="G98" s="366">
        <v>6916.67</v>
      </c>
      <c r="H98" s="366">
        <v>5833.34</v>
      </c>
      <c r="I98" s="367">
        <v>0.8433740513859993</v>
      </c>
    </row>
    <row r="99" spans="1:9" x14ac:dyDescent="0.2">
      <c r="A99" s="5" t="s">
        <v>569</v>
      </c>
      <c r="B99" s="366">
        <v>69735</v>
      </c>
      <c r="C99" s="366">
        <v>69734.429999999993</v>
      </c>
      <c r="D99" s="366">
        <v>69734.429999999993</v>
      </c>
      <c r="E99" s="366">
        <v>49497.03</v>
      </c>
      <c r="F99" s="367">
        <v>0.70978748117874813</v>
      </c>
      <c r="G99" s="366">
        <v>14849.15</v>
      </c>
      <c r="H99" s="366">
        <v>10899.15</v>
      </c>
      <c r="I99" s="367">
        <v>0.73399150793143042</v>
      </c>
    </row>
    <row r="100" spans="1:9" x14ac:dyDescent="0.2">
      <c r="A100" s="5" t="s">
        <v>573</v>
      </c>
      <c r="B100" s="366">
        <v>1023278</v>
      </c>
      <c r="C100" s="366">
        <v>972186.15</v>
      </c>
      <c r="D100" s="366">
        <v>972186.15</v>
      </c>
      <c r="E100" s="366">
        <v>614947.83000000007</v>
      </c>
      <c r="F100" s="367">
        <v>0.60095871307699378</v>
      </c>
      <c r="G100" s="366">
        <v>152337.67000000001</v>
      </c>
      <c r="H100" s="366">
        <v>0</v>
      </c>
      <c r="I100" s="367">
        <v>0</v>
      </c>
    </row>
    <row r="101" spans="1:9" x14ac:dyDescent="0.2">
      <c r="A101" s="5" t="s">
        <v>610</v>
      </c>
      <c r="B101" s="366">
        <v>51531</v>
      </c>
      <c r="C101" s="366">
        <v>43530.91</v>
      </c>
      <c r="D101" s="366">
        <v>43530.91</v>
      </c>
      <c r="E101" s="366">
        <v>27972</v>
      </c>
      <c r="F101" s="367">
        <v>0.54281888571927572</v>
      </c>
      <c r="G101" s="366">
        <v>1930.91</v>
      </c>
      <c r="H101" s="366">
        <v>0</v>
      </c>
      <c r="I101" s="367">
        <v>0</v>
      </c>
    </row>
    <row r="102" spans="1:9" x14ac:dyDescent="0.2">
      <c r="A102" s="5" t="s">
        <v>623</v>
      </c>
      <c r="B102" s="366">
        <v>68572</v>
      </c>
      <c r="C102" s="366">
        <v>65469.33</v>
      </c>
      <c r="D102" s="366">
        <v>65469.33</v>
      </c>
      <c r="E102" s="366">
        <v>50235.59</v>
      </c>
      <c r="F102" s="367">
        <v>0.73259624919792332</v>
      </c>
      <c r="G102" s="366">
        <v>6787.51</v>
      </c>
      <c r="H102" s="366">
        <v>7740.95</v>
      </c>
      <c r="I102" s="367">
        <v>1.1404697746301662</v>
      </c>
    </row>
    <row r="103" spans="1:9" x14ac:dyDescent="0.2">
      <c r="A103" s="5" t="s">
        <v>625</v>
      </c>
      <c r="B103" s="366">
        <v>180450</v>
      </c>
      <c r="C103" s="366">
        <v>162371.20000000001</v>
      </c>
      <c r="D103" s="366">
        <v>66771.199999999997</v>
      </c>
      <c r="E103" s="366">
        <v>35724.5</v>
      </c>
      <c r="F103" s="367">
        <v>0.19797450817400941</v>
      </c>
      <c r="G103" s="366">
        <v>5905.9</v>
      </c>
      <c r="H103" s="366">
        <v>5905.9</v>
      </c>
      <c r="I103" s="367">
        <v>1</v>
      </c>
    </row>
    <row r="104" spans="1:9" x14ac:dyDescent="0.2">
      <c r="A104" s="5" t="s">
        <v>689</v>
      </c>
      <c r="B104" s="366">
        <v>1174</v>
      </c>
      <c r="C104" s="366">
        <v>1173.2</v>
      </c>
      <c r="D104" s="366">
        <v>1173.2</v>
      </c>
      <c r="E104" s="366">
        <v>1173.2</v>
      </c>
      <c r="F104" s="367">
        <v>0.99931856899488936</v>
      </c>
      <c r="G104" s="366">
        <v>0</v>
      </c>
      <c r="H104" s="366">
        <v>0</v>
      </c>
      <c r="I104" s="367">
        <v>0</v>
      </c>
    </row>
    <row r="105" spans="1:9" x14ac:dyDescent="0.2">
      <c r="A105" s="5" t="s">
        <v>701</v>
      </c>
      <c r="B105" s="366">
        <v>14560</v>
      </c>
      <c r="C105" s="366">
        <v>6000</v>
      </c>
      <c r="D105" s="366">
        <v>6000</v>
      </c>
      <c r="E105" s="366">
        <v>0</v>
      </c>
      <c r="F105" s="367">
        <v>0</v>
      </c>
      <c r="G105" s="366">
        <v>0</v>
      </c>
      <c r="H105" s="366">
        <v>0</v>
      </c>
      <c r="I105" s="367">
        <v>0</v>
      </c>
    </row>
    <row r="106" spans="1:9" x14ac:dyDescent="0.2">
      <c r="A106" s="5" t="s">
        <v>727</v>
      </c>
      <c r="B106" s="366">
        <v>73400</v>
      </c>
      <c r="C106" s="366">
        <v>30600</v>
      </c>
      <c r="D106" s="366">
        <v>30600</v>
      </c>
      <c r="E106" s="366">
        <v>30600</v>
      </c>
      <c r="F106" s="367">
        <v>0.41689373297002724</v>
      </c>
      <c r="G106" s="366">
        <v>0</v>
      </c>
      <c r="H106" s="366">
        <v>0</v>
      </c>
      <c r="I106" s="367">
        <v>0</v>
      </c>
    </row>
    <row r="107" spans="1:9" x14ac:dyDescent="0.2">
      <c r="A107" s="5" t="s">
        <v>729</v>
      </c>
      <c r="B107" s="366">
        <v>53300</v>
      </c>
      <c r="C107" s="366">
        <v>15500</v>
      </c>
      <c r="D107" s="366">
        <v>15500</v>
      </c>
      <c r="E107" s="366">
        <v>15500</v>
      </c>
      <c r="F107" s="367">
        <v>0.29080675422138835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731</v>
      </c>
      <c r="B108" s="366">
        <v>42800</v>
      </c>
      <c r="C108" s="366">
        <v>0</v>
      </c>
      <c r="D108" s="366">
        <v>0</v>
      </c>
      <c r="E108" s="366">
        <v>0</v>
      </c>
      <c r="F108" s="367">
        <v>0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733</v>
      </c>
      <c r="B109" s="366">
        <v>136500</v>
      </c>
      <c r="C109" s="366">
        <v>136500</v>
      </c>
      <c r="D109" s="366">
        <v>136500</v>
      </c>
      <c r="E109" s="366">
        <v>136500</v>
      </c>
      <c r="F109" s="367">
        <v>1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775</v>
      </c>
      <c r="B110" s="366">
        <v>62000</v>
      </c>
      <c r="C110" s="366">
        <v>40000</v>
      </c>
      <c r="D110" s="366">
        <v>40000</v>
      </c>
      <c r="E110" s="366">
        <v>36000</v>
      </c>
      <c r="F110" s="367">
        <v>0.58064516129032262</v>
      </c>
      <c r="G110" s="366">
        <v>0</v>
      </c>
      <c r="H110" s="366">
        <v>0</v>
      </c>
      <c r="I110" s="367">
        <v>0</v>
      </c>
    </row>
    <row r="111" spans="1:9" x14ac:dyDescent="0.2">
      <c r="A111" s="5" t="s">
        <v>515</v>
      </c>
      <c r="B111" s="366">
        <v>1893</v>
      </c>
      <c r="C111" s="366">
        <v>1792.42</v>
      </c>
      <c r="D111" s="366">
        <v>1792.42</v>
      </c>
      <c r="E111" s="366">
        <v>0</v>
      </c>
      <c r="F111" s="367">
        <v>0</v>
      </c>
      <c r="G111" s="366">
        <v>750</v>
      </c>
      <c r="H111" s="366">
        <v>0</v>
      </c>
      <c r="I111" s="367">
        <v>0</v>
      </c>
    </row>
    <row r="112" spans="1:9" x14ac:dyDescent="0.2">
      <c r="A112" s="5" t="s">
        <v>2221</v>
      </c>
      <c r="B112" s="366">
        <v>6899</v>
      </c>
      <c r="C112" s="366">
        <v>6656</v>
      </c>
      <c r="D112" s="366">
        <v>6655.3</v>
      </c>
      <c r="E112" s="366">
        <v>5375.8</v>
      </c>
      <c r="F112" s="367">
        <v>0.77921437889549217</v>
      </c>
      <c r="G112" s="366">
        <v>530</v>
      </c>
      <c r="H112" s="366">
        <v>650.1</v>
      </c>
      <c r="I112" s="367">
        <v>1.2266037735849058</v>
      </c>
    </row>
    <row r="113" spans="1:9" x14ac:dyDescent="0.2">
      <c r="A113" s="5" t="s">
        <v>908</v>
      </c>
      <c r="B113" s="366">
        <v>6899</v>
      </c>
      <c r="C113" s="366">
        <v>6656</v>
      </c>
      <c r="D113" s="366">
        <v>6655.3</v>
      </c>
      <c r="E113" s="366">
        <v>5375.8</v>
      </c>
      <c r="F113" s="367">
        <v>0.77921437889549217</v>
      </c>
      <c r="G113" s="366">
        <v>530</v>
      </c>
      <c r="H113" s="366">
        <v>650.1</v>
      </c>
      <c r="I113" s="367">
        <v>1.2266037735849058</v>
      </c>
    </row>
    <row r="114" spans="1:9" x14ac:dyDescent="0.2">
      <c r="A114" s="5" t="s">
        <v>2218</v>
      </c>
      <c r="B114" s="366">
        <v>317628</v>
      </c>
      <c r="C114" s="366">
        <v>276139</v>
      </c>
      <c r="D114" s="366">
        <v>36139</v>
      </c>
      <c r="E114" s="366">
        <v>36139</v>
      </c>
      <c r="F114" s="367">
        <v>0.11377775259108139</v>
      </c>
      <c r="G114" s="366">
        <v>13000</v>
      </c>
      <c r="H114" s="366">
        <v>0</v>
      </c>
      <c r="I114" s="367">
        <v>0</v>
      </c>
    </row>
    <row r="115" spans="1:9" x14ac:dyDescent="0.2">
      <c r="A115" s="5" t="s">
        <v>1150</v>
      </c>
      <c r="B115" s="366">
        <v>0</v>
      </c>
      <c r="C115" s="366">
        <v>0</v>
      </c>
      <c r="D115" s="366">
        <v>0</v>
      </c>
      <c r="E115" s="366">
        <v>0</v>
      </c>
      <c r="F115" s="367">
        <v>0</v>
      </c>
      <c r="G115" s="366">
        <v>0</v>
      </c>
      <c r="H115" s="366">
        <v>0</v>
      </c>
      <c r="I115" s="367">
        <v>0</v>
      </c>
    </row>
    <row r="116" spans="1:9" x14ac:dyDescent="0.2">
      <c r="A116" s="5" t="s">
        <v>1152</v>
      </c>
      <c r="B116" s="366">
        <v>248640</v>
      </c>
      <c r="C116" s="366">
        <v>241636</v>
      </c>
      <c r="D116" s="366">
        <v>1636</v>
      </c>
      <c r="E116" s="366">
        <v>1636</v>
      </c>
      <c r="F116" s="367">
        <v>6.5797940797940801E-3</v>
      </c>
      <c r="G116" s="366">
        <v>7000</v>
      </c>
      <c r="H116" s="366">
        <v>0</v>
      </c>
      <c r="I116" s="367">
        <v>0</v>
      </c>
    </row>
    <row r="117" spans="1:9" x14ac:dyDescent="0.2">
      <c r="A117" s="5" t="s">
        <v>1182</v>
      </c>
      <c r="B117" s="366">
        <v>25000</v>
      </c>
      <c r="C117" s="366">
        <v>0</v>
      </c>
      <c r="D117" s="366">
        <v>0</v>
      </c>
      <c r="E117" s="366">
        <v>0</v>
      </c>
      <c r="F117" s="367">
        <v>0</v>
      </c>
      <c r="G117" s="366">
        <v>0</v>
      </c>
      <c r="H117" s="366">
        <v>0</v>
      </c>
      <c r="I117" s="367">
        <v>0</v>
      </c>
    </row>
    <row r="118" spans="1:9" x14ac:dyDescent="0.2">
      <c r="A118" s="5" t="s">
        <v>1237</v>
      </c>
      <c r="B118" s="366">
        <v>34503</v>
      </c>
      <c r="C118" s="366">
        <v>34503</v>
      </c>
      <c r="D118" s="366">
        <v>34503</v>
      </c>
      <c r="E118" s="366">
        <v>34503</v>
      </c>
      <c r="F118" s="367">
        <v>1</v>
      </c>
      <c r="G118" s="366">
        <v>0</v>
      </c>
      <c r="H118" s="366">
        <v>0</v>
      </c>
      <c r="I118" s="367">
        <v>0</v>
      </c>
    </row>
    <row r="119" spans="1:9" x14ac:dyDescent="0.2">
      <c r="A119" s="5" t="s">
        <v>1154</v>
      </c>
      <c r="B119" s="366">
        <v>9485</v>
      </c>
      <c r="C119" s="366">
        <v>0</v>
      </c>
      <c r="D119" s="366">
        <v>0</v>
      </c>
      <c r="E119" s="366">
        <v>0</v>
      </c>
      <c r="F119" s="367">
        <v>0</v>
      </c>
      <c r="G119" s="366">
        <v>6000</v>
      </c>
      <c r="H119" s="366">
        <v>0</v>
      </c>
      <c r="I119" s="367">
        <v>0</v>
      </c>
    </row>
    <row r="120" spans="1:9" x14ac:dyDescent="0.2">
      <c r="A120" s="5" t="s">
        <v>1235</v>
      </c>
      <c r="B120" s="366">
        <v>0</v>
      </c>
      <c r="C120" s="366">
        <v>0</v>
      </c>
      <c r="D120" s="366">
        <v>0</v>
      </c>
      <c r="E120" s="366">
        <v>0</v>
      </c>
      <c r="F120" s="367">
        <v>0</v>
      </c>
      <c r="G120" s="366">
        <v>0</v>
      </c>
      <c r="H120" s="366">
        <v>0</v>
      </c>
      <c r="I120" s="367">
        <v>0</v>
      </c>
    </row>
    <row r="121" spans="1:9" x14ac:dyDescent="0.2">
      <c r="A121" s="368" t="s">
        <v>18</v>
      </c>
      <c r="B121" s="366">
        <v>7267317</v>
      </c>
      <c r="C121" s="366">
        <v>6939102.9700000016</v>
      </c>
      <c r="D121" s="366">
        <v>6676468.2200000016</v>
      </c>
      <c r="E121" s="366">
        <v>5613156.5300000012</v>
      </c>
      <c r="F121" s="367">
        <v>0.7723836086963044</v>
      </c>
      <c r="G121" s="366">
        <v>477328.56000000011</v>
      </c>
      <c r="H121" s="366">
        <v>498860.42999999988</v>
      </c>
      <c r="I121" s="367">
        <v>1.0451091172922897</v>
      </c>
    </row>
    <row r="122" spans="1:9" x14ac:dyDescent="0.2">
      <c r="A122" s="5" t="s">
        <v>2219</v>
      </c>
      <c r="B122" s="366">
        <v>4017227</v>
      </c>
      <c r="C122" s="366">
        <v>3783533.84</v>
      </c>
      <c r="D122" s="366">
        <v>3584843.79</v>
      </c>
      <c r="E122" s="366">
        <v>3078530.3600000003</v>
      </c>
      <c r="F122" s="367">
        <v>0.76633218884568888</v>
      </c>
      <c r="G122" s="366">
        <v>323332.43000000005</v>
      </c>
      <c r="H122" s="366">
        <v>320279.33</v>
      </c>
      <c r="I122" s="367">
        <v>0.99055739629952977</v>
      </c>
    </row>
    <row r="123" spans="1:9" x14ac:dyDescent="0.2">
      <c r="A123" s="5" t="s">
        <v>2220</v>
      </c>
      <c r="B123" s="366">
        <v>2971022</v>
      </c>
      <c r="C123" s="366">
        <v>2876501.6900000004</v>
      </c>
      <c r="D123" s="366">
        <v>2817356.99</v>
      </c>
      <c r="E123" s="366">
        <v>2260358.73</v>
      </c>
      <c r="F123" s="367">
        <v>0.7608017476814376</v>
      </c>
      <c r="G123" s="366">
        <v>153996.13</v>
      </c>
      <c r="H123" s="366">
        <v>178581.1</v>
      </c>
      <c r="I123" s="367">
        <v>1.1596466742378526</v>
      </c>
    </row>
    <row r="124" spans="1:9" x14ac:dyDescent="0.2">
      <c r="A124" s="5" t="s">
        <v>395</v>
      </c>
      <c r="B124" s="366">
        <v>6630</v>
      </c>
      <c r="C124" s="366">
        <v>6629.9</v>
      </c>
      <c r="D124" s="366">
        <v>6629.9</v>
      </c>
      <c r="E124" s="366">
        <v>6629.9</v>
      </c>
      <c r="F124" s="367">
        <v>0.99998491704374048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430</v>
      </c>
      <c r="B125" s="366">
        <v>1700</v>
      </c>
      <c r="C125" s="366">
        <v>1700</v>
      </c>
      <c r="D125" s="366">
        <v>1700</v>
      </c>
      <c r="E125" s="366">
        <v>386.68999999999994</v>
      </c>
      <c r="F125" s="367">
        <v>0.2274647058823529</v>
      </c>
      <c r="G125" s="366">
        <v>150</v>
      </c>
      <c r="H125" s="366">
        <v>0</v>
      </c>
      <c r="I125" s="367">
        <v>0</v>
      </c>
    </row>
    <row r="126" spans="1:9" x14ac:dyDescent="0.2">
      <c r="A126" s="5" t="s">
        <v>434</v>
      </c>
      <c r="B126" s="366">
        <v>0</v>
      </c>
      <c r="C126" s="366">
        <v>0</v>
      </c>
      <c r="D126" s="366">
        <v>0</v>
      </c>
      <c r="E126" s="366">
        <v>0</v>
      </c>
      <c r="F126" s="367">
        <v>0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445</v>
      </c>
      <c r="B127" s="366">
        <v>15000</v>
      </c>
      <c r="C127" s="366">
        <v>12585.6</v>
      </c>
      <c r="D127" s="366">
        <v>12585.6</v>
      </c>
      <c r="E127" s="366">
        <v>12585.6</v>
      </c>
      <c r="F127" s="367">
        <v>0.83904000000000001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465</v>
      </c>
      <c r="B128" s="366">
        <v>29495</v>
      </c>
      <c r="C128" s="366">
        <v>24723.71</v>
      </c>
      <c r="D128" s="366">
        <v>24723.71</v>
      </c>
      <c r="E128" s="366">
        <v>24345.510000000002</v>
      </c>
      <c r="F128" s="367">
        <v>0.82541142566536707</v>
      </c>
      <c r="G128" s="366">
        <v>80</v>
      </c>
      <c r="H128" s="366">
        <v>32.200000000000003</v>
      </c>
      <c r="I128" s="367">
        <v>0.40250000000000002</v>
      </c>
    </row>
    <row r="129" spans="1:9" x14ac:dyDescent="0.2">
      <c r="A129" s="5" t="s">
        <v>469</v>
      </c>
      <c r="B129" s="366">
        <v>30440</v>
      </c>
      <c r="C129" s="366">
        <v>30439.41</v>
      </c>
      <c r="D129" s="366">
        <v>30439.41</v>
      </c>
      <c r="E129" s="366">
        <v>30439.41</v>
      </c>
      <c r="F129" s="367">
        <v>0.99998061760840995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473</v>
      </c>
      <c r="B130" s="366">
        <v>1000</v>
      </c>
      <c r="C130" s="366">
        <v>1000</v>
      </c>
      <c r="D130" s="366">
        <v>1000</v>
      </c>
      <c r="E130" s="366">
        <v>405</v>
      </c>
      <c r="F130" s="367">
        <v>0.40500000000000003</v>
      </c>
      <c r="G130" s="366">
        <v>90</v>
      </c>
      <c r="H130" s="366">
        <v>0</v>
      </c>
      <c r="I130" s="367">
        <v>0</v>
      </c>
    </row>
    <row r="131" spans="1:9" x14ac:dyDescent="0.2">
      <c r="A131" s="5" t="s">
        <v>475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477</v>
      </c>
      <c r="B132" s="366">
        <v>1000</v>
      </c>
      <c r="C132" s="366">
        <v>999</v>
      </c>
      <c r="D132" s="366">
        <v>999</v>
      </c>
      <c r="E132" s="366">
        <v>999</v>
      </c>
      <c r="F132" s="367">
        <v>0.999</v>
      </c>
      <c r="G132" s="366">
        <v>0</v>
      </c>
      <c r="H132" s="366">
        <v>0</v>
      </c>
      <c r="I132" s="367">
        <v>0</v>
      </c>
    </row>
    <row r="133" spans="1:9" x14ac:dyDescent="0.2">
      <c r="A133" s="5" t="s">
        <v>486</v>
      </c>
      <c r="B133" s="366">
        <v>2000</v>
      </c>
      <c r="C133" s="366">
        <v>2000</v>
      </c>
      <c r="D133" s="366">
        <v>0</v>
      </c>
      <c r="E133" s="366">
        <v>0</v>
      </c>
      <c r="F133" s="367">
        <v>0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490</v>
      </c>
      <c r="B134" s="366">
        <v>4745</v>
      </c>
      <c r="C134" s="366">
        <v>4745</v>
      </c>
      <c r="D134" s="366">
        <v>4745</v>
      </c>
      <c r="E134" s="366">
        <v>4745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500</v>
      </c>
      <c r="B135" s="366">
        <v>1414</v>
      </c>
      <c r="C135" s="366">
        <v>1413.5</v>
      </c>
      <c r="D135" s="366">
        <v>1413.5</v>
      </c>
      <c r="E135" s="366">
        <v>0</v>
      </c>
      <c r="F135" s="367">
        <v>0</v>
      </c>
      <c r="G135" s="366">
        <v>1413.5</v>
      </c>
      <c r="H135" s="366">
        <v>0</v>
      </c>
      <c r="I135" s="367">
        <v>0</v>
      </c>
    </row>
    <row r="136" spans="1:9" x14ac:dyDescent="0.2">
      <c r="A136" s="5" t="s">
        <v>504</v>
      </c>
      <c r="B136" s="366">
        <v>359</v>
      </c>
      <c r="C136" s="366">
        <v>359</v>
      </c>
      <c r="D136" s="366">
        <v>359</v>
      </c>
      <c r="E136" s="366">
        <v>0</v>
      </c>
      <c r="F136" s="367">
        <v>0</v>
      </c>
      <c r="G136" s="366">
        <v>0</v>
      </c>
      <c r="H136" s="366">
        <v>0</v>
      </c>
      <c r="I136" s="367">
        <v>0</v>
      </c>
    </row>
    <row r="137" spans="1:9" x14ac:dyDescent="0.2">
      <c r="A137" s="5" t="s">
        <v>528</v>
      </c>
      <c r="B137" s="366">
        <v>3670</v>
      </c>
      <c r="C137" s="366">
        <v>3300</v>
      </c>
      <c r="D137" s="366">
        <v>3300</v>
      </c>
      <c r="E137" s="366">
        <v>2645.43</v>
      </c>
      <c r="F137" s="367">
        <v>0.72082561307901905</v>
      </c>
      <c r="G137" s="366">
        <v>170</v>
      </c>
      <c r="H137" s="366">
        <v>114.1</v>
      </c>
      <c r="I137" s="367">
        <v>0.67117647058823526</v>
      </c>
    </row>
    <row r="138" spans="1:9" x14ac:dyDescent="0.2">
      <c r="A138" s="5" t="s">
        <v>548</v>
      </c>
      <c r="B138" s="366">
        <v>12800</v>
      </c>
      <c r="C138" s="366">
        <v>12800</v>
      </c>
      <c r="D138" s="366">
        <v>12800</v>
      </c>
      <c r="E138" s="366">
        <v>9888.1</v>
      </c>
      <c r="F138" s="367">
        <v>0.7725078125</v>
      </c>
      <c r="G138" s="366">
        <v>1200</v>
      </c>
      <c r="H138" s="366">
        <v>1219.0999999999999</v>
      </c>
      <c r="I138" s="367">
        <v>1.0159166666666666</v>
      </c>
    </row>
    <row r="139" spans="1:9" x14ac:dyDescent="0.2">
      <c r="A139" s="5" t="s">
        <v>555</v>
      </c>
      <c r="B139" s="366">
        <v>169000</v>
      </c>
      <c r="C139" s="366">
        <v>169000</v>
      </c>
      <c r="D139" s="366">
        <v>169000</v>
      </c>
      <c r="E139" s="366">
        <v>136351.17000000001</v>
      </c>
      <c r="F139" s="367">
        <v>0.80681165680473377</v>
      </c>
      <c r="G139" s="366">
        <v>12431.03</v>
      </c>
      <c r="H139" s="366">
        <v>7851.6</v>
      </c>
      <c r="I139" s="367">
        <v>0.63161298782160447</v>
      </c>
    </row>
    <row r="140" spans="1:9" x14ac:dyDescent="0.2">
      <c r="A140" s="5" t="s">
        <v>560</v>
      </c>
      <c r="B140" s="366">
        <v>15000</v>
      </c>
      <c r="C140" s="366">
        <v>15000</v>
      </c>
      <c r="D140" s="366">
        <v>15000</v>
      </c>
      <c r="E140" s="366">
        <v>13010.86</v>
      </c>
      <c r="F140" s="367">
        <v>0.86739066666666675</v>
      </c>
      <c r="G140" s="366">
        <v>1551.0800000000002</v>
      </c>
      <c r="H140" s="366">
        <v>0</v>
      </c>
      <c r="I140" s="367">
        <v>0</v>
      </c>
    </row>
    <row r="141" spans="1:9" x14ac:dyDescent="0.2">
      <c r="A141" s="5" t="s">
        <v>573</v>
      </c>
      <c r="B141" s="366">
        <v>6125</v>
      </c>
      <c r="C141" s="366">
        <v>5375</v>
      </c>
      <c r="D141" s="366">
        <v>5375</v>
      </c>
      <c r="E141" s="366">
        <v>4250</v>
      </c>
      <c r="F141" s="367">
        <v>0.69387755102040816</v>
      </c>
      <c r="G141" s="366">
        <v>375</v>
      </c>
      <c r="H141" s="366">
        <v>375</v>
      </c>
      <c r="I141" s="367">
        <v>1</v>
      </c>
    </row>
    <row r="142" spans="1:9" x14ac:dyDescent="0.2">
      <c r="A142" s="5" t="s">
        <v>580</v>
      </c>
      <c r="B142" s="366">
        <v>88752</v>
      </c>
      <c r="C142" s="366">
        <v>88752</v>
      </c>
      <c r="D142" s="366">
        <v>88752</v>
      </c>
      <c r="E142" s="366">
        <v>83222.439999999988</v>
      </c>
      <c r="F142" s="367">
        <v>0.93769650261402548</v>
      </c>
      <c r="G142" s="366">
        <v>5500</v>
      </c>
      <c r="H142" s="366">
        <v>2595.17</v>
      </c>
      <c r="I142" s="367">
        <v>0.47184909090909094</v>
      </c>
    </row>
    <row r="143" spans="1:9" x14ac:dyDescent="0.2">
      <c r="A143" s="5" t="s">
        <v>582</v>
      </c>
      <c r="B143" s="366">
        <v>386873</v>
      </c>
      <c r="C143" s="366">
        <v>386870.87</v>
      </c>
      <c r="D143" s="366">
        <v>386870.87</v>
      </c>
      <c r="E143" s="366">
        <v>316631.81</v>
      </c>
      <c r="F143" s="367">
        <v>0.81843863490085889</v>
      </c>
      <c r="G143" s="366">
        <v>33770.959999999999</v>
      </c>
      <c r="H143" s="366">
        <v>33770.949999999997</v>
      </c>
      <c r="I143" s="367">
        <v>0.9999997038876004</v>
      </c>
    </row>
    <row r="144" spans="1:9" x14ac:dyDescent="0.2">
      <c r="A144" s="5" t="s">
        <v>587</v>
      </c>
      <c r="B144" s="366">
        <v>271110</v>
      </c>
      <c r="C144" s="366">
        <v>271109.09000000003</v>
      </c>
      <c r="D144" s="366">
        <v>271109.09000000003</v>
      </c>
      <c r="E144" s="366">
        <v>225615.93</v>
      </c>
      <c r="F144" s="367">
        <v>0.83219331636605065</v>
      </c>
      <c r="G144" s="366">
        <v>22746.58</v>
      </c>
      <c r="H144" s="366">
        <v>22746.58</v>
      </c>
      <c r="I144" s="367">
        <v>1</v>
      </c>
    </row>
    <row r="145" spans="1:9" x14ac:dyDescent="0.2">
      <c r="A145" s="5" t="s">
        <v>589</v>
      </c>
      <c r="B145" s="366">
        <v>195756</v>
      </c>
      <c r="C145" s="366">
        <v>195756</v>
      </c>
      <c r="D145" s="366">
        <v>175973.7</v>
      </c>
      <c r="E145" s="366">
        <v>172223.7</v>
      </c>
      <c r="F145" s="367">
        <v>0.87978759271746465</v>
      </c>
      <c r="G145" s="366">
        <v>0</v>
      </c>
      <c r="H145" s="366">
        <v>0</v>
      </c>
      <c r="I145" s="367">
        <v>0</v>
      </c>
    </row>
    <row r="146" spans="1:9" x14ac:dyDescent="0.2">
      <c r="A146" s="5" t="s">
        <v>606</v>
      </c>
      <c r="B146" s="366">
        <v>6702</v>
      </c>
      <c r="C146" s="366">
        <v>6701.36</v>
      </c>
      <c r="D146" s="366">
        <v>6701.36</v>
      </c>
      <c r="E146" s="366">
        <v>6701.3600000000006</v>
      </c>
      <c r="F146" s="367">
        <v>0.99990450611757697</v>
      </c>
      <c r="G146" s="366">
        <v>5023.47</v>
      </c>
      <c r="H146" s="366">
        <v>5023.47</v>
      </c>
      <c r="I146" s="367">
        <v>1</v>
      </c>
    </row>
    <row r="147" spans="1:9" x14ac:dyDescent="0.2">
      <c r="A147" s="5" t="s">
        <v>608</v>
      </c>
      <c r="B147" s="366">
        <v>0</v>
      </c>
      <c r="C147" s="366">
        <v>0</v>
      </c>
      <c r="D147" s="366">
        <v>0</v>
      </c>
      <c r="E147" s="366">
        <v>0</v>
      </c>
      <c r="F147" s="367">
        <v>0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610</v>
      </c>
      <c r="B148" s="366">
        <v>84355</v>
      </c>
      <c r="C148" s="366">
        <v>61235</v>
      </c>
      <c r="D148" s="366">
        <v>61146.6</v>
      </c>
      <c r="E148" s="366">
        <v>57815.6</v>
      </c>
      <c r="F148" s="367">
        <v>0.68538438741034913</v>
      </c>
      <c r="G148" s="366">
        <v>166</v>
      </c>
      <c r="H148" s="366">
        <v>0</v>
      </c>
      <c r="I148" s="367">
        <v>0</v>
      </c>
    </row>
    <row r="149" spans="1:9" x14ac:dyDescent="0.2">
      <c r="A149" s="5" t="s">
        <v>614</v>
      </c>
      <c r="B149" s="366">
        <v>325375</v>
      </c>
      <c r="C149" s="366">
        <v>325374.07</v>
      </c>
      <c r="D149" s="366">
        <v>325374.07</v>
      </c>
      <c r="E149" s="366">
        <v>257657.61000000004</v>
      </c>
      <c r="F149" s="367">
        <v>0.79187893968497902</v>
      </c>
      <c r="G149" s="366">
        <v>33858.230000000003</v>
      </c>
      <c r="H149" s="366">
        <v>33858.230000000003</v>
      </c>
      <c r="I149" s="367">
        <v>1</v>
      </c>
    </row>
    <row r="150" spans="1:9" x14ac:dyDescent="0.2">
      <c r="A150" s="5" t="s">
        <v>623</v>
      </c>
      <c r="B150" s="366">
        <v>21240</v>
      </c>
      <c r="C150" s="366">
        <v>21240</v>
      </c>
      <c r="D150" s="366">
        <v>21240</v>
      </c>
      <c r="E150" s="366">
        <v>17700</v>
      </c>
      <c r="F150" s="367">
        <v>0.83333333333333337</v>
      </c>
      <c r="G150" s="366">
        <v>1770</v>
      </c>
      <c r="H150" s="366">
        <v>1770</v>
      </c>
      <c r="I150" s="367">
        <v>1</v>
      </c>
    </row>
    <row r="151" spans="1:9" x14ac:dyDescent="0.2">
      <c r="A151" s="5" t="s">
        <v>625</v>
      </c>
      <c r="B151" s="366">
        <v>20800</v>
      </c>
      <c r="C151" s="366">
        <v>19200</v>
      </c>
      <c r="D151" s="366">
        <v>19200</v>
      </c>
      <c r="E151" s="366">
        <v>16000</v>
      </c>
      <c r="F151" s="367">
        <v>0.76923076923076927</v>
      </c>
      <c r="G151" s="366">
        <v>1600</v>
      </c>
      <c r="H151" s="366">
        <v>3200</v>
      </c>
      <c r="I151" s="367">
        <v>2</v>
      </c>
    </row>
    <row r="152" spans="1:9" x14ac:dyDescent="0.2">
      <c r="A152" s="5" t="s">
        <v>632</v>
      </c>
      <c r="B152" s="366">
        <v>1800</v>
      </c>
      <c r="C152" s="366">
        <v>1800</v>
      </c>
      <c r="D152" s="366">
        <v>1800</v>
      </c>
      <c r="E152" s="366">
        <v>940</v>
      </c>
      <c r="F152" s="367">
        <v>0.52222222222222225</v>
      </c>
      <c r="G152" s="366">
        <v>160</v>
      </c>
      <c r="H152" s="366">
        <v>0</v>
      </c>
      <c r="I152" s="367">
        <v>0</v>
      </c>
    </row>
    <row r="153" spans="1:9" x14ac:dyDescent="0.2">
      <c r="A153" s="5" t="s">
        <v>634</v>
      </c>
      <c r="B153" s="366">
        <v>38860</v>
      </c>
      <c r="C153" s="366">
        <v>38860</v>
      </c>
      <c r="D153" s="366">
        <v>38860</v>
      </c>
      <c r="E153" s="366">
        <v>23540.309999999998</v>
      </c>
      <c r="F153" s="367">
        <v>0.60577225939269164</v>
      </c>
      <c r="G153" s="366">
        <v>5190</v>
      </c>
      <c r="H153" s="366">
        <v>4546.1000000000004</v>
      </c>
      <c r="I153" s="367">
        <v>0.87593448940269758</v>
      </c>
    </row>
    <row r="154" spans="1:9" x14ac:dyDescent="0.2">
      <c r="A154" s="5" t="s">
        <v>642</v>
      </c>
      <c r="B154" s="366">
        <v>12525</v>
      </c>
      <c r="C154" s="366">
        <v>12356.24</v>
      </c>
      <c r="D154" s="366">
        <v>12356.24</v>
      </c>
      <c r="E154" s="366">
        <v>12356.24</v>
      </c>
      <c r="F154" s="367">
        <v>0.98652614770459079</v>
      </c>
      <c r="G154" s="366">
        <v>0</v>
      </c>
      <c r="H154" s="366">
        <v>0</v>
      </c>
      <c r="I154" s="367">
        <v>0</v>
      </c>
    </row>
    <row r="155" spans="1:9" x14ac:dyDescent="0.2">
      <c r="A155" s="5" t="s">
        <v>644</v>
      </c>
      <c r="B155" s="366">
        <v>210</v>
      </c>
      <c r="C155" s="366">
        <v>210</v>
      </c>
      <c r="D155" s="366">
        <v>210</v>
      </c>
      <c r="E155" s="366">
        <v>0</v>
      </c>
      <c r="F155" s="367">
        <v>0</v>
      </c>
      <c r="G155" s="366">
        <v>210</v>
      </c>
      <c r="H155" s="366">
        <v>0</v>
      </c>
      <c r="I155" s="367">
        <v>0</v>
      </c>
    </row>
    <row r="156" spans="1:9" x14ac:dyDescent="0.2">
      <c r="A156" s="5" t="s">
        <v>646</v>
      </c>
      <c r="B156" s="366">
        <v>15017</v>
      </c>
      <c r="C156" s="366">
        <v>15015.01</v>
      </c>
      <c r="D156" s="366">
        <v>15015.01</v>
      </c>
      <c r="E156" s="366">
        <v>5456.42</v>
      </c>
      <c r="F156" s="367">
        <v>0.36334953719118335</v>
      </c>
      <c r="G156" s="366">
        <v>590.28</v>
      </c>
      <c r="H156" s="366">
        <v>0</v>
      </c>
      <c r="I156" s="367">
        <v>0</v>
      </c>
    </row>
    <row r="157" spans="1:9" x14ac:dyDescent="0.2">
      <c r="A157" s="5" t="s">
        <v>648</v>
      </c>
      <c r="B157" s="366">
        <v>30571</v>
      </c>
      <c r="C157" s="366">
        <v>29455.86</v>
      </c>
      <c r="D157" s="366">
        <v>29455.86</v>
      </c>
      <c r="E157" s="366">
        <v>29455.86</v>
      </c>
      <c r="F157" s="367">
        <v>0.96352294658336335</v>
      </c>
      <c r="G157" s="366">
        <v>0</v>
      </c>
      <c r="H157" s="366">
        <v>0</v>
      </c>
      <c r="I157" s="367">
        <v>0</v>
      </c>
    </row>
    <row r="158" spans="1:9" x14ac:dyDescent="0.2">
      <c r="A158" s="5" t="s">
        <v>668</v>
      </c>
      <c r="B158" s="366">
        <v>25182</v>
      </c>
      <c r="C158" s="366">
        <v>24922.94</v>
      </c>
      <c r="D158" s="366">
        <v>24922.94</v>
      </c>
      <c r="E158" s="366">
        <v>24922.940000000002</v>
      </c>
      <c r="F158" s="367">
        <v>0.98971249305059183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673</v>
      </c>
      <c r="B159" s="366">
        <v>0</v>
      </c>
      <c r="C159" s="366">
        <v>0</v>
      </c>
      <c r="D159" s="366">
        <v>0</v>
      </c>
      <c r="E159" s="366">
        <v>0</v>
      </c>
      <c r="F159" s="367">
        <v>0</v>
      </c>
      <c r="G159" s="366">
        <v>0</v>
      </c>
      <c r="H159" s="366">
        <v>0</v>
      </c>
      <c r="I159" s="367">
        <v>0</v>
      </c>
    </row>
    <row r="160" spans="1:9" x14ac:dyDescent="0.2">
      <c r="A160" s="5" t="s">
        <v>679</v>
      </c>
      <c r="B160" s="366">
        <v>900</v>
      </c>
      <c r="C160" s="366">
        <v>900</v>
      </c>
      <c r="D160" s="366">
        <v>900</v>
      </c>
      <c r="E160" s="366">
        <v>200</v>
      </c>
      <c r="F160" s="367">
        <v>0.22222222222222221</v>
      </c>
      <c r="G160" s="366">
        <v>150</v>
      </c>
      <c r="H160" s="366">
        <v>0</v>
      </c>
      <c r="I160" s="367">
        <v>0</v>
      </c>
    </row>
    <row r="161" spans="1:9" x14ac:dyDescent="0.2">
      <c r="A161" s="5" t="s">
        <v>689</v>
      </c>
      <c r="B161" s="366">
        <v>58200</v>
      </c>
      <c r="C161" s="366">
        <v>27003.05</v>
      </c>
      <c r="D161" s="366">
        <v>27003.05</v>
      </c>
      <c r="E161" s="366">
        <v>11124.64</v>
      </c>
      <c r="F161" s="367">
        <v>0.19114501718213056</v>
      </c>
      <c r="G161" s="366">
        <v>1000</v>
      </c>
      <c r="H161" s="366">
        <v>514.6</v>
      </c>
      <c r="I161" s="367">
        <v>0.51460000000000006</v>
      </c>
    </row>
    <row r="162" spans="1:9" x14ac:dyDescent="0.2">
      <c r="A162" s="5" t="s">
        <v>701</v>
      </c>
      <c r="B162" s="366">
        <v>98730</v>
      </c>
      <c r="C162" s="366">
        <v>91730</v>
      </c>
      <c r="D162" s="366">
        <v>91730</v>
      </c>
      <c r="E162" s="366">
        <v>74030</v>
      </c>
      <c r="F162" s="367">
        <v>0.74982274891117184</v>
      </c>
      <c r="G162" s="366">
        <v>0</v>
      </c>
      <c r="H162" s="366">
        <v>0</v>
      </c>
      <c r="I162" s="367">
        <v>0</v>
      </c>
    </row>
    <row r="163" spans="1:9" x14ac:dyDescent="0.2">
      <c r="A163" s="5" t="s">
        <v>703</v>
      </c>
      <c r="B163" s="366">
        <v>38000</v>
      </c>
      <c r="C163" s="366">
        <v>38000</v>
      </c>
      <c r="D163" s="366">
        <v>38000</v>
      </c>
      <c r="E163" s="366">
        <v>0</v>
      </c>
      <c r="F163" s="367">
        <v>0</v>
      </c>
      <c r="G163" s="366">
        <v>0</v>
      </c>
      <c r="H163" s="366">
        <v>0</v>
      </c>
      <c r="I163" s="367">
        <v>0</v>
      </c>
    </row>
    <row r="164" spans="1:9" x14ac:dyDescent="0.2">
      <c r="A164" s="5" t="s">
        <v>707</v>
      </c>
      <c r="B164" s="366">
        <v>68740</v>
      </c>
      <c r="C164" s="366">
        <v>68738.2</v>
      </c>
      <c r="D164" s="366">
        <v>68738.2</v>
      </c>
      <c r="E164" s="366">
        <v>35238.199999999997</v>
      </c>
      <c r="F164" s="367">
        <v>0.51263020075647359</v>
      </c>
      <c r="G164" s="366">
        <v>0</v>
      </c>
      <c r="H164" s="366">
        <v>0</v>
      </c>
      <c r="I164" s="367">
        <v>0</v>
      </c>
    </row>
    <row r="165" spans="1:9" x14ac:dyDescent="0.2">
      <c r="A165" s="5" t="s">
        <v>723</v>
      </c>
      <c r="B165" s="366">
        <v>90000</v>
      </c>
      <c r="C165" s="366">
        <v>90000</v>
      </c>
      <c r="D165" s="366">
        <v>66460</v>
      </c>
      <c r="E165" s="366">
        <v>8000</v>
      </c>
      <c r="F165" s="367">
        <v>8.8888888888888892E-2</v>
      </c>
      <c r="G165" s="366">
        <v>0</v>
      </c>
      <c r="H165" s="366">
        <v>8000</v>
      </c>
      <c r="I165" s="367">
        <v>0</v>
      </c>
    </row>
    <row r="166" spans="1:9" x14ac:dyDescent="0.2">
      <c r="A166" s="5" t="s">
        <v>725</v>
      </c>
      <c r="B166" s="366">
        <v>0</v>
      </c>
      <c r="C166" s="366">
        <v>0</v>
      </c>
      <c r="D166" s="366">
        <v>0</v>
      </c>
      <c r="E166" s="366">
        <v>0</v>
      </c>
      <c r="F166" s="367">
        <v>0</v>
      </c>
      <c r="G166" s="366">
        <v>0</v>
      </c>
      <c r="H166" s="366">
        <v>0</v>
      </c>
      <c r="I166" s="367">
        <v>0</v>
      </c>
    </row>
    <row r="167" spans="1:9" x14ac:dyDescent="0.2">
      <c r="A167" s="5" t="s">
        <v>727</v>
      </c>
      <c r="B167" s="366">
        <v>0</v>
      </c>
      <c r="C167" s="366">
        <v>0</v>
      </c>
      <c r="D167" s="366">
        <v>0</v>
      </c>
      <c r="E167" s="366">
        <v>0</v>
      </c>
      <c r="F167" s="367">
        <v>0</v>
      </c>
      <c r="G167" s="366">
        <v>0</v>
      </c>
      <c r="H167" s="366">
        <v>0</v>
      </c>
      <c r="I167" s="367">
        <v>0</v>
      </c>
    </row>
    <row r="168" spans="1:9" x14ac:dyDescent="0.2">
      <c r="A168" s="5" t="s">
        <v>733</v>
      </c>
      <c r="B168" s="366">
        <v>0</v>
      </c>
      <c r="C168" s="366">
        <v>0</v>
      </c>
      <c r="D168" s="366">
        <v>0</v>
      </c>
      <c r="E168" s="366">
        <v>0</v>
      </c>
      <c r="F168" s="367">
        <v>0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749</v>
      </c>
      <c r="B169" s="366">
        <v>2664</v>
      </c>
      <c r="C169" s="366">
        <v>2664</v>
      </c>
      <c r="D169" s="366">
        <v>2664</v>
      </c>
      <c r="E169" s="366">
        <v>2664</v>
      </c>
      <c r="F169" s="367">
        <v>1</v>
      </c>
      <c r="G169" s="366">
        <v>0</v>
      </c>
      <c r="H169" s="366">
        <v>2664</v>
      </c>
      <c r="I169" s="367">
        <v>0</v>
      </c>
    </row>
    <row r="170" spans="1:9" x14ac:dyDescent="0.2">
      <c r="A170" s="5" t="s">
        <v>775</v>
      </c>
      <c r="B170" s="366">
        <v>783876</v>
      </c>
      <c r="C170" s="366">
        <v>762934</v>
      </c>
      <c r="D170" s="366">
        <v>749200</v>
      </c>
      <c r="E170" s="366">
        <v>630600</v>
      </c>
      <c r="F170" s="367">
        <v>0.80446397134240621</v>
      </c>
      <c r="G170" s="366">
        <v>24800</v>
      </c>
      <c r="H170" s="366">
        <v>50300</v>
      </c>
      <c r="I170" s="367">
        <v>2.028225806451613</v>
      </c>
    </row>
    <row r="171" spans="1:9" x14ac:dyDescent="0.2">
      <c r="A171" s="5" t="s">
        <v>524</v>
      </c>
      <c r="B171" s="366">
        <v>1580</v>
      </c>
      <c r="C171" s="366">
        <v>1580</v>
      </c>
      <c r="D171" s="366">
        <v>1580</v>
      </c>
      <c r="E171" s="366">
        <v>1580</v>
      </c>
      <c r="F171" s="367">
        <v>1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417</v>
      </c>
      <c r="B172" s="366">
        <v>259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432</v>
      </c>
      <c r="B173" s="366">
        <v>11</v>
      </c>
      <c r="C173" s="366">
        <v>0</v>
      </c>
      <c r="D173" s="366">
        <v>0</v>
      </c>
      <c r="E173" s="366">
        <v>0</v>
      </c>
      <c r="F173" s="367">
        <v>0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441</v>
      </c>
      <c r="B174" s="366">
        <v>2024</v>
      </c>
      <c r="C174" s="366">
        <v>2023.88</v>
      </c>
      <c r="D174" s="366">
        <v>2023.88</v>
      </c>
      <c r="E174" s="366">
        <v>0</v>
      </c>
      <c r="F174" s="367">
        <v>0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484</v>
      </c>
      <c r="B175" s="366">
        <v>532</v>
      </c>
      <c r="C175" s="366">
        <v>0</v>
      </c>
      <c r="D175" s="366">
        <v>0</v>
      </c>
      <c r="E175" s="366">
        <v>0</v>
      </c>
      <c r="F175" s="367">
        <v>0</v>
      </c>
      <c r="G175" s="366">
        <v>0</v>
      </c>
      <c r="H175" s="366">
        <v>0</v>
      </c>
      <c r="I175" s="367">
        <v>0</v>
      </c>
    </row>
    <row r="176" spans="1:9" x14ac:dyDescent="0.2">
      <c r="A176" s="5" t="s">
        <v>2222</v>
      </c>
      <c r="B176" s="366">
        <v>89869</v>
      </c>
      <c r="C176" s="366">
        <v>89869</v>
      </c>
      <c r="D176" s="366">
        <v>89869</v>
      </c>
      <c r="E176" s="366">
        <v>89869</v>
      </c>
      <c r="F176" s="367">
        <v>1</v>
      </c>
      <c r="G176" s="366">
        <v>0</v>
      </c>
      <c r="H176" s="366">
        <v>0</v>
      </c>
      <c r="I176" s="367">
        <v>0</v>
      </c>
    </row>
    <row r="177" spans="1:9" x14ac:dyDescent="0.2">
      <c r="A177" s="5" t="s">
        <v>798</v>
      </c>
      <c r="B177" s="366">
        <v>89869</v>
      </c>
      <c r="C177" s="366">
        <v>89869</v>
      </c>
      <c r="D177" s="366">
        <v>89869</v>
      </c>
      <c r="E177" s="366">
        <v>89869</v>
      </c>
      <c r="F177" s="367">
        <v>1</v>
      </c>
      <c r="G177" s="366">
        <v>0</v>
      </c>
      <c r="H177" s="366">
        <v>0</v>
      </c>
      <c r="I177" s="367">
        <v>0</v>
      </c>
    </row>
    <row r="178" spans="1:9" x14ac:dyDescent="0.2">
      <c r="A178" s="5" t="s">
        <v>2221</v>
      </c>
      <c r="B178" s="366">
        <v>179699</v>
      </c>
      <c r="C178" s="366">
        <v>179698.44</v>
      </c>
      <c r="D178" s="366">
        <v>179698.44</v>
      </c>
      <c r="E178" s="366">
        <v>179698.44</v>
      </c>
      <c r="F178" s="367">
        <v>0.99999688367770556</v>
      </c>
      <c r="G178" s="366">
        <v>0</v>
      </c>
      <c r="H178" s="366">
        <v>0</v>
      </c>
      <c r="I178" s="367">
        <v>0</v>
      </c>
    </row>
    <row r="179" spans="1:9" x14ac:dyDescent="0.2">
      <c r="A179" s="5" t="s">
        <v>903</v>
      </c>
      <c r="B179" s="366">
        <v>916</v>
      </c>
      <c r="C179" s="366">
        <v>916</v>
      </c>
      <c r="D179" s="366">
        <v>916</v>
      </c>
      <c r="E179" s="366">
        <v>916</v>
      </c>
      <c r="F179" s="367">
        <v>1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908</v>
      </c>
      <c r="B180" s="366">
        <v>9140</v>
      </c>
      <c r="C180" s="366">
        <v>9140</v>
      </c>
      <c r="D180" s="366">
        <v>9140</v>
      </c>
      <c r="E180" s="366">
        <v>9140</v>
      </c>
      <c r="F180" s="367">
        <v>1</v>
      </c>
      <c r="G180" s="366">
        <v>0</v>
      </c>
      <c r="H180" s="366">
        <v>0</v>
      </c>
      <c r="I180" s="367">
        <v>0</v>
      </c>
    </row>
    <row r="181" spans="1:9" x14ac:dyDescent="0.2">
      <c r="A181" s="5" t="s">
        <v>910</v>
      </c>
      <c r="B181" s="366">
        <v>59400</v>
      </c>
      <c r="C181" s="366">
        <v>59400</v>
      </c>
      <c r="D181" s="366">
        <v>59400</v>
      </c>
      <c r="E181" s="366">
        <v>59400</v>
      </c>
      <c r="F181" s="367">
        <v>1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924</v>
      </c>
      <c r="B182" s="366">
        <v>110243</v>
      </c>
      <c r="C182" s="366">
        <v>110242.44</v>
      </c>
      <c r="D182" s="366">
        <v>110242.44</v>
      </c>
      <c r="E182" s="366">
        <v>110242.44</v>
      </c>
      <c r="F182" s="367">
        <v>0.99999492031240078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2218</v>
      </c>
      <c r="B183" s="366">
        <v>9500</v>
      </c>
      <c r="C183" s="366">
        <v>9500</v>
      </c>
      <c r="D183" s="366">
        <v>4700</v>
      </c>
      <c r="E183" s="366">
        <v>4700</v>
      </c>
      <c r="F183" s="367">
        <v>0.49473684210526314</v>
      </c>
      <c r="G183" s="366">
        <v>0</v>
      </c>
      <c r="H183" s="366">
        <v>0</v>
      </c>
      <c r="I183" s="367">
        <v>0</v>
      </c>
    </row>
    <row r="184" spans="1:9" x14ac:dyDescent="0.2">
      <c r="A184" s="5" t="s">
        <v>1150</v>
      </c>
      <c r="B184" s="366">
        <v>4700</v>
      </c>
      <c r="C184" s="366">
        <v>4700</v>
      </c>
      <c r="D184" s="366">
        <v>4700</v>
      </c>
      <c r="E184" s="366">
        <v>4700</v>
      </c>
      <c r="F184" s="367">
        <v>1</v>
      </c>
      <c r="G184" s="366">
        <v>0</v>
      </c>
      <c r="H184" s="366">
        <v>0</v>
      </c>
      <c r="I184" s="367">
        <v>0</v>
      </c>
    </row>
    <row r="185" spans="1:9" x14ac:dyDescent="0.2">
      <c r="A185" s="5" t="s">
        <v>1176</v>
      </c>
      <c r="B185" s="366">
        <v>4800</v>
      </c>
      <c r="C185" s="366">
        <v>4800</v>
      </c>
      <c r="D185" s="366">
        <v>0</v>
      </c>
      <c r="E185" s="366">
        <v>0</v>
      </c>
      <c r="F185" s="367">
        <v>0</v>
      </c>
      <c r="G185" s="366">
        <v>0</v>
      </c>
      <c r="H185" s="366">
        <v>0</v>
      </c>
      <c r="I185" s="367">
        <v>0</v>
      </c>
    </row>
    <row r="186" spans="1:9" x14ac:dyDescent="0.2">
      <c r="A186" s="368" t="s">
        <v>19</v>
      </c>
      <c r="B186" s="366">
        <v>1267007</v>
      </c>
      <c r="C186" s="366">
        <v>862010.45</v>
      </c>
      <c r="D186" s="366">
        <v>859114.82</v>
      </c>
      <c r="E186" s="366">
        <v>701366.67</v>
      </c>
      <c r="F186" s="367">
        <v>0.55356179563333119</v>
      </c>
      <c r="G186" s="366">
        <v>150551.70000000001</v>
      </c>
      <c r="H186" s="366">
        <v>71323.520000000004</v>
      </c>
      <c r="I186" s="367">
        <v>0.47374768933197031</v>
      </c>
    </row>
    <row r="187" spans="1:9" x14ac:dyDescent="0.2">
      <c r="A187" s="5" t="s">
        <v>2219</v>
      </c>
      <c r="B187" s="366">
        <v>1040847</v>
      </c>
      <c r="C187" s="366">
        <v>726333.96</v>
      </c>
      <c r="D187" s="366">
        <v>724078.33</v>
      </c>
      <c r="E187" s="366">
        <v>582141.17000000004</v>
      </c>
      <c r="F187" s="367">
        <v>0.55929562173883385</v>
      </c>
      <c r="G187" s="366">
        <v>72708.700000000012</v>
      </c>
      <c r="H187" s="366">
        <v>65323.520000000004</v>
      </c>
      <c r="I187" s="367">
        <v>0.89842783600862064</v>
      </c>
    </row>
    <row r="188" spans="1:9" x14ac:dyDescent="0.2">
      <c r="A188" s="5" t="s">
        <v>2220</v>
      </c>
      <c r="B188" s="366">
        <v>220280</v>
      </c>
      <c r="C188" s="366">
        <v>135676.49</v>
      </c>
      <c r="D188" s="366">
        <v>135036.49</v>
      </c>
      <c r="E188" s="366">
        <v>119225.5</v>
      </c>
      <c r="F188" s="367">
        <v>0.54124523333938623</v>
      </c>
      <c r="G188" s="366">
        <v>71963</v>
      </c>
      <c r="H188" s="366">
        <v>6000</v>
      </c>
      <c r="I188" s="367">
        <v>8.3376179425538127E-2</v>
      </c>
    </row>
    <row r="189" spans="1:9" x14ac:dyDescent="0.2">
      <c r="A189" s="5" t="s">
        <v>460</v>
      </c>
      <c r="B189" s="366">
        <v>1386</v>
      </c>
      <c r="C189" s="366">
        <v>1386</v>
      </c>
      <c r="D189" s="366">
        <v>1386</v>
      </c>
      <c r="E189" s="366">
        <v>1386</v>
      </c>
      <c r="F189" s="367">
        <v>1</v>
      </c>
      <c r="G189" s="366">
        <v>0</v>
      </c>
      <c r="H189" s="366">
        <v>0</v>
      </c>
      <c r="I189" s="367">
        <v>0</v>
      </c>
    </row>
    <row r="190" spans="1:9" x14ac:dyDescent="0.2">
      <c r="A190" s="5" t="s">
        <v>473</v>
      </c>
      <c r="B190" s="366">
        <v>4833</v>
      </c>
      <c r="C190" s="366">
        <v>4833</v>
      </c>
      <c r="D190" s="366">
        <v>4833</v>
      </c>
      <c r="E190" s="366">
        <v>4833</v>
      </c>
      <c r="F190" s="367">
        <v>1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482</v>
      </c>
      <c r="B191" s="366">
        <v>0</v>
      </c>
      <c r="C191" s="366">
        <v>0</v>
      </c>
      <c r="D191" s="366">
        <v>0</v>
      </c>
      <c r="E191" s="366">
        <v>0</v>
      </c>
      <c r="F191" s="367">
        <v>0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542</v>
      </c>
      <c r="B192" s="366">
        <v>15000</v>
      </c>
      <c r="C192" s="366">
        <v>4498.51</v>
      </c>
      <c r="D192" s="366">
        <v>4498.51</v>
      </c>
      <c r="E192" s="366">
        <v>4498.51</v>
      </c>
      <c r="F192" s="367">
        <v>0.2999006666666667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544</v>
      </c>
      <c r="B193" s="366">
        <v>11200</v>
      </c>
      <c r="C193" s="366">
        <v>4453.3999999999996</v>
      </c>
      <c r="D193" s="366">
        <v>3813.4</v>
      </c>
      <c r="E193" s="366">
        <v>3813.4</v>
      </c>
      <c r="F193" s="367">
        <v>0.34048214285714284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575</v>
      </c>
      <c r="B194" s="366">
        <v>0</v>
      </c>
      <c r="C194" s="366">
        <v>0</v>
      </c>
      <c r="D194" s="366">
        <v>0</v>
      </c>
      <c r="E194" s="366">
        <v>0</v>
      </c>
      <c r="F194" s="367">
        <v>0</v>
      </c>
      <c r="G194" s="366">
        <v>0</v>
      </c>
      <c r="H194" s="366">
        <v>0</v>
      </c>
      <c r="I194" s="367">
        <v>0</v>
      </c>
    </row>
    <row r="195" spans="1:9" x14ac:dyDescent="0.2">
      <c r="A195" s="5" t="s">
        <v>610</v>
      </c>
      <c r="B195" s="366">
        <v>11000</v>
      </c>
      <c r="C195" s="366">
        <v>0</v>
      </c>
      <c r="D195" s="366">
        <v>0</v>
      </c>
      <c r="E195" s="366">
        <v>0</v>
      </c>
      <c r="F195" s="367">
        <v>0</v>
      </c>
      <c r="G195" s="366">
        <v>11000</v>
      </c>
      <c r="H195" s="366">
        <v>0</v>
      </c>
      <c r="I195" s="367">
        <v>0</v>
      </c>
    </row>
    <row r="196" spans="1:9" x14ac:dyDescent="0.2">
      <c r="A196" s="5" t="s">
        <v>625</v>
      </c>
      <c r="B196" s="366">
        <v>5100</v>
      </c>
      <c r="C196" s="366">
        <v>5097.99</v>
      </c>
      <c r="D196" s="366">
        <v>5097.99</v>
      </c>
      <c r="E196" s="366">
        <v>3587</v>
      </c>
      <c r="F196" s="367">
        <v>0.70333333333333337</v>
      </c>
      <c r="G196" s="366">
        <v>1413</v>
      </c>
      <c r="H196" s="366">
        <v>0</v>
      </c>
      <c r="I196" s="367">
        <v>0</v>
      </c>
    </row>
    <row r="197" spans="1:9" x14ac:dyDescent="0.2">
      <c r="A197" s="5" t="s">
        <v>668</v>
      </c>
      <c r="B197" s="366">
        <v>953</v>
      </c>
      <c r="C197" s="366">
        <v>952.61</v>
      </c>
      <c r="D197" s="366">
        <v>952.61</v>
      </c>
      <c r="E197" s="366">
        <v>952.61</v>
      </c>
      <c r="F197" s="367">
        <v>0.99959076600209862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685</v>
      </c>
      <c r="B198" s="366">
        <v>1652</v>
      </c>
      <c r="C198" s="366">
        <v>0</v>
      </c>
      <c r="D198" s="366">
        <v>0</v>
      </c>
      <c r="E198" s="366">
        <v>0</v>
      </c>
      <c r="F198" s="367">
        <v>0</v>
      </c>
      <c r="G198" s="366">
        <v>0</v>
      </c>
      <c r="H198" s="366">
        <v>0</v>
      </c>
      <c r="I198" s="367">
        <v>0</v>
      </c>
    </row>
    <row r="199" spans="1:9" x14ac:dyDescent="0.2">
      <c r="A199" s="5" t="s">
        <v>689</v>
      </c>
      <c r="B199" s="366">
        <v>62435</v>
      </c>
      <c r="C199" s="366">
        <v>14035</v>
      </c>
      <c r="D199" s="366">
        <v>14035</v>
      </c>
      <c r="E199" s="366">
        <v>14035</v>
      </c>
      <c r="F199" s="367">
        <v>0.22479378553695845</v>
      </c>
      <c r="G199" s="366">
        <v>48400</v>
      </c>
      <c r="H199" s="366">
        <v>0</v>
      </c>
      <c r="I199" s="367">
        <v>0</v>
      </c>
    </row>
    <row r="200" spans="1:9" x14ac:dyDescent="0.2">
      <c r="A200" s="5" t="s">
        <v>701</v>
      </c>
      <c r="B200" s="366">
        <v>33601</v>
      </c>
      <c r="C200" s="366">
        <v>29299.98</v>
      </c>
      <c r="D200" s="366">
        <v>29299.98</v>
      </c>
      <c r="E200" s="366">
        <v>20999.98</v>
      </c>
      <c r="F200" s="367">
        <v>0.62498080414273383</v>
      </c>
      <c r="G200" s="366">
        <v>3150</v>
      </c>
      <c r="H200" s="366">
        <v>0</v>
      </c>
      <c r="I200" s="367">
        <v>0</v>
      </c>
    </row>
    <row r="201" spans="1:9" x14ac:dyDescent="0.2">
      <c r="A201" s="5" t="s">
        <v>731</v>
      </c>
      <c r="B201" s="366">
        <v>1120</v>
      </c>
      <c r="C201" s="366">
        <v>1120</v>
      </c>
      <c r="D201" s="366">
        <v>1120</v>
      </c>
      <c r="E201" s="366">
        <v>1120</v>
      </c>
      <c r="F201" s="367">
        <v>1</v>
      </c>
      <c r="G201" s="366">
        <v>0</v>
      </c>
      <c r="H201" s="366">
        <v>0</v>
      </c>
      <c r="I201" s="367">
        <v>0</v>
      </c>
    </row>
    <row r="202" spans="1:9" x14ac:dyDescent="0.2">
      <c r="A202" s="5" t="s">
        <v>775</v>
      </c>
      <c r="B202" s="366">
        <v>72000</v>
      </c>
      <c r="C202" s="366">
        <v>70000</v>
      </c>
      <c r="D202" s="366">
        <v>70000</v>
      </c>
      <c r="E202" s="366">
        <v>64000</v>
      </c>
      <c r="F202" s="367">
        <v>0.88888888888888884</v>
      </c>
      <c r="G202" s="366">
        <v>8000</v>
      </c>
      <c r="H202" s="366">
        <v>6000</v>
      </c>
      <c r="I202" s="367">
        <v>0.75</v>
      </c>
    </row>
    <row r="203" spans="1:9" x14ac:dyDescent="0.2">
      <c r="A203" s="5" t="s">
        <v>2218</v>
      </c>
      <c r="B203" s="366">
        <v>5880</v>
      </c>
      <c r="C203" s="366">
        <v>0</v>
      </c>
      <c r="D203" s="366">
        <v>0</v>
      </c>
      <c r="E203" s="366">
        <v>0</v>
      </c>
      <c r="F203" s="367">
        <v>0</v>
      </c>
      <c r="G203" s="366">
        <v>5880</v>
      </c>
      <c r="H203" s="366">
        <v>0</v>
      </c>
      <c r="I203" s="367">
        <v>0</v>
      </c>
    </row>
    <row r="204" spans="1:9" x14ac:dyDescent="0.2">
      <c r="A204" s="5" t="s">
        <v>1150</v>
      </c>
      <c r="B204" s="366">
        <v>5880</v>
      </c>
      <c r="C204" s="366">
        <v>0</v>
      </c>
      <c r="D204" s="366">
        <v>0</v>
      </c>
      <c r="E204" s="366">
        <v>0</v>
      </c>
      <c r="F204" s="367">
        <v>0</v>
      </c>
      <c r="G204" s="366">
        <v>5880</v>
      </c>
      <c r="H204" s="366">
        <v>0</v>
      </c>
      <c r="I204" s="367">
        <v>0</v>
      </c>
    </row>
    <row r="205" spans="1:9" x14ac:dyDescent="0.2">
      <c r="A205" s="368" t="s">
        <v>20</v>
      </c>
      <c r="B205" s="366">
        <v>1283047</v>
      </c>
      <c r="C205" s="366">
        <v>1044544.76</v>
      </c>
      <c r="D205" s="366">
        <v>869497.30999999994</v>
      </c>
      <c r="E205" s="366">
        <v>713187.45</v>
      </c>
      <c r="F205" s="367">
        <v>0.55585450104321976</v>
      </c>
      <c r="G205" s="366">
        <v>73628.899999999994</v>
      </c>
      <c r="H205" s="366">
        <v>73073.279999999999</v>
      </c>
      <c r="I205" s="367">
        <v>0.99245377833975523</v>
      </c>
    </row>
    <row r="206" spans="1:9" x14ac:dyDescent="0.2">
      <c r="A206" s="5" t="s">
        <v>2219</v>
      </c>
      <c r="B206" s="366">
        <v>1187369</v>
      </c>
      <c r="C206" s="366">
        <v>948867.04</v>
      </c>
      <c r="D206" s="366">
        <v>773819.59</v>
      </c>
      <c r="E206" s="366">
        <v>618639.73</v>
      </c>
      <c r="F206" s="367">
        <v>0.52101724906073843</v>
      </c>
      <c r="G206" s="366">
        <v>72498.899999999994</v>
      </c>
      <c r="H206" s="366">
        <v>71943.28</v>
      </c>
      <c r="I206" s="367">
        <v>0.99233615958311094</v>
      </c>
    </row>
    <row r="207" spans="1:9" x14ac:dyDescent="0.2">
      <c r="A207" s="5" t="s">
        <v>2220</v>
      </c>
      <c r="B207" s="366">
        <v>95678</v>
      </c>
      <c r="C207" s="366">
        <v>95677.72</v>
      </c>
      <c r="D207" s="366">
        <v>95677.72</v>
      </c>
      <c r="E207" s="366">
        <v>94547.72</v>
      </c>
      <c r="F207" s="367">
        <v>0.98818662597462326</v>
      </c>
      <c r="G207" s="366">
        <v>1130</v>
      </c>
      <c r="H207" s="366">
        <v>1130</v>
      </c>
      <c r="I207" s="367">
        <v>1</v>
      </c>
    </row>
    <row r="208" spans="1:9" x14ac:dyDescent="0.2">
      <c r="A208" s="5" t="s">
        <v>522</v>
      </c>
      <c r="B208" s="366">
        <v>2760</v>
      </c>
      <c r="C208" s="366">
        <v>2760</v>
      </c>
      <c r="D208" s="366">
        <v>2760</v>
      </c>
      <c r="E208" s="366">
        <v>2760</v>
      </c>
      <c r="F208" s="367">
        <v>1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701</v>
      </c>
      <c r="B209" s="366">
        <v>5580</v>
      </c>
      <c r="C209" s="366">
        <v>5580</v>
      </c>
      <c r="D209" s="366">
        <v>5580</v>
      </c>
      <c r="E209" s="366">
        <v>5580</v>
      </c>
      <c r="F209" s="367">
        <v>1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707</v>
      </c>
      <c r="B210" s="366">
        <v>0</v>
      </c>
      <c r="C210" s="366">
        <v>0</v>
      </c>
      <c r="D210" s="366">
        <v>0</v>
      </c>
      <c r="E210" s="366">
        <v>0</v>
      </c>
      <c r="F210" s="367">
        <v>0</v>
      </c>
      <c r="G210" s="366">
        <v>0</v>
      </c>
      <c r="H210" s="366">
        <v>0</v>
      </c>
      <c r="I210" s="367">
        <v>0</v>
      </c>
    </row>
    <row r="211" spans="1:9" x14ac:dyDescent="0.2">
      <c r="A211" s="5" t="s">
        <v>735</v>
      </c>
      <c r="B211" s="366">
        <v>11338</v>
      </c>
      <c r="C211" s="366">
        <v>11337.72</v>
      </c>
      <c r="D211" s="366">
        <v>11337.72</v>
      </c>
      <c r="E211" s="366">
        <v>10207.720000000001</v>
      </c>
      <c r="F211" s="367">
        <v>0.90031046039865947</v>
      </c>
      <c r="G211" s="366">
        <v>1130</v>
      </c>
      <c r="H211" s="366">
        <v>1130</v>
      </c>
      <c r="I211" s="367">
        <v>1</v>
      </c>
    </row>
    <row r="212" spans="1:9" x14ac:dyDescent="0.2">
      <c r="A212" s="5" t="s">
        <v>749</v>
      </c>
      <c r="B212" s="366">
        <v>0</v>
      </c>
      <c r="C212" s="366">
        <v>0</v>
      </c>
      <c r="D212" s="366">
        <v>0</v>
      </c>
      <c r="E212" s="366">
        <v>0</v>
      </c>
      <c r="F212" s="367">
        <v>0</v>
      </c>
      <c r="G212" s="366">
        <v>0</v>
      </c>
      <c r="H212" s="366">
        <v>0</v>
      </c>
      <c r="I212" s="367">
        <v>0</v>
      </c>
    </row>
    <row r="213" spans="1:9" x14ac:dyDescent="0.2">
      <c r="A213" s="5" t="s">
        <v>775</v>
      </c>
      <c r="B213" s="366">
        <v>76000</v>
      </c>
      <c r="C213" s="366">
        <v>76000</v>
      </c>
      <c r="D213" s="366">
        <v>76000</v>
      </c>
      <c r="E213" s="366">
        <v>76000</v>
      </c>
      <c r="F213" s="367">
        <v>1</v>
      </c>
      <c r="G213" s="366">
        <v>0</v>
      </c>
      <c r="H213" s="366">
        <v>0</v>
      </c>
      <c r="I213" s="367">
        <v>0</v>
      </c>
    </row>
    <row r="214" spans="1:9" x14ac:dyDescent="0.2">
      <c r="A214" s="368" t="s">
        <v>21</v>
      </c>
      <c r="B214" s="366">
        <v>0</v>
      </c>
      <c r="C214" s="366">
        <v>0</v>
      </c>
      <c r="D214" s="366">
        <v>0</v>
      </c>
      <c r="E214" s="366">
        <v>0</v>
      </c>
      <c r="F214" s="367">
        <v>0</v>
      </c>
      <c r="G214" s="366">
        <v>0</v>
      </c>
      <c r="H214" s="366">
        <v>0</v>
      </c>
      <c r="I214" s="367">
        <v>0</v>
      </c>
    </row>
    <row r="215" spans="1:9" x14ac:dyDescent="0.2">
      <c r="A215" s="5" t="s">
        <v>2219</v>
      </c>
      <c r="B215" s="366">
        <v>0</v>
      </c>
      <c r="C215" s="366">
        <v>0</v>
      </c>
      <c r="D215" s="366">
        <v>0</v>
      </c>
      <c r="E215" s="366">
        <v>0</v>
      </c>
      <c r="F215" s="367">
        <v>0</v>
      </c>
      <c r="G215" s="366">
        <v>0</v>
      </c>
      <c r="H215" s="366">
        <v>0</v>
      </c>
      <c r="I215" s="367">
        <v>0</v>
      </c>
    </row>
    <row r="216" spans="1:9" x14ac:dyDescent="0.2">
      <c r="A216" s="368" t="s">
        <v>22</v>
      </c>
      <c r="B216" s="366">
        <v>373097</v>
      </c>
      <c r="C216" s="366">
        <v>149022.46</v>
      </c>
      <c r="D216" s="366">
        <v>142832.70000000001</v>
      </c>
      <c r="E216" s="366">
        <v>111696.14</v>
      </c>
      <c r="F216" s="367">
        <v>0.29937560473549774</v>
      </c>
      <c r="G216" s="366">
        <v>8916.68</v>
      </c>
      <c r="H216" s="366">
        <v>8834.7099999999991</v>
      </c>
      <c r="I216" s="367">
        <v>0.990807116550106</v>
      </c>
    </row>
    <row r="217" spans="1:9" x14ac:dyDescent="0.2">
      <c r="A217" s="5" t="s">
        <v>2219</v>
      </c>
      <c r="B217" s="366">
        <v>342727</v>
      </c>
      <c r="C217" s="366">
        <v>123652.45999999999</v>
      </c>
      <c r="D217" s="366">
        <v>117462.7</v>
      </c>
      <c r="E217" s="366">
        <v>106326.14</v>
      </c>
      <c r="F217" s="367">
        <v>0.31023566862254798</v>
      </c>
      <c r="G217" s="366">
        <v>5416.68</v>
      </c>
      <c r="H217" s="366">
        <v>5334.71</v>
      </c>
      <c r="I217" s="367">
        <v>0.98486711417325734</v>
      </c>
    </row>
    <row r="218" spans="1:9" x14ac:dyDescent="0.2">
      <c r="A218" s="5" t="s">
        <v>2220</v>
      </c>
      <c r="B218" s="366">
        <v>30370</v>
      </c>
      <c r="C218" s="366">
        <v>25370</v>
      </c>
      <c r="D218" s="366">
        <v>25370</v>
      </c>
      <c r="E218" s="366">
        <v>5370</v>
      </c>
      <c r="F218" s="367">
        <v>0.17681922950279882</v>
      </c>
      <c r="G218" s="366">
        <v>3500</v>
      </c>
      <c r="H218" s="366">
        <v>3500</v>
      </c>
      <c r="I218" s="367">
        <v>1</v>
      </c>
    </row>
    <row r="219" spans="1:9" x14ac:dyDescent="0.2">
      <c r="A219" s="5" t="s">
        <v>465</v>
      </c>
      <c r="B219" s="366">
        <v>1870</v>
      </c>
      <c r="C219" s="366">
        <v>1870</v>
      </c>
      <c r="D219" s="366">
        <v>1870</v>
      </c>
      <c r="E219" s="366">
        <v>1870</v>
      </c>
      <c r="F219" s="367">
        <v>1</v>
      </c>
      <c r="G219" s="366">
        <v>0</v>
      </c>
      <c r="H219" s="366">
        <v>0</v>
      </c>
      <c r="I219" s="367">
        <v>0</v>
      </c>
    </row>
    <row r="220" spans="1:9" x14ac:dyDescent="0.2">
      <c r="A220" s="5" t="s">
        <v>542</v>
      </c>
      <c r="B220" s="366">
        <v>2000</v>
      </c>
      <c r="C220" s="366">
        <v>0</v>
      </c>
      <c r="D220" s="366">
        <v>0</v>
      </c>
      <c r="E220" s="366">
        <v>0</v>
      </c>
      <c r="F220" s="367">
        <v>0</v>
      </c>
      <c r="G220" s="366">
        <v>0</v>
      </c>
      <c r="H220" s="366">
        <v>0</v>
      </c>
      <c r="I220" s="367">
        <v>0</v>
      </c>
    </row>
    <row r="221" spans="1:9" x14ac:dyDescent="0.2">
      <c r="A221" s="5" t="s">
        <v>544</v>
      </c>
      <c r="B221" s="366">
        <v>3000</v>
      </c>
      <c r="C221" s="366">
        <v>0</v>
      </c>
      <c r="D221" s="366">
        <v>0</v>
      </c>
      <c r="E221" s="366">
        <v>0</v>
      </c>
      <c r="F221" s="367">
        <v>0</v>
      </c>
      <c r="G221" s="366">
        <v>0</v>
      </c>
      <c r="H221" s="366">
        <v>0</v>
      </c>
      <c r="I221" s="367">
        <v>0</v>
      </c>
    </row>
    <row r="222" spans="1:9" x14ac:dyDescent="0.2">
      <c r="A222" s="5" t="s">
        <v>775</v>
      </c>
      <c r="B222" s="366">
        <v>23500</v>
      </c>
      <c r="C222" s="366">
        <v>23500</v>
      </c>
      <c r="D222" s="366">
        <v>23500</v>
      </c>
      <c r="E222" s="366">
        <v>3500</v>
      </c>
      <c r="F222" s="367">
        <v>0.14893617021276595</v>
      </c>
      <c r="G222" s="366">
        <v>3500</v>
      </c>
      <c r="H222" s="366">
        <v>3500</v>
      </c>
      <c r="I222" s="367">
        <v>1</v>
      </c>
    </row>
    <row r="223" spans="1:9" x14ac:dyDescent="0.2">
      <c r="A223" s="368" t="s">
        <v>1571</v>
      </c>
      <c r="B223" s="366">
        <v>2052754</v>
      </c>
      <c r="C223" s="366">
        <v>987654.58</v>
      </c>
      <c r="D223" s="366">
        <v>987573.52</v>
      </c>
      <c r="E223" s="366">
        <v>987570.24</v>
      </c>
      <c r="F223" s="367">
        <v>0.48109527006158553</v>
      </c>
      <c r="G223" s="366">
        <v>13000</v>
      </c>
      <c r="H223" s="366">
        <v>12918.94</v>
      </c>
      <c r="I223" s="367">
        <v>0.99376461538461547</v>
      </c>
    </row>
    <row r="224" spans="1:9" x14ac:dyDescent="0.2">
      <c r="A224" s="5" t="s">
        <v>2219</v>
      </c>
      <c r="B224" s="366">
        <v>1961754</v>
      </c>
      <c r="C224" s="366">
        <v>908654.58</v>
      </c>
      <c r="D224" s="366">
        <v>908573.52</v>
      </c>
      <c r="E224" s="366">
        <v>908570.24</v>
      </c>
      <c r="F224" s="367">
        <v>0.46314178026398822</v>
      </c>
      <c r="G224" s="366">
        <v>0</v>
      </c>
      <c r="H224" s="366">
        <v>-81.06</v>
      </c>
      <c r="I224" s="367">
        <v>0</v>
      </c>
    </row>
    <row r="225" spans="1:9" x14ac:dyDescent="0.2">
      <c r="A225" s="5" t="s">
        <v>2220</v>
      </c>
      <c r="B225" s="366">
        <v>91000</v>
      </c>
      <c r="C225" s="366">
        <v>79000</v>
      </c>
      <c r="D225" s="366">
        <v>79000</v>
      </c>
      <c r="E225" s="366">
        <v>79000</v>
      </c>
      <c r="F225" s="367">
        <v>0.86813186813186816</v>
      </c>
      <c r="G225" s="366">
        <v>13000</v>
      </c>
      <c r="H225" s="366">
        <v>13000</v>
      </c>
      <c r="I225" s="367">
        <v>1</v>
      </c>
    </row>
    <row r="226" spans="1:9" x14ac:dyDescent="0.2">
      <c r="A226" s="5" t="s">
        <v>542</v>
      </c>
      <c r="B226" s="366">
        <v>7000</v>
      </c>
      <c r="C226" s="366">
        <v>0</v>
      </c>
      <c r="D226" s="366">
        <v>0</v>
      </c>
      <c r="E226" s="366">
        <v>0</v>
      </c>
      <c r="F226" s="367">
        <v>0</v>
      </c>
      <c r="G226" s="366">
        <v>0</v>
      </c>
      <c r="H226" s="366">
        <v>0</v>
      </c>
      <c r="I226" s="367">
        <v>0</v>
      </c>
    </row>
    <row r="227" spans="1:9" x14ac:dyDescent="0.2">
      <c r="A227" s="5" t="s">
        <v>544</v>
      </c>
      <c r="B227" s="366">
        <v>5000</v>
      </c>
      <c r="C227" s="366">
        <v>0</v>
      </c>
      <c r="D227" s="366">
        <v>0</v>
      </c>
      <c r="E227" s="366">
        <v>0</v>
      </c>
      <c r="F227" s="367">
        <v>0</v>
      </c>
      <c r="G227" s="366">
        <v>0</v>
      </c>
      <c r="H227" s="366">
        <v>0</v>
      </c>
      <c r="I227" s="367">
        <v>0</v>
      </c>
    </row>
    <row r="228" spans="1:9" x14ac:dyDescent="0.2">
      <c r="A228" s="5" t="s">
        <v>775</v>
      </c>
      <c r="B228" s="366">
        <v>79000</v>
      </c>
      <c r="C228" s="366">
        <v>79000</v>
      </c>
      <c r="D228" s="366">
        <v>79000</v>
      </c>
      <c r="E228" s="366">
        <v>79000</v>
      </c>
      <c r="F228" s="367">
        <v>1</v>
      </c>
      <c r="G228" s="366">
        <v>13000</v>
      </c>
      <c r="H228" s="366">
        <v>13000</v>
      </c>
      <c r="I228" s="367">
        <v>1</v>
      </c>
    </row>
    <row r="229" spans="1:9" x14ac:dyDescent="0.2">
      <c r="A229" s="368" t="s">
        <v>1577</v>
      </c>
      <c r="B229" s="366">
        <v>1611389</v>
      </c>
      <c r="C229" s="366">
        <v>1175154.8599999999</v>
      </c>
      <c r="D229" s="366">
        <v>1175050</v>
      </c>
      <c r="E229" s="366">
        <v>1174433.7900000003</v>
      </c>
      <c r="F229" s="367">
        <v>0.72883319297823201</v>
      </c>
      <c r="G229" s="366">
        <v>0</v>
      </c>
      <c r="H229" s="366">
        <v>0</v>
      </c>
      <c r="I229" s="367">
        <v>0</v>
      </c>
    </row>
    <row r="230" spans="1:9" x14ac:dyDescent="0.2">
      <c r="A230" s="5" t="s">
        <v>2219</v>
      </c>
      <c r="B230" s="366">
        <v>1532389</v>
      </c>
      <c r="C230" s="366">
        <v>1109154.8599999999</v>
      </c>
      <c r="D230" s="366">
        <v>1109050</v>
      </c>
      <c r="E230" s="366">
        <v>1108433.7900000003</v>
      </c>
      <c r="F230" s="367">
        <v>0.72333708346901493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2220</v>
      </c>
      <c r="B231" s="366">
        <v>79000</v>
      </c>
      <c r="C231" s="366">
        <v>66000</v>
      </c>
      <c r="D231" s="366">
        <v>66000</v>
      </c>
      <c r="E231" s="366">
        <v>66000</v>
      </c>
      <c r="F231" s="367">
        <v>0.83544303797468356</v>
      </c>
      <c r="G231" s="366">
        <v>0</v>
      </c>
      <c r="H231" s="366">
        <v>0</v>
      </c>
      <c r="I231" s="367">
        <v>0</v>
      </c>
    </row>
    <row r="232" spans="1:9" x14ac:dyDescent="0.2">
      <c r="A232" s="5" t="s">
        <v>522</v>
      </c>
      <c r="B232" s="366">
        <v>0</v>
      </c>
      <c r="C232" s="366">
        <v>0</v>
      </c>
      <c r="D232" s="366">
        <v>0</v>
      </c>
      <c r="E232" s="366">
        <v>0</v>
      </c>
      <c r="F232" s="367">
        <v>0</v>
      </c>
      <c r="G232" s="366">
        <v>0</v>
      </c>
      <c r="H232" s="366">
        <v>0</v>
      </c>
      <c r="I232" s="367">
        <v>0</v>
      </c>
    </row>
    <row r="233" spans="1:9" x14ac:dyDescent="0.2">
      <c r="A233" s="5" t="s">
        <v>689</v>
      </c>
      <c r="B233" s="366">
        <v>12000</v>
      </c>
      <c r="C233" s="366">
        <v>0</v>
      </c>
      <c r="D233" s="366">
        <v>0</v>
      </c>
      <c r="E233" s="366">
        <v>0</v>
      </c>
      <c r="F233" s="367">
        <v>0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707</v>
      </c>
      <c r="B234" s="366">
        <v>0</v>
      </c>
      <c r="C234" s="366">
        <v>0</v>
      </c>
      <c r="D234" s="366">
        <v>0</v>
      </c>
      <c r="E234" s="366">
        <v>0</v>
      </c>
      <c r="F234" s="367">
        <v>0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775</v>
      </c>
      <c r="B235" s="366">
        <v>67000</v>
      </c>
      <c r="C235" s="366">
        <v>66000</v>
      </c>
      <c r="D235" s="366">
        <v>66000</v>
      </c>
      <c r="E235" s="366">
        <v>66000</v>
      </c>
      <c r="F235" s="367">
        <v>0.9850746268656716</v>
      </c>
      <c r="G235" s="366">
        <v>0</v>
      </c>
      <c r="H235" s="366">
        <v>0</v>
      </c>
      <c r="I235" s="367">
        <v>0</v>
      </c>
    </row>
    <row r="236" spans="1:9" x14ac:dyDescent="0.2">
      <c r="A236" s="5" t="s">
        <v>1585</v>
      </c>
      <c r="B236" s="366">
        <v>203119</v>
      </c>
      <c r="C236" s="366">
        <v>166159</v>
      </c>
      <c r="D236" s="366">
        <v>128421</v>
      </c>
      <c r="E236" s="366">
        <v>75551.31</v>
      </c>
      <c r="F236" s="367">
        <v>0.37195589777421117</v>
      </c>
      <c r="G236" s="366">
        <v>38140.160000000003</v>
      </c>
      <c r="H236" s="366">
        <v>37757</v>
      </c>
      <c r="I236" s="367">
        <v>0.98995389636540587</v>
      </c>
    </row>
    <row r="237" spans="1:9" x14ac:dyDescent="0.2">
      <c r="A237" s="5" t="s">
        <v>2219</v>
      </c>
      <c r="B237" s="366">
        <v>203119</v>
      </c>
      <c r="C237" s="366">
        <v>166159</v>
      </c>
      <c r="D237" s="366">
        <v>128421</v>
      </c>
      <c r="E237" s="366">
        <v>75551.31</v>
      </c>
      <c r="F237" s="367">
        <v>0.37195589777421117</v>
      </c>
      <c r="G237" s="366">
        <v>38140.160000000003</v>
      </c>
      <c r="H237" s="366">
        <v>37757</v>
      </c>
      <c r="I237" s="367">
        <v>0.98995389636540587</v>
      </c>
    </row>
    <row r="238" spans="1:9" x14ac:dyDescent="0.2">
      <c r="A238" s="5" t="s">
        <v>1587</v>
      </c>
      <c r="B238" s="366">
        <v>324023</v>
      </c>
      <c r="C238" s="366">
        <v>323432</v>
      </c>
      <c r="D238" s="366">
        <v>306933</v>
      </c>
      <c r="E238" s="366">
        <v>122332.23</v>
      </c>
      <c r="F238" s="367">
        <v>0.37754181030358952</v>
      </c>
      <c r="G238" s="366">
        <v>77327.830000000016</v>
      </c>
      <c r="H238" s="366">
        <v>54888.59</v>
      </c>
      <c r="I238" s="367">
        <v>0.70981676325328136</v>
      </c>
    </row>
    <row r="239" spans="1:9" x14ac:dyDescent="0.2">
      <c r="A239" s="5" t="s">
        <v>2219</v>
      </c>
      <c r="B239" s="366">
        <v>324023</v>
      </c>
      <c r="C239" s="366">
        <v>323432</v>
      </c>
      <c r="D239" s="366">
        <v>306933</v>
      </c>
      <c r="E239" s="366">
        <v>122332.23</v>
      </c>
      <c r="F239" s="367">
        <v>0.37754181030358952</v>
      </c>
      <c r="G239" s="366">
        <v>77327.830000000016</v>
      </c>
      <c r="H239" s="366">
        <v>54888.59</v>
      </c>
      <c r="I239" s="367">
        <v>0.70981676325328136</v>
      </c>
    </row>
    <row r="240" spans="1:9" x14ac:dyDescent="0.2">
      <c r="A240" s="5" t="s">
        <v>1589</v>
      </c>
      <c r="B240" s="366">
        <v>348586</v>
      </c>
      <c r="C240" s="366">
        <v>348586</v>
      </c>
      <c r="D240" s="366">
        <v>326886</v>
      </c>
      <c r="E240" s="366">
        <v>142282.31</v>
      </c>
      <c r="F240" s="367">
        <v>0.40816989207828197</v>
      </c>
      <c r="G240" s="366">
        <v>71397.62</v>
      </c>
      <c r="H240" s="366">
        <v>71126.069999999992</v>
      </c>
      <c r="I240" s="367">
        <v>0.99619665193321572</v>
      </c>
    </row>
    <row r="241" spans="1:9" x14ac:dyDescent="0.2">
      <c r="A241" s="5" t="s">
        <v>2219</v>
      </c>
      <c r="B241" s="366">
        <v>326886</v>
      </c>
      <c r="C241" s="366">
        <v>326886</v>
      </c>
      <c r="D241" s="366">
        <v>326886</v>
      </c>
      <c r="E241" s="366">
        <v>142282.31</v>
      </c>
      <c r="F241" s="367">
        <v>0.43526584191430651</v>
      </c>
      <c r="G241" s="366">
        <v>71397.62</v>
      </c>
      <c r="H241" s="366">
        <v>71126.069999999992</v>
      </c>
      <c r="I241" s="367">
        <v>0.99619665193321572</v>
      </c>
    </row>
    <row r="242" spans="1:9" x14ac:dyDescent="0.2">
      <c r="A242" s="5" t="s">
        <v>2220</v>
      </c>
      <c r="B242" s="366">
        <v>21700</v>
      </c>
      <c r="C242" s="366">
        <v>21700</v>
      </c>
      <c r="D242" s="366">
        <v>0</v>
      </c>
      <c r="E242" s="366">
        <v>0</v>
      </c>
      <c r="F242" s="367">
        <v>0</v>
      </c>
      <c r="G242" s="366">
        <v>0</v>
      </c>
      <c r="H242" s="366">
        <v>0</v>
      </c>
      <c r="I242" s="367">
        <v>0</v>
      </c>
    </row>
    <row r="243" spans="1:9" x14ac:dyDescent="0.2">
      <c r="A243" s="5" t="s">
        <v>775</v>
      </c>
      <c r="B243" s="366">
        <v>21700</v>
      </c>
      <c r="C243" s="366">
        <v>21700</v>
      </c>
      <c r="D243" s="366">
        <v>0</v>
      </c>
      <c r="E243" s="366">
        <v>0</v>
      </c>
      <c r="F243" s="367">
        <v>0</v>
      </c>
      <c r="G243" s="366">
        <v>0</v>
      </c>
      <c r="H243" s="366">
        <v>0</v>
      </c>
      <c r="I243" s="367">
        <v>0</v>
      </c>
    </row>
    <row r="244" spans="1:9" x14ac:dyDescent="0.2">
      <c r="A244" s="5" t="s">
        <v>1591</v>
      </c>
      <c r="B244" s="366">
        <v>116672</v>
      </c>
      <c r="C244" s="366">
        <v>116672</v>
      </c>
      <c r="D244" s="366">
        <v>116672</v>
      </c>
      <c r="E244" s="366">
        <v>57885.22</v>
      </c>
      <c r="F244" s="367">
        <v>0.49613634805266044</v>
      </c>
      <c r="G244" s="366">
        <v>35442.61</v>
      </c>
      <c r="H244" s="366">
        <v>22442.61</v>
      </c>
      <c r="I244" s="367">
        <v>0.63320985672330565</v>
      </c>
    </row>
    <row r="245" spans="1:9" x14ac:dyDescent="0.2">
      <c r="A245" s="5" t="s">
        <v>2219</v>
      </c>
      <c r="B245" s="366">
        <v>90672</v>
      </c>
      <c r="C245" s="366">
        <v>90672</v>
      </c>
      <c r="D245" s="366">
        <v>90672</v>
      </c>
      <c r="E245" s="366">
        <v>44885.22</v>
      </c>
      <c r="F245" s="367">
        <v>0.495028454208576</v>
      </c>
      <c r="G245" s="366">
        <v>22442.61</v>
      </c>
      <c r="H245" s="366">
        <v>22442.61</v>
      </c>
      <c r="I245" s="367">
        <v>1</v>
      </c>
    </row>
    <row r="246" spans="1:9" x14ac:dyDescent="0.2">
      <c r="A246" s="5" t="s">
        <v>2220</v>
      </c>
      <c r="B246" s="366">
        <v>26000</v>
      </c>
      <c r="C246" s="366">
        <v>26000</v>
      </c>
      <c r="D246" s="366">
        <v>26000</v>
      </c>
      <c r="E246" s="366">
        <v>13000</v>
      </c>
      <c r="F246" s="367">
        <v>0.5</v>
      </c>
      <c r="G246" s="366">
        <v>13000</v>
      </c>
      <c r="H246" s="366">
        <v>0</v>
      </c>
      <c r="I246" s="367">
        <v>0</v>
      </c>
    </row>
    <row r="247" spans="1:9" x14ac:dyDescent="0.2">
      <c r="A247" s="5" t="s">
        <v>775</v>
      </c>
      <c r="B247" s="366">
        <v>26000</v>
      </c>
      <c r="C247" s="366">
        <v>26000</v>
      </c>
      <c r="D247" s="366">
        <v>26000</v>
      </c>
      <c r="E247" s="366">
        <v>13000</v>
      </c>
      <c r="F247" s="367">
        <v>0.5</v>
      </c>
      <c r="G247" s="366">
        <v>13000</v>
      </c>
      <c r="H247" s="366">
        <v>0</v>
      </c>
      <c r="I247" s="367">
        <v>0</v>
      </c>
    </row>
    <row r="248" spans="1:9" x14ac:dyDescent="0.2">
      <c r="A248" s="5" t="s">
        <v>1593</v>
      </c>
      <c r="B248" s="366">
        <v>257399</v>
      </c>
      <c r="C248" s="366">
        <v>250499</v>
      </c>
      <c r="D248" s="366">
        <v>250499</v>
      </c>
      <c r="E248" s="366">
        <v>118421.20999999999</v>
      </c>
      <c r="F248" s="367">
        <v>0.46006864828534683</v>
      </c>
      <c r="G248" s="366">
        <v>65151.030000000006</v>
      </c>
      <c r="H248" s="366">
        <v>53271.03</v>
      </c>
      <c r="I248" s="367">
        <v>0.81765445611527543</v>
      </c>
    </row>
    <row r="249" spans="1:9" x14ac:dyDescent="0.2">
      <c r="A249" s="5" t="s">
        <v>2219</v>
      </c>
      <c r="B249" s="366">
        <v>214499</v>
      </c>
      <c r="C249" s="366">
        <v>214499</v>
      </c>
      <c r="D249" s="366">
        <v>214499</v>
      </c>
      <c r="E249" s="366">
        <v>106541.20999999999</v>
      </c>
      <c r="F249" s="367">
        <v>0.49669793332369844</v>
      </c>
      <c r="G249" s="366">
        <v>53271.030000000006</v>
      </c>
      <c r="H249" s="366">
        <v>53271.03</v>
      </c>
      <c r="I249" s="367">
        <v>0.99999999999999989</v>
      </c>
    </row>
    <row r="250" spans="1:9" x14ac:dyDescent="0.2">
      <c r="A250" s="5" t="s">
        <v>2220</v>
      </c>
      <c r="B250" s="366">
        <v>42900</v>
      </c>
      <c r="C250" s="366">
        <v>36000</v>
      </c>
      <c r="D250" s="366">
        <v>36000</v>
      </c>
      <c r="E250" s="366">
        <v>11880</v>
      </c>
      <c r="F250" s="367">
        <v>0.27692307692307694</v>
      </c>
      <c r="G250" s="366">
        <v>11880</v>
      </c>
      <c r="H250" s="366">
        <v>0</v>
      </c>
      <c r="I250" s="367">
        <v>0</v>
      </c>
    </row>
    <row r="251" spans="1:9" x14ac:dyDescent="0.2">
      <c r="A251" s="5" t="s">
        <v>625</v>
      </c>
      <c r="B251" s="366">
        <v>6900</v>
      </c>
      <c r="C251" s="366">
        <v>0</v>
      </c>
      <c r="D251" s="366">
        <v>0</v>
      </c>
      <c r="E251" s="366">
        <v>0</v>
      </c>
      <c r="F251" s="367">
        <v>0</v>
      </c>
      <c r="G251" s="366">
        <v>0</v>
      </c>
      <c r="H251" s="366">
        <v>0</v>
      </c>
      <c r="I251" s="367">
        <v>0</v>
      </c>
    </row>
    <row r="252" spans="1:9" x14ac:dyDescent="0.2">
      <c r="A252" s="5" t="s">
        <v>775</v>
      </c>
      <c r="B252" s="366">
        <v>36000</v>
      </c>
      <c r="C252" s="366">
        <v>36000</v>
      </c>
      <c r="D252" s="366">
        <v>36000</v>
      </c>
      <c r="E252" s="366">
        <v>11880</v>
      </c>
      <c r="F252" s="367">
        <v>0.33</v>
      </c>
      <c r="G252" s="366">
        <v>11880</v>
      </c>
      <c r="H252" s="366">
        <v>0</v>
      </c>
      <c r="I252" s="367">
        <v>0</v>
      </c>
    </row>
    <row r="253" spans="1:9" x14ac:dyDescent="0.2">
      <c r="A253" s="368" t="s">
        <v>30</v>
      </c>
      <c r="B253" s="366">
        <v>48103240</v>
      </c>
      <c r="C253" s="366">
        <v>38466549.359999992</v>
      </c>
      <c r="D253" s="366">
        <v>36126286.889999993</v>
      </c>
      <c r="E253" s="366">
        <v>28469746.410000008</v>
      </c>
      <c r="F253" s="367">
        <v>0.59184675315009971</v>
      </c>
      <c r="G253" s="366">
        <v>3092882.8000000003</v>
      </c>
      <c r="H253" s="366">
        <v>2545143.7999999993</v>
      </c>
      <c r="I253" s="367">
        <v>0.82290340907841741</v>
      </c>
    </row>
    <row r="254" spans="1:9" x14ac:dyDescent="0.2">
      <c r="E254"/>
      <c r="H254" s="194"/>
    </row>
    <row r="255" spans="1:9" x14ac:dyDescent="0.2">
      <c r="E255"/>
      <c r="H255" s="194"/>
    </row>
    <row r="256" spans="1:9" x14ac:dyDescent="0.2">
      <c r="E256"/>
      <c r="H256" s="194"/>
    </row>
    <row r="257" spans="5:8" x14ac:dyDescent="0.2">
      <c r="E257"/>
      <c r="H257" s="194"/>
    </row>
    <row r="258" spans="5:8" x14ac:dyDescent="0.2">
      <c r="E258"/>
      <c r="H258" s="194"/>
    </row>
    <row r="259" spans="5:8" x14ac:dyDescent="0.2">
      <c r="E259"/>
      <c r="H259" s="194"/>
    </row>
    <row r="260" spans="5:8" x14ac:dyDescent="0.2">
      <c r="E260"/>
      <c r="H260" s="194"/>
    </row>
    <row r="261" spans="5:8" x14ac:dyDescent="0.2">
      <c r="E261"/>
      <c r="H261" s="194"/>
    </row>
    <row r="262" spans="5:8" x14ac:dyDescent="0.2">
      <c r="E262"/>
      <c r="H262" s="194"/>
    </row>
    <row r="263" spans="5:8" x14ac:dyDescent="0.2">
      <c r="E263"/>
      <c r="H263" s="194"/>
    </row>
    <row r="264" spans="5:8" x14ac:dyDescent="0.2">
      <c r="E264"/>
      <c r="H264" s="194"/>
    </row>
    <row r="265" spans="5:8" x14ac:dyDescent="0.2">
      <c r="E265"/>
      <c r="H265" s="194"/>
    </row>
    <row r="266" spans="5:8" x14ac:dyDescent="0.2">
      <c r="E266"/>
      <c r="H266" s="194"/>
    </row>
    <row r="267" spans="5:8" x14ac:dyDescent="0.2">
      <c r="E267"/>
      <c r="H267" s="194"/>
    </row>
    <row r="268" spans="5:8" x14ac:dyDescent="0.2">
      <c r="E268"/>
      <c r="H268" s="194"/>
    </row>
    <row r="269" spans="5:8" x14ac:dyDescent="0.2">
      <c r="E269"/>
      <c r="H269" s="194"/>
    </row>
    <row r="270" spans="5:8" x14ac:dyDescent="0.2">
      <c r="E270"/>
      <c r="H270" s="194"/>
    </row>
    <row r="271" spans="5:8" x14ac:dyDescent="0.2">
      <c r="E271"/>
      <c r="H271" s="194"/>
    </row>
    <row r="272" spans="5:8" x14ac:dyDescent="0.2">
      <c r="E272"/>
      <c r="H272" s="194"/>
    </row>
    <row r="273" spans="5:8" x14ac:dyDescent="0.2">
      <c r="E273"/>
      <c r="H273" s="194"/>
    </row>
    <row r="274" spans="5:8" x14ac:dyDescent="0.2">
      <c r="E274"/>
      <c r="H274" s="194"/>
    </row>
    <row r="275" spans="5:8" x14ac:dyDescent="0.2">
      <c r="E275"/>
      <c r="H275" s="194"/>
    </row>
    <row r="276" spans="5:8" x14ac:dyDescent="0.2">
      <c r="E276"/>
      <c r="H276" s="194"/>
    </row>
    <row r="277" spans="5:8" x14ac:dyDescent="0.2">
      <c r="E277"/>
      <c r="H277" s="194"/>
    </row>
    <row r="278" spans="5:8" x14ac:dyDescent="0.2">
      <c r="E278"/>
      <c r="H278" s="194"/>
    </row>
    <row r="279" spans="5:8" x14ac:dyDescent="0.2">
      <c r="E279"/>
      <c r="H279" s="194"/>
    </row>
    <row r="280" spans="5:8" x14ac:dyDescent="0.2">
      <c r="E280"/>
      <c r="H280" s="194"/>
    </row>
    <row r="281" spans="5:8" x14ac:dyDescent="0.2">
      <c r="E281"/>
      <c r="H281" s="194"/>
    </row>
    <row r="282" spans="5:8" x14ac:dyDescent="0.2">
      <c r="E282"/>
      <c r="H282" s="194"/>
    </row>
    <row r="283" spans="5:8" x14ac:dyDescent="0.2">
      <c r="E283"/>
      <c r="H283" s="194"/>
    </row>
    <row r="284" spans="5:8" x14ac:dyDescent="0.2">
      <c r="E284"/>
      <c r="H284" s="194"/>
    </row>
    <row r="285" spans="5:8" x14ac:dyDescent="0.2">
      <c r="E285"/>
      <c r="H285" s="194"/>
    </row>
    <row r="286" spans="5:8" x14ac:dyDescent="0.2">
      <c r="E286"/>
      <c r="H286" s="194"/>
    </row>
    <row r="287" spans="5:8" x14ac:dyDescent="0.2">
      <c r="E287"/>
      <c r="H287" s="194"/>
    </row>
    <row r="288" spans="5:8" x14ac:dyDescent="0.2">
      <c r="E288"/>
      <c r="H288" s="194"/>
    </row>
    <row r="289" spans="5:8" x14ac:dyDescent="0.2">
      <c r="E289"/>
      <c r="H289" s="194"/>
    </row>
    <row r="290" spans="5:8" x14ac:dyDescent="0.2">
      <c r="E290"/>
      <c r="H290" s="194"/>
    </row>
    <row r="291" spans="5:8" x14ac:dyDescent="0.2">
      <c r="E291"/>
      <c r="H291" s="194"/>
    </row>
    <row r="292" spans="5:8" x14ac:dyDescent="0.2">
      <c r="E292"/>
      <c r="H292" s="194"/>
    </row>
    <row r="293" spans="5:8" x14ac:dyDescent="0.2">
      <c r="E293"/>
      <c r="H293" s="194"/>
    </row>
    <row r="294" spans="5:8" x14ac:dyDescent="0.2">
      <c r="E294"/>
      <c r="H294" s="194"/>
    </row>
    <row r="295" spans="5:8" x14ac:dyDescent="0.2">
      <c r="E295"/>
      <c r="H295" s="194"/>
    </row>
    <row r="296" spans="5:8" x14ac:dyDescent="0.2">
      <c r="E296"/>
      <c r="H296" s="194"/>
    </row>
    <row r="297" spans="5:8" x14ac:dyDescent="0.2">
      <c r="E297"/>
      <c r="H297" s="194"/>
    </row>
    <row r="298" spans="5:8" x14ac:dyDescent="0.2">
      <c r="E298"/>
      <c r="H298" s="194"/>
    </row>
    <row r="299" spans="5:8" x14ac:dyDescent="0.2">
      <c r="E299"/>
      <c r="H299" s="194"/>
    </row>
    <row r="300" spans="5:8" x14ac:dyDescent="0.2">
      <c r="E300"/>
      <c r="H300" s="194"/>
    </row>
    <row r="301" spans="5:8" x14ac:dyDescent="0.2">
      <c r="E301"/>
      <c r="H301" s="194"/>
    </row>
    <row r="302" spans="5:8" x14ac:dyDescent="0.2">
      <c r="E302"/>
      <c r="H302" s="194"/>
    </row>
    <row r="303" spans="5:8" x14ac:dyDescent="0.2">
      <c r="E303"/>
      <c r="H303" s="194"/>
    </row>
    <row r="304" spans="5:8" x14ac:dyDescent="0.2">
      <c r="E304"/>
      <c r="H304" s="194"/>
    </row>
    <row r="305" spans="5:8" x14ac:dyDescent="0.2">
      <c r="E305"/>
      <c r="H305" s="194"/>
    </row>
    <row r="306" spans="5:8" x14ac:dyDescent="0.2">
      <c r="E306"/>
      <c r="H306" s="194"/>
    </row>
    <row r="307" spans="5:8" x14ac:dyDescent="0.2">
      <c r="E307"/>
      <c r="H307" s="194"/>
    </row>
    <row r="308" spans="5:8" x14ac:dyDescent="0.2">
      <c r="E308"/>
      <c r="H308" s="194"/>
    </row>
    <row r="309" spans="5:8" x14ac:dyDescent="0.2">
      <c r="E309"/>
      <c r="H309" s="194"/>
    </row>
    <row r="310" spans="5:8" x14ac:dyDescent="0.2">
      <c r="E310"/>
      <c r="H310" s="194"/>
    </row>
    <row r="311" spans="5:8" x14ac:dyDescent="0.2">
      <c r="E311"/>
      <c r="H311" s="194"/>
    </row>
    <row r="312" spans="5:8" x14ac:dyDescent="0.2">
      <c r="E312"/>
      <c r="H312" s="194"/>
    </row>
    <row r="313" spans="5:8" x14ac:dyDescent="0.2">
      <c r="E313"/>
      <c r="H313" s="194"/>
    </row>
    <row r="314" spans="5:8" x14ac:dyDescent="0.2">
      <c r="E314"/>
      <c r="H314" s="194"/>
    </row>
    <row r="315" spans="5:8" x14ac:dyDescent="0.2">
      <c r="E315"/>
      <c r="H315" s="194"/>
    </row>
    <row r="316" spans="5:8" x14ac:dyDescent="0.2">
      <c r="E316"/>
      <c r="H316" s="194"/>
    </row>
    <row r="317" spans="5:8" x14ac:dyDescent="0.2">
      <c r="E317"/>
      <c r="H317" s="194"/>
    </row>
    <row r="318" spans="5:8" x14ac:dyDescent="0.2">
      <c r="E318"/>
      <c r="H318" s="194"/>
    </row>
    <row r="319" spans="5:8" x14ac:dyDescent="0.2">
      <c r="E319"/>
      <c r="H319" s="194"/>
    </row>
    <row r="320" spans="5:8" x14ac:dyDescent="0.2">
      <c r="E320"/>
      <c r="H320" s="194"/>
    </row>
    <row r="321" spans="5:8" x14ac:dyDescent="0.2">
      <c r="E321"/>
      <c r="H321" s="194"/>
    </row>
    <row r="322" spans="5:8" x14ac:dyDescent="0.2">
      <c r="E322"/>
      <c r="H322" s="194"/>
    </row>
    <row r="323" spans="5:8" x14ac:dyDescent="0.2">
      <c r="E323"/>
      <c r="H323" s="194"/>
    </row>
    <row r="324" spans="5:8" x14ac:dyDescent="0.2">
      <c r="E324"/>
      <c r="H324" s="194"/>
    </row>
    <row r="325" spans="5:8" x14ac:dyDescent="0.2">
      <c r="E325"/>
      <c r="H325" s="194"/>
    </row>
    <row r="326" spans="5:8" x14ac:dyDescent="0.2">
      <c r="E326"/>
      <c r="H326" s="194"/>
    </row>
    <row r="327" spans="5:8" x14ac:dyDescent="0.2">
      <c r="E327"/>
      <c r="H327" s="194"/>
    </row>
    <row r="328" spans="5:8" x14ac:dyDescent="0.2">
      <c r="E328"/>
      <c r="H328" s="194"/>
    </row>
    <row r="329" spans="5:8" x14ac:dyDescent="0.2">
      <c r="E329"/>
      <c r="H329" s="194"/>
    </row>
    <row r="330" spans="5:8" x14ac:dyDescent="0.2">
      <c r="E330"/>
      <c r="H330" s="194"/>
    </row>
    <row r="331" spans="5:8" x14ac:dyDescent="0.2">
      <c r="E331"/>
      <c r="H331" s="194"/>
    </row>
    <row r="332" spans="5:8" x14ac:dyDescent="0.2">
      <c r="E332"/>
      <c r="H332" s="194"/>
    </row>
    <row r="333" spans="5:8" x14ac:dyDescent="0.2">
      <c r="E333"/>
      <c r="H333" s="194"/>
    </row>
    <row r="334" spans="5:8" x14ac:dyDescent="0.2">
      <c r="E334"/>
      <c r="H334" s="194"/>
    </row>
    <row r="335" spans="5:8" x14ac:dyDescent="0.2">
      <c r="E335"/>
      <c r="H335" s="194"/>
    </row>
    <row r="336" spans="5:8" x14ac:dyDescent="0.2">
      <c r="E336"/>
      <c r="H336" s="194"/>
    </row>
    <row r="337" spans="5:8" x14ac:dyDescent="0.2">
      <c r="E337"/>
      <c r="H337" s="194"/>
    </row>
    <row r="338" spans="5:8" x14ac:dyDescent="0.2">
      <c r="E338"/>
      <c r="H338" s="194"/>
    </row>
    <row r="339" spans="5:8" x14ac:dyDescent="0.2">
      <c r="E339"/>
      <c r="H339" s="194"/>
    </row>
    <row r="340" spans="5:8" x14ac:dyDescent="0.2">
      <c r="E340"/>
      <c r="H340" s="194"/>
    </row>
    <row r="341" spans="5:8" x14ac:dyDescent="0.2">
      <c r="E341"/>
      <c r="H341" s="194"/>
    </row>
    <row r="342" spans="5:8" x14ac:dyDescent="0.2">
      <c r="E342"/>
      <c r="H342" s="194"/>
    </row>
    <row r="343" spans="5:8" x14ac:dyDescent="0.2">
      <c r="E343"/>
      <c r="H343" s="194"/>
    </row>
    <row r="344" spans="5:8" x14ac:dyDescent="0.2">
      <c r="E344"/>
      <c r="H344" s="194"/>
    </row>
    <row r="345" spans="5:8" x14ac:dyDescent="0.2">
      <c r="E345"/>
      <c r="H345" s="194"/>
    </row>
    <row r="346" spans="5:8" x14ac:dyDescent="0.2">
      <c r="E346"/>
      <c r="H346" s="194"/>
    </row>
    <row r="347" spans="5:8" x14ac:dyDescent="0.2">
      <c r="E347"/>
      <c r="H347" s="194"/>
    </row>
    <row r="348" spans="5:8" x14ac:dyDescent="0.2">
      <c r="E348"/>
      <c r="H348" s="194"/>
    </row>
    <row r="349" spans="5:8" x14ac:dyDescent="0.2">
      <c r="E349"/>
      <c r="H349" s="194"/>
    </row>
    <row r="350" spans="5:8" x14ac:dyDescent="0.2">
      <c r="E350"/>
      <c r="H350" s="194"/>
    </row>
    <row r="351" spans="5:8" x14ac:dyDescent="0.2">
      <c r="E351"/>
      <c r="H351" s="194"/>
    </row>
    <row r="352" spans="5:8" x14ac:dyDescent="0.2">
      <c r="E352"/>
      <c r="H352" s="194"/>
    </row>
    <row r="353" spans="5:8" x14ac:dyDescent="0.2">
      <c r="E353"/>
      <c r="H353" s="194"/>
    </row>
    <row r="354" spans="5:8" x14ac:dyDescent="0.2">
      <c r="E354"/>
      <c r="H354" s="194"/>
    </row>
    <row r="355" spans="5:8" x14ac:dyDescent="0.2">
      <c r="E355"/>
      <c r="H355" s="194"/>
    </row>
    <row r="356" spans="5:8" x14ac:dyDescent="0.2">
      <c r="E356"/>
      <c r="H356" s="194"/>
    </row>
    <row r="357" spans="5:8" x14ac:dyDescent="0.2">
      <c r="E357"/>
      <c r="H357" s="194"/>
    </row>
    <row r="358" spans="5:8" x14ac:dyDescent="0.2">
      <c r="E358"/>
      <c r="H358" s="194"/>
    </row>
    <row r="359" spans="5:8" x14ac:dyDescent="0.2">
      <c r="E359"/>
      <c r="H359" s="194"/>
    </row>
    <row r="360" spans="5:8" x14ac:dyDescent="0.2">
      <c r="E360"/>
      <c r="H360" s="194"/>
    </row>
    <row r="361" spans="5:8" x14ac:dyDescent="0.2">
      <c r="E361"/>
      <c r="H361" s="194"/>
    </row>
    <row r="362" spans="5:8" x14ac:dyDescent="0.2">
      <c r="E362"/>
      <c r="H362" s="194"/>
    </row>
    <row r="363" spans="5:8" x14ac:dyDescent="0.2">
      <c r="E363"/>
      <c r="H363" s="194"/>
    </row>
    <row r="364" spans="5:8" x14ac:dyDescent="0.2">
      <c r="E364"/>
      <c r="H364" s="194"/>
    </row>
    <row r="365" spans="5:8" x14ac:dyDescent="0.2">
      <c r="E365"/>
      <c r="H365" s="194"/>
    </row>
    <row r="366" spans="5:8" x14ac:dyDescent="0.2">
      <c r="E366"/>
      <c r="H366" s="194"/>
    </row>
    <row r="367" spans="5:8" x14ac:dyDescent="0.2">
      <c r="E367"/>
      <c r="H367" s="194"/>
    </row>
    <row r="368" spans="5:8" x14ac:dyDescent="0.2">
      <c r="E368"/>
      <c r="H368" s="194"/>
    </row>
    <row r="369" spans="5:8" x14ac:dyDescent="0.2">
      <c r="E369"/>
      <c r="H369" s="194"/>
    </row>
    <row r="370" spans="5:8" x14ac:dyDescent="0.2">
      <c r="E370"/>
      <c r="H370" s="194"/>
    </row>
    <row r="371" spans="5:8" x14ac:dyDescent="0.2">
      <c r="E371"/>
      <c r="H371" s="194"/>
    </row>
    <row r="372" spans="5:8" x14ac:dyDescent="0.2">
      <c r="E372"/>
      <c r="H372" s="194"/>
    </row>
    <row r="373" spans="5:8" x14ac:dyDescent="0.2">
      <c r="E373"/>
      <c r="H373" s="194"/>
    </row>
    <row r="374" spans="5:8" x14ac:dyDescent="0.2">
      <c r="E374"/>
      <c r="H374" s="194"/>
    </row>
    <row r="375" spans="5:8" x14ac:dyDescent="0.2">
      <c r="E375"/>
      <c r="H375" s="194"/>
    </row>
    <row r="376" spans="5:8" x14ac:dyDescent="0.2">
      <c r="E376"/>
      <c r="H376" s="194"/>
    </row>
    <row r="377" spans="5:8" x14ac:dyDescent="0.2">
      <c r="E377"/>
      <c r="H377" s="194"/>
    </row>
    <row r="378" spans="5:8" x14ac:dyDescent="0.2">
      <c r="E378"/>
      <c r="H378" s="194"/>
    </row>
    <row r="379" spans="5:8" x14ac:dyDescent="0.2">
      <c r="E379"/>
      <c r="H379" s="194"/>
    </row>
    <row r="380" spans="5:8" x14ac:dyDescent="0.2">
      <c r="E380"/>
      <c r="H380" s="194"/>
    </row>
    <row r="381" spans="5:8" x14ac:dyDescent="0.2">
      <c r="E381"/>
      <c r="H381" s="194"/>
    </row>
    <row r="382" spans="5:8" x14ac:dyDescent="0.2">
      <c r="E382"/>
      <c r="H382" s="194"/>
    </row>
    <row r="383" spans="5:8" x14ac:dyDescent="0.2">
      <c r="E383"/>
      <c r="H383" s="194"/>
    </row>
    <row r="384" spans="5:8" x14ac:dyDescent="0.2">
      <c r="E384"/>
      <c r="H384" s="194"/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398" t="s">
        <v>2224</v>
      </c>
      <c r="B2" s="398"/>
      <c r="C2" s="398"/>
      <c r="D2" s="398"/>
      <c r="E2" s="398"/>
      <c r="F2" s="398"/>
      <c r="G2" s="398"/>
      <c r="H2" s="398"/>
      <c r="I2" s="398"/>
      <c r="J2" s="124"/>
      <c r="K2" s="124"/>
    </row>
    <row r="3" spans="1:12" x14ac:dyDescent="0.2">
      <c r="A3" s="399" t="s">
        <v>2225</v>
      </c>
      <c r="B3" s="399"/>
      <c r="C3" s="399"/>
      <c r="D3" s="399"/>
      <c r="E3" s="399"/>
      <c r="F3" s="399"/>
      <c r="G3" s="399"/>
      <c r="H3" s="399"/>
      <c r="I3" s="399"/>
      <c r="J3" s="124"/>
      <c r="K3" s="124"/>
    </row>
    <row r="4" spans="1:12" x14ac:dyDescent="0.2">
      <c r="A4" s="400" t="s">
        <v>2226</v>
      </c>
      <c r="B4" s="400"/>
      <c r="C4" s="400"/>
      <c r="D4" s="400"/>
      <c r="E4" s="400"/>
      <c r="F4" s="400"/>
      <c r="G4" s="400"/>
      <c r="H4" s="400"/>
      <c r="I4" s="400"/>
      <c r="J4" s="124"/>
      <c r="K4" s="124"/>
    </row>
    <row r="5" spans="1:12" x14ac:dyDescent="0.2">
      <c r="A5" s="401" t="s">
        <v>2227</v>
      </c>
      <c r="B5" s="401"/>
      <c r="C5" s="401"/>
      <c r="D5" s="401"/>
      <c r="E5" s="401"/>
      <c r="F5" s="401"/>
      <c r="G5" s="401"/>
      <c r="H5" s="401"/>
      <c r="I5" s="401"/>
      <c r="J5" s="124"/>
      <c r="K5" s="124"/>
    </row>
    <row r="6" spans="1:12" x14ac:dyDescent="0.2">
      <c r="A6" s="400"/>
      <c r="B6" s="400"/>
      <c r="C6" s="400"/>
      <c r="D6" s="400"/>
      <c r="E6" s="400"/>
      <c r="F6" s="400"/>
      <c r="G6" s="400"/>
      <c r="H6" s="400"/>
      <c r="I6" s="400"/>
      <c r="J6" s="124"/>
      <c r="K6" s="124"/>
    </row>
    <row r="7" spans="1:12" x14ac:dyDescent="0.2">
      <c r="A7" s="402" t="s">
        <v>2228</v>
      </c>
      <c r="B7" s="402"/>
      <c r="C7" s="402"/>
      <c r="D7" s="402"/>
      <c r="E7" s="402"/>
      <c r="F7" s="402"/>
      <c r="G7" s="402"/>
      <c r="H7" s="402"/>
      <c r="I7" s="402"/>
      <c r="J7" s="124"/>
      <c r="K7" s="124"/>
    </row>
    <row r="8" spans="1:12" x14ac:dyDescent="0.2">
      <c r="A8" s="402" t="s">
        <v>2229</v>
      </c>
      <c r="B8" s="402"/>
      <c r="C8" s="402"/>
      <c r="D8" s="402"/>
      <c r="E8" s="402"/>
      <c r="F8" s="402"/>
      <c r="G8" s="402"/>
      <c r="H8" s="402"/>
      <c r="I8" s="402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3" t="s">
        <v>2232</v>
      </c>
      <c r="B10" s="405" t="s">
        <v>2233</v>
      </c>
      <c r="C10" s="405" t="s">
        <v>2078</v>
      </c>
      <c r="D10" s="403" t="s">
        <v>2234</v>
      </c>
      <c r="E10" s="403" t="s">
        <v>2235</v>
      </c>
      <c r="F10" s="407" t="s">
        <v>2236</v>
      </c>
      <c r="G10" s="408"/>
      <c r="H10" s="409"/>
      <c r="I10" s="403" t="s">
        <v>2237</v>
      </c>
      <c r="J10" s="125"/>
      <c r="K10" s="126"/>
    </row>
    <row r="11" spans="1:12" ht="39" customHeight="1" thickBot="1" x14ac:dyDescent="0.25">
      <c r="A11" s="404"/>
      <c r="B11" s="406"/>
      <c r="C11" s="406"/>
      <c r="D11" s="404"/>
      <c r="E11" s="404"/>
      <c r="F11" s="127" t="s">
        <v>2238</v>
      </c>
      <c r="G11" s="128" t="s">
        <v>2239</v>
      </c>
      <c r="H11" s="128" t="s">
        <v>2240</v>
      </c>
      <c r="I11" s="404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47577598</v>
      </c>
      <c r="H41" s="381">
        <v>37978458.360000014</v>
      </c>
      <c r="I41" s="381">
        <v>9599139.6399999987</v>
      </c>
      <c r="J41" s="381">
        <v>35692432.890000008</v>
      </c>
      <c r="K41" s="381">
        <v>2286025.4700000007</v>
      </c>
      <c r="L41" s="381">
        <v>28271862.869999997</v>
      </c>
    </row>
    <row r="42" spans="1:17" ht="12.75" x14ac:dyDescent="0.2">
      <c r="F42" s="5" t="s">
        <v>2219</v>
      </c>
      <c r="G42" s="381">
        <v>32314947</v>
      </c>
      <c r="H42" s="381">
        <v>26480790.000000007</v>
      </c>
      <c r="I42" s="381">
        <v>5834156.9999999991</v>
      </c>
      <c r="J42" s="381">
        <v>24765300.770000003</v>
      </c>
      <c r="K42" s="381">
        <v>1715489.2300000004</v>
      </c>
      <c r="L42" s="381">
        <v>20800855.579999998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8210180</v>
      </c>
      <c r="H43" s="381">
        <v>6649518.0400000028</v>
      </c>
      <c r="I43" s="381">
        <v>1560661.9600000007</v>
      </c>
      <c r="J43" s="381">
        <v>6395768.7500000037</v>
      </c>
      <c r="K43" s="381">
        <v>253749.29</v>
      </c>
      <c r="L43" s="381">
        <v>4875877.370000002</v>
      </c>
      <c r="Q43" s="296"/>
    </row>
    <row r="44" spans="1:17" ht="12.75" x14ac:dyDescent="0.2">
      <c r="A44" s="6">
        <v>47577598</v>
      </c>
      <c r="B44" s="6">
        <v>37978458.359999985</v>
      </c>
      <c r="C44" s="6">
        <v>35692432.890000001</v>
      </c>
      <c r="D44" s="6">
        <v>28271862.870000005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185074.24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6776004</v>
      </c>
      <c r="H46" s="381">
        <v>4571926.88</v>
      </c>
      <c r="I46" s="381">
        <v>2204077.1199999996</v>
      </c>
      <c r="J46" s="381">
        <v>4255140.63</v>
      </c>
      <c r="K46" s="381">
        <v>316786.25</v>
      </c>
      <c r="L46" s="381">
        <v>2320186.6800000002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47577598</v>
      </c>
      <c r="H47" s="381">
        <v>37978458.360000014</v>
      </c>
      <c r="I47" s="381">
        <v>9599139.6399999987</v>
      </c>
      <c r="J47" s="381">
        <v>35692432.890000008</v>
      </c>
      <c r="K47" s="381">
        <v>2286025.4700000007</v>
      </c>
      <c r="L47" s="381">
        <v>28271862.869999997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47.577598000000002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37.978458359999983</v>
      </c>
      <c r="D52" s="65">
        <f>+C49-C52</f>
        <v>9.5991396400000184</v>
      </c>
      <c r="E52"/>
      <c r="F52" s="81" t="s">
        <v>2219</v>
      </c>
      <c r="G52" s="69">
        <f>+I42/1000000</f>
        <v>5.8341569999999994</v>
      </c>
      <c r="H52" s="69">
        <f>+K42/1000000</f>
        <v>1.7154892300000004</v>
      </c>
    </row>
    <row r="53" spans="1:17" ht="12.75" x14ac:dyDescent="0.2">
      <c r="A53" s="63">
        <v>2</v>
      </c>
      <c r="B53" s="64" t="s">
        <v>2235</v>
      </c>
      <c r="C53" s="65">
        <f>+C44/1000000</f>
        <v>35.692432889999999</v>
      </c>
      <c r="D53" s="68">
        <f>+C52-C53</f>
        <v>2.2860254699999842</v>
      </c>
      <c r="E53"/>
      <c r="F53" s="81" t="s">
        <v>2220</v>
      </c>
      <c r="G53" s="69">
        <f>+I43/1000000</f>
        <v>1.5606619600000007</v>
      </c>
      <c r="H53" s="69">
        <f>+K43/1000000</f>
        <v>0.25374929000000002</v>
      </c>
    </row>
    <row r="54" spans="1:17" ht="12.75" x14ac:dyDescent="0.2">
      <c r="A54" s="63">
        <v>3</v>
      </c>
      <c r="B54" s="64" t="s">
        <v>2277</v>
      </c>
      <c r="C54" s="65">
        <f>+D44/1000000</f>
        <v>28.271862870000003</v>
      </c>
      <c r="D54" s="65">
        <f>+C53-C54</f>
        <v>7.420570019999996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2.2040771199999996</v>
      </c>
      <c r="H55" s="69">
        <f>+K46/1000000</f>
        <v>0.31678624999999999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125270.46999999999</v>
      </c>
      <c r="C76" s="386">
        <v>0</v>
      </c>
      <c r="D76"/>
    </row>
    <row r="77" spans="1:7" ht="12.75" x14ac:dyDescent="0.2">
      <c r="A77" s="193" t="s">
        <v>17</v>
      </c>
      <c r="B77" s="385">
        <v>287815.05000000005</v>
      </c>
      <c r="C77" s="386">
        <v>0</v>
      </c>
      <c r="D77"/>
    </row>
    <row r="78" spans="1:7" ht="12.75" x14ac:dyDescent="0.2">
      <c r="A78" s="193" t="s">
        <v>18</v>
      </c>
      <c r="B78" s="385">
        <v>677131.98999999987</v>
      </c>
      <c r="C78" s="386">
        <v>0</v>
      </c>
      <c r="D78"/>
    </row>
    <row r="79" spans="1:7" ht="12.75" x14ac:dyDescent="0.2">
      <c r="A79" s="193" t="s">
        <v>19</v>
      </c>
      <c r="B79" s="385">
        <v>61624.210000000006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103010.83000000002</v>
      </c>
      <c r="C83" s="386">
        <v>0</v>
      </c>
      <c r="D83"/>
    </row>
    <row r="84" spans="1:17" ht="12.75" x14ac:dyDescent="0.2">
      <c r="A84" s="193" t="s">
        <v>1577</v>
      </c>
      <c r="B84" s="385">
        <v>154043.02000000002</v>
      </c>
      <c r="C84" s="386">
        <v>0</v>
      </c>
      <c r="D84"/>
    </row>
    <row r="85" spans="1:17" ht="12.75" x14ac:dyDescent="0.2">
      <c r="A85" s="5" t="s">
        <v>30</v>
      </c>
      <c r="B85" s="381">
        <v>2993101.6199999996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26968881.000000007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25234346.000000007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1734535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8210180</v>
      </c>
      <c r="C103" s="383">
        <v>6649518.0399999991</v>
      </c>
      <c r="D103" s="383">
        <v>4875877.37</v>
      </c>
      <c r="E103" s="384">
        <v>0.5938819088010252</v>
      </c>
      <c r="F103" s="383">
        <v>597133.51</v>
      </c>
      <c r="G103" s="383">
        <v>290521.83</v>
      </c>
      <c r="H103" s="384">
        <v>0.48652742667213572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1970</v>
      </c>
      <c r="C105" s="383">
        <v>1700</v>
      </c>
      <c r="D105" s="383">
        <v>386.68999999999994</v>
      </c>
      <c r="E105" s="384">
        <v>0.19628934010152282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7353</v>
      </c>
      <c r="C106" s="383">
        <v>4352.88</v>
      </c>
      <c r="D106" s="383">
        <v>2329</v>
      </c>
      <c r="E106" s="384">
        <v>0.31674146606827147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162484</v>
      </c>
      <c r="C108" s="383">
        <v>133996.08000000002</v>
      </c>
      <c r="D108" s="383">
        <v>95770.01999999999</v>
      </c>
      <c r="E108" s="384">
        <v>0.5894120036434356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3832</v>
      </c>
      <c r="C109" s="383">
        <v>3299</v>
      </c>
      <c r="D109" s="383">
        <v>999</v>
      </c>
      <c r="E109" s="384">
        <v>0.26069937369519836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2133</v>
      </c>
      <c r="C111" s="383">
        <v>2132.5</v>
      </c>
      <c r="D111" s="383">
        <v>360</v>
      </c>
      <c r="E111" s="384">
        <v>0.16877637130801687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18618</v>
      </c>
      <c r="C112" s="383">
        <v>11695.130000000001</v>
      </c>
      <c r="D112" s="383">
        <v>8889.42</v>
      </c>
      <c r="E112" s="384">
        <v>0.47746374476313247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58616.640000000007</v>
      </c>
      <c r="D113" s="383">
        <v>53145.3</v>
      </c>
      <c r="E113" s="384">
        <v>0.35301701805428243</v>
      </c>
      <c r="F113" s="383">
        <v>1200</v>
      </c>
      <c r="G113" s="383">
        <v>10866.76</v>
      </c>
      <c r="H113" s="384">
        <v>9.0556333333333328</v>
      </c>
      <c r="I113"/>
    </row>
    <row r="114" spans="1:9" ht="12.75" x14ac:dyDescent="0.2">
      <c r="A114" s="246" t="s">
        <v>556</v>
      </c>
      <c r="B114" s="383">
        <v>1787535</v>
      </c>
      <c r="C114" s="383">
        <v>1575938.29</v>
      </c>
      <c r="D114" s="383">
        <v>1030320.1500000001</v>
      </c>
      <c r="E114" s="384">
        <v>0.57639159512960592</v>
      </c>
      <c r="F114" s="383">
        <v>216343.4</v>
      </c>
      <c r="G114" s="383">
        <v>38920.699999999997</v>
      </c>
      <c r="H114" s="384">
        <v>0.17990241440228821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542247.74</v>
      </c>
      <c r="E115" s="384">
        <v>0.82410600273867252</v>
      </c>
      <c r="F115" s="383">
        <v>56517.54</v>
      </c>
      <c r="G115" s="383">
        <v>56517.53</v>
      </c>
      <c r="H115" s="384">
        <v>0.99999982306377799</v>
      </c>
      <c r="I115"/>
    </row>
    <row r="116" spans="1:9" ht="12.75" x14ac:dyDescent="0.2">
      <c r="A116" s="246" t="s">
        <v>590</v>
      </c>
      <c r="B116" s="383">
        <v>359239</v>
      </c>
      <c r="C116" s="383">
        <v>317118.27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675293</v>
      </c>
      <c r="C117" s="383">
        <v>639108.59000000008</v>
      </c>
      <c r="D117" s="383">
        <v>421260.70000000007</v>
      </c>
      <c r="E117" s="384">
        <v>0.62381914220938184</v>
      </c>
      <c r="F117" s="383">
        <v>51334.64</v>
      </c>
      <c r="G117" s="383">
        <v>52475.08</v>
      </c>
      <c r="H117" s="384">
        <v>1.02221579814332</v>
      </c>
      <c r="I117"/>
    </row>
    <row r="118" spans="1:9" ht="12.75" x14ac:dyDescent="0.2">
      <c r="A118" s="246" t="s">
        <v>628</v>
      </c>
      <c r="B118" s="383">
        <v>98983</v>
      </c>
      <c r="C118" s="383">
        <v>97697.11</v>
      </c>
      <c r="D118" s="383">
        <v>71748.829999999987</v>
      </c>
      <c r="E118" s="384">
        <v>0.72486012749664075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1638259</v>
      </c>
      <c r="C119" s="383">
        <v>967509.08999999985</v>
      </c>
      <c r="D119" s="383">
        <v>645092.36</v>
      </c>
      <c r="E119" s="384">
        <v>0.39376701730312486</v>
      </c>
      <c r="F119" s="383">
        <v>59023.770000000004</v>
      </c>
      <c r="G119" s="383">
        <v>17225.89</v>
      </c>
      <c r="H119" s="384">
        <v>0.29184665771095269</v>
      </c>
      <c r="I119"/>
    </row>
    <row r="120" spans="1:9" ht="12.75" x14ac:dyDescent="0.2">
      <c r="A120" s="246" t="s">
        <v>776</v>
      </c>
      <c r="B120" s="383">
        <v>2619577</v>
      </c>
      <c r="C120" s="383">
        <v>2154414</v>
      </c>
      <c r="D120" s="383">
        <v>1704760</v>
      </c>
      <c r="E120" s="384">
        <v>0.65077682389179625</v>
      </c>
      <c r="F120" s="383">
        <v>152180</v>
      </c>
      <c r="G120" s="383">
        <v>104800</v>
      </c>
      <c r="H120" s="384">
        <v>0.68865816795899593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185074.24</v>
      </c>
      <c r="E123" s="384">
        <v>0.9918339960771283</v>
      </c>
      <c r="F123" s="383">
        <v>530</v>
      </c>
      <c r="G123" s="383">
        <v>650.1</v>
      </c>
      <c r="H123" s="384">
        <v>1.2266037735849058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74831.8</v>
      </c>
      <c r="E124" s="382">
        <v>0.98005107720516016</v>
      </c>
      <c r="F124" s="381">
        <v>530</v>
      </c>
      <c r="G124" s="381">
        <v>650.1</v>
      </c>
      <c r="H124" s="382">
        <v>1.2266037735849058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6776004</v>
      </c>
      <c r="C126" s="383">
        <v>4571926.8800000008</v>
      </c>
      <c r="D126" s="383">
        <v>2320186.6799999997</v>
      </c>
      <c r="E126" s="384">
        <v>0.34241223588415826</v>
      </c>
      <c r="F126" s="383">
        <v>219618.96000000002</v>
      </c>
      <c r="G126" s="383">
        <v>163258.28999999998</v>
      </c>
      <c r="H126" s="384">
        <v>0.74337065433694782</v>
      </c>
      <c r="I126"/>
    </row>
    <row r="127" spans="1:9" ht="12.75" x14ac:dyDescent="0.2">
      <c r="A127" s="246" t="s">
        <v>1140</v>
      </c>
      <c r="B127" s="381">
        <v>482260</v>
      </c>
      <c r="C127" s="381">
        <v>434888.51</v>
      </c>
      <c r="D127" s="381">
        <v>118102.26</v>
      </c>
      <c r="E127" s="382">
        <v>0.24489333554514162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1155380.1599999999</v>
      </c>
      <c r="E129" s="382">
        <v>0.23939490934165888</v>
      </c>
      <c r="F129" s="381">
        <v>107460.35</v>
      </c>
      <c r="G129" s="381">
        <v>98609.62</v>
      </c>
      <c r="H129" s="382">
        <v>0.91763724945991698</v>
      </c>
      <c r="I129"/>
    </row>
    <row r="130" spans="1:9" ht="12.75" x14ac:dyDescent="0.2">
      <c r="A130" s="5" t="s">
        <v>1275</v>
      </c>
      <c r="B130" s="381">
        <v>1429625</v>
      </c>
      <c r="C130" s="381">
        <v>1337468.6000000001</v>
      </c>
      <c r="D130" s="381">
        <v>1008837.7599999999</v>
      </c>
      <c r="E130" s="382">
        <v>0.70566600332254958</v>
      </c>
      <c r="F130" s="381">
        <v>93278.61</v>
      </c>
      <c r="G130" s="381">
        <v>64648.67</v>
      </c>
      <c r="H130" s="382">
        <v>0.69307068362189361</v>
      </c>
      <c r="I130"/>
    </row>
    <row r="131" spans="1:9" ht="12.75" x14ac:dyDescent="0.2">
      <c r="A131" s="5" t="s">
        <v>30</v>
      </c>
      <c r="B131" s="381">
        <v>48103240</v>
      </c>
      <c r="C131" s="381">
        <v>38466549.360000007</v>
      </c>
      <c r="D131" s="381">
        <v>28469746.410000008</v>
      </c>
      <c r="E131" s="382">
        <v>0.59184675315009982</v>
      </c>
      <c r="F131" s="381">
        <v>3092882.8</v>
      </c>
      <c r="G131" s="381">
        <v>2545143.8000000007</v>
      </c>
      <c r="H131" s="382">
        <v>0.82290340907841719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6442996</v>
      </c>
      <c r="C138" s="366">
        <v>4286287.88</v>
      </c>
      <c r="D138" s="366">
        <v>2279347.6799999997</v>
      </c>
      <c r="E138" s="367">
        <v>0.3537713945499889</v>
      </c>
      <c r="F138" s="366">
        <v>200738.96000000002</v>
      </c>
      <c r="G138" s="366">
        <v>163258.28999999998</v>
      </c>
      <c r="H138" s="367">
        <v>0.81328651896971049</v>
      </c>
    </row>
    <row r="139" spans="1:9" ht="12.75" x14ac:dyDescent="0.2">
      <c r="A139" s="5" t="s">
        <v>9</v>
      </c>
      <c r="B139" s="383">
        <v>6178842</v>
      </c>
      <c r="C139" s="383">
        <v>4038535.37</v>
      </c>
      <c r="D139" s="383">
        <v>2143581.42</v>
      </c>
      <c r="E139" s="384">
        <v>0.34692284088183512</v>
      </c>
      <c r="F139" s="383">
        <v>191138.96000000002</v>
      </c>
      <c r="G139" s="383">
        <v>153658.28999999998</v>
      </c>
      <c r="H139" s="384">
        <v>0.8039087897098528</v>
      </c>
    </row>
    <row r="140" spans="1:9" ht="12.75" x14ac:dyDescent="0.2">
      <c r="A140" s="5" t="s">
        <v>12</v>
      </c>
      <c r="B140" s="383">
        <v>264154</v>
      </c>
      <c r="C140" s="383">
        <v>247752.51</v>
      </c>
      <c r="D140" s="383">
        <v>135766.26</v>
      </c>
      <c r="E140" s="384">
        <v>0.51396632267540909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6442996</v>
      </c>
      <c r="C141" s="381">
        <v>4286287.88</v>
      </c>
      <c r="D141" s="381">
        <v>2279347.6799999997</v>
      </c>
      <c r="E141" s="382">
        <v>0.3537713945499889</v>
      </c>
      <c r="F141" s="381">
        <v>200738.96000000002</v>
      </c>
      <c r="G141" s="381">
        <v>163258.28999999998</v>
      </c>
      <c r="H141" s="382">
        <v>0.81328651896971049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285639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9500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285639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4038535.37</v>
      </c>
      <c r="D163" s="381">
        <v>2143581.42</v>
      </c>
      <c r="E163" s="382">
        <v>0.34692284088183512</v>
      </c>
      <c r="F163" s="381">
        <v>191138.96000000002</v>
      </c>
      <c r="G163" s="381">
        <v>153658.28999999998</v>
      </c>
      <c r="H163" s="382">
        <v>0.8039087897098528</v>
      </c>
      <c r="J163" s="246" t="s">
        <v>2219</v>
      </c>
      <c r="K163" s="383">
        <v>32840589</v>
      </c>
      <c r="L163" s="383">
        <v>26968881.000000007</v>
      </c>
      <c r="M163" s="383">
        <v>20998739.120000001</v>
      </c>
      <c r="N163" s="384">
        <v>0.6394142053907742</v>
      </c>
      <c r="O163" s="383">
        <v>2275600.33</v>
      </c>
      <c r="P163" s="383">
        <v>2090713.5799999991</v>
      </c>
      <c r="Q163" s="384">
        <v>0.91875253858835526</v>
      </c>
    </row>
    <row r="164" spans="1:17" ht="12.75" x14ac:dyDescent="0.2">
      <c r="A164" s="5" t="s">
        <v>10</v>
      </c>
      <c r="B164" s="381">
        <v>8149030</v>
      </c>
      <c r="C164" s="381">
        <v>7049987.3800000008</v>
      </c>
      <c r="D164" s="381">
        <v>5650694.71</v>
      </c>
      <c r="E164" s="382">
        <v>0.69341930389261053</v>
      </c>
      <c r="F164" s="381">
        <v>633068.44000000018</v>
      </c>
      <c r="G164" s="381">
        <v>577854.14</v>
      </c>
      <c r="H164" s="382">
        <v>0.91278304759592799</v>
      </c>
      <c r="J164" s="246" t="s">
        <v>2220</v>
      </c>
      <c r="K164" s="383">
        <v>8210180</v>
      </c>
      <c r="L164" s="383">
        <v>6649518.0400000028</v>
      </c>
      <c r="M164" s="383">
        <v>4875877.370000002</v>
      </c>
      <c r="N164" s="384">
        <v>0.59388190880102532</v>
      </c>
      <c r="O164" s="383">
        <v>597133.51000000013</v>
      </c>
      <c r="P164" s="383">
        <v>290521.83000000007</v>
      </c>
      <c r="Q164" s="384">
        <v>0.48652742667213572</v>
      </c>
    </row>
    <row r="165" spans="1:17" ht="12.75" x14ac:dyDescent="0.2">
      <c r="A165" s="5" t="s">
        <v>11</v>
      </c>
      <c r="B165" s="381">
        <v>7033865</v>
      </c>
      <c r="C165" s="381">
        <v>5802138.9800000004</v>
      </c>
      <c r="D165" s="381">
        <v>4416610.99</v>
      </c>
      <c r="E165" s="382">
        <v>0.62790670420885253</v>
      </c>
      <c r="F165" s="381">
        <v>430357.14000000007</v>
      </c>
      <c r="G165" s="381">
        <v>377187.10000000003</v>
      </c>
      <c r="H165" s="382">
        <v>0.87645135851585954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264154</v>
      </c>
      <c r="C166" s="381">
        <v>247752.51</v>
      </c>
      <c r="D166" s="381">
        <v>135766.26</v>
      </c>
      <c r="E166" s="382">
        <v>0.51396632267540909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185074.24</v>
      </c>
      <c r="N166" s="384">
        <v>0.9918339960771283</v>
      </c>
      <c r="O166" s="383">
        <v>530</v>
      </c>
      <c r="P166" s="383">
        <v>650.1</v>
      </c>
      <c r="Q166" s="384">
        <v>1.2266037735849058</v>
      </c>
    </row>
    <row r="167" spans="1:17" ht="12.75" x14ac:dyDescent="0.2">
      <c r="A167" s="5" t="s">
        <v>13</v>
      </c>
      <c r="B167" s="381">
        <v>2410175</v>
      </c>
      <c r="C167" s="381">
        <v>2037421.96</v>
      </c>
      <c r="D167" s="381">
        <v>1557776.6300000001</v>
      </c>
      <c r="E167" s="382">
        <v>0.64633341147427059</v>
      </c>
      <c r="F167" s="381">
        <v>165628.35</v>
      </c>
      <c r="G167" s="381">
        <v>165125.39000000001</v>
      </c>
      <c r="H167" s="382">
        <v>0.99696332179847236</v>
      </c>
      <c r="J167" s="246" t="s">
        <v>2218</v>
      </c>
      <c r="K167" s="383">
        <v>6776004</v>
      </c>
      <c r="L167" s="383">
        <v>4571926.88</v>
      </c>
      <c r="M167" s="383">
        <v>2320186.6800000002</v>
      </c>
      <c r="N167" s="384">
        <v>0.34241223588415831</v>
      </c>
      <c r="O167" s="383">
        <v>219618.96000000002</v>
      </c>
      <c r="P167" s="383">
        <v>163258.28999999998</v>
      </c>
      <c r="Q167" s="384">
        <v>0.74337065433694782</v>
      </c>
    </row>
    <row r="168" spans="1:17" ht="12.75" x14ac:dyDescent="0.2">
      <c r="A168" s="5" t="s">
        <v>14</v>
      </c>
      <c r="B168" s="381">
        <v>871313</v>
      </c>
      <c r="C168" s="381">
        <v>577173.32000000007</v>
      </c>
      <c r="D168" s="381">
        <v>320763.57000000007</v>
      </c>
      <c r="E168" s="382">
        <v>0.36813816619286072</v>
      </c>
      <c r="F168" s="381">
        <v>44465.74</v>
      </c>
      <c r="G168" s="381">
        <v>22484.87</v>
      </c>
      <c r="H168" s="382">
        <v>0.50566728452062193</v>
      </c>
      <c r="J168" s="5" t="s">
        <v>30</v>
      </c>
      <c r="K168" s="381">
        <v>48103240</v>
      </c>
      <c r="L168" s="381">
        <v>38466549.360000007</v>
      </c>
      <c r="M168" s="381">
        <v>28469746.41</v>
      </c>
      <c r="N168" s="382">
        <v>0.59184675315009971</v>
      </c>
      <c r="O168" s="381">
        <v>3092882.8000000003</v>
      </c>
      <c r="P168" s="381">
        <v>2545143.7999999993</v>
      </c>
      <c r="Q168" s="382">
        <v>0.82290340907841741</v>
      </c>
    </row>
    <row r="169" spans="1:17" ht="12.75" x14ac:dyDescent="0.2">
      <c r="A169" s="5" t="s">
        <v>15</v>
      </c>
      <c r="B169" s="381">
        <v>1299208</v>
      </c>
      <c r="C169" s="381">
        <v>987705.08000000007</v>
      </c>
      <c r="D169" s="381">
        <v>681230.22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1346197.0999999999</v>
      </c>
      <c r="D170" s="381">
        <v>1057664.95</v>
      </c>
      <c r="E170" s="382">
        <v>0.68511511053733798</v>
      </c>
      <c r="F170" s="381">
        <v>109017.4</v>
      </c>
      <c r="G170" s="381">
        <v>92222.27</v>
      </c>
      <c r="H170" s="382">
        <v>0.84594083146360133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4016799.5800000015</v>
      </c>
      <c r="D171" s="381">
        <v>2687774.56</v>
      </c>
      <c r="E171" s="382">
        <v>0.51210669174574053</v>
      </c>
      <c r="F171" s="381">
        <v>429492.65000000008</v>
      </c>
      <c r="G171" s="381">
        <v>190311.63</v>
      </c>
      <c r="H171" s="382">
        <v>0.44310800196464356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7267317</v>
      </c>
      <c r="C172" s="381">
        <v>6939102.9700000016</v>
      </c>
      <c r="D172" s="381">
        <v>5613156.5299999993</v>
      </c>
      <c r="E172" s="382">
        <v>0.77238360869630418</v>
      </c>
      <c r="F172" s="381">
        <v>477328.56000000006</v>
      </c>
      <c r="G172" s="381">
        <v>498860.43</v>
      </c>
      <c r="H172" s="382">
        <v>1.0451091172922902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862010.45</v>
      </c>
      <c r="D173" s="381">
        <v>701366.67</v>
      </c>
      <c r="E173" s="382">
        <v>0.55356179563333119</v>
      </c>
      <c r="F173" s="381">
        <v>150551.70000000001</v>
      </c>
      <c r="G173" s="381">
        <v>71323.520000000004</v>
      </c>
      <c r="H173" s="382">
        <v>0.47374768933197031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1283047</v>
      </c>
      <c r="C174" s="381">
        <v>1044544.76</v>
      </c>
      <c r="D174" s="381">
        <v>713187.45</v>
      </c>
      <c r="E174" s="382">
        <v>0.55585450104321976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149022.46</v>
      </c>
      <c r="D176" s="381">
        <v>111696.14</v>
      </c>
      <c r="E176" s="382">
        <v>0.29937560473549774</v>
      </c>
      <c r="F176" s="381">
        <v>8916.68</v>
      </c>
      <c r="G176" s="381">
        <v>8834.7099999999991</v>
      </c>
      <c r="H176" s="382">
        <v>0.990807116550106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987570.24</v>
      </c>
      <c r="E177" s="382">
        <v>0.48109527006158553</v>
      </c>
      <c r="F177" s="381">
        <v>13000</v>
      </c>
      <c r="G177" s="381">
        <v>12918.94</v>
      </c>
      <c r="H177" s="382">
        <v>0.99376461538461547</v>
      </c>
      <c r="J177" s="5" t="s">
        <v>1597</v>
      </c>
      <c r="K177" s="381">
        <v>21361737</v>
      </c>
      <c r="L177" s="381">
        <v>16890661.73</v>
      </c>
      <c r="M177" s="381">
        <v>12210887.120000001</v>
      </c>
      <c r="N177" s="382">
        <v>0.57162426070501671</v>
      </c>
      <c r="O177" s="381">
        <v>1254564.5400000003</v>
      </c>
      <c r="P177" s="381">
        <v>1108699.5299999998</v>
      </c>
      <c r="Q177" s="382">
        <v>0.88373255791208583</v>
      </c>
    </row>
    <row r="178" spans="1:17" ht="12.75" x14ac:dyDescent="0.2">
      <c r="A178" s="5" t="s">
        <v>24</v>
      </c>
      <c r="B178" s="381">
        <v>1611389</v>
      </c>
      <c r="C178" s="381">
        <v>1175154.8599999999</v>
      </c>
      <c r="D178" s="381">
        <v>1174433.7900000003</v>
      </c>
      <c r="E178" s="382">
        <v>0.72883319297823201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12071384.290000001</v>
      </c>
      <c r="M178" s="383">
        <v>9584789.8000000007</v>
      </c>
      <c r="N178" s="384">
        <v>0.71270352556178229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166159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780742.07</v>
      </c>
      <c r="M179" s="383">
        <v>482515.89999999997</v>
      </c>
      <c r="N179" s="384">
        <v>0.27820335562730625</v>
      </c>
      <c r="O179" s="383">
        <v>43564.800000000003</v>
      </c>
      <c r="P179" s="383">
        <v>24517.1</v>
      </c>
      <c r="Q179" s="384">
        <v>0.56277315630968117</v>
      </c>
    </row>
    <row r="180" spans="1:17" ht="12.75" x14ac:dyDescent="0.2">
      <c r="A180" s="5" t="s">
        <v>26</v>
      </c>
      <c r="B180" s="381">
        <v>324023</v>
      </c>
      <c r="C180" s="381">
        <v>323432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4038535.37</v>
      </c>
      <c r="M180" s="383">
        <v>2143581.42</v>
      </c>
      <c r="N180" s="384">
        <v>0.34692284088183512</v>
      </c>
      <c r="O180" s="383">
        <v>191138.96000000002</v>
      </c>
      <c r="P180" s="383">
        <v>153658.28999999998</v>
      </c>
      <c r="Q180" s="384">
        <v>0.8039087897098528</v>
      </c>
    </row>
    <row r="181" spans="1:17" ht="12.75" x14ac:dyDescent="0.2">
      <c r="A181" s="5" t="s">
        <v>27</v>
      </c>
      <c r="B181" s="381">
        <v>348586</v>
      </c>
      <c r="C181" s="381">
        <v>348586</v>
      </c>
      <c r="D181" s="381">
        <v>142282.31</v>
      </c>
      <c r="E181" s="382">
        <v>0.40816989207828197</v>
      </c>
      <c r="F181" s="381">
        <v>71397.62</v>
      </c>
      <c r="G181" s="381">
        <v>71126.069999999992</v>
      </c>
      <c r="H181" s="382">
        <v>0.99619665193321572</v>
      </c>
      <c r="J181" s="5" t="s">
        <v>1599</v>
      </c>
      <c r="K181" s="381">
        <v>21827561</v>
      </c>
      <c r="L181" s="381">
        <v>18207730.189999994</v>
      </c>
      <c r="M181" s="381">
        <v>13580382.979999999</v>
      </c>
      <c r="N181" s="382">
        <v>0.62216676338689414</v>
      </c>
      <c r="O181" s="381">
        <v>1537859.01</v>
      </c>
      <c r="P181" s="381">
        <v>1184040.0299999996</v>
      </c>
      <c r="Q181" s="382">
        <v>0.76992755662302204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4913942</v>
      </c>
      <c r="L182" s="381">
        <v>3368157.44</v>
      </c>
      <c r="M182" s="381">
        <v>2678476.31</v>
      </c>
      <c r="N182" s="382">
        <v>0.54507690770464934</v>
      </c>
      <c r="O182" s="381">
        <v>300459.25</v>
      </c>
      <c r="P182" s="381">
        <v>252404.24</v>
      </c>
      <c r="Q182" s="382">
        <v>0.84006147256241903</v>
      </c>
    </row>
    <row r="183" spans="1:17" ht="12.75" x14ac:dyDescent="0.2">
      <c r="A183" s="5" t="s">
        <v>29</v>
      </c>
      <c r="B183" s="381">
        <v>257399</v>
      </c>
      <c r="C183" s="381">
        <v>250499</v>
      </c>
      <c r="D183" s="381">
        <v>118421.20999999999</v>
      </c>
      <c r="E183" s="382">
        <v>0.46006864828534683</v>
      </c>
      <c r="F183" s="381">
        <v>65151.030000000006</v>
      </c>
      <c r="G183" s="381">
        <v>53271.03</v>
      </c>
      <c r="H183" s="382">
        <v>0.81765445611527543</v>
      </c>
      <c r="J183" s="5" t="s">
        <v>30</v>
      </c>
      <c r="K183" s="381">
        <v>48103240</v>
      </c>
      <c r="L183" s="381">
        <v>38466549.359999992</v>
      </c>
      <c r="M183" s="381">
        <v>28469746.41</v>
      </c>
      <c r="N183" s="382">
        <v>0.59184675315009982</v>
      </c>
      <c r="O183" s="381">
        <v>3092882.8000000003</v>
      </c>
      <c r="P183" s="381">
        <v>2545143.7999999998</v>
      </c>
      <c r="Q183" s="382">
        <v>0.82290340907841719</v>
      </c>
    </row>
    <row r="184" spans="1:17" ht="12.75" x14ac:dyDescent="0.2">
      <c r="A184" s="5" t="s">
        <v>30</v>
      </c>
      <c r="B184" s="381">
        <v>48103240</v>
      </c>
      <c r="C184" s="381">
        <v>38466549.360000007</v>
      </c>
      <c r="D184" s="381">
        <v>28469746.41</v>
      </c>
      <c r="E184" s="382">
        <v>0.59184675315009982</v>
      </c>
      <c r="F184" s="381">
        <v>3092882.8000000007</v>
      </c>
      <c r="G184" s="381">
        <v>2545143.7999999993</v>
      </c>
      <c r="H184" s="382">
        <v>0.82290340907841741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381520.13</v>
      </c>
      <c r="D200" s="383">
        <v>261420.69</v>
      </c>
      <c r="E200" s="384">
        <v>0.32714062429609014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399221.94000000006</v>
      </c>
      <c r="D201" s="383">
        <v>221095.21000000002</v>
      </c>
      <c r="E201" s="384">
        <v>0.23639164025780188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339437</v>
      </c>
      <c r="C202" s="383">
        <v>306030</v>
      </c>
      <c r="D202" s="383">
        <v>255828.33</v>
      </c>
      <c r="E202" s="384">
        <v>0.75368427720018738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46000</v>
      </c>
      <c r="E203" s="384">
        <v>0.38333333333333336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182113.24</v>
      </c>
      <c r="E205" s="384">
        <v>0.69234048053527975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1708649.3299999996</v>
      </c>
      <c r="D206" s="383">
        <v>1103517.95</v>
      </c>
      <c r="E206" s="384">
        <v>0.56037672851953768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2971022</v>
      </c>
      <c r="C207" s="383">
        <v>2876501.69</v>
      </c>
      <c r="D207" s="383">
        <v>2260358.73</v>
      </c>
      <c r="E207" s="384">
        <v>0.7608017476814376</v>
      </c>
      <c r="F207" s="383">
        <v>282347.95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135676.49</v>
      </c>
      <c r="D208" s="383">
        <v>119225.49999999999</v>
      </c>
      <c r="E208" s="384">
        <v>0.54124523333938612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95678</v>
      </c>
      <c r="C209" s="383">
        <v>95677.72</v>
      </c>
      <c r="D209" s="383">
        <v>94547.72</v>
      </c>
      <c r="E209" s="384">
        <v>0.98818662597462326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5370</v>
      </c>
      <c r="E210" s="384">
        <v>0.17681922950279882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79000</v>
      </c>
      <c r="E211" s="384">
        <v>0.86813186813186816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1589</v>
      </c>
      <c r="B213" s="381">
        <v>21700</v>
      </c>
      <c r="C213" s="381">
        <v>21700</v>
      </c>
      <c r="D213" s="381">
        <v>0</v>
      </c>
      <c r="E213" s="382">
        <v>0</v>
      </c>
      <c r="F213" s="381">
        <v>0</v>
      </c>
      <c r="G213" s="382">
        <v>0</v>
      </c>
      <c r="H213"/>
    </row>
    <row r="214" spans="1:17" ht="12.75" x14ac:dyDescent="0.2">
      <c r="A214" s="5" t="s">
        <v>1591</v>
      </c>
      <c r="B214" s="383">
        <v>26000</v>
      </c>
      <c r="C214" s="383">
        <v>26000</v>
      </c>
      <c r="D214" s="383">
        <v>13000</v>
      </c>
      <c r="E214" s="384">
        <v>0.5</v>
      </c>
      <c r="F214" s="383">
        <v>13000</v>
      </c>
      <c r="G214" s="384">
        <v>0</v>
      </c>
      <c r="H214"/>
    </row>
    <row r="215" spans="1:17" ht="12.75" x14ac:dyDescent="0.2">
      <c r="A215" s="5" t="s">
        <v>1593</v>
      </c>
      <c r="B215" s="383">
        <v>42900</v>
      </c>
      <c r="C215" s="383">
        <v>36000</v>
      </c>
      <c r="D215" s="383">
        <v>11880</v>
      </c>
      <c r="E215" s="384">
        <v>0.27692307692307694</v>
      </c>
      <c r="F215" s="383">
        <v>11880</v>
      </c>
      <c r="G215" s="384">
        <v>0</v>
      </c>
      <c r="H215"/>
    </row>
    <row r="216" spans="1:17" ht="12.75" x14ac:dyDescent="0.2">
      <c r="A216" s="5" t="s">
        <v>30</v>
      </c>
      <c r="B216" s="381">
        <v>8210180</v>
      </c>
      <c r="C216" s="381">
        <v>6649518.04</v>
      </c>
      <c r="D216" s="381">
        <v>4875877.37</v>
      </c>
      <c r="E216" s="382">
        <v>0.5938819088010252</v>
      </c>
      <c r="F216" s="381">
        <v>659007.13</v>
      </c>
      <c r="G216" s="382">
        <v>0</v>
      </c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2949884.7000000007</v>
      </c>
      <c r="D236" s="6">
        <v>2649496.5799999991</v>
      </c>
      <c r="E236" s="6">
        <v>2986097.4799999981</v>
      </c>
      <c r="F236" s="6">
        <v>2964416.2899999996</v>
      </c>
      <c r="G236" s="6">
        <v>2877806.9400000009</v>
      </c>
      <c r="H236" s="6">
        <v>2993101.6200000015</v>
      </c>
      <c r="I236" s="6">
        <v>2637313.3600000003</v>
      </c>
      <c r="J236" s="6">
        <v>2943559.649999998</v>
      </c>
      <c r="K236" s="6">
        <v>2977414.8099999991</v>
      </c>
      <c r="L236" s="6">
        <v>3608566.2600000007</v>
      </c>
      <c r="M236" s="6">
        <v>6624224.5199999977</v>
      </c>
      <c r="N236"/>
      <c r="P236" s="6">
        <v>2452498.2100000004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2.9498847000000006</v>
      </c>
      <c r="D238" s="210">
        <f t="shared" si="8"/>
        <v>2.6494965799999992</v>
      </c>
      <c r="E238" s="210">
        <f t="shared" si="8"/>
        <v>2.986097479999998</v>
      </c>
      <c r="F238" s="210">
        <f t="shared" si="8"/>
        <v>2.9644162899999995</v>
      </c>
      <c r="G238" s="210">
        <f t="shared" si="8"/>
        <v>2.877806940000001</v>
      </c>
      <c r="H238" s="210">
        <f t="shared" si="8"/>
        <v>2.9931016200000014</v>
      </c>
      <c r="I238" s="210">
        <f t="shared" si="8"/>
        <v>2.6373133600000003</v>
      </c>
      <c r="J238" s="210">
        <f t="shared" si="8"/>
        <v>2.9435596499999979</v>
      </c>
      <c r="K238" s="211">
        <f t="shared" si="8"/>
        <v>2.9774148099999991</v>
      </c>
      <c r="L238" s="211">
        <f t="shared" si="8"/>
        <v>3.6085662600000008</v>
      </c>
      <c r="M238" s="211">
        <f t="shared" si="8"/>
        <v>6.6242245199999976</v>
      </c>
      <c r="N238" s="212">
        <f t="shared" si="8"/>
        <v>0</v>
      </c>
      <c r="P238" s="212">
        <f>+P236/1000000</f>
        <v>2.4524982100000003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2311384.9699999993</v>
      </c>
      <c r="C243" s="6">
        <v>2064519.29</v>
      </c>
      <c r="D243" s="6">
        <v>2018893.6000000003</v>
      </c>
      <c r="E243" s="6">
        <v>2163216.0199999991</v>
      </c>
      <c r="F243" s="6">
        <v>2043198.2299999995</v>
      </c>
      <c r="G243" s="6">
        <v>1964105.8799999994</v>
      </c>
      <c r="H243" s="6">
        <v>2164418.08</v>
      </c>
      <c r="I243" s="6">
        <v>2047896.1999999993</v>
      </c>
      <c r="J243" s="6">
        <v>2130393.27</v>
      </c>
      <c r="K243" s="6">
        <v>2275600.33</v>
      </c>
      <c r="L243" s="6">
        <v>2373056.91</v>
      </c>
      <c r="M243" s="6">
        <v>3182286.3599999994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428528.74</v>
      </c>
      <c r="D244" s="6">
        <v>461929.55000000016</v>
      </c>
      <c r="E244" s="6">
        <v>622890.45999999973</v>
      </c>
      <c r="F244" s="6">
        <v>708950.89999999979</v>
      </c>
      <c r="G244" s="6">
        <v>536086.42000000004</v>
      </c>
      <c r="H244" s="6">
        <v>608696.48999999987</v>
      </c>
      <c r="I244" s="6">
        <v>375152.89999999997</v>
      </c>
      <c r="J244" s="6">
        <v>659007.13000000012</v>
      </c>
      <c r="K244" s="6">
        <v>597133.51000000013</v>
      </c>
      <c r="L244" s="6">
        <v>938417.37999999977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286967.43000000005</v>
      </c>
      <c r="D247" s="6">
        <v>167556.53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258735.09999999998</v>
      </c>
      <c r="K247" s="6">
        <v>219618.96000000002</v>
      </c>
      <c r="L247" s="6">
        <v>412027.76</v>
      </c>
      <c r="M247" s="6">
        <v>2051306.8900000001</v>
      </c>
      <c r="N247"/>
    </row>
    <row r="248" spans="1:17" ht="12.75" x14ac:dyDescent="0.2">
      <c r="A248" s="5" t="s">
        <v>30</v>
      </c>
      <c r="B248" s="6">
        <v>2817688.0399999996</v>
      </c>
      <c r="C248" s="6">
        <v>2949884.7000000007</v>
      </c>
      <c r="D248" s="6">
        <v>2649496.58</v>
      </c>
      <c r="E248" s="6">
        <v>2986097.4799999986</v>
      </c>
      <c r="F248" s="6">
        <v>2964416.2899999996</v>
      </c>
      <c r="G248" s="6">
        <v>2877806.9399999995</v>
      </c>
      <c r="H248" s="6">
        <v>2993101.6199999996</v>
      </c>
      <c r="I248" s="6">
        <v>2637313.3599999994</v>
      </c>
      <c r="J248" s="6">
        <v>3048797.6000000006</v>
      </c>
      <c r="K248" s="6">
        <v>3092882.8000000003</v>
      </c>
      <c r="L248" s="6">
        <v>3724034.25</v>
      </c>
      <c r="M248" s="6">
        <v>6790850.2299999986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411" t="s">
        <v>2302</v>
      </c>
      <c r="C258" s="412"/>
      <c r="D258" s="413"/>
      <c r="E258" s="414" t="s">
        <v>2303</v>
      </c>
      <c r="F258" s="415"/>
      <c r="G258" s="415"/>
      <c r="H258" s="415"/>
      <c r="I258" s="416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7.2193673206022588E-2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2.9498847000000006</v>
      </c>
      <c r="D261" s="219">
        <f t="shared" ref="D261:D271" si="10">+C261/B261</f>
        <v>0.92187806790355509</v>
      </c>
      <c r="E261" s="226">
        <f t="shared" si="9"/>
        <v>2.9498847000000006</v>
      </c>
      <c r="F261" s="238"/>
      <c r="G261" s="98">
        <f t="shared" ref="G261:G271" si="11">+E261+F261</f>
        <v>2.9498847000000006</v>
      </c>
      <c r="H261" s="98">
        <f>+G261+H260</f>
        <v>5.7675727400000012</v>
      </c>
      <c r="I261" s="231">
        <f t="shared" ref="I261:I271" si="12">+H261/$G$272</f>
        <v>0.14777443623018119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2.6494965799999992</v>
      </c>
      <c r="D262" s="219">
        <f t="shared" si="10"/>
        <v>0.66524186297047427</v>
      </c>
      <c r="E262" s="226">
        <f t="shared" si="9"/>
        <v>2.6494965799999992</v>
      </c>
      <c r="F262" s="238"/>
      <c r="G262" s="98">
        <f t="shared" si="11"/>
        <v>2.6494965799999992</v>
      </c>
      <c r="H262" s="98">
        <f t="shared" ref="H262:H271" si="13">+G262+H261</f>
        <v>8.4170693199999995</v>
      </c>
      <c r="I262" s="231">
        <f t="shared" si="12"/>
        <v>0.21565877528461902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2.986097479999998</v>
      </c>
      <c r="D263" s="219">
        <f t="shared" si="10"/>
        <v>0.93713699738987555</v>
      </c>
      <c r="E263" s="227">
        <f t="shared" si="9"/>
        <v>2.986097479999998</v>
      </c>
      <c r="F263" s="238"/>
      <c r="G263" s="98">
        <f t="shared" si="11"/>
        <v>2.986097479999998</v>
      </c>
      <c r="H263" s="98">
        <f t="shared" si="13"/>
        <v>11.403166799999997</v>
      </c>
      <c r="I263" s="231">
        <f t="shared" si="12"/>
        <v>0.29216736763838697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2.9644162899999995</v>
      </c>
      <c r="D264" s="219">
        <f t="shared" si="10"/>
        <v>0.9089217962789925</v>
      </c>
      <c r="E264" s="227">
        <f t="shared" si="9"/>
        <v>2.9644162899999995</v>
      </c>
      <c r="F264" s="239"/>
      <c r="G264" s="98">
        <f t="shared" si="11"/>
        <v>2.9644162899999995</v>
      </c>
      <c r="H264" s="98">
        <f t="shared" si="13"/>
        <v>14.367583089999997</v>
      </c>
      <c r="I264" s="231">
        <f t="shared" si="12"/>
        <v>0.36812045323506987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2.877806940000001</v>
      </c>
      <c r="D265" s="219">
        <f t="shared" si="10"/>
        <v>0.98426962129781026</v>
      </c>
      <c r="E265" s="227">
        <f t="shared" si="9"/>
        <v>2.877806940000001</v>
      </c>
      <c r="F265" s="240"/>
      <c r="G265" s="98">
        <f t="shared" si="11"/>
        <v>2.877806940000001</v>
      </c>
      <c r="H265" s="98">
        <f t="shared" si="13"/>
        <v>17.245390029999996</v>
      </c>
      <c r="I265" s="231">
        <f t="shared" si="12"/>
        <v>0.44185446879215895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2.9931016200000014</v>
      </c>
      <c r="D266" s="219">
        <f t="shared" si="10"/>
        <v>0.93209286002868386</v>
      </c>
      <c r="E266" s="227">
        <f>+C266</f>
        <v>2.9931016200000014</v>
      </c>
      <c r="F266" s="239"/>
      <c r="G266" s="98">
        <f t="shared" si="11"/>
        <v>2.9931016200000014</v>
      </c>
      <c r="H266" s="98">
        <f t="shared" si="13"/>
        <v>20.238491649999997</v>
      </c>
      <c r="I266" s="232">
        <f t="shared" si="12"/>
        <v>0.51854251841268995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2.6373133600000003</v>
      </c>
      <c r="D267" s="219">
        <f t="shared" si="10"/>
        <v>0.91577706966253425</v>
      </c>
      <c r="E267" s="227">
        <f>+C267</f>
        <v>2.6373133600000003</v>
      </c>
      <c r="F267" s="239"/>
      <c r="G267" s="98">
        <f t="shared" si="11"/>
        <v>2.6373133600000003</v>
      </c>
      <c r="H267" s="98">
        <f t="shared" si="13"/>
        <v>22.875805009999997</v>
      </c>
      <c r="I267" s="232">
        <f t="shared" si="12"/>
        <v>0.58611470388916209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2.9435596499999979</v>
      </c>
      <c r="D268" s="219">
        <f t="shared" si="10"/>
        <v>0.94785494645154666</v>
      </c>
      <c r="E268" s="227">
        <f>+C268</f>
        <v>2.9435596499999979</v>
      </c>
      <c r="F268" s="239"/>
      <c r="G268" s="98">
        <f t="shared" si="11"/>
        <v>2.9435596499999979</v>
      </c>
      <c r="H268" s="98">
        <f t="shared" si="13"/>
        <v>25.819364659999994</v>
      </c>
      <c r="I268" s="232">
        <f t="shared" si="12"/>
        <v>0.66153340901825586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2.9774148099999991</v>
      </c>
      <c r="C269" s="302">
        <f>+P238</f>
        <v>2.4524982100000003</v>
      </c>
      <c r="D269" s="276">
        <f t="shared" si="10"/>
        <v>0.82370054779165991</v>
      </c>
      <c r="E269" s="274">
        <f>+B269</f>
        <v>2.9774148099999991</v>
      </c>
      <c r="F269" s="277"/>
      <c r="G269" s="278">
        <f t="shared" si="11"/>
        <v>2.9774148099999991</v>
      </c>
      <c r="H269" s="278">
        <f t="shared" si="13"/>
        <v>28.796779469999993</v>
      </c>
      <c r="I269" s="279">
        <f t="shared" si="12"/>
        <v>0.73781953748260909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3.6085662600000008</v>
      </c>
      <c r="C270" s="222"/>
      <c r="D270" s="220">
        <f t="shared" si="10"/>
        <v>0</v>
      </c>
      <c r="E270" s="217">
        <f t="shared" ref="E270:E271" si="14">+B270</f>
        <v>3.6085662600000008</v>
      </c>
      <c r="F270" s="239"/>
      <c r="G270" s="98">
        <f t="shared" si="11"/>
        <v>3.6085662600000008</v>
      </c>
      <c r="H270" s="98">
        <f t="shared" si="13"/>
        <v>32.405345729999993</v>
      </c>
      <c r="I270" s="232">
        <f t="shared" si="12"/>
        <v>0.83027677533805277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6.6242245199999976</v>
      </c>
      <c r="C271" s="223"/>
      <c r="D271" s="221">
        <f t="shared" si="10"/>
        <v>0</v>
      </c>
      <c r="E271" s="217">
        <f t="shared" si="14"/>
        <v>6.6242245199999976</v>
      </c>
      <c r="F271" s="241"/>
      <c r="G271" s="228">
        <f t="shared" si="11"/>
        <v>6.6242245199999976</v>
      </c>
      <c r="H271" s="229">
        <f t="shared" si="13"/>
        <v>39.029570249999992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39.029570249999992</v>
      </c>
      <c r="F272" s="242">
        <f>SUM(F260:F271)</f>
        <v>0</v>
      </c>
      <c r="G272" s="103">
        <f>SUM(G260:G271)</f>
        <v>39.029570249999992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411" t="s">
        <v>2302</v>
      </c>
      <c r="C285" s="412"/>
      <c r="D285" s="413"/>
      <c r="E285" s="414" t="s">
        <v>2303</v>
      </c>
      <c r="F285" s="415"/>
      <c r="G285" s="415"/>
      <c r="H285" s="415"/>
      <c r="I285" s="416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7.1060215352521994E-2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2.9498847000000006</v>
      </c>
      <c r="D288" s="219">
        <f t="shared" ref="D288:D298" si="17">+C288/B288</f>
        <v>0.92187806790355509</v>
      </c>
      <c r="E288" s="226">
        <f t="shared" si="15"/>
        <v>2.9498847000000006</v>
      </c>
      <c r="F288" s="98"/>
      <c r="G288" s="98">
        <f t="shared" ref="G288:G298" si="18">+E288+F288</f>
        <v>2.9498847000000006</v>
      </c>
      <c r="H288" s="98">
        <f>+G288+H287</f>
        <v>5.7675727400000012</v>
      </c>
      <c r="I288" s="231">
        <f t="shared" ref="I288:I298" si="19">+H288/$G$299</f>
        <v>0.14545434240681071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2.6494965799999992</v>
      </c>
      <c r="D289" s="219">
        <f t="shared" si="17"/>
        <v>0.66524186297047427</v>
      </c>
      <c r="E289" s="226">
        <f t="shared" si="15"/>
        <v>2.6494965799999992</v>
      </c>
      <c r="F289" s="98"/>
      <c r="G289" s="98">
        <f t="shared" si="18"/>
        <v>2.6494965799999992</v>
      </c>
      <c r="H289" s="98">
        <f t="shared" ref="H289:H298" si="21">+G289+H288</f>
        <v>8.4170693199999995</v>
      </c>
      <c r="I289" s="231">
        <f t="shared" si="19"/>
        <v>0.212272881179673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2.986097479999998</v>
      </c>
      <c r="D290" s="219">
        <f t="shared" si="17"/>
        <v>0.93713699738987555</v>
      </c>
      <c r="E290" s="227">
        <f t="shared" si="15"/>
        <v>2.986097479999998</v>
      </c>
      <c r="F290" s="98"/>
      <c r="G290" s="98">
        <f t="shared" si="18"/>
        <v>2.986097479999998</v>
      </c>
      <c r="H290" s="98">
        <f t="shared" si="21"/>
        <v>11.403166799999997</v>
      </c>
      <c r="I290" s="231">
        <f t="shared" si="19"/>
        <v>0.28758027042224615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2.9644162899999995</v>
      </c>
      <c r="D291" s="219">
        <f t="shared" si="17"/>
        <v>0.9089217962789925</v>
      </c>
      <c r="E291" s="227">
        <f t="shared" si="15"/>
        <v>2.9644162899999995</v>
      </c>
      <c r="F291" s="98"/>
      <c r="G291" s="98">
        <f t="shared" si="18"/>
        <v>2.9644162899999995</v>
      </c>
      <c r="H291" s="98">
        <f t="shared" si="21"/>
        <v>14.367583089999997</v>
      </c>
      <c r="I291" s="231">
        <f t="shared" si="19"/>
        <v>0.36234087449604713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2.877806940000001</v>
      </c>
      <c r="D292" s="219">
        <f t="shared" si="17"/>
        <v>0.98426962129781026</v>
      </c>
      <c r="E292" s="227">
        <f t="shared" si="15"/>
        <v>2.877806940000001</v>
      </c>
      <c r="F292" s="98"/>
      <c r="G292" s="98">
        <f t="shared" si="18"/>
        <v>2.877806940000001</v>
      </c>
      <c r="H292" s="98">
        <f t="shared" si="21"/>
        <v>17.245390029999996</v>
      </c>
      <c r="I292" s="231">
        <f t="shared" si="19"/>
        <v>0.43491724845807811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2.9931016200000014</v>
      </c>
      <c r="D293" s="219">
        <f t="shared" si="17"/>
        <v>0.93209286002868386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0.51590062707253204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2.6373133600000003</v>
      </c>
      <c r="D294" s="219">
        <f t="shared" si="17"/>
        <v>0.91577706966253425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0.58852887720428271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2.9435596499999979</v>
      </c>
      <c r="D295" s="276">
        <f t="shared" si="17"/>
        <v>0.94785494645154666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0.66684741506143108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2.9774148099999991</v>
      </c>
      <c r="C296" s="222">
        <f t="shared" si="29"/>
        <v>2.4524982100000003</v>
      </c>
      <c r="D296" s="220">
        <f t="shared" si="17"/>
        <v>0.82370054779165991</v>
      </c>
      <c r="E296" s="217">
        <f t="shared" si="26"/>
        <v>2.9774148099999991</v>
      </c>
      <c r="F296" s="243"/>
      <c r="G296" s="98">
        <f t="shared" si="18"/>
        <v>2.9774148099999991</v>
      </c>
      <c r="H296" s="98">
        <f t="shared" si="21"/>
        <v>29.419327159999995</v>
      </c>
      <c r="I296" s="232">
        <f t="shared" si="19"/>
        <v>0.74193583315060618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3.6085662600000008</v>
      </c>
      <c r="C297" s="222">
        <f t="shared" si="30"/>
        <v>0</v>
      </c>
      <c r="D297" s="220">
        <f t="shared" si="17"/>
        <v>0</v>
      </c>
      <c r="E297" s="217">
        <f t="shared" si="26"/>
        <v>3.6085662600000008</v>
      </c>
      <c r="F297" s="243"/>
      <c r="G297" s="98">
        <f t="shared" si="18"/>
        <v>3.6085662600000008</v>
      </c>
      <c r="H297" s="98">
        <f t="shared" si="21"/>
        <v>33.027893419999998</v>
      </c>
      <c r="I297" s="232">
        <f t="shared" si="19"/>
        <v>0.8329414703642436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6.6242245199999976</v>
      </c>
      <c r="C298" s="223">
        <f t="shared" si="31"/>
        <v>0</v>
      </c>
      <c r="D298" s="221">
        <f t="shared" si="17"/>
        <v>0</v>
      </c>
      <c r="E298" s="217">
        <f t="shared" si="26"/>
        <v>6.6242245199999976</v>
      </c>
      <c r="F298" s="244">
        <f>-A282</f>
        <v>0</v>
      </c>
      <c r="G298" s="228">
        <f t="shared" si="18"/>
        <v>6.6242245199999976</v>
      </c>
      <c r="H298" s="229">
        <f t="shared" si="21"/>
        <v>39.652117939999997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39.652117939999997</v>
      </c>
      <c r="F299" s="245">
        <f>SUM(F287:F298)</f>
        <v>0</v>
      </c>
      <c r="G299" s="103">
        <f>SUM(G287:G298)</f>
        <v>39.652117939999997</v>
      </c>
      <c r="H299" s="6"/>
      <c r="I299" s="10"/>
      <c r="J299" s="45"/>
      <c r="K299" s="45"/>
      <c r="L299" s="45"/>
      <c r="M299" s="45"/>
    </row>
    <row r="304" spans="1:17" x14ac:dyDescent="0.2">
      <c r="A304" s="410" t="s">
        <v>2329</v>
      </c>
      <c r="B304" s="410"/>
      <c r="C304" s="410"/>
      <c r="D304" s="410"/>
      <c r="E304" s="410"/>
      <c r="F304" s="410"/>
      <c r="G304" s="410"/>
      <c r="H304" s="410"/>
      <c r="I304" s="410"/>
      <c r="J304" s="410"/>
      <c r="K304" s="410"/>
    </row>
    <row r="305" spans="1:15" x14ac:dyDescent="0.2">
      <c r="A305" s="410"/>
      <c r="B305" s="410"/>
      <c r="C305" s="410"/>
      <c r="D305" s="410"/>
      <c r="E305" s="410"/>
      <c r="F305" s="410"/>
      <c r="G305" s="410"/>
      <c r="H305" s="410"/>
      <c r="I305" s="410"/>
      <c r="J305" s="410"/>
      <c r="K305" s="410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2311384.9699999993</v>
      </c>
      <c r="C311" s="6">
        <v>2064519.29</v>
      </c>
      <c r="D311" s="6">
        <v>2018893.6000000003</v>
      </c>
      <c r="E311" s="6">
        <v>2163216.0199999991</v>
      </c>
      <c r="F311" s="6">
        <v>2043198.2299999995</v>
      </c>
      <c r="G311" s="6">
        <v>1964105.8799999994</v>
      </c>
      <c r="H311" s="6">
        <v>2160132.3400000003</v>
      </c>
      <c r="I311" s="6">
        <v>2257588.9200000004</v>
      </c>
      <c r="J311" s="6">
        <v>3015660.6499999994</v>
      </c>
      <c r="K311" s="6">
        <v>32314947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428528.74</v>
      </c>
      <c r="D312" s="6">
        <v>461929.55000000016</v>
      </c>
      <c r="E312" s="6">
        <v>622890.45999999973</v>
      </c>
      <c r="F312" s="6">
        <v>708950.89999999979</v>
      </c>
      <c r="G312" s="6">
        <v>536086.42000000004</v>
      </c>
      <c r="H312" s="6">
        <v>597133.51000000013</v>
      </c>
      <c r="I312" s="6">
        <v>938417.37999999977</v>
      </c>
      <c r="J312" s="6">
        <v>1556388.8799999997</v>
      </c>
      <c r="K312" s="6">
        <v>8210180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286967.43000000005</v>
      </c>
      <c r="D315" s="6">
        <v>167556.53</v>
      </c>
      <c r="E315" s="6">
        <v>198069.1</v>
      </c>
      <c r="F315" s="6">
        <v>211645.56</v>
      </c>
      <c r="G315" s="6">
        <v>278208.74</v>
      </c>
      <c r="H315" s="6">
        <v>219618.96000000002</v>
      </c>
      <c r="I315" s="6">
        <v>412027.76</v>
      </c>
      <c r="J315" s="6">
        <v>2051306.8900000001</v>
      </c>
      <c r="K315" s="6">
        <v>6776004</v>
      </c>
      <c r="L315"/>
      <c r="M315"/>
      <c r="N315"/>
      <c r="O315"/>
    </row>
    <row r="316" spans="1:15" ht="12.75" x14ac:dyDescent="0.2">
      <c r="A316" s="5" t="s">
        <v>30</v>
      </c>
      <c r="B316" s="6">
        <v>2817688.0399999996</v>
      </c>
      <c r="C316" s="6">
        <v>2949884.7000000007</v>
      </c>
      <c r="D316" s="6">
        <v>2649496.58</v>
      </c>
      <c r="E316" s="6">
        <v>2986097.4799999986</v>
      </c>
      <c r="F316" s="6">
        <v>2964416.2899999996</v>
      </c>
      <c r="G316" s="6">
        <v>2877806.9399999995</v>
      </c>
      <c r="H316" s="6">
        <v>2977414.8100000005</v>
      </c>
      <c r="I316" s="6">
        <v>3608566.2600000007</v>
      </c>
      <c r="J316" s="6">
        <v>6624224.5199999996</v>
      </c>
      <c r="K316" s="6">
        <v>47577598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304:K305"/>
    <mergeCell ref="B258:D258"/>
    <mergeCell ref="E258:I258"/>
    <mergeCell ref="B285:D285"/>
    <mergeCell ref="E285:I285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0.5703125" customWidth="1"/>
    <col min="13" max="13" width="19.42578125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33407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33407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30481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38407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BBCA9-B0F3-4344-9AE5-4C91FA834832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7b9d22a4-8acb-482f-b2b2-34c5e995d423"/>
    <ds:schemaRef ds:uri="http://schemas.openxmlformats.org/package/2006/metadata/core-properties"/>
    <ds:schemaRef ds:uri="http://schemas.microsoft.com/office/2006/documentManagement/types"/>
    <ds:schemaRef ds:uri="e0c9dbe0-d590-4c70-b6f5-d51eccf35a85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2025-10-29T14:19:54Z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