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lmclatch_uvm_edu/Documents/"/>
    </mc:Choice>
  </mc:AlternateContent>
  <xr:revisionPtr revIDLastSave="432" documentId="8_{8E7111ED-A10C-A642-864F-1BDBB6CE1307}" xr6:coauthVersionLast="47" xr6:coauthVersionMax="47" xr10:uidLastSave="{18BCCB7E-5E9A-4CE1-9335-1E7C84E39C9C}"/>
  <bookViews>
    <workbookView xWindow="-110" yWindow="-110" windowWidth="19420" windowHeight="10300" activeTab="1" xr2:uid="{6B8CDDAE-CAC8-1E44-94FC-360AB12F9D3C}"/>
  </bookViews>
  <sheets>
    <sheet name="Sizing" sheetId="1" r:id="rId1"/>
    <sheet name="CO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2" l="1"/>
  <c r="L23" i="2"/>
  <c r="H23" i="2"/>
  <c r="G24" i="2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B24" i="2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D8" i="1"/>
  <c r="D4" i="1"/>
  <c r="C4" i="1"/>
  <c r="E4" i="1" s="1"/>
  <c r="G4" i="1" s="1"/>
  <c r="B8" i="1"/>
  <c r="E8" i="1" s="1"/>
  <c r="F8" i="1" s="1"/>
  <c r="G13" i="1" s="1"/>
  <c r="C8" i="1" l="1"/>
  <c r="C13" i="1"/>
  <c r="J14" i="2"/>
  <c r="J13" i="2"/>
  <c r="J12" i="2"/>
  <c r="J11" i="2"/>
  <c r="J10" i="2"/>
  <c r="J9" i="2"/>
  <c r="J8" i="2"/>
  <c r="I13" i="1" l="1"/>
  <c r="J13" i="1" s="1"/>
  <c r="K13" i="1" s="1"/>
  <c r="F13" i="1"/>
  <c r="D13" i="1"/>
  <c r="E13" i="1"/>
  <c r="L13" i="1" l="1"/>
  <c r="M13" i="1" s="1"/>
  <c r="H13" i="1"/>
  <c r="B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tc={C6736428-2CFE-4F77-A42D-ED319918AD79}</author>
  </authors>
  <commentList>
    <comment ref="D4" authorId="0" shapeId="0" xr:uid="{C6736428-2CFE-4F77-A42D-ED319918AD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don’t know what this fomula is 
Reply:
    its from his example notes like where he does a full anerobic digester problem
</t>
      </text>
    </comment>
  </commentList>
</comments>
</file>

<file path=xl/sharedStrings.xml><?xml version="1.0" encoding="utf-8"?>
<sst xmlns="http://schemas.openxmlformats.org/spreadsheetml/2006/main" count="114" uniqueCount="79">
  <si>
    <t>Tank Sizing</t>
  </si>
  <si>
    <t>Volume</t>
  </si>
  <si>
    <t>SRT</t>
  </si>
  <si>
    <t>Tank Volume</t>
  </si>
  <si>
    <t>Biogas Production</t>
  </si>
  <si>
    <t>VSFw</t>
  </si>
  <si>
    <t>VCH4FW</t>
  </si>
  <si>
    <t>VCH4 Total Per day</t>
  </si>
  <si>
    <t>VCH4 Scaling</t>
  </si>
  <si>
    <t>CHECKS</t>
  </si>
  <si>
    <t>CODFw</t>
  </si>
  <si>
    <t>OLR</t>
  </si>
  <si>
    <t>C:N Ratio</t>
  </si>
  <si>
    <t>COD Consumed</t>
  </si>
  <si>
    <t>COD Removed as Biogas</t>
  </si>
  <si>
    <t>% COD Removal</t>
  </si>
  <si>
    <t>VS Destroyed</t>
  </si>
  <si>
    <t>VS Remaining</t>
  </si>
  <si>
    <t>% VS Destroyed</t>
  </si>
  <si>
    <t>VS Remaining after destroyed</t>
  </si>
  <si>
    <t>% VS Destroyed of the remaining</t>
  </si>
  <si>
    <t>Methane Produced</t>
  </si>
  <si>
    <t>Capital Expenses</t>
  </si>
  <si>
    <t>Operations and Maintenance Expenses</t>
  </si>
  <si>
    <t>Revenue</t>
  </si>
  <si>
    <t>Description</t>
  </si>
  <si>
    <t>Units</t>
  </si>
  <si>
    <t>Unit Cost</t>
  </si>
  <si>
    <t>Excavation - soil (includes hauling)</t>
  </si>
  <si>
    <t>per cubic yard</t>
  </si>
  <si>
    <t>Biogas cleaning equipment - co2 scrubber</t>
  </si>
  <si>
    <t>per standard cubic meter</t>
  </si>
  <si>
    <t>Tipping Fees</t>
  </si>
  <si>
    <t>Per Ton</t>
  </si>
  <si>
    <t>Excavation - rock (includes hauling)</t>
  </si>
  <si>
    <t>Biogas combustion generator</t>
  </si>
  <si>
    <t>per kilowatt hour</t>
  </si>
  <si>
    <t>Electricity Sales</t>
  </si>
  <si>
    <t>Per kwH</t>
  </si>
  <si>
    <t>Clearing and Grubbing</t>
  </si>
  <si>
    <t>per acre</t>
  </si>
  <si>
    <t>Biogas cleaning equipment - siloxane scrubber</t>
  </si>
  <si>
    <t>Renewable Natural Gas Sales</t>
  </si>
  <si>
    <t>Per million BTU</t>
  </si>
  <si>
    <t>Front End Loader</t>
  </si>
  <si>
    <t>per each</t>
  </si>
  <si>
    <t>Labor: Digester operator</t>
  </si>
  <si>
    <t>per year</t>
  </si>
  <si>
    <t>Biogas cleaning equipment - siloxane removal</t>
  </si>
  <si>
    <t>per standard cubic foot per minute</t>
  </si>
  <si>
    <t>Anaerobic digester O&amp;M (&gt;750,000 gal)</t>
  </si>
  <si>
    <t>per year per gallon of digester</t>
  </si>
  <si>
    <t>Anaeorbic digester O&amp;M (500,000 gal - 750,000 gal)</t>
  </si>
  <si>
    <t>per kilowatt</t>
  </si>
  <si>
    <t>Anaeorbic digester O&amp;M (100, 000 gal - 500,000 gal)</t>
  </si>
  <si>
    <t>Finish Grading</t>
  </si>
  <si>
    <t>per square foot</t>
  </si>
  <si>
    <t>Anaeorbic digester O&amp;M (&lt; 100,000 gal)</t>
  </si>
  <si>
    <t>Anaeorbic digester (&gt; 750,000 gal)</t>
  </si>
  <si>
    <t>per gallon</t>
  </si>
  <si>
    <t>Depackaging system O&amp;M (max capacity of 25 tons per hour)</t>
  </si>
  <si>
    <t>Anaeorbic digester ( 500,000 gal - 750,000 gal)</t>
  </si>
  <si>
    <t>Depackaging system O&amp;M (max capacity of 9 tons per hour)</t>
  </si>
  <si>
    <t>Anaeorbic digester (100, 000 gal - 500,000 gal)</t>
  </si>
  <si>
    <t>Depackaging system O&amp;M (max capacity of 2 tons per hour)</t>
  </si>
  <si>
    <t>Anaeorbic digester (&lt; 100,000 gal)</t>
  </si>
  <si>
    <t>Flare</t>
  </si>
  <si>
    <t>Depackaging system (max capacity of 25 tons per hour)</t>
  </si>
  <si>
    <t>Depackaging system (max capacity of 9 tons per hour)</t>
  </si>
  <si>
    <t>Depackaging system (max capacity of 2 tons per hour)</t>
  </si>
  <si>
    <t>Food Waste (lb/yr)</t>
  </si>
  <si>
    <t>Combined Waste (lb/yr)</t>
  </si>
  <si>
    <t>Density Organic Waste (lb/yd3)</t>
  </si>
  <si>
    <t>Density of water (lb/yd3)</t>
  </si>
  <si>
    <t>water (lb/yr)</t>
  </si>
  <si>
    <t>VSFw kg/d</t>
  </si>
  <si>
    <t>Year</t>
  </si>
  <si>
    <t>Expense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</si>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</sst>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8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0" xfId="0" applyFont="1"/>
    <xf numFmtId="44" fontId="2" fillId="0" borderId="0" xfId="1" applyFont="1"/>
    <xf numFmtId="44" fontId="0" fillId="0" borderId="0" xfId="1" applyFont="1"/>
    <xf numFmtId="6" fontId="0" fillId="0" borderId="0" xfId="1" applyNumberFormat="1" applyFont="1"/>
    <xf numFmtId="8" fontId="0" fillId="0" borderId="0" xfId="1" applyNumberFormat="1" applyFont="1"/>
    <xf numFmtId="44" fontId="0" fillId="0" borderId="0" xfId="1" applyFont="1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9" xfId="2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4" fontId="0" fillId="0" borderId="0" xfId="0" applyNumberFormat="1"/>
    <xf numFmtId="0" fontId="4" fillId="0" borderId="0" xfId="0" applyFont="1"/>
    <xf numFmtId="0" fontId="5" fillId="0" borderId="0" xfId="0" applyFont="1"/>
    <xf numFmtId="44" fontId="5" fillId="0" borderId="0" xfId="0" applyNumberFormat="1" applyFont="1"/>
    <xf numFmtId="0" fontId="2" fillId="0" borderId="0" xfId="0" applyFont="1" applyBorder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za Mclatchy" id="{7B6FFFC3-572D-BC47-951A-31D40622C3A2}" userId="S::lmclatch@uvm.edu::fe42f0a9-5361-4ea9-933f-8ffe03bf95be" providerId="AD"/>
  <person displayName="Matt Aeschleman" id="{8F66BFE9-549B-44B3-A605-F2BC4763C1F2}" userId="S::mfaeschl@uvm.edu::893f58c7-a08b-4ed6-a169-7360193369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3-04-25T20:18:36.83" personId="{8F66BFE9-549B-44B3-A605-F2BC4763C1F2}" id="{C6736428-2CFE-4F77-A42D-ED319918AD79}" done="1">
    <text xml:space="preserve">I don’t know what this fomula is </text>
  </threadedComment>
  <threadedComment ref="D4" dT="2023-04-26T13:35:12.98" personId="{7B6FFFC3-572D-BC47-951A-31D40622C3A2}" id="{99040155-FF23-3B45-A14D-53843C916A96}" parentId="{C6736428-2CFE-4F77-A42D-ED319918AD79}">
    <text xml:space="preserve">its from his example notes like where he does a full anerobic digester problem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9511-97D9-A048-9D1D-DA51A19AE2F8}">
  <dimension ref="B1:O13"/>
  <sheetViews>
    <sheetView topLeftCell="A3" workbookViewId="0">
      <selection activeCell="I6" sqref="I6"/>
    </sheetView>
  </sheetViews>
  <sheetFormatPr defaultColWidth="11" defaultRowHeight="15.5" x14ac:dyDescent="0.35"/>
  <cols>
    <col min="2" max="2" width="12.1640625" bestFit="1" customWidth="1"/>
    <col min="3" max="3" width="12.83203125" customWidth="1"/>
    <col min="4" max="4" width="17" customWidth="1"/>
    <col min="6" max="7" width="12.1640625" bestFit="1" customWidth="1"/>
    <col min="10" max="11" width="12.1640625" bestFit="1" customWidth="1"/>
    <col min="13" max="13" width="12.1640625" bestFit="1" customWidth="1"/>
  </cols>
  <sheetData>
    <row r="1" spans="2:15" ht="16" thickBot="1" x14ac:dyDescent="0.4"/>
    <row r="2" spans="2:15" ht="20" thickBot="1" x14ac:dyDescent="0.5">
      <c r="B2" s="14" t="s">
        <v>0</v>
      </c>
      <c r="C2" s="9"/>
      <c r="D2" s="9"/>
      <c r="E2" s="9"/>
      <c r="F2" s="9"/>
      <c r="G2" s="9"/>
    </row>
    <row r="3" spans="2:15" s="1" customFormat="1" ht="62.5" thickTop="1" x14ac:dyDescent="0.35">
      <c r="B3" s="15" t="s">
        <v>70</v>
      </c>
      <c r="C3" s="1" t="s">
        <v>71</v>
      </c>
      <c r="D3" s="1" t="s">
        <v>74</v>
      </c>
      <c r="E3" s="1" t="s">
        <v>1</v>
      </c>
      <c r="F3" s="1" t="s">
        <v>2</v>
      </c>
      <c r="G3" s="16" t="s">
        <v>3</v>
      </c>
      <c r="J3" s="1" t="s">
        <v>73</v>
      </c>
      <c r="K3" s="1" t="s">
        <v>72</v>
      </c>
    </row>
    <row r="4" spans="2:15" ht="16" thickBot="1" x14ac:dyDescent="0.4">
      <c r="B4" s="11">
        <v>328290032.17193317</v>
      </c>
      <c r="C4" s="12">
        <f>B4</f>
        <v>328290032.17193317</v>
      </c>
      <c r="D4" s="12">
        <f>((C4*0.3)-(C4*0.1))/0.1</f>
        <v>656580064.34386623</v>
      </c>
      <c r="E4" s="12">
        <f>C4*202/365</f>
        <v>181683798.62665892</v>
      </c>
      <c r="F4" s="12">
        <v>30</v>
      </c>
      <c r="G4" s="13">
        <f>F4*E4</f>
        <v>5450513958.7997675</v>
      </c>
      <c r="J4">
        <v>1686</v>
      </c>
      <c r="K4">
        <v>1000</v>
      </c>
    </row>
    <row r="5" spans="2:15" ht="16" thickBot="1" x14ac:dyDescent="0.4">
      <c r="B5" s="10"/>
    </row>
    <row r="6" spans="2:15" ht="20" thickBot="1" x14ac:dyDescent="0.5">
      <c r="B6" s="14" t="s">
        <v>4</v>
      </c>
      <c r="C6" s="9"/>
      <c r="D6" s="9"/>
      <c r="E6" s="9"/>
      <c r="F6" s="9"/>
    </row>
    <row r="7" spans="2:15" s="1" customFormat="1" ht="31.5" thickTop="1" x14ac:dyDescent="0.35">
      <c r="B7" s="15" t="s">
        <v>5</v>
      </c>
      <c r="C7" s="1" t="s">
        <v>75</v>
      </c>
      <c r="D7" s="1" t="s">
        <v>6</v>
      </c>
      <c r="E7" s="1" t="s">
        <v>7</v>
      </c>
      <c r="F7" s="16" t="s">
        <v>8</v>
      </c>
    </row>
    <row r="8" spans="2:15" ht="16" thickBot="1" x14ac:dyDescent="0.4">
      <c r="B8" s="11">
        <f>B4*2000*0.3*0.9*453.6</f>
        <v>80412673640322</v>
      </c>
      <c r="C8" s="12">
        <f>B8/1000</f>
        <v>80412673640.322006</v>
      </c>
      <c r="D8" s="12">
        <f>B8*435/1000</f>
        <v>34979513033540.07</v>
      </c>
      <c r="E8" s="12">
        <f>(D8)/365</f>
        <v>95834282283.671432</v>
      </c>
      <c r="F8" s="13">
        <f>E8*0.7</f>
        <v>67083997598.57</v>
      </c>
    </row>
    <row r="10" spans="2:15" ht="16" thickBot="1" x14ac:dyDescent="0.4"/>
    <row r="11" spans="2:15" s="1" customFormat="1" ht="20" thickBot="1" x14ac:dyDescent="0.5">
      <c r="B11" s="14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/>
    </row>
    <row r="12" spans="2:15" ht="62.5" thickTop="1" x14ac:dyDescent="0.35">
      <c r="B12" s="15" t="s">
        <v>2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  <c r="M12" s="1" t="s">
        <v>20</v>
      </c>
      <c r="N12" s="16" t="s">
        <v>21</v>
      </c>
    </row>
    <row r="13" spans="2:15" ht="16" thickBot="1" x14ac:dyDescent="0.4">
      <c r="B13" s="11">
        <f>((B8+C8)/865/1000)/(G4/264.2)</f>
        <v>4.5106364937812629</v>
      </c>
      <c r="C13" s="12">
        <f>1.03</f>
        <v>1.03</v>
      </c>
      <c r="D13" s="12">
        <f>(C8*1.53)/C8</f>
        <v>1.53</v>
      </c>
      <c r="E13" s="12">
        <f>(C8*54.8)/C8</f>
        <v>54.8</v>
      </c>
      <c r="F13" s="12">
        <f>C8*1.53</f>
        <v>123031390669.69267</v>
      </c>
      <c r="G13" s="12">
        <f>F8/22.4*16*4/1000</f>
        <v>191668564.56734288</v>
      </c>
      <c r="H13" s="12">
        <f>(G13/F13)*100</f>
        <v>0.15578834273435402</v>
      </c>
      <c r="I13" s="12">
        <f>1.53*C8/C8</f>
        <v>1.53</v>
      </c>
      <c r="J13" s="12">
        <f>(F13-G13)*1/I13</f>
        <v>80287400068.709366</v>
      </c>
      <c r="K13" s="12">
        <f>(C8-J13)/C8* 100</f>
        <v>0.15578834273435152</v>
      </c>
      <c r="L13" s="12">
        <f>F13-G13*1/C13</f>
        <v>122845304684.67584</v>
      </c>
      <c r="M13" s="12">
        <f>(C8-L13)/C8 *100</f>
        <v>-52.76858624817131</v>
      </c>
      <c r="N13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443B-2C52-2A44-9D4E-221867D7D414}">
  <dimension ref="B2:Q62"/>
  <sheetViews>
    <sheetView tabSelected="1" topLeftCell="B13" workbookViewId="0">
      <selection activeCell="G6" sqref="G6"/>
    </sheetView>
  </sheetViews>
  <sheetFormatPr defaultColWidth="11" defaultRowHeight="15.5" x14ac:dyDescent="0.35"/>
  <cols>
    <col min="3" max="3" width="51" customWidth="1"/>
    <col min="4" max="4" width="16.6640625" customWidth="1"/>
    <col min="5" max="6" width="12.6640625" customWidth="1"/>
    <col min="7" max="7" width="21" customWidth="1"/>
    <col min="8" max="8" width="38.6640625" customWidth="1"/>
    <col min="9" max="9" width="26" customWidth="1"/>
    <col min="10" max="10" width="13.1640625" customWidth="1"/>
    <col min="12" max="12" width="35.1640625" customWidth="1"/>
    <col min="16" max="16" width="19.6640625" customWidth="1"/>
  </cols>
  <sheetData>
    <row r="2" spans="3:14" x14ac:dyDescent="0.35">
      <c r="C2" s="2" t="s">
        <v>22</v>
      </c>
      <c r="D2" s="2"/>
      <c r="E2" s="2"/>
      <c r="F2" s="21"/>
      <c r="H2" s="2" t="s">
        <v>23</v>
      </c>
      <c r="I2" s="2"/>
      <c r="J2" s="2"/>
      <c r="L2" s="2" t="s">
        <v>24</v>
      </c>
      <c r="M2" s="2"/>
      <c r="N2" s="2"/>
    </row>
    <row r="3" spans="3:14" x14ac:dyDescent="0.35">
      <c r="C3" s="3" t="s">
        <v>25</v>
      </c>
      <c r="D3" s="3" t="s">
        <v>26</v>
      </c>
      <c r="E3" s="3" t="s">
        <v>27</v>
      </c>
      <c r="F3" s="3"/>
      <c r="H3" s="3" t="s">
        <v>25</v>
      </c>
      <c r="I3" s="3" t="s">
        <v>26</v>
      </c>
      <c r="J3" s="4" t="s">
        <v>27</v>
      </c>
      <c r="L3" s="3" t="s">
        <v>25</v>
      </c>
      <c r="M3" s="3" t="s">
        <v>26</v>
      </c>
      <c r="N3" s="3" t="s">
        <v>27</v>
      </c>
    </row>
    <row r="4" spans="3:14" x14ac:dyDescent="0.35">
      <c r="C4" t="s">
        <v>28</v>
      </c>
      <c r="D4" t="s">
        <v>29</v>
      </c>
      <c r="E4" s="5">
        <v>1.31</v>
      </c>
      <c r="F4" s="5"/>
      <c r="H4" t="s">
        <v>30</v>
      </c>
      <c r="I4" t="s">
        <v>31</v>
      </c>
      <c r="J4" s="5">
        <v>0.3</v>
      </c>
      <c r="L4" t="s">
        <v>32</v>
      </c>
      <c r="M4" t="s">
        <v>33</v>
      </c>
      <c r="N4" s="6">
        <v>60</v>
      </c>
    </row>
    <row r="5" spans="3:14" x14ac:dyDescent="0.35">
      <c r="C5" t="s">
        <v>34</v>
      </c>
      <c r="D5" t="s">
        <v>29</v>
      </c>
      <c r="E5" s="5">
        <v>4</v>
      </c>
      <c r="F5" s="5"/>
      <c r="H5" t="s">
        <v>35</v>
      </c>
      <c r="I5" t="s">
        <v>36</v>
      </c>
      <c r="J5" s="5">
        <v>7.0000000000000001E-3</v>
      </c>
      <c r="L5" t="s">
        <v>37</v>
      </c>
      <c r="M5" t="s">
        <v>38</v>
      </c>
      <c r="N5" s="7">
        <v>0.11</v>
      </c>
    </row>
    <row r="6" spans="3:14" x14ac:dyDescent="0.35">
      <c r="C6" t="s">
        <v>39</v>
      </c>
      <c r="D6" t="s">
        <v>40</v>
      </c>
      <c r="E6" s="5">
        <v>3643</v>
      </c>
      <c r="F6" s="5"/>
      <c r="H6" t="s">
        <v>41</v>
      </c>
      <c r="I6" t="s">
        <v>31</v>
      </c>
      <c r="J6" s="5">
        <v>0.6</v>
      </c>
      <c r="L6" t="s">
        <v>42</v>
      </c>
      <c r="M6" t="s">
        <v>43</v>
      </c>
      <c r="N6" s="6">
        <v>39</v>
      </c>
    </row>
    <row r="7" spans="3:14" x14ac:dyDescent="0.35">
      <c r="C7" t="s">
        <v>44</v>
      </c>
      <c r="D7" t="s">
        <v>45</v>
      </c>
      <c r="E7" s="5">
        <v>300000</v>
      </c>
      <c r="F7" s="5"/>
      <c r="H7" t="s">
        <v>46</v>
      </c>
      <c r="I7" t="s">
        <v>47</v>
      </c>
      <c r="J7" s="5">
        <v>152400</v>
      </c>
    </row>
    <row r="8" spans="3:14" x14ac:dyDescent="0.35">
      <c r="C8" t="s">
        <v>48</v>
      </c>
      <c r="D8" t="s">
        <v>49</v>
      </c>
      <c r="E8" s="5">
        <v>2000</v>
      </c>
      <c r="F8" s="5"/>
      <c r="H8" t="s">
        <v>50</v>
      </c>
      <c r="I8" t="s">
        <v>51</v>
      </c>
      <c r="J8" s="5">
        <f>E12*0.1</f>
        <v>0.5</v>
      </c>
    </row>
    <row r="9" spans="3:14" x14ac:dyDescent="0.35">
      <c r="C9" t="s">
        <v>30</v>
      </c>
      <c r="D9" t="s">
        <v>49</v>
      </c>
      <c r="E9" s="5">
        <v>2000</v>
      </c>
      <c r="F9" s="5"/>
      <c r="H9" t="s">
        <v>52</v>
      </c>
      <c r="I9" t="s">
        <v>51</v>
      </c>
      <c r="J9" s="5">
        <f t="shared" ref="J9:J11" si="0">E13*0.1</f>
        <v>0.70000000000000007</v>
      </c>
    </row>
    <row r="10" spans="3:14" x14ac:dyDescent="0.35">
      <c r="C10" t="s">
        <v>35</v>
      </c>
      <c r="D10" t="s">
        <v>53</v>
      </c>
      <c r="E10" s="5">
        <v>900</v>
      </c>
      <c r="F10" s="5"/>
      <c r="H10" t="s">
        <v>54</v>
      </c>
      <c r="I10" t="s">
        <v>51</v>
      </c>
      <c r="J10" s="5">
        <f t="shared" si="0"/>
        <v>1.2000000000000002</v>
      </c>
    </row>
    <row r="11" spans="3:14" x14ac:dyDescent="0.35">
      <c r="C11" t="s">
        <v>55</v>
      </c>
      <c r="D11" t="s">
        <v>56</v>
      </c>
      <c r="E11" s="5">
        <v>3.47</v>
      </c>
      <c r="F11" s="5"/>
      <c r="H11" t="s">
        <v>57</v>
      </c>
      <c r="I11" t="s">
        <v>51</v>
      </c>
      <c r="J11" s="5">
        <f t="shared" si="0"/>
        <v>1.8</v>
      </c>
    </row>
    <row r="12" spans="3:14" x14ac:dyDescent="0.35">
      <c r="C12" t="s">
        <v>58</v>
      </c>
      <c r="D12" t="s">
        <v>59</v>
      </c>
      <c r="E12" s="5">
        <v>5</v>
      </c>
      <c r="F12" s="5"/>
      <c r="H12" t="s">
        <v>60</v>
      </c>
      <c r="I12" t="s">
        <v>47</v>
      </c>
      <c r="J12" s="5">
        <f>E17*0.1</f>
        <v>1500</v>
      </c>
    </row>
    <row r="13" spans="3:14" x14ac:dyDescent="0.35">
      <c r="C13" t="s">
        <v>61</v>
      </c>
      <c r="D13" t="s">
        <v>59</v>
      </c>
      <c r="E13" s="5">
        <v>7</v>
      </c>
      <c r="F13" s="5"/>
      <c r="H13" t="s">
        <v>62</v>
      </c>
      <c r="I13" t="s">
        <v>47</v>
      </c>
      <c r="J13" s="5">
        <f t="shared" ref="J13:J14" si="1">E18*0.1</f>
        <v>650</v>
      </c>
    </row>
    <row r="14" spans="3:14" x14ac:dyDescent="0.35">
      <c r="C14" t="s">
        <v>63</v>
      </c>
      <c r="D14" t="s">
        <v>59</v>
      </c>
      <c r="E14" s="5">
        <v>12</v>
      </c>
      <c r="F14" s="5"/>
      <c r="H14" t="s">
        <v>64</v>
      </c>
      <c r="I14" t="s">
        <v>47</v>
      </c>
      <c r="J14" s="5">
        <f t="shared" si="1"/>
        <v>360</v>
      </c>
    </row>
    <row r="15" spans="3:14" x14ac:dyDescent="0.35">
      <c r="C15" t="s">
        <v>65</v>
      </c>
      <c r="D15" t="s">
        <v>59</v>
      </c>
      <c r="E15" s="5">
        <v>18</v>
      </c>
      <c r="F15" s="5"/>
    </row>
    <row r="16" spans="3:14" x14ac:dyDescent="0.35">
      <c r="C16" t="s">
        <v>66</v>
      </c>
      <c r="D16" t="s">
        <v>49</v>
      </c>
      <c r="E16" s="5">
        <v>400</v>
      </c>
      <c r="F16" s="5"/>
    </row>
    <row r="17" spans="2:17" x14ac:dyDescent="0.35">
      <c r="C17" t="s">
        <v>67</v>
      </c>
      <c r="D17" t="s">
        <v>45</v>
      </c>
      <c r="E17" s="8">
        <v>15000</v>
      </c>
      <c r="F17" s="8"/>
    </row>
    <row r="18" spans="2:17" x14ac:dyDescent="0.35">
      <c r="C18" t="s">
        <v>68</v>
      </c>
      <c r="D18" t="s">
        <v>45</v>
      </c>
      <c r="E18" s="8">
        <v>6500</v>
      </c>
      <c r="F18" s="8"/>
    </row>
    <row r="19" spans="2:17" x14ac:dyDescent="0.35">
      <c r="C19" t="s">
        <v>69</v>
      </c>
      <c r="D19" t="s">
        <v>45</v>
      </c>
      <c r="E19" s="8">
        <v>3600</v>
      </c>
      <c r="F19" s="8"/>
    </row>
    <row r="22" spans="2:17" x14ac:dyDescent="0.35">
      <c r="B22" s="3" t="s">
        <v>76</v>
      </c>
      <c r="C22" t="s">
        <v>77</v>
      </c>
      <c r="D22" t="s">
        <v>78</v>
      </c>
      <c r="E22" s="3"/>
      <c r="F22" s="3"/>
      <c r="G22" s="3" t="s">
        <v>76</v>
      </c>
      <c r="H22" t="s">
        <v>77</v>
      </c>
      <c r="I22" t="s">
        <v>78</v>
      </c>
      <c r="K22" s="18" t="s">
        <v>76</v>
      </c>
      <c r="L22" s="19" t="s">
        <v>77</v>
      </c>
      <c r="M22" s="19" t="s">
        <v>78</v>
      </c>
      <c r="O22" s="18" t="s">
        <v>76</v>
      </c>
      <c r="P22" s="19" t="s">
        <v>77</v>
      </c>
      <c r="Q22" s="19" t="s">
        <v>78</v>
      </c>
    </row>
    <row r="23" spans="2:17" x14ac:dyDescent="0.35">
      <c r="B23">
        <v>1</v>
      </c>
      <c r="C23" t="s">
        <v>58</v>
      </c>
      <c r="D23" s="17"/>
      <c r="G23">
        <v>1</v>
      </c>
      <c r="H23" t="str">
        <f>C10</f>
        <v>Biogas combustion generator</v>
      </c>
      <c r="I23" s="17"/>
      <c r="K23" s="19">
        <v>1</v>
      </c>
      <c r="L23" s="19" t="str">
        <f>H8</f>
        <v>Anaerobic digester O&amp;M (&gt;750,000 gal)</v>
      </c>
      <c r="M23" s="20"/>
      <c r="O23" s="19">
        <v>1</v>
      </c>
      <c r="P23" s="19" t="str">
        <f>H7</f>
        <v>Labor: Digester operator</v>
      </c>
      <c r="Q23" s="20"/>
    </row>
    <row r="24" spans="2:17" x14ac:dyDescent="0.35">
      <c r="B24">
        <f>1+B23</f>
        <v>2</v>
      </c>
      <c r="D24" s="17"/>
      <c r="G24">
        <f>1+G23</f>
        <v>2</v>
      </c>
      <c r="I24" s="17"/>
      <c r="K24" s="19">
        <v>2</v>
      </c>
      <c r="L24" s="19"/>
      <c r="M24" s="20"/>
      <c r="O24" s="19">
        <v>2</v>
      </c>
      <c r="P24" s="19"/>
      <c r="Q24" s="20"/>
    </row>
    <row r="25" spans="2:17" x14ac:dyDescent="0.35">
      <c r="B25">
        <f t="shared" ref="B25:B62" si="2">1+B24</f>
        <v>3</v>
      </c>
      <c r="D25" s="17"/>
      <c r="G25">
        <f t="shared" ref="G25:G62" si="3">1+G24</f>
        <v>3</v>
      </c>
      <c r="I25" s="17"/>
      <c r="K25" s="19">
        <v>3</v>
      </c>
      <c r="L25" s="19"/>
      <c r="M25" s="20"/>
      <c r="O25" s="19">
        <v>3</v>
      </c>
      <c r="P25" s="19"/>
      <c r="Q25" s="20"/>
    </row>
    <row r="26" spans="2:17" x14ac:dyDescent="0.35">
      <c r="B26">
        <f t="shared" si="2"/>
        <v>4</v>
      </c>
      <c r="D26" s="17"/>
      <c r="G26">
        <f t="shared" si="3"/>
        <v>4</v>
      </c>
      <c r="I26" s="17"/>
      <c r="K26" s="19">
        <v>4</v>
      </c>
      <c r="L26" s="19"/>
      <c r="M26" s="20"/>
      <c r="O26" s="19">
        <v>4</v>
      </c>
      <c r="P26" s="19"/>
      <c r="Q26" s="20"/>
    </row>
    <row r="27" spans="2:17" x14ac:dyDescent="0.35">
      <c r="B27">
        <f t="shared" si="2"/>
        <v>5</v>
      </c>
      <c r="D27" s="17"/>
      <c r="G27">
        <f t="shared" si="3"/>
        <v>5</v>
      </c>
      <c r="I27" s="17"/>
      <c r="K27" s="19">
        <v>5</v>
      </c>
      <c r="L27" s="19"/>
      <c r="M27" s="20"/>
      <c r="O27" s="19">
        <v>5</v>
      </c>
      <c r="P27" s="19"/>
      <c r="Q27" s="20"/>
    </row>
    <row r="28" spans="2:17" x14ac:dyDescent="0.35">
      <c r="B28">
        <f t="shared" si="2"/>
        <v>6</v>
      </c>
      <c r="D28" s="17"/>
      <c r="G28">
        <f t="shared" si="3"/>
        <v>6</v>
      </c>
      <c r="I28" s="17"/>
      <c r="K28" s="19">
        <v>6</v>
      </c>
      <c r="L28" s="19"/>
      <c r="M28" s="20"/>
      <c r="O28" s="19">
        <v>6</v>
      </c>
      <c r="P28" s="19"/>
      <c r="Q28" s="20"/>
    </row>
    <row r="29" spans="2:17" x14ac:dyDescent="0.35">
      <c r="B29">
        <f t="shared" si="2"/>
        <v>7</v>
      </c>
      <c r="D29" s="17"/>
      <c r="G29">
        <f t="shared" si="3"/>
        <v>7</v>
      </c>
      <c r="I29" s="17"/>
      <c r="K29" s="19">
        <v>7</v>
      </c>
      <c r="L29" s="19"/>
      <c r="M29" s="20"/>
      <c r="O29" s="19">
        <v>7</v>
      </c>
      <c r="P29" s="19"/>
      <c r="Q29" s="20"/>
    </row>
    <row r="30" spans="2:17" x14ac:dyDescent="0.35">
      <c r="B30">
        <f t="shared" si="2"/>
        <v>8</v>
      </c>
      <c r="D30" s="17"/>
      <c r="G30">
        <f t="shared" si="3"/>
        <v>8</v>
      </c>
      <c r="I30" s="17"/>
      <c r="K30" s="19">
        <v>8</v>
      </c>
      <c r="L30" s="19"/>
      <c r="M30" s="20"/>
      <c r="O30" s="19">
        <v>8</v>
      </c>
      <c r="P30" s="19"/>
      <c r="Q30" s="20"/>
    </row>
    <row r="31" spans="2:17" x14ac:dyDescent="0.35">
      <c r="B31">
        <f t="shared" si="2"/>
        <v>9</v>
      </c>
      <c r="D31" s="17"/>
      <c r="G31">
        <f t="shared" si="3"/>
        <v>9</v>
      </c>
      <c r="I31" s="17"/>
      <c r="K31" s="19">
        <v>9</v>
      </c>
      <c r="L31" s="19"/>
      <c r="M31" s="20"/>
      <c r="O31" s="19">
        <v>9</v>
      </c>
      <c r="P31" s="19"/>
      <c r="Q31" s="20"/>
    </row>
    <row r="32" spans="2:17" x14ac:dyDescent="0.35">
      <c r="B32">
        <f t="shared" si="2"/>
        <v>10</v>
      </c>
      <c r="G32">
        <f t="shared" si="3"/>
        <v>10</v>
      </c>
      <c r="K32" s="19">
        <v>10</v>
      </c>
      <c r="L32" s="19"/>
      <c r="M32" s="19"/>
      <c r="O32" s="19">
        <v>10</v>
      </c>
      <c r="P32" s="19"/>
      <c r="Q32" s="19"/>
    </row>
    <row r="33" spans="2:17" x14ac:dyDescent="0.35">
      <c r="B33">
        <f t="shared" si="2"/>
        <v>11</v>
      </c>
      <c r="G33">
        <f t="shared" si="3"/>
        <v>11</v>
      </c>
      <c r="K33" s="19">
        <v>11</v>
      </c>
      <c r="L33" s="19"/>
      <c r="M33" s="19"/>
      <c r="O33" s="19">
        <v>11</v>
      </c>
      <c r="P33" s="19"/>
      <c r="Q33" s="19"/>
    </row>
    <row r="34" spans="2:17" x14ac:dyDescent="0.35">
      <c r="B34">
        <f t="shared" si="2"/>
        <v>12</v>
      </c>
      <c r="G34">
        <f t="shared" si="3"/>
        <v>12</v>
      </c>
      <c r="K34" s="19">
        <v>12</v>
      </c>
      <c r="L34" s="19"/>
      <c r="M34" s="19"/>
      <c r="O34" s="19">
        <v>12</v>
      </c>
      <c r="P34" s="19"/>
      <c r="Q34" s="19"/>
    </row>
    <row r="35" spans="2:17" x14ac:dyDescent="0.35">
      <c r="B35">
        <f t="shared" si="2"/>
        <v>13</v>
      </c>
      <c r="G35">
        <f t="shared" si="3"/>
        <v>13</v>
      </c>
      <c r="K35" s="19">
        <v>13</v>
      </c>
      <c r="L35" s="19"/>
      <c r="M35" s="19"/>
      <c r="O35" s="19">
        <v>13</v>
      </c>
      <c r="P35" s="19"/>
      <c r="Q35" s="19"/>
    </row>
    <row r="36" spans="2:17" x14ac:dyDescent="0.35">
      <c r="B36">
        <f t="shared" si="2"/>
        <v>14</v>
      </c>
      <c r="G36">
        <f t="shared" si="3"/>
        <v>14</v>
      </c>
      <c r="K36" s="19">
        <v>14</v>
      </c>
      <c r="L36" s="19"/>
      <c r="M36" s="19"/>
      <c r="O36" s="19">
        <v>14</v>
      </c>
      <c r="P36" s="19"/>
      <c r="Q36" s="19"/>
    </row>
    <row r="37" spans="2:17" x14ac:dyDescent="0.35">
      <c r="B37">
        <f t="shared" si="2"/>
        <v>15</v>
      </c>
      <c r="G37">
        <f t="shared" si="3"/>
        <v>15</v>
      </c>
      <c r="K37" s="19">
        <v>15</v>
      </c>
      <c r="L37" s="19"/>
      <c r="M37" s="19"/>
      <c r="O37" s="19">
        <v>15</v>
      </c>
      <c r="P37" s="19"/>
      <c r="Q37" s="19"/>
    </row>
    <row r="38" spans="2:17" x14ac:dyDescent="0.35">
      <c r="B38">
        <f t="shared" si="2"/>
        <v>16</v>
      </c>
      <c r="G38">
        <f t="shared" si="3"/>
        <v>16</v>
      </c>
      <c r="K38" s="19">
        <v>16</v>
      </c>
      <c r="L38" s="19"/>
      <c r="M38" s="19"/>
      <c r="O38" s="19">
        <v>16</v>
      </c>
      <c r="P38" s="19"/>
      <c r="Q38" s="19"/>
    </row>
    <row r="39" spans="2:17" x14ac:dyDescent="0.35">
      <c r="B39">
        <f t="shared" si="2"/>
        <v>17</v>
      </c>
      <c r="G39">
        <f t="shared" si="3"/>
        <v>17</v>
      </c>
      <c r="K39" s="19">
        <v>17</v>
      </c>
      <c r="L39" s="19"/>
      <c r="M39" s="19"/>
      <c r="O39" s="19">
        <v>17</v>
      </c>
      <c r="P39" s="19"/>
      <c r="Q39" s="19"/>
    </row>
    <row r="40" spans="2:17" x14ac:dyDescent="0.35">
      <c r="B40">
        <f t="shared" si="2"/>
        <v>18</v>
      </c>
      <c r="G40">
        <f t="shared" si="3"/>
        <v>18</v>
      </c>
      <c r="K40" s="19">
        <v>18</v>
      </c>
      <c r="L40" s="19"/>
      <c r="M40" s="19"/>
      <c r="O40" s="19">
        <v>18</v>
      </c>
      <c r="P40" s="19"/>
      <c r="Q40" s="19"/>
    </row>
    <row r="41" spans="2:17" x14ac:dyDescent="0.35">
      <c r="B41">
        <f t="shared" si="2"/>
        <v>19</v>
      </c>
      <c r="G41">
        <f t="shared" si="3"/>
        <v>19</v>
      </c>
      <c r="K41" s="19">
        <v>19</v>
      </c>
      <c r="L41" s="19"/>
      <c r="M41" s="19"/>
      <c r="O41" s="19">
        <v>19</v>
      </c>
      <c r="P41" s="19"/>
      <c r="Q41" s="19"/>
    </row>
    <row r="42" spans="2:17" x14ac:dyDescent="0.35">
      <c r="B42">
        <f t="shared" si="2"/>
        <v>20</v>
      </c>
      <c r="G42">
        <f t="shared" si="3"/>
        <v>20</v>
      </c>
      <c r="K42" s="19">
        <v>20</v>
      </c>
      <c r="L42" s="19"/>
      <c r="M42" s="19"/>
      <c r="O42" s="19">
        <v>20</v>
      </c>
      <c r="P42" s="19"/>
      <c r="Q42" s="19"/>
    </row>
    <row r="43" spans="2:17" x14ac:dyDescent="0.35">
      <c r="B43">
        <f t="shared" si="2"/>
        <v>21</v>
      </c>
      <c r="G43">
        <f t="shared" si="3"/>
        <v>21</v>
      </c>
      <c r="K43" s="19">
        <v>21</v>
      </c>
      <c r="L43" s="19"/>
      <c r="M43" s="19"/>
      <c r="O43" s="19">
        <v>21</v>
      </c>
      <c r="P43" s="19"/>
      <c r="Q43" s="19"/>
    </row>
    <row r="44" spans="2:17" x14ac:dyDescent="0.35">
      <c r="B44">
        <f t="shared" si="2"/>
        <v>22</v>
      </c>
      <c r="G44">
        <f t="shared" si="3"/>
        <v>22</v>
      </c>
      <c r="K44" s="19">
        <v>22</v>
      </c>
      <c r="L44" s="19"/>
      <c r="M44" s="19"/>
      <c r="O44" s="19">
        <v>22</v>
      </c>
      <c r="P44" s="19"/>
      <c r="Q44" s="19"/>
    </row>
    <row r="45" spans="2:17" x14ac:dyDescent="0.35">
      <c r="B45">
        <f t="shared" si="2"/>
        <v>23</v>
      </c>
      <c r="G45">
        <f t="shared" si="3"/>
        <v>23</v>
      </c>
      <c r="K45" s="19">
        <v>23</v>
      </c>
      <c r="L45" s="19"/>
      <c r="M45" s="19"/>
      <c r="O45" s="19">
        <v>23</v>
      </c>
      <c r="P45" s="19"/>
      <c r="Q45" s="19"/>
    </row>
    <row r="46" spans="2:17" x14ac:dyDescent="0.35">
      <c r="B46">
        <f t="shared" si="2"/>
        <v>24</v>
      </c>
      <c r="G46">
        <f t="shared" si="3"/>
        <v>24</v>
      </c>
      <c r="K46" s="19">
        <v>24</v>
      </c>
      <c r="L46" s="19"/>
      <c r="M46" s="19"/>
      <c r="O46" s="19">
        <v>24</v>
      </c>
      <c r="P46" s="19"/>
      <c r="Q46" s="19"/>
    </row>
    <row r="47" spans="2:17" x14ac:dyDescent="0.35">
      <c r="B47">
        <f t="shared" si="2"/>
        <v>25</v>
      </c>
      <c r="G47">
        <f t="shared" si="3"/>
        <v>25</v>
      </c>
      <c r="K47" s="19">
        <v>25</v>
      </c>
      <c r="L47" s="19"/>
      <c r="M47" s="19"/>
      <c r="O47" s="19">
        <v>25</v>
      </c>
      <c r="P47" s="19"/>
      <c r="Q47" s="19"/>
    </row>
    <row r="48" spans="2:17" x14ac:dyDescent="0.35">
      <c r="B48">
        <f t="shared" si="2"/>
        <v>26</v>
      </c>
      <c r="G48">
        <f t="shared" si="3"/>
        <v>26</v>
      </c>
      <c r="K48" s="19">
        <v>26</v>
      </c>
      <c r="L48" s="19"/>
      <c r="M48" s="19"/>
      <c r="O48" s="19">
        <v>26</v>
      </c>
      <c r="P48" s="19"/>
      <c r="Q48" s="19"/>
    </row>
    <row r="49" spans="2:17" x14ac:dyDescent="0.35">
      <c r="B49">
        <f t="shared" si="2"/>
        <v>27</v>
      </c>
      <c r="G49">
        <f t="shared" si="3"/>
        <v>27</v>
      </c>
      <c r="K49" s="19">
        <v>27</v>
      </c>
      <c r="L49" s="19"/>
      <c r="M49" s="19"/>
      <c r="O49" s="19">
        <v>27</v>
      </c>
      <c r="P49" s="19"/>
      <c r="Q49" s="19"/>
    </row>
    <row r="50" spans="2:17" x14ac:dyDescent="0.35">
      <c r="B50">
        <f t="shared" si="2"/>
        <v>28</v>
      </c>
      <c r="G50">
        <f t="shared" si="3"/>
        <v>28</v>
      </c>
      <c r="K50" s="19">
        <v>28</v>
      </c>
      <c r="L50" s="19"/>
      <c r="M50" s="19"/>
      <c r="O50" s="19">
        <v>28</v>
      </c>
      <c r="P50" s="19"/>
      <c r="Q50" s="19"/>
    </row>
    <row r="51" spans="2:17" x14ac:dyDescent="0.35">
      <c r="B51">
        <f t="shared" si="2"/>
        <v>29</v>
      </c>
      <c r="G51">
        <f t="shared" si="3"/>
        <v>29</v>
      </c>
      <c r="K51" s="19">
        <v>29</v>
      </c>
      <c r="L51" s="19"/>
      <c r="M51" s="19"/>
      <c r="O51" s="19">
        <v>29</v>
      </c>
      <c r="P51" s="19"/>
      <c r="Q51" s="19"/>
    </row>
    <row r="52" spans="2:17" x14ac:dyDescent="0.35">
      <c r="B52">
        <f t="shared" si="2"/>
        <v>30</v>
      </c>
      <c r="G52">
        <f t="shared" si="3"/>
        <v>30</v>
      </c>
      <c r="K52" s="19">
        <v>30</v>
      </c>
      <c r="L52" s="19"/>
      <c r="M52" s="19"/>
      <c r="O52" s="19">
        <v>30</v>
      </c>
      <c r="P52" s="19"/>
      <c r="Q52" s="19"/>
    </row>
    <row r="53" spans="2:17" x14ac:dyDescent="0.35">
      <c r="B53">
        <f t="shared" si="2"/>
        <v>31</v>
      </c>
      <c r="G53">
        <f t="shared" si="3"/>
        <v>31</v>
      </c>
      <c r="K53" s="19">
        <v>31</v>
      </c>
      <c r="L53" s="19"/>
      <c r="M53" s="19"/>
      <c r="O53" s="19">
        <v>31</v>
      </c>
      <c r="P53" s="19"/>
      <c r="Q53" s="19"/>
    </row>
    <row r="54" spans="2:17" x14ac:dyDescent="0.35">
      <c r="B54">
        <f t="shared" si="2"/>
        <v>32</v>
      </c>
      <c r="G54">
        <f t="shared" si="3"/>
        <v>32</v>
      </c>
      <c r="K54" s="19">
        <v>32</v>
      </c>
      <c r="L54" s="19"/>
      <c r="M54" s="19"/>
      <c r="O54" s="19">
        <v>32</v>
      </c>
      <c r="P54" s="19"/>
      <c r="Q54" s="19"/>
    </row>
    <row r="55" spans="2:17" x14ac:dyDescent="0.35">
      <c r="B55">
        <f t="shared" si="2"/>
        <v>33</v>
      </c>
      <c r="G55">
        <f t="shared" si="3"/>
        <v>33</v>
      </c>
      <c r="K55" s="19">
        <v>33</v>
      </c>
      <c r="L55" s="19"/>
      <c r="M55" s="19"/>
      <c r="O55" s="19">
        <v>33</v>
      </c>
      <c r="P55" s="19"/>
      <c r="Q55" s="19"/>
    </row>
    <row r="56" spans="2:17" x14ac:dyDescent="0.35">
      <c r="B56">
        <f t="shared" si="2"/>
        <v>34</v>
      </c>
      <c r="G56">
        <f t="shared" si="3"/>
        <v>34</v>
      </c>
      <c r="K56" s="19">
        <v>34</v>
      </c>
      <c r="L56" s="19"/>
      <c r="M56" s="19"/>
      <c r="O56" s="19">
        <v>34</v>
      </c>
      <c r="P56" s="19"/>
      <c r="Q56" s="19"/>
    </row>
    <row r="57" spans="2:17" x14ac:dyDescent="0.35">
      <c r="B57">
        <f t="shared" si="2"/>
        <v>35</v>
      </c>
      <c r="G57">
        <f t="shared" si="3"/>
        <v>35</v>
      </c>
      <c r="K57" s="19">
        <v>35</v>
      </c>
      <c r="L57" s="19"/>
      <c r="M57" s="19"/>
      <c r="O57" s="19">
        <v>35</v>
      </c>
      <c r="P57" s="19"/>
      <c r="Q57" s="19"/>
    </row>
    <row r="58" spans="2:17" x14ac:dyDescent="0.35">
      <c r="B58">
        <f t="shared" si="2"/>
        <v>36</v>
      </c>
      <c r="G58">
        <f t="shared" si="3"/>
        <v>36</v>
      </c>
      <c r="K58" s="19">
        <v>36</v>
      </c>
      <c r="L58" s="19"/>
      <c r="M58" s="19"/>
      <c r="O58" s="19">
        <v>36</v>
      </c>
      <c r="P58" s="19"/>
      <c r="Q58" s="19"/>
    </row>
    <row r="59" spans="2:17" x14ac:dyDescent="0.35">
      <c r="B59">
        <f t="shared" si="2"/>
        <v>37</v>
      </c>
      <c r="G59">
        <f t="shared" si="3"/>
        <v>37</v>
      </c>
      <c r="K59" s="19">
        <v>37</v>
      </c>
      <c r="L59" s="19"/>
      <c r="M59" s="19"/>
      <c r="O59" s="19">
        <v>37</v>
      </c>
      <c r="P59" s="19"/>
      <c r="Q59" s="19"/>
    </row>
    <row r="60" spans="2:17" x14ac:dyDescent="0.35">
      <c r="B60">
        <f t="shared" si="2"/>
        <v>38</v>
      </c>
      <c r="G60">
        <f t="shared" si="3"/>
        <v>38</v>
      </c>
      <c r="K60" s="19">
        <v>38</v>
      </c>
      <c r="L60" s="19"/>
      <c r="M60" s="19"/>
      <c r="O60" s="19">
        <v>38</v>
      </c>
      <c r="P60" s="19"/>
      <c r="Q60" s="19"/>
    </row>
    <row r="61" spans="2:17" x14ac:dyDescent="0.35">
      <c r="B61">
        <f t="shared" si="2"/>
        <v>39</v>
      </c>
      <c r="G61">
        <f t="shared" si="3"/>
        <v>39</v>
      </c>
      <c r="K61" s="19">
        <v>39</v>
      </c>
      <c r="L61" s="19"/>
      <c r="M61" s="19"/>
      <c r="O61" s="19">
        <v>39</v>
      </c>
      <c r="P61" s="19"/>
      <c r="Q61" s="19"/>
    </row>
    <row r="62" spans="2:17" x14ac:dyDescent="0.35">
      <c r="B62">
        <f t="shared" si="2"/>
        <v>40</v>
      </c>
      <c r="G62">
        <f t="shared" si="3"/>
        <v>40</v>
      </c>
      <c r="K62" s="19">
        <v>40</v>
      </c>
      <c r="L62" s="19"/>
      <c r="M62" s="19"/>
      <c r="O62" s="19">
        <v>40</v>
      </c>
      <c r="P62" s="19"/>
      <c r="Q6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Sizing</vt:lpstr>
      <vt:lpstr>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Matthew Aeschleman</cp:lastModifiedBy>
  <cp:revision/>
  <dcterms:created xsi:type="dcterms:W3CDTF">2023-04-12T18:19:54Z</dcterms:created>
  <dcterms:modified xsi:type="dcterms:W3CDTF">2023-05-10T17:14:02Z</dcterms:modified>
  <cp:category/>
  <cp:contentStatus/>
</cp:coreProperties>
</file>