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lmclatch_uvm_edu/Documents/"/>
    </mc:Choice>
  </mc:AlternateContent>
  <xr:revisionPtr revIDLastSave="767" documentId="8_{4A2EDA53-B0B9-A147-A402-9DE6DE15FEAD}" xr6:coauthVersionLast="47" xr6:coauthVersionMax="47" xr10:uidLastSave="{E4A512AC-2F5D-9E46-919D-286196E55733}"/>
  <bookViews>
    <workbookView xWindow="5720" yWindow="1740" windowWidth="27420" windowHeight="17440" activeTab="1" xr2:uid="{E36FB625-1A6A-B245-97A6-2CC284978CFC}"/>
  </bookViews>
  <sheets>
    <sheet name="Ethan Carlson" sheetId="2" r:id="rId1"/>
    <sheet name="Stowe Electric" sheetId="3" r:id="rId2"/>
    <sheet name="CO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3" l="1"/>
  <c r="C18" i="3"/>
  <c r="G32" i="2"/>
  <c r="E7" i="4"/>
  <c r="F7" i="4" s="1"/>
  <c r="F6" i="4"/>
  <c r="F5" i="4"/>
  <c r="F4" i="4"/>
  <c r="J15" i="3"/>
  <c r="J12" i="3"/>
  <c r="J26" i="2"/>
  <c r="E18" i="3"/>
  <c r="D12" i="3"/>
  <c r="D15" i="3"/>
  <c r="D29" i="2"/>
  <c r="C29" i="2" s="1"/>
  <c r="J29" i="2" s="1"/>
  <c r="D26" i="2"/>
  <c r="E32" i="2"/>
  <c r="B11" i="2"/>
  <c r="E26" i="2"/>
  <c r="E21" i="2"/>
  <c r="F29" i="2"/>
  <c r="E29" i="2"/>
  <c r="F26" i="2"/>
  <c r="C7" i="3"/>
  <c r="E7" i="3" s="1"/>
  <c r="E15" i="3"/>
  <c r="E12" i="3"/>
  <c r="B3" i="3"/>
  <c r="D3" i="3"/>
  <c r="B3" i="2"/>
  <c r="D3" i="2"/>
  <c r="D11" i="2"/>
  <c r="F8" i="4" l="1"/>
  <c r="C15" i="3"/>
  <c r="C26" i="2"/>
  <c r="F3" i="2"/>
  <c r="G3" i="2" s="1"/>
  <c r="H3" i="2" s="1"/>
  <c r="I3" i="2" s="1"/>
  <c r="J3" i="2" s="1"/>
  <c r="F11" i="2"/>
  <c r="G11" i="2" s="1"/>
  <c r="H11" i="2" s="1"/>
  <c r="I11" i="2" s="1"/>
  <c r="J11" i="2" s="1"/>
  <c r="G3" i="3"/>
  <c r="C12" i="3"/>
  <c r="B15" i="2" l="1"/>
  <c r="H3" i="3"/>
  <c r="I3" i="3" s="1"/>
  <c r="J3" i="3" s="1"/>
  <c r="K3" i="3" s="1"/>
  <c r="F3" i="3"/>
</calcChain>
</file>

<file path=xl/sharedStrings.xml><?xml version="1.0" encoding="utf-8"?>
<sst xmlns="http://schemas.openxmlformats.org/spreadsheetml/2006/main" count="119" uniqueCount="55">
  <si>
    <t>Precip Depth (in)</t>
  </si>
  <si>
    <t>Rv</t>
  </si>
  <si>
    <t>I (% of impervious)</t>
  </si>
  <si>
    <t>CN</t>
  </si>
  <si>
    <t>Qa (in)</t>
  </si>
  <si>
    <t>S</t>
  </si>
  <si>
    <t>DRAINAGE BASIN SIZING</t>
  </si>
  <si>
    <t>1 inch, 24hr storm</t>
  </si>
  <si>
    <t>ORIFICE SIZING</t>
  </si>
  <si>
    <t>Coeff</t>
  </si>
  <si>
    <t>Cv</t>
  </si>
  <si>
    <t>Cc</t>
  </si>
  <si>
    <t>#1</t>
  </si>
  <si>
    <t>#2</t>
  </si>
  <si>
    <t>PIPE</t>
  </si>
  <si>
    <t>Area ft^2</t>
  </si>
  <si>
    <t>Flow (ft^3/s)</t>
  </si>
  <si>
    <t>SHORT-TUBE ORIFICE</t>
  </si>
  <si>
    <t>CIRCULAR MANHOLE</t>
  </si>
  <si>
    <t>Current Set-Up</t>
  </si>
  <si>
    <t>Proposed Built</t>
  </si>
  <si>
    <t>Difference of Water</t>
  </si>
  <si>
    <t>(Based on 1inch, 24 hour storm)</t>
  </si>
  <si>
    <t>Height from top (ft)</t>
  </si>
  <si>
    <t xml:space="preserve">Height from top (ft) </t>
  </si>
  <si>
    <t>Q (runoff depth (in))</t>
  </si>
  <si>
    <t>WQv (acre-ft.)</t>
  </si>
  <si>
    <t>Area (acres)</t>
  </si>
  <si>
    <t>Area (acre)</t>
  </si>
  <si>
    <t>WQv (acre feet)</t>
  </si>
  <si>
    <t>WQv (cubic feet)</t>
  </si>
  <si>
    <t>WQv (feet^3)</t>
  </si>
  <si>
    <t>Length (ft)</t>
  </si>
  <si>
    <t>G (ft/s^2)</t>
  </si>
  <si>
    <t>Velocity (ft^2/s)</t>
  </si>
  <si>
    <t>Volume (ft^3)</t>
  </si>
  <si>
    <t>Diameter (ft)</t>
  </si>
  <si>
    <t>Radius (ft)</t>
  </si>
  <si>
    <t>Height (ft)</t>
  </si>
  <si>
    <t>Diameter (in)</t>
  </si>
  <si>
    <t>PIPE SIZING</t>
  </si>
  <si>
    <t>Radius(ft)</t>
  </si>
  <si>
    <t>Area (ft^2)</t>
  </si>
  <si>
    <t>Cost Estimation</t>
  </si>
  <si>
    <t>Units</t>
  </si>
  <si>
    <t>Item Description</t>
  </si>
  <si>
    <t>Avg. Price</t>
  </si>
  <si>
    <t>Amount Needed</t>
  </si>
  <si>
    <t>Total Price</t>
  </si>
  <si>
    <t xml:space="preserve">PRECAST REINFORCED CONCRETE MANHOLE WITH CAST IRON COVER </t>
  </si>
  <si>
    <t xml:space="preserve">EACH </t>
  </si>
  <si>
    <t xml:space="preserve">UNDERDRAIN PIPE, 6 INCHES </t>
  </si>
  <si>
    <t>LF</t>
  </si>
  <si>
    <t xml:space="preserve">UNDERDRAIN CARRIER PIPE, 10 INCHES </t>
  </si>
  <si>
    <t>CLEANING CULVERT PIPE, IN-PLACE [0 TO 24 IN., INCL.]  (O&amp;M)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</si>
</sst>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 applyAlignment="1">
      <alignment wrapText="1"/>
    </xf>
    <xf numFmtId="0" fontId="0" fillId="2" borderId="0" xfId="0" applyFill="1"/>
    <xf numFmtId="0" fontId="2" fillId="0" borderId="1" xfId="0" applyFont="1" applyBorder="1"/>
    <xf numFmtId="0" fontId="3" fillId="0" borderId="1" xfId="0" applyFont="1" applyBorder="1"/>
    <xf numFmtId="1" fontId="3" fillId="0" borderId="1" xfId="0" applyNumberFormat="1" applyFont="1" applyBorder="1"/>
    <xf numFmtId="0" fontId="2" fillId="0" borderId="1" xfId="0" applyFont="1" applyBorder="1" applyAlignment="1">
      <alignment wrapText="1"/>
    </xf>
    <xf numFmtId="165" fontId="3" fillId="0" borderId="1" xfId="0" applyNumberFormat="1" applyFont="1" applyBorder="1"/>
    <xf numFmtId="2" fontId="3" fillId="0" borderId="1" xfId="0" applyNumberFormat="1" applyFont="1" applyBorder="1"/>
    <xf numFmtId="164" fontId="3" fillId="0" borderId="1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8" xfId="0" applyNumberFormat="1" applyFont="1" applyBorder="1"/>
    <xf numFmtId="0" fontId="3" fillId="0" borderId="8" xfId="0" applyFont="1" applyBorder="1"/>
    <xf numFmtId="0" fontId="3" fillId="0" borderId="9" xfId="0" applyFont="1" applyBorder="1"/>
    <xf numFmtId="164" fontId="3" fillId="0" borderId="2" xfId="0" applyNumberFormat="1" applyFont="1" applyBorder="1" applyAlignment="1">
      <alignment horizontal="left" indent="5"/>
    </xf>
    <xf numFmtId="0" fontId="3" fillId="0" borderId="0" xfId="0" applyFont="1"/>
    <xf numFmtId="8" fontId="3" fillId="0" borderId="1" xfId="0" applyNumberFormat="1" applyFont="1" applyBorder="1"/>
    <xf numFmtId="8" fontId="4" fillId="0" borderId="1" xfId="0" applyNumberFormat="1" applyFont="1" applyBorder="1"/>
    <xf numFmtId="0" fontId="3" fillId="0" borderId="3" xfId="0" applyFont="1" applyBorder="1"/>
    <xf numFmtId="8" fontId="3" fillId="0" borderId="2" xfId="0" applyNumberFormat="1" applyFont="1" applyBorder="1"/>
    <xf numFmtId="8" fontId="2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520700</xdr:colOff>
      <xdr:row>0</xdr:row>
      <xdr:rowOff>88900</xdr:rowOff>
    </xdr:from>
    <xdr:to>
      <xdr:col>20</xdr:col>
      <xdr:colOff>38100</xdr:colOff>
      <xdr:row>15</xdr:row>
      <xdr:rowOff>34471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A4F9D-60B9-1396-1597-C14CBA8C8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88900"/>
          <a:ext cx="7772400" cy="3450771"/>
        </a:xfrm>
        <a:prstGeom prst="rect">
          <a:avLst/>
        </a:prstGeom>
      </xdr:spPr>
    </xdr:pic>
    <xdr:clientData/>
  </xdr:twoCellAnchor>
  <xdr:twoCellAnchor editAs="oneCell">
    <xdr:from>
      <xdr:col>10</xdr:col>
      <xdr:colOff>546100</xdr:colOff>
      <xdr:row>14</xdr:row>
      <xdr:rowOff>177800</xdr:rowOff>
    </xdr:from>
    <xdr:to>
      <xdr:col>20</xdr:col>
      <xdr:colOff>63500</xdr:colOff>
      <xdr:row>24</xdr:row>
      <xdr:rowOff>450117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D85436-6565-B85F-CF00-1A5DE6619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9800" y="3479800"/>
          <a:ext cx="7772400" cy="2304317"/>
        </a:xfrm>
        <a:prstGeom prst="rect">
          <a:avLst/>
        </a:prstGeom>
      </xdr:spPr>
    </xdr:pic>
    <xdr:clientData/>
  </xdr:twoCellAnchor>
  <xdr:twoCellAnchor editAs="oneCell">
    <xdr:from>
      <xdr:col>10</xdr:col>
      <xdr:colOff>609600</xdr:colOff>
      <xdr:row>24</xdr:row>
      <xdr:rowOff>381000</xdr:rowOff>
    </xdr:from>
    <xdr:to>
      <xdr:col>20</xdr:col>
      <xdr:colOff>127000</xdr:colOff>
      <xdr:row>34</xdr:row>
      <xdr:rowOff>47391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C4A868E-0E73-80C6-F074-CA416C36F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3300" y="5715000"/>
          <a:ext cx="7772400" cy="2587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10136-6E12-BC4C-BB98-D50CF8FA9182}">
  <dimension ref="B1:K34"/>
  <sheetViews>
    <sheetView topLeftCell="A6" workbookViewId="0">
      <selection activeCell="G33" sqref="G33"/>
    </sheetView>
  </sheetViews>
  <sheetFormatPr baseColWidth="10" defaultRowHeight="16" x14ac:dyDescent="0.2"/>
  <cols>
    <col min="2" max="2" width="18.5" customWidth="1"/>
    <col min="3" max="3" width="17.1640625" customWidth="1"/>
    <col min="5" max="5" width="12.6640625" bestFit="1" customWidth="1"/>
    <col min="7" max="7" width="14.33203125" customWidth="1"/>
    <col min="10" max="10" width="15.5" customWidth="1"/>
  </cols>
  <sheetData>
    <row r="1" spans="2:11" x14ac:dyDescent="0.2">
      <c r="B1" s="2" t="s">
        <v>19</v>
      </c>
      <c r="C1" t="s">
        <v>22</v>
      </c>
    </row>
    <row r="2" spans="2:11" ht="34" x14ac:dyDescent="0.2">
      <c r="B2" s="1" t="s">
        <v>28</v>
      </c>
      <c r="C2" s="1" t="s">
        <v>0</v>
      </c>
      <c r="D2" s="1" t="s">
        <v>1</v>
      </c>
      <c r="E2" s="1" t="s">
        <v>2</v>
      </c>
      <c r="F2" s="1" t="s">
        <v>29</v>
      </c>
      <c r="G2" s="1" t="s">
        <v>4</v>
      </c>
      <c r="H2" s="1" t="s">
        <v>3</v>
      </c>
      <c r="I2" s="1" t="s">
        <v>5</v>
      </c>
      <c r="J2" s="1" t="s">
        <v>25</v>
      </c>
    </row>
    <row r="3" spans="2:11" x14ac:dyDescent="0.2">
      <c r="B3">
        <f>3400*0.0000229568</f>
        <v>7.8053120000000004E-2</v>
      </c>
      <c r="C3">
        <v>1</v>
      </c>
      <c r="D3">
        <f>0.05+0.009*E3</f>
        <v>0.95</v>
      </c>
      <c r="E3">
        <v>100</v>
      </c>
      <c r="F3">
        <f>C3*D3*B3/12</f>
        <v>6.1792053333333333E-3</v>
      </c>
      <c r="G3">
        <f>F3/B3</f>
        <v>7.9166666666666663E-2</v>
      </c>
      <c r="H3">
        <f>1000/(10+5*C3+10*(G3)-10*(G3^2+G3*C3)^(1/2))</f>
        <v>77.707584710931201</v>
      </c>
      <c r="I3">
        <f>1000/H3-10</f>
        <v>2.868756682117402</v>
      </c>
      <c r="J3">
        <f>(C3-0.2*I3)^2/(C3+0.8*I3)</f>
        <v>5.5140403167542006E-2</v>
      </c>
    </row>
    <row r="9" spans="2:11" x14ac:dyDescent="0.2">
      <c r="B9" s="2" t="s">
        <v>20</v>
      </c>
    </row>
    <row r="10" spans="2:11" ht="34" x14ac:dyDescent="0.2">
      <c r="B10" s="1" t="s">
        <v>27</v>
      </c>
      <c r="C10" s="1" t="s">
        <v>0</v>
      </c>
      <c r="D10" s="1" t="s">
        <v>1</v>
      </c>
      <c r="E10" s="1" t="s">
        <v>2</v>
      </c>
      <c r="F10" s="1" t="s">
        <v>26</v>
      </c>
      <c r="G10" s="1" t="s">
        <v>4</v>
      </c>
      <c r="H10" s="1" t="s">
        <v>3</v>
      </c>
      <c r="I10" s="1" t="s">
        <v>5</v>
      </c>
      <c r="J10" s="1" t="s">
        <v>25</v>
      </c>
      <c r="K10" s="1"/>
    </row>
    <row r="11" spans="2:11" x14ac:dyDescent="0.2">
      <c r="B11">
        <f>6330*0.0000229568</f>
        <v>0.14531654399999999</v>
      </c>
      <c r="C11">
        <v>1</v>
      </c>
      <c r="D11">
        <f>0.05+0.009*E11</f>
        <v>0.95</v>
      </c>
      <c r="E11">
        <v>100</v>
      </c>
      <c r="F11">
        <f>C11*D11*B11/12</f>
        <v>1.1504226399999998E-2</v>
      </c>
      <c r="G11">
        <f>F11/B11</f>
        <v>7.9166666666666649E-2</v>
      </c>
      <c r="H11">
        <f>1000/(10+5*C11+10*(G11)-10*(G11^2+G11*C11)^(1/2))</f>
        <v>77.707584710931201</v>
      </c>
      <c r="I11">
        <f>(1000/H11)-10</f>
        <v>2.868756682117402</v>
      </c>
      <c r="J11">
        <f>(C11-0.2*I11)^2/(C11+0.8*I11)</f>
        <v>5.5140403167542006E-2</v>
      </c>
    </row>
    <row r="13" spans="2:11" x14ac:dyDescent="0.2">
      <c r="B13" t="s">
        <v>21</v>
      </c>
    </row>
    <row r="14" spans="2:11" x14ac:dyDescent="0.2">
      <c r="B14" t="s">
        <v>30</v>
      </c>
    </row>
    <row r="15" spans="2:11" x14ac:dyDescent="0.2">
      <c r="B15">
        <f>(F11-F3)/(0.0000229568)</f>
        <v>231.95833333333323</v>
      </c>
    </row>
    <row r="17" spans="2:10" x14ac:dyDescent="0.2">
      <c r="B17" s="5" t="s">
        <v>6</v>
      </c>
      <c r="C17" s="6"/>
      <c r="D17" s="6" t="s">
        <v>7</v>
      </c>
      <c r="E17" s="6"/>
      <c r="F17" s="6"/>
      <c r="G17" s="6"/>
      <c r="H17" s="6"/>
      <c r="I17" s="6"/>
      <c r="J17" s="6"/>
    </row>
    <row r="18" spans="2:10" x14ac:dyDescent="0.2">
      <c r="B18" s="6"/>
      <c r="C18" s="6"/>
      <c r="D18" s="6"/>
      <c r="E18" s="6"/>
      <c r="F18" s="6"/>
      <c r="G18" s="6"/>
      <c r="H18" s="6"/>
      <c r="I18" s="6"/>
      <c r="J18" s="6"/>
    </row>
    <row r="19" spans="2:10" x14ac:dyDescent="0.2">
      <c r="B19" s="5" t="s">
        <v>18</v>
      </c>
      <c r="C19" s="5"/>
      <c r="D19" s="6"/>
      <c r="E19" s="6"/>
      <c r="F19" s="6"/>
      <c r="G19" s="6"/>
      <c r="H19" s="6"/>
      <c r="I19" s="6"/>
      <c r="J19" s="6"/>
    </row>
    <row r="20" spans="2:10" x14ac:dyDescent="0.2">
      <c r="B20" s="5" t="s">
        <v>36</v>
      </c>
      <c r="C20" s="5" t="s">
        <v>37</v>
      </c>
      <c r="D20" s="5" t="s">
        <v>38</v>
      </c>
      <c r="E20" s="5" t="s">
        <v>35</v>
      </c>
      <c r="F20" s="6"/>
      <c r="G20" s="6"/>
      <c r="H20" s="6"/>
      <c r="I20" s="6"/>
      <c r="J20" s="6"/>
    </row>
    <row r="21" spans="2:10" x14ac:dyDescent="0.2">
      <c r="B21" s="6">
        <v>8</v>
      </c>
      <c r="C21" s="6">
        <v>4</v>
      </c>
      <c r="D21" s="6">
        <v>10</v>
      </c>
      <c r="E21" s="7">
        <f>PI()*C21^2*D21</f>
        <v>502.6548245743669</v>
      </c>
      <c r="F21" s="6"/>
      <c r="G21" s="6"/>
      <c r="H21" s="6"/>
      <c r="I21" s="6"/>
      <c r="J21" s="6"/>
    </row>
    <row r="22" spans="2:10" x14ac:dyDescent="0.2">
      <c r="B22" s="6"/>
      <c r="C22" s="6"/>
      <c r="D22" s="6"/>
      <c r="E22" s="6"/>
      <c r="F22" s="6"/>
      <c r="G22" s="6"/>
      <c r="H22" s="6"/>
      <c r="I22" s="6"/>
      <c r="J22" s="6"/>
    </row>
    <row r="23" spans="2:10" x14ac:dyDescent="0.2">
      <c r="B23" s="5" t="s">
        <v>17</v>
      </c>
      <c r="C23" s="6"/>
      <c r="D23" s="6"/>
      <c r="E23" s="6"/>
      <c r="F23" s="6"/>
      <c r="G23" s="6"/>
      <c r="H23" s="6"/>
      <c r="I23" s="6"/>
      <c r="J23" s="6"/>
    </row>
    <row r="24" spans="2:10" x14ac:dyDescent="0.2">
      <c r="B24" s="5" t="s">
        <v>39</v>
      </c>
      <c r="C24" s="5" t="s">
        <v>8</v>
      </c>
      <c r="D24" s="6" t="s">
        <v>12</v>
      </c>
      <c r="E24" s="6"/>
      <c r="F24" s="6"/>
      <c r="G24" s="6"/>
      <c r="H24" s="6"/>
      <c r="I24" s="6"/>
      <c r="J24" s="6"/>
    </row>
    <row r="25" spans="2:10" ht="51" x14ac:dyDescent="0.2">
      <c r="B25" s="6">
        <v>6</v>
      </c>
      <c r="C25" s="5" t="s">
        <v>16</v>
      </c>
      <c r="D25" s="5" t="s">
        <v>15</v>
      </c>
      <c r="E25" s="5" t="s">
        <v>9</v>
      </c>
      <c r="F25" s="8" t="s">
        <v>24</v>
      </c>
      <c r="G25" s="5" t="s">
        <v>10</v>
      </c>
      <c r="H25" s="5" t="s">
        <v>11</v>
      </c>
      <c r="I25" s="5" t="s">
        <v>33</v>
      </c>
      <c r="J25" s="5" t="s">
        <v>34</v>
      </c>
    </row>
    <row r="26" spans="2:10" x14ac:dyDescent="0.2">
      <c r="B26" s="6"/>
      <c r="C26" s="9">
        <f>E26*D26*SQRT(2*I26*F26)</f>
        <v>2.1833503900487798</v>
      </c>
      <c r="D26" s="9">
        <f>(PI()*(B25/2)^2)/144</f>
        <v>0.19634954084936207</v>
      </c>
      <c r="E26" s="6">
        <f>G26*H26</f>
        <v>0.8</v>
      </c>
      <c r="F26" s="6">
        <f>10-7</f>
        <v>3</v>
      </c>
      <c r="G26" s="6">
        <v>0.8</v>
      </c>
      <c r="H26" s="6">
        <v>1</v>
      </c>
      <c r="I26" s="6">
        <v>32.200000000000003</v>
      </c>
      <c r="J26" s="11">
        <f>C26/D26</f>
        <v>11.119712226492194</v>
      </c>
    </row>
    <row r="27" spans="2:10" x14ac:dyDescent="0.2">
      <c r="B27" s="6"/>
      <c r="C27" s="5" t="s">
        <v>8</v>
      </c>
      <c r="D27" s="6" t="s">
        <v>13</v>
      </c>
      <c r="E27" s="6"/>
      <c r="F27" s="6"/>
      <c r="G27" s="6"/>
      <c r="H27" s="6"/>
      <c r="I27" s="6"/>
      <c r="J27" s="6"/>
    </row>
    <row r="28" spans="2:10" ht="51" x14ac:dyDescent="0.2">
      <c r="B28" s="6">
        <v>2</v>
      </c>
      <c r="C28" s="5" t="s">
        <v>16</v>
      </c>
      <c r="D28" s="5" t="s">
        <v>15</v>
      </c>
      <c r="E28" s="5" t="s">
        <v>9</v>
      </c>
      <c r="F28" s="8" t="s">
        <v>23</v>
      </c>
      <c r="G28" s="5" t="s">
        <v>10</v>
      </c>
      <c r="H28" s="5" t="s">
        <v>11</v>
      </c>
      <c r="I28" s="5" t="s">
        <v>33</v>
      </c>
      <c r="J28" s="5" t="s">
        <v>34</v>
      </c>
    </row>
    <row r="29" spans="2:10" x14ac:dyDescent="0.2">
      <c r="B29" s="5" t="s">
        <v>14</v>
      </c>
      <c r="C29" s="10">
        <f>E29*D29*SQRT(2*I29*F29)</f>
        <v>0.39615513965378801</v>
      </c>
      <c r="D29" s="11">
        <f>(PI()*(B28/2)^2)/144</f>
        <v>2.1816615649929118E-2</v>
      </c>
      <c r="E29" s="6">
        <f>G29*H29</f>
        <v>0.8</v>
      </c>
      <c r="F29" s="6">
        <f>10-2</f>
        <v>8</v>
      </c>
      <c r="G29" s="6">
        <v>0.8</v>
      </c>
      <c r="H29" s="6">
        <v>1</v>
      </c>
      <c r="I29" s="6">
        <v>32.200000000000003</v>
      </c>
      <c r="J29" s="11">
        <f>C29/D29</f>
        <v>18.158414027662218</v>
      </c>
    </row>
    <row r="30" spans="2:10" x14ac:dyDescent="0.2">
      <c r="B30" s="6">
        <v>10</v>
      </c>
      <c r="C30" s="5" t="s">
        <v>40</v>
      </c>
      <c r="D30" s="6"/>
      <c r="E30" s="6"/>
      <c r="F30" s="6"/>
      <c r="G30" s="6"/>
      <c r="H30" s="6"/>
      <c r="I30" s="6"/>
      <c r="J30" s="6"/>
    </row>
    <row r="31" spans="2:10" x14ac:dyDescent="0.2">
      <c r="B31" s="6"/>
      <c r="C31" s="5" t="s">
        <v>16</v>
      </c>
      <c r="D31" s="5" t="s">
        <v>32</v>
      </c>
      <c r="E31" s="5" t="s">
        <v>15</v>
      </c>
      <c r="F31" s="5" t="s">
        <v>33</v>
      </c>
      <c r="G31" s="5" t="s">
        <v>34</v>
      </c>
      <c r="H31" s="6"/>
      <c r="I31" s="6"/>
      <c r="J31" s="6"/>
    </row>
    <row r="32" spans="2:10" x14ac:dyDescent="0.2">
      <c r="B32" s="6"/>
      <c r="C32" s="11"/>
      <c r="D32" s="6">
        <v>107</v>
      </c>
      <c r="E32" s="10">
        <f>(PI()*(B30/2)^2)/144</f>
        <v>0.54541539124822802</v>
      </c>
      <c r="F32" s="6">
        <v>32.200000000000003</v>
      </c>
      <c r="G32" s="6">
        <f>C32/E32</f>
        <v>0</v>
      </c>
      <c r="H32" s="6"/>
      <c r="I32" s="6"/>
      <c r="J32" s="6"/>
    </row>
    <row r="34" spans="3:3" x14ac:dyDescent="0.2">
      <c r="C34" s="2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616D-E88C-3748-BE8E-280AA495ABEC}">
  <dimension ref="B1:K18"/>
  <sheetViews>
    <sheetView tabSelected="1" workbookViewId="0">
      <selection activeCell="B5" sqref="B5:J18"/>
    </sheetView>
  </sheetViews>
  <sheetFormatPr baseColWidth="10" defaultRowHeight="16" x14ac:dyDescent="0.2"/>
  <cols>
    <col min="2" max="2" width="12.33203125" customWidth="1"/>
    <col min="3" max="3" width="17.83203125" customWidth="1"/>
    <col min="5" max="5" width="13" customWidth="1"/>
    <col min="7" max="7" width="15.1640625" customWidth="1"/>
    <col min="10" max="10" width="14.1640625" customWidth="1"/>
  </cols>
  <sheetData>
    <row r="1" spans="2:11" ht="34" x14ac:dyDescent="0.2">
      <c r="B1" s="1" t="s">
        <v>20</v>
      </c>
      <c r="C1" t="s">
        <v>22</v>
      </c>
    </row>
    <row r="2" spans="2:11" ht="34" x14ac:dyDescent="0.2">
      <c r="B2" s="1" t="s">
        <v>28</v>
      </c>
      <c r="C2" s="1" t="s">
        <v>0</v>
      </c>
      <c r="D2" s="1" t="s">
        <v>1</v>
      </c>
      <c r="E2" s="1" t="s">
        <v>2</v>
      </c>
      <c r="F2" s="3" t="s">
        <v>31</v>
      </c>
      <c r="G2" s="1" t="s">
        <v>29</v>
      </c>
      <c r="H2" s="1" t="s">
        <v>4</v>
      </c>
      <c r="I2" s="1" t="s">
        <v>3</v>
      </c>
      <c r="J2" s="1" t="s">
        <v>5</v>
      </c>
      <c r="K2" s="1" t="s">
        <v>25</v>
      </c>
    </row>
    <row r="3" spans="2:11" x14ac:dyDescent="0.2">
      <c r="B3">
        <f>10000*0.0000229568</f>
        <v>0.22956799999999999</v>
      </c>
      <c r="C3">
        <v>1</v>
      </c>
      <c r="D3">
        <f>0.05+0.009*E3</f>
        <v>0.95</v>
      </c>
      <c r="E3">
        <v>100</v>
      </c>
      <c r="F3" s="4">
        <f>G3/0.0000229568</f>
        <v>791.66666666666663</v>
      </c>
      <c r="G3">
        <f>C3*D3*B3/12</f>
        <v>1.8174133333333332E-2</v>
      </c>
      <c r="H3">
        <f>G3/B3</f>
        <v>7.9166666666666663E-2</v>
      </c>
      <c r="I3">
        <f>1000/(10+5*C3+10*(H3)-10*(H3^2+H3*C3)^(1/2))</f>
        <v>77.707584710931201</v>
      </c>
      <c r="J3">
        <f>1000/I3-10</f>
        <v>2.868756682117402</v>
      </c>
      <c r="K3">
        <f>(C3-0.2*J3)^2/(C3+0.8*J3)</f>
        <v>5.5140403167542006E-2</v>
      </c>
    </row>
    <row r="4" spans="2:11" ht="17" thickBot="1" x14ac:dyDescent="0.25"/>
    <row r="5" spans="2:11" x14ac:dyDescent="0.2">
      <c r="B5" s="13" t="s">
        <v>18</v>
      </c>
      <c r="C5" s="14"/>
      <c r="D5" s="15"/>
      <c r="E5" s="15"/>
      <c r="F5" s="15"/>
      <c r="G5" s="15"/>
      <c r="H5" s="15"/>
      <c r="I5" s="15"/>
      <c r="J5" s="16"/>
    </row>
    <row r="6" spans="2:11" x14ac:dyDescent="0.2">
      <c r="B6" s="17" t="s">
        <v>36</v>
      </c>
      <c r="C6" s="5" t="s">
        <v>41</v>
      </c>
      <c r="D6" s="5" t="s">
        <v>38</v>
      </c>
      <c r="E6" s="5" t="s">
        <v>35</v>
      </c>
      <c r="F6" s="6"/>
      <c r="G6" s="6"/>
      <c r="H6" s="6"/>
      <c r="I6" s="6"/>
      <c r="J6" s="18"/>
    </row>
    <row r="7" spans="2:11" x14ac:dyDescent="0.2">
      <c r="B7" s="19">
        <v>12</v>
      </c>
      <c r="C7" s="6">
        <f>B7/2</f>
        <v>6</v>
      </c>
      <c r="D7" s="6">
        <v>10</v>
      </c>
      <c r="E7" s="7">
        <f>PI()*C7^2*D7</f>
        <v>1130.9733552923256</v>
      </c>
      <c r="F7" s="6"/>
      <c r="G7" s="6"/>
      <c r="H7" s="6"/>
      <c r="I7" s="6"/>
      <c r="J7" s="18"/>
    </row>
    <row r="8" spans="2:11" x14ac:dyDescent="0.2">
      <c r="B8" s="19"/>
      <c r="C8" s="6"/>
      <c r="D8" s="6"/>
      <c r="E8" s="6"/>
      <c r="F8" s="6"/>
      <c r="G8" s="6"/>
      <c r="H8" s="6"/>
      <c r="I8" s="6"/>
      <c r="J8" s="18"/>
    </row>
    <row r="9" spans="2:11" x14ac:dyDescent="0.2">
      <c r="B9" s="17" t="s">
        <v>17</v>
      </c>
      <c r="C9" s="6"/>
      <c r="D9" s="6"/>
      <c r="E9" s="6"/>
      <c r="F9" s="6"/>
      <c r="G9" s="6"/>
      <c r="H9" s="6"/>
      <c r="I9" s="6"/>
      <c r="J9" s="18"/>
    </row>
    <row r="10" spans="2:11" x14ac:dyDescent="0.2">
      <c r="B10" s="17" t="s">
        <v>39</v>
      </c>
      <c r="C10" s="5" t="s">
        <v>8</v>
      </c>
      <c r="D10" s="6" t="s">
        <v>12</v>
      </c>
      <c r="E10" s="6"/>
      <c r="F10" s="6"/>
      <c r="G10" s="6"/>
      <c r="H10" s="6"/>
      <c r="I10" s="6"/>
      <c r="J10" s="18"/>
      <c r="K10" s="1"/>
    </row>
    <row r="11" spans="2:11" ht="51" x14ac:dyDescent="0.2">
      <c r="B11" s="19">
        <v>6</v>
      </c>
      <c r="C11" s="5" t="s">
        <v>16</v>
      </c>
      <c r="D11" s="5" t="s">
        <v>15</v>
      </c>
      <c r="E11" s="5" t="s">
        <v>9</v>
      </c>
      <c r="F11" s="8" t="s">
        <v>24</v>
      </c>
      <c r="G11" s="5" t="s">
        <v>10</v>
      </c>
      <c r="H11" s="5" t="s">
        <v>11</v>
      </c>
      <c r="I11" s="5" t="s">
        <v>33</v>
      </c>
      <c r="J11" s="12" t="s">
        <v>34</v>
      </c>
    </row>
    <row r="12" spans="2:11" x14ac:dyDescent="0.2">
      <c r="B12" s="19"/>
      <c r="C12" s="10">
        <f>E12*D12*SQRT(2*I12*F12)</f>
        <v>2.1833503900487798</v>
      </c>
      <c r="D12" s="11">
        <f>(PI()*(B11/2)^2)/144</f>
        <v>0.19634954084936207</v>
      </c>
      <c r="E12" s="6">
        <f>G12*H12</f>
        <v>0.8</v>
      </c>
      <c r="F12" s="6">
        <v>3</v>
      </c>
      <c r="G12" s="6">
        <v>0.8</v>
      </c>
      <c r="H12" s="6">
        <v>1</v>
      </c>
      <c r="I12" s="6">
        <v>32.200000000000003</v>
      </c>
      <c r="J12" s="24">
        <f>C12/D12</f>
        <v>11.119712226492194</v>
      </c>
    </row>
    <row r="13" spans="2:11" x14ac:dyDescent="0.2">
      <c r="B13" s="19"/>
      <c r="C13" s="5" t="s">
        <v>8</v>
      </c>
      <c r="D13" s="6" t="s">
        <v>13</v>
      </c>
      <c r="E13" s="6"/>
      <c r="F13" s="6"/>
      <c r="G13" s="6"/>
      <c r="H13" s="6"/>
      <c r="I13" s="6"/>
      <c r="J13" s="18"/>
    </row>
    <row r="14" spans="2:11" ht="51" x14ac:dyDescent="0.2">
      <c r="B14" s="19">
        <v>2</v>
      </c>
      <c r="C14" s="5" t="s">
        <v>16</v>
      </c>
      <c r="D14" s="5" t="s">
        <v>15</v>
      </c>
      <c r="E14" s="5" t="s">
        <v>9</v>
      </c>
      <c r="F14" s="8" t="s">
        <v>23</v>
      </c>
      <c r="G14" s="5" t="s">
        <v>10</v>
      </c>
      <c r="H14" s="5" t="s">
        <v>11</v>
      </c>
      <c r="I14" s="5" t="s">
        <v>33</v>
      </c>
      <c r="J14" s="12" t="s">
        <v>34</v>
      </c>
    </row>
    <row r="15" spans="2:11" x14ac:dyDescent="0.2">
      <c r="B15" s="17" t="s">
        <v>14</v>
      </c>
      <c r="C15" s="11">
        <f>E15*D15*SQRT(2*I15*F15)</f>
        <v>0.39615513965378801</v>
      </c>
      <c r="D15" s="10">
        <f>(PI()*(B14/2)^2)/144</f>
        <v>2.1816615649929118E-2</v>
      </c>
      <c r="E15" s="6">
        <f>G15*H15</f>
        <v>0.8</v>
      </c>
      <c r="F15" s="6">
        <v>8</v>
      </c>
      <c r="G15" s="6">
        <v>0.8</v>
      </c>
      <c r="H15" s="6">
        <v>1</v>
      </c>
      <c r="I15" s="6">
        <v>32.200000000000003</v>
      </c>
      <c r="J15" s="24">
        <f>C15/D15</f>
        <v>18.158414027662218</v>
      </c>
    </row>
    <row r="16" spans="2:11" x14ac:dyDescent="0.2">
      <c r="B16" s="19">
        <v>10</v>
      </c>
      <c r="C16" s="5" t="s">
        <v>14</v>
      </c>
      <c r="D16" s="6"/>
      <c r="E16" s="6"/>
      <c r="F16" s="6"/>
      <c r="G16" s="6"/>
      <c r="H16" s="6"/>
      <c r="I16" s="6"/>
      <c r="J16" s="18"/>
    </row>
    <row r="17" spans="2:10" x14ac:dyDescent="0.2">
      <c r="B17" s="19"/>
      <c r="C17" s="5" t="s">
        <v>16</v>
      </c>
      <c r="D17" s="5" t="s">
        <v>32</v>
      </c>
      <c r="E17" s="5" t="s">
        <v>42</v>
      </c>
      <c r="F17" s="5" t="s">
        <v>33</v>
      </c>
      <c r="G17" s="5" t="s">
        <v>34</v>
      </c>
      <c r="H17" s="5"/>
      <c r="I17" s="6"/>
      <c r="J17" s="18"/>
    </row>
    <row r="18" spans="2:10" ht="17" thickBot="1" x14ac:dyDescent="0.25">
      <c r="B18" s="20"/>
      <c r="C18" s="21">
        <f>(1/24)*(1/12)*(24/86400)*6330</f>
        <v>6.1053240740740746E-3</v>
      </c>
      <c r="D18" s="22">
        <v>53</v>
      </c>
      <c r="E18" s="21">
        <f>(PI()*(B16/2)^2)/144</f>
        <v>0.54541539124822802</v>
      </c>
      <c r="F18" s="22">
        <v>32.200000000000003</v>
      </c>
      <c r="G18" s="21">
        <f>C18/E18</f>
        <v>1.1193897664129973E-2</v>
      </c>
      <c r="H18" s="22"/>
      <c r="I18" s="22"/>
      <c r="J18" s="23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C3E4-4E81-F74A-83D3-1E487F0B8E78}">
  <dimension ref="B1:F11"/>
  <sheetViews>
    <sheetView workbookViewId="0">
      <selection activeCell="B2" sqref="B2:F8"/>
    </sheetView>
  </sheetViews>
  <sheetFormatPr baseColWidth="10" defaultRowHeight="16" x14ac:dyDescent="0.2"/>
  <cols>
    <col min="2" max="2" width="68.6640625" customWidth="1"/>
    <col min="3" max="4" width="12.6640625" customWidth="1"/>
    <col min="5" max="5" width="14.33203125" customWidth="1"/>
  </cols>
  <sheetData>
    <row r="1" spans="2:6" ht="17" thickBot="1" x14ac:dyDescent="0.25"/>
    <row r="2" spans="2:6" x14ac:dyDescent="0.2">
      <c r="B2" s="28" t="s">
        <v>43</v>
      </c>
      <c r="C2" s="15"/>
      <c r="D2" s="15"/>
      <c r="E2" s="15"/>
      <c r="F2" s="16"/>
    </row>
    <row r="3" spans="2:6" x14ac:dyDescent="0.2">
      <c r="B3" s="19" t="s">
        <v>45</v>
      </c>
      <c r="C3" s="6" t="s">
        <v>44</v>
      </c>
      <c r="D3" s="6" t="s">
        <v>46</v>
      </c>
      <c r="E3" s="6" t="s">
        <v>47</v>
      </c>
      <c r="F3" s="18" t="s">
        <v>48</v>
      </c>
    </row>
    <row r="4" spans="2:6" x14ac:dyDescent="0.2">
      <c r="B4" s="19" t="s">
        <v>49</v>
      </c>
      <c r="C4" s="6" t="s">
        <v>50</v>
      </c>
      <c r="D4" s="26">
        <v>8350.68</v>
      </c>
      <c r="E4" s="6">
        <v>2</v>
      </c>
      <c r="F4" s="29">
        <f>D4*E4</f>
        <v>16701.36</v>
      </c>
    </row>
    <row r="5" spans="2:6" x14ac:dyDescent="0.2">
      <c r="B5" s="19" t="s">
        <v>51</v>
      </c>
      <c r="C5" s="6" t="s">
        <v>52</v>
      </c>
      <c r="D5" s="26">
        <v>22.55</v>
      </c>
      <c r="E5" s="6">
        <v>6</v>
      </c>
      <c r="F5" s="29">
        <f>D5*E5</f>
        <v>135.30000000000001</v>
      </c>
    </row>
    <row r="6" spans="2:6" x14ac:dyDescent="0.2">
      <c r="B6" s="19" t="s">
        <v>53</v>
      </c>
      <c r="C6" s="6" t="s">
        <v>52</v>
      </c>
      <c r="D6" s="26">
        <v>39.65</v>
      </c>
      <c r="E6" s="6">
        <v>160</v>
      </c>
      <c r="F6" s="29">
        <f>D6*E6</f>
        <v>6344</v>
      </c>
    </row>
    <row r="7" spans="2:6" x14ac:dyDescent="0.2">
      <c r="B7" s="19" t="s">
        <v>54</v>
      </c>
      <c r="C7" s="6" t="s">
        <v>52</v>
      </c>
      <c r="D7" s="27">
        <v>13.41</v>
      </c>
      <c r="E7" s="6">
        <f>160</f>
        <v>160</v>
      </c>
      <c r="F7" s="29">
        <f>D7*E7</f>
        <v>2145.6</v>
      </c>
    </row>
    <row r="8" spans="2:6" ht="17" thickBot="1" x14ac:dyDescent="0.25">
      <c r="B8" s="20"/>
      <c r="C8" s="22"/>
      <c r="D8" s="22"/>
      <c r="E8" s="22"/>
      <c r="F8" s="30">
        <f>SUM(F4:F7)</f>
        <v>25326.26</v>
      </c>
    </row>
    <row r="9" spans="2:6" x14ac:dyDescent="0.2">
      <c r="B9" s="25"/>
      <c r="C9" s="25"/>
      <c r="D9" s="25"/>
      <c r="E9" s="25"/>
    </row>
    <row r="10" spans="2:6" x14ac:dyDescent="0.2">
      <c r="B10" s="25"/>
      <c r="C10" s="25"/>
      <c r="D10" s="25"/>
      <c r="E10" s="25"/>
    </row>
    <row r="11" spans="2:6" x14ac:dyDescent="0.2">
      <c r="B11" s="25"/>
      <c r="D11" s="2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Ethan Carlson</vt:lpstr>
      <vt:lpstr>Stowe Electric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Liza Mclatchy</cp:lastModifiedBy>
  <dcterms:created xsi:type="dcterms:W3CDTF">2023-04-10T20:52:24Z</dcterms:created>
  <dcterms:modified xsi:type="dcterms:W3CDTF">2023-05-03T19:00:07Z</dcterms:modified>
</cp:coreProperties>
</file>