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16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bers" sheetId="1" r:id="rId4"/>
    <sheet state="visible" name="gen formulas" sheetId="2" r:id="rId5"/>
    <sheet state="visible" name="gen charts" sheetId="3" r:id="rId6"/>
    <sheet state="visible" name="formulas 0-4" sheetId="4" r:id="rId7"/>
    <sheet state="visible" name="charts 0-4" sheetId="5" r:id="rId8"/>
    <sheet state="hidden" name="formulas 0-3" sheetId="6" r:id="rId9"/>
    <sheet state="hidden" name="charts 0-3" sheetId="7" r:id="rId10"/>
    <sheet state="hidden" name="formulas 0-2" sheetId="8" r:id="rId11"/>
    <sheet state="hidden" name="charts 0-2" sheetId="9" r:id="rId12"/>
    <sheet state="hidden" name="formulas 0-1" sheetId="10" r:id="rId13"/>
    <sheet state="hidden" name="charts 0-1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8">
      <text>
        <t xml:space="preserve">-10% swim speed, -8.3% run speed
	-labhrás</t>
      </text>
    </comment>
    <comment authorId="0" ref="J16">
      <text>
        <t xml:space="preserve">+5% swim speed, +8.3% run speed
	-labhrás</t>
      </text>
    </comment>
  </commentList>
</comments>
</file>

<file path=xl/sharedStrings.xml><?xml version="1.0" encoding="utf-8"?>
<sst xmlns="http://schemas.openxmlformats.org/spreadsheetml/2006/main" count="1160" uniqueCount="259">
  <si>
    <t>class</t>
  </si>
  <si>
    <t>weapon</t>
  </si>
  <si>
    <t>sub</t>
  </si>
  <si>
    <t>special</t>
  </si>
  <si>
    <t>freshness</t>
  </si>
  <si>
    <t>current</t>
  </si>
  <si>
    <t>checkpoint</t>
  </si>
  <si>
    <t>necessary</t>
  </si>
  <si>
    <t>progress (%)</t>
  </si>
  <si>
    <t>progress (chart)</t>
  </si>
  <si>
    <t>range (#)</t>
  </si>
  <si>
    <t>range (chart)</t>
  </si>
  <si>
    <t>role</t>
  </si>
  <si>
    <t>weight/speed</t>
  </si>
  <si>
    <t>impact</t>
  </si>
  <si>
    <t>damage</t>
  </si>
  <si>
    <t>ink speed</t>
  </si>
  <si>
    <t>charge speed</t>
  </si>
  <si>
    <t>fire rate</t>
  </si>
  <si>
    <t>durability</t>
  </si>
  <si>
    <t>handling</t>
  </si>
  <si>
    <t>mobility</t>
  </si>
  <si>
    <t>mobility chart</t>
  </si>
  <si>
    <t>special points</t>
  </si>
  <si>
    <t>blaster</t>
  </si>
  <si>
    <t>autobomb</t>
  </si>
  <si>
    <t>big bubbler</t>
  </si>
  <si>
    <t>slayer</t>
  </si>
  <si>
    <t>middle</t>
  </si>
  <si>
    <t>clash blaster</t>
  </si>
  <si>
    <t>splat bomb</t>
  </si>
  <si>
    <t>trizooka</t>
  </si>
  <si>
    <t>skirmisher, slayer</t>
  </si>
  <si>
    <t>light</t>
  </si>
  <si>
    <t>clash blaster neo</t>
  </si>
  <si>
    <t>curling bomb</t>
  </si>
  <si>
    <t>super chump</t>
  </si>
  <si>
    <t>slayer, support</t>
  </si>
  <si>
    <t>luna blaster</t>
  </si>
  <si>
    <t>zipcaster</t>
  </si>
  <si>
    <t>luna blaster neo</t>
  </si>
  <si>
    <t>fizzy bomb</t>
  </si>
  <si>
    <t>ultra stamp</t>
  </si>
  <si>
    <t>range blaster</t>
  </si>
  <si>
    <t>suction bomb</t>
  </si>
  <si>
    <t>wave breaker</t>
  </si>
  <si>
    <t>rapid blaster</t>
  </si>
  <si>
    <t>ink mine</t>
  </si>
  <si>
    <t>triple inkstrike</t>
  </si>
  <si>
    <t>rapid blaster deco</t>
  </si>
  <si>
    <t>torpedo</t>
  </si>
  <si>
    <t>inkjet</t>
  </si>
  <si>
    <t>rapid blaster pro</t>
  </si>
  <si>
    <t>toxic mist</t>
  </si>
  <si>
    <t>ink vac</t>
  </si>
  <si>
    <t>anchor, support</t>
  </si>
  <si>
    <t>rapid blaster pro deco</t>
  </si>
  <si>
    <t>angle shooter</t>
  </si>
  <si>
    <t>killer wail 5.1</t>
  </si>
  <si>
    <t>s-blast '92</t>
  </si>
  <si>
    <t>sprinkler</t>
  </si>
  <si>
    <t>reefslider</t>
  </si>
  <si>
    <t>brella</t>
  </si>
  <si>
    <t>sorella brella</t>
  </si>
  <si>
    <t>skirmisher, support</t>
  </si>
  <si>
    <t>splat brella</t>
  </si>
  <si>
    <t>support</t>
  </si>
  <si>
    <t>tenta brella</t>
  </si>
  <si>
    <t>squid beakon</t>
  </si>
  <si>
    <t>heavy</t>
  </si>
  <si>
    <t>tenta sorella brella</t>
  </si>
  <si>
    <t>undercover brella</t>
  </si>
  <si>
    <t>skirmisher</t>
  </si>
  <si>
    <t>brush</t>
  </si>
  <si>
    <t>inkbrush</t>
  </si>
  <si>
    <t>inkbrush nouveau</t>
  </si>
  <si>
    <t>octobrush</t>
  </si>
  <si>
    <t>octobrush nouveau</t>
  </si>
  <si>
    <t>ink storm</t>
  </si>
  <si>
    <t>painbrush</t>
  </si>
  <si>
    <t>anchor, slayer, support</t>
  </si>
  <si>
    <t>charger</t>
  </si>
  <si>
    <t>bamboozler 14 mk I</t>
  </si>
  <si>
    <t>anchor</t>
  </si>
  <si>
    <t>classic squiffer</t>
  </si>
  <si>
    <t>point sensor</t>
  </si>
  <si>
    <t>anchor, slayer</t>
  </si>
  <si>
    <t>custom goo tuber</t>
  </si>
  <si>
    <t>e-liter 4k</t>
  </si>
  <si>
    <t>e-liter 4k scope</t>
  </si>
  <si>
    <t>goo tuber</t>
  </si>
  <si>
    <t>tenta missiles</t>
  </si>
  <si>
    <t>snipewriter 5h</t>
  </si>
  <si>
    <t>tacticooler</t>
  </si>
  <si>
    <t>splat charger</t>
  </si>
  <si>
    <t>splatterscope</t>
  </si>
  <si>
    <t>z+f splat charger</t>
  </si>
  <si>
    <t>splash wall</t>
  </si>
  <si>
    <t>z+f splatterscope</t>
  </si>
  <si>
    <t>dualies</t>
  </si>
  <si>
    <t>custom dualie squelchers</t>
  </si>
  <si>
    <t>skirmisher, slayer, support</t>
  </si>
  <si>
    <t>dapple dualies</t>
  </si>
  <si>
    <t>dapple dualies nouveau</t>
  </si>
  <si>
    <t>dark tetra dualies</t>
  </si>
  <si>
    <t>dualie squelchers</t>
  </si>
  <si>
    <t>glooga dualies</t>
  </si>
  <si>
    <t>booyah bomb</t>
  </si>
  <si>
    <t>light tetra dualies</t>
  </si>
  <si>
    <t>splat dualies</t>
  </si>
  <si>
    <t>crab tank</t>
  </si>
  <si>
    <t>roller</t>
  </si>
  <si>
    <t>big swig roller</t>
  </si>
  <si>
    <t>big swig roller express</t>
  </si>
  <si>
    <t>carbon roller</t>
  </si>
  <si>
    <t>carbon roller deco</t>
  </si>
  <si>
    <t>burst bomb</t>
  </si>
  <si>
    <t>dynamo roller</t>
  </si>
  <si>
    <t>flingza roller</t>
  </si>
  <si>
    <t>gold dynamo roller</t>
  </si>
  <si>
    <t>krak-on splat roller</t>
  </si>
  <si>
    <t>kraken royale</t>
  </si>
  <si>
    <t>splat roller</t>
  </si>
  <si>
    <t>shooter</t>
  </si>
  <si>
    <t>.52 gal</t>
  </si>
  <si>
    <t>.96 gal</t>
  </si>
  <si>
    <t>.96 gal deco</t>
  </si>
  <si>
    <t>aerospray mg</t>
  </si>
  <si>
    <t>aerospray rg</t>
  </si>
  <si>
    <t>annaki splattershot nova</t>
  </si>
  <si>
    <t>custom jet squelcher</t>
  </si>
  <si>
    <t>custom splattershot jr</t>
  </si>
  <si>
    <t>forge splattershot pro</t>
  </si>
  <si>
    <t>h-3 nozzlenose</t>
  </si>
  <si>
    <t>h-3 nozzlenose d</t>
  </si>
  <si>
    <t>hero shot replica</t>
  </si>
  <si>
    <t>jet squelcher</t>
  </si>
  <si>
    <t>l-3 nozzlenose</t>
  </si>
  <si>
    <t>l-3 nozzlenose d</t>
  </si>
  <si>
    <t>n-zap '85</t>
  </si>
  <si>
    <t>n-zap '89</t>
  </si>
  <si>
    <t>neo splash-o-matic</t>
  </si>
  <si>
    <t>neo sploosh-o-matic</t>
  </si>
  <si>
    <t>splash-o-matic</t>
  </si>
  <si>
    <t>splattershot</t>
  </si>
  <si>
    <t>splattershot jr</t>
  </si>
  <si>
    <t xml:space="preserve">X </t>
  </si>
  <si>
    <t>splattershot nova</t>
  </si>
  <si>
    <t>splattershot pro</t>
  </si>
  <si>
    <t>sploosh-o-matic</t>
  </si>
  <si>
    <t>squeezer</t>
  </si>
  <si>
    <t>tentatek splattershot</t>
  </si>
  <si>
    <t>slosher</t>
  </si>
  <si>
    <t>bloblobber</t>
  </si>
  <si>
    <t>bloblobber deco</t>
  </si>
  <si>
    <t>dread wringer</t>
  </si>
  <si>
    <t>explosher</t>
  </si>
  <si>
    <t>anchor, skirmisher</t>
  </si>
  <si>
    <t>slosher deco</t>
  </si>
  <si>
    <t>sloshing machine</t>
  </si>
  <si>
    <t>sloshing machine neo</t>
  </si>
  <si>
    <t>tri-slosher</t>
  </si>
  <si>
    <t>tri-slosher nouveau</t>
  </si>
  <si>
    <t>splatana</t>
  </si>
  <si>
    <t>splatana stamper</t>
  </si>
  <si>
    <t>splatana wiper</t>
  </si>
  <si>
    <t>splatana wiper deco</t>
  </si>
  <si>
    <t>splatling</t>
  </si>
  <si>
    <t>ballpoint splatling</t>
  </si>
  <si>
    <t>ballpoint splatling nouveau</t>
  </si>
  <si>
    <t>heavy edit splatling</t>
  </si>
  <si>
    <t>heavy splatling</t>
  </si>
  <si>
    <t>heavy splatling deco</t>
  </si>
  <si>
    <t>hydra splatling</t>
  </si>
  <si>
    <t>mini splatling</t>
  </si>
  <si>
    <t>nautilus 47</t>
  </si>
  <si>
    <t>zink mini splatling</t>
  </si>
  <si>
    <t>stringer</t>
  </si>
  <si>
    <t>inkline tri-stringer</t>
  </si>
  <si>
    <t>reef-lux 450</t>
  </si>
  <si>
    <t>tri-stringer</t>
  </si>
  <si>
    <t>sum points</t>
  </si>
  <si>
    <t>gen %</t>
  </si>
  <si>
    <t>num weapons</t>
  </si>
  <si>
    <t>class average</t>
  </si>
  <si>
    <t>avg. fresh</t>
  </si>
  <si>
    <t>class %</t>
  </si>
  <si>
    <t>range</t>
  </si>
  <si>
    <t>range points</t>
  </si>
  <si>
    <t>num range</t>
  </si>
  <si>
    <t>avg points</t>
  </si>
  <si>
    <t>0-20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</si>
  <si>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</si>
  <si>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</si>
  <si>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</si>
  <si>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</si>
  <si>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</si>
  <si>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</si>
  <si>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</si>
  <si>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</si>
  <si>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weight</t>
  </si>
  <si>
    <t>weight points</t>
  </si>
  <si>
    <t>num weight</t>
  </si>
  <si>
    <t>roles (flex included)</t>
  </si>
  <si>
    <t>role points</t>
  </si>
  <si>
    <t>num role</t>
  </si>
  <si>
    <t>roles (flex separate)</t>
  </si>
  <si>
    <t>roles across classes?</t>
  </si>
  <si>
    <t>eg % of blasters that are anchor vs support vs..., % of chargers that are ..., ...</t>
  </si>
  <si>
    <t>class: total points</t>
  </si>
  <si>
    <t>class: avg points</t>
  </si>
  <si>
    <t>sub: total points</t>
  </si>
  <si>
    <t>sub: avg points</t>
  </si>
  <si>
    <t>special: total points</t>
  </si>
  <si>
    <t>special: avg points</t>
  </si>
  <si>
    <t>avg. range points</t>
  </si>
  <si>
    <t>avg. weight points</t>
  </si>
  <si>
    <t>roles points, overlap</t>
  </si>
  <si>
    <t>roles points, discrete</t>
  </si>
  <si>
    <t>class: total points, 0-4</t>
  </si>
  <si>
    <t>class: avg points, 0-4</t>
  </si>
  <si>
    <t>sub: total points, 0-4</t>
  </si>
  <si>
    <t>sub: avg points, 0-4</t>
  </si>
  <si>
    <t>special: total points, 0-4</t>
  </si>
  <si>
    <t>special: avg points, 0-4</t>
  </si>
  <si>
    <t>avg. range points, 0-4</t>
  </si>
  <si>
    <t>avg. weight points, 0-4</t>
  </si>
  <si>
    <t>roles points, overlap, 0-4</t>
  </si>
  <si>
    <t>roles points, discrete, 0-4</t>
  </si>
  <si>
    <t>class: total points, 0-3</t>
  </si>
  <si>
    <t>class: avg points, 0-3</t>
  </si>
  <si>
    <t>sub: total points, 0-3</t>
  </si>
  <si>
    <t>sub: avg points, 0-3</t>
  </si>
  <si>
    <t>special: total points, 0-3</t>
  </si>
  <si>
    <t>special: avg points, 0-3</t>
  </si>
  <si>
    <t>avg. range points, 0-3</t>
  </si>
  <si>
    <t>avg. weight points, 0-3</t>
  </si>
  <si>
    <t>roles points, overlap, 0-3</t>
  </si>
  <si>
    <t>roles points, discrete, 0-3</t>
  </si>
  <si>
    <t>class: total points, 0-2</t>
  </si>
  <si>
    <t>class: avg points, 0-2</t>
  </si>
  <si>
    <t>sub: total points, 0-2</t>
  </si>
  <si>
    <t>sub: avg points, 0-2</t>
  </si>
  <si>
    <t>special: total points, 0-2</t>
  </si>
  <si>
    <t>special: avg points, 0-2</t>
  </si>
  <si>
    <t>avg. range points, 0-2</t>
  </si>
  <si>
    <t>avg. weight points, 0-2</t>
  </si>
  <si>
    <t>roles points, overlap, 0-2</t>
  </si>
  <si>
    <t>roles points, discrete, 0-2</t>
  </si>
  <si>
    <t>class: total points, 0-1</t>
  </si>
  <si>
    <t>class: avg points, 0-1</t>
  </si>
  <si>
    <t>sub: total points, 0-1</t>
  </si>
  <si>
    <t>sub: avg points, 0-1</t>
  </si>
  <si>
    <t>special: total points, 0-1</t>
  </si>
  <si>
    <t>special: avg points, 0-1</t>
  </si>
  <si>
    <t>avg. range points, 0-1</t>
  </si>
  <si>
    <t>avg. weight points, 0-1</t>
  </si>
  <si>
    <t>roles points, overlap, 0-1</t>
  </si>
  <si>
    <t>roles points, discrete, 0-1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</si>
</sst>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9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9.0"/>
      <color rgb="FFF7981D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2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2" numFmtId="0" xfId="0" applyFont="1"/>
    <xf borderId="0" fillId="0" fontId="0" numFmtId="0" xfId="0" applyAlignment="1" applyFont="1">
      <alignment readingOrder="0"/>
    </xf>
    <xf borderId="0" fillId="0" fontId="0" numFmtId="0" xfId="0" applyFont="1"/>
    <xf borderId="0" fillId="0" fontId="0" numFmtId="2" xfId="0" applyFont="1" applyNumberFormat="1"/>
    <xf borderId="0" fillId="0" fontId="0" numFmtId="0" xfId="0" applyFont="1"/>
    <xf borderId="0" fillId="0" fontId="0" numFmtId="2" xfId="0" applyAlignment="1" applyFont="1" applyNumberFormat="1">
      <alignment horizontal="right" readingOrder="0"/>
    </xf>
    <xf borderId="0" fillId="0" fontId="3" numFmtId="2" xfId="0" applyFont="1" applyNumberFormat="1"/>
    <xf borderId="0" fillId="0" fontId="4" numFmtId="0" xfId="0" applyFont="1"/>
    <xf borderId="0" fillId="0" fontId="3" numFmtId="2" xfId="0" applyAlignment="1" applyFont="1" applyNumberFormat="1">
      <alignment readingOrder="0"/>
    </xf>
    <xf borderId="0" fillId="0" fontId="0" numFmtId="2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6" numFmtId="2" xfId="0" applyFont="1" applyNumberFormat="1"/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'gen formulas'!$B$1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Pt>
            <c:idx val="11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'gen formulas'!$B$2:$B$13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8162222222222223"/>
          <c:y val="0.140161725067385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'gen formulas'!$M$29:$M$40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6922222137451172"/>
          <c:y val="0.14016172506738545"/>
        </c:manualLayout>
      </c:layout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0-4'!$B$3:$B$13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8145555555555556"/>
          <c:y val="0.1886792452830188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Points Progress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9CB9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0-4'!$E$3:$E$13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866666666666666"/>
          <c:y val="0.1428571428571428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Pt>
            <c:idx val="11"/>
            <c:spPr>
              <a:solidFill>
                <a:srgbClr val="D0E0E3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0-4'!$B$16:$B$29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945555555555556"/>
          <c:y val="0.088948787061994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Pt>
            <c:idx val="11"/>
            <c:spPr>
              <a:solidFill>
                <a:srgbClr val="D0E0E3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0-4'!$E$16:$E$29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8028888888888889"/>
          <c:y val="0.107816711590296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0-4'!$B$32:$B$48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9"/>
          <c:y val="0.05072463768115942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0-4'!$E$32:$E$48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9"/>
          <c:y val="0.05072463768115942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FE5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0-4'!$M$4:$M$12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8145555555555556"/>
          <c:y val="0.218328840970350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0-4'!$M$16:$M$18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8278888888888889"/>
          <c:y val="0.35309973045822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0-4'!$M$22:$M$25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995555555555556"/>
          <c:y val="0.366576819407008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Points Progress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9CB9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'gen formulas'!$E$3:$E$13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866666666666666"/>
          <c:y val="0.1428571428571428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0-4'!$M$29:$M$40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6922222137451172"/>
          <c:y val="0.14016172506738545"/>
        </c:manualLayout>
      </c:layout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0-3'!$B$3:$B$13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8145555555555556"/>
          <c:y val="0.1886792452830188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Points Progress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9CB9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0-3'!$E$3:$E$13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866666666666666"/>
          <c:y val="0.1428571428571428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Pt>
            <c:idx val="11"/>
            <c:spPr>
              <a:solidFill>
                <a:srgbClr val="D0E0E3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0-3'!$B$16:$B$29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945555555555556"/>
          <c:y val="0.088948787061994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Pt>
            <c:idx val="11"/>
            <c:spPr>
              <a:solidFill>
                <a:srgbClr val="D0E0E3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0-3'!$E$16:$E$29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8028888888888889"/>
          <c:y val="0.107816711590296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0-3'!$B$32:$B$48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9"/>
          <c:y val="0.05072463768115942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0-3'!$E$32:$E$48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9"/>
          <c:y val="0.05072463768115942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FE5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0-3'!$M$4:$M$12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8145555555555556"/>
          <c:y val="0.218328840970350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0-3'!$M$16:$M$18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8278888888888889"/>
          <c:y val="0.35309973045822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0-3'!$M$22:$M$25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995555555555556"/>
          <c:y val="0.366576819407008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Pt>
            <c:idx val="11"/>
            <c:spPr>
              <a:solidFill>
                <a:srgbClr val="D0E0E3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'gen formulas'!$B$16:$B$29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945555555555556"/>
          <c:y val="0.088948787061994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0-3'!$M$29:$M$40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6922222137451172"/>
          <c:y val="0.14016172506738545"/>
        </c:manualLayout>
      </c:layout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0-2'!$B$3:$B$13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8145555555555556"/>
          <c:y val="0.1886792452830188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Points Progress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9CB9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0-2'!$E$3:$E$13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866666666666666"/>
          <c:y val="0.1428571428571428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Pt>
            <c:idx val="11"/>
            <c:spPr>
              <a:solidFill>
                <a:srgbClr val="D0E0E3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0-2'!$B$16:$B$29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945555555555556"/>
          <c:y val="0.088948787061994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Pt>
            <c:idx val="11"/>
            <c:spPr>
              <a:solidFill>
                <a:srgbClr val="D0E0E3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0-2'!$E$16:$E$29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8028888888888889"/>
          <c:y val="0.107816711590296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0-2'!$B$32:$B$48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9"/>
          <c:y val="0.05072463768115942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0-2'!$E$32:$E$48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9"/>
          <c:y val="0.05072463768115942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FE5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0-2'!$M$4:$M$12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8145555555555556"/>
          <c:y val="0.218328840970350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0-2'!$M$16:$M$18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8278888888888889"/>
          <c:y val="0.35309973045822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0-2'!$M$22:$M$25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995555555555556"/>
          <c:y val="0.366576819407008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Pt>
            <c:idx val="11"/>
            <c:spPr>
              <a:solidFill>
                <a:srgbClr val="D0E0E3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'gen formulas'!$E$16:$E$29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8028888888888889"/>
          <c:y val="0.107816711590296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0-2'!$M$29:$M$40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6922222137451172"/>
          <c:y val="0.14016172506738545"/>
        </c:manualLayout>
      </c:layout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0-1'!$B$3:$B$13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8145555555555556"/>
          <c:y val="0.1886792452830188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Points Progress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9CB9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0-1'!$E$3:$E$13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866666666666666"/>
          <c:y val="0.1428571428571428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Pt>
            <c:idx val="11"/>
            <c:spPr>
              <a:solidFill>
                <a:srgbClr val="D0E0E3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0-1'!$B$16:$B$29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945555555555556"/>
          <c:y val="0.088948787061994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Pt>
            <c:idx val="11"/>
            <c:spPr>
              <a:solidFill>
                <a:srgbClr val="D0E0E3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0-1'!$E$16:$E$29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8028888888888889"/>
          <c:y val="0.107816711590296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0-1'!$B$32:$B$48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9"/>
          <c:y val="0.05072463768115942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0-1'!$E$32:$E$48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9"/>
          <c:y val="0.05072463768115942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FE5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0-1'!$M$4:$M$12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8145555555555556"/>
          <c:y val="0.218328840970350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0-1'!$M$16:$M$18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8278888888888889"/>
          <c:y val="0.35309973045822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0-1'!$M$22:$M$25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995555555555556"/>
          <c:y val="0.366576819407008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'gen formulas'!$B$32:$B$48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9"/>
          <c:y val="0.05072463768115942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'formulas 0-1'!$M$29:$M$40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6922222137451172"/>
          <c:y val="0.14016172506738545"/>
        </c:manualLayout>
      </c:layout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Overall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6B26B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'gen formulas'!$E$32:$E$48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9"/>
          <c:y val="0.05072463768115942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FE5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'gen formulas'!$M$4:$M$12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8145555555555556"/>
          <c:y val="0.218328840970350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'gen formulas'!$M$16:$M$18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8278888888888889"/>
          <c:y val="0.35309973045822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points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'gen formulas'!$M$22:$M$25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0"/>
      </c:doughnutChart>
    </c:plotArea>
    <c:legend>
      <c:legendPos val="r"/>
      <c:layout>
        <c:manualLayout>
          <c:xMode val="edge"/>
          <c:yMode val="edge"/>
          <c:x val="0.7995555555555556"/>
          <c:y val="0.366576819407008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10" Type="http://schemas.openxmlformats.org/officeDocument/2006/relationships/chart" Target="../charts/chart50.xml"/><Relationship Id="rId9" Type="http://schemas.openxmlformats.org/officeDocument/2006/relationships/chart" Target="../charts/chart49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10" Type="http://schemas.openxmlformats.org/officeDocument/2006/relationships/chart" Target="../charts/chart20.xml"/><Relationship Id="rId9" Type="http://schemas.openxmlformats.org/officeDocument/2006/relationships/chart" Target="../charts/chart19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0" Type="http://schemas.openxmlformats.org/officeDocument/2006/relationships/chart" Target="../charts/chart30.xml"/><Relationship Id="rId9" Type="http://schemas.openxmlformats.org/officeDocument/2006/relationships/chart" Target="../charts/chart29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10" Type="http://schemas.openxmlformats.org/officeDocument/2006/relationships/chart" Target="../charts/chart40.xml"/><Relationship Id="rId9" Type="http://schemas.openxmlformats.org/officeDocument/2006/relationships/chart" Target="../charts/chart39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7" Type="http://schemas.openxmlformats.org/officeDocument/2006/relationships/chart" Target="../charts/chart37.xml"/><Relationship Id="rId8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114300</xdr:colOff>
      <xdr:row>0</xdr:row>
      <xdr:rowOff>95250</xdr:rowOff>
    </xdr:from>
    <xdr:ext cx="5715000" cy="353377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85725</xdr:colOff>
      <xdr:row>0</xdr:row>
      <xdr:rowOff>95250</xdr:rowOff>
    </xdr:from>
    <xdr:ext cx="5715000" cy="3533775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114300</xdr:colOff>
      <xdr:row>20</xdr:row>
      <xdr:rowOff>85725</xdr:rowOff>
    </xdr:from>
    <xdr:ext cx="5715000" cy="3533775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76200</xdr:colOff>
      <xdr:row>20</xdr:row>
      <xdr:rowOff>85725</xdr:rowOff>
    </xdr:from>
    <xdr:ext cx="5715000" cy="3533775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114300</xdr:colOff>
      <xdr:row>40</xdr:row>
      <xdr:rowOff>104775</xdr:rowOff>
    </xdr:from>
    <xdr:ext cx="5715000" cy="3943350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76200</xdr:colOff>
      <xdr:row>40</xdr:row>
      <xdr:rowOff>104775</xdr:rowOff>
    </xdr:from>
    <xdr:ext cx="5715000" cy="3943350"/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114300</xdr:colOff>
      <xdr:row>62</xdr:row>
      <xdr:rowOff>85725</xdr:rowOff>
    </xdr:from>
    <xdr:ext cx="5715000" cy="3533775"/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76200</xdr:colOff>
      <xdr:row>62</xdr:row>
      <xdr:rowOff>85725</xdr:rowOff>
    </xdr:from>
    <xdr:ext cx="5715000" cy="3533775"/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</xdr:col>
      <xdr:colOff>114300</xdr:colOff>
      <xdr:row>82</xdr:row>
      <xdr:rowOff>95250</xdr:rowOff>
    </xdr:from>
    <xdr:ext cx="5715000" cy="3533775"/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</xdr:col>
      <xdr:colOff>76200</xdr:colOff>
      <xdr:row>82</xdr:row>
      <xdr:rowOff>95250</xdr:rowOff>
    </xdr:from>
    <xdr:ext cx="5715000" cy="3533775"/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</xdr:colOff>
      <xdr:row>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</xdr:colOff>
      <xdr:row>0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133350</xdr:colOff>
      <xdr:row>20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</xdr:colOff>
      <xdr:row>20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133350</xdr:colOff>
      <xdr:row>40</xdr:row>
      <xdr:rowOff>133350</xdr:rowOff>
    </xdr:from>
    <xdr:ext cx="5715000" cy="3943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</xdr:colOff>
      <xdr:row>40</xdr:row>
      <xdr:rowOff>133350</xdr:rowOff>
    </xdr:from>
    <xdr:ext cx="5715000" cy="39433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133350</xdr:colOff>
      <xdr:row>62</xdr:row>
      <xdr:rowOff>104775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95250</xdr:colOff>
      <xdr:row>62</xdr:row>
      <xdr:rowOff>104775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</xdr:col>
      <xdr:colOff>133350</xdr:colOff>
      <xdr:row>82</xdr:row>
      <xdr:rowOff>66675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</xdr:col>
      <xdr:colOff>95250</xdr:colOff>
      <xdr:row>82</xdr:row>
      <xdr:rowOff>66675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114300</xdr:colOff>
      <xdr:row>0</xdr:row>
      <xdr:rowOff>95250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85725</xdr:colOff>
      <xdr:row>0</xdr:row>
      <xdr:rowOff>95250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114300</xdr:colOff>
      <xdr:row>20</xdr:row>
      <xdr:rowOff>85725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76200</xdr:colOff>
      <xdr:row>20</xdr:row>
      <xdr:rowOff>85725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114300</xdr:colOff>
      <xdr:row>40</xdr:row>
      <xdr:rowOff>104775</xdr:rowOff>
    </xdr:from>
    <xdr:ext cx="5715000" cy="39433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76200</xdr:colOff>
      <xdr:row>40</xdr:row>
      <xdr:rowOff>104775</xdr:rowOff>
    </xdr:from>
    <xdr:ext cx="5715000" cy="39433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114300</xdr:colOff>
      <xdr:row>62</xdr:row>
      <xdr:rowOff>85725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76200</xdr:colOff>
      <xdr:row>62</xdr:row>
      <xdr:rowOff>85725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</xdr:col>
      <xdr:colOff>114300</xdr:colOff>
      <xdr:row>82</xdr:row>
      <xdr:rowOff>95250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</xdr:col>
      <xdr:colOff>76200</xdr:colOff>
      <xdr:row>82</xdr:row>
      <xdr:rowOff>95250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114300</xdr:colOff>
      <xdr:row>0</xdr:row>
      <xdr:rowOff>95250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85725</xdr:colOff>
      <xdr:row>0</xdr:row>
      <xdr:rowOff>95250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114300</xdr:colOff>
      <xdr:row>20</xdr:row>
      <xdr:rowOff>85725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76200</xdr:colOff>
      <xdr:row>20</xdr:row>
      <xdr:rowOff>85725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114300</xdr:colOff>
      <xdr:row>40</xdr:row>
      <xdr:rowOff>104775</xdr:rowOff>
    </xdr:from>
    <xdr:ext cx="5715000" cy="394335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76200</xdr:colOff>
      <xdr:row>40</xdr:row>
      <xdr:rowOff>104775</xdr:rowOff>
    </xdr:from>
    <xdr:ext cx="5715000" cy="394335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114300</xdr:colOff>
      <xdr:row>62</xdr:row>
      <xdr:rowOff>85725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76200</xdr:colOff>
      <xdr:row>62</xdr:row>
      <xdr:rowOff>85725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</xdr:col>
      <xdr:colOff>114300</xdr:colOff>
      <xdr:row>82</xdr:row>
      <xdr:rowOff>95250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</xdr:col>
      <xdr:colOff>76200</xdr:colOff>
      <xdr:row>82</xdr:row>
      <xdr:rowOff>95250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114300</xdr:colOff>
      <xdr:row>0</xdr:row>
      <xdr:rowOff>95250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85725</xdr:colOff>
      <xdr:row>0</xdr:row>
      <xdr:rowOff>95250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114300</xdr:colOff>
      <xdr:row>20</xdr:row>
      <xdr:rowOff>85725</xdr:rowOff>
    </xdr:from>
    <xdr:ext cx="5715000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76200</xdr:colOff>
      <xdr:row>20</xdr:row>
      <xdr:rowOff>85725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114300</xdr:colOff>
      <xdr:row>40</xdr:row>
      <xdr:rowOff>104775</xdr:rowOff>
    </xdr:from>
    <xdr:ext cx="5715000" cy="3943350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76200</xdr:colOff>
      <xdr:row>40</xdr:row>
      <xdr:rowOff>104775</xdr:rowOff>
    </xdr:from>
    <xdr:ext cx="5715000" cy="3943350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114300</xdr:colOff>
      <xdr:row>62</xdr:row>
      <xdr:rowOff>85725</xdr:rowOff>
    </xdr:from>
    <xdr:ext cx="5715000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76200</xdr:colOff>
      <xdr:row>62</xdr:row>
      <xdr:rowOff>85725</xdr:rowOff>
    </xdr:from>
    <xdr:ext cx="57150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</xdr:col>
      <xdr:colOff>114300</xdr:colOff>
      <xdr:row>82</xdr:row>
      <xdr:rowOff>95250</xdr:rowOff>
    </xdr:from>
    <xdr:ext cx="5715000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</xdr:col>
      <xdr:colOff>76200</xdr:colOff>
      <xdr:row>82</xdr:row>
      <xdr:rowOff>95250</xdr:rowOff>
    </xdr:from>
    <xdr:ext cx="5715000" cy="35337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20.38"/>
    <col customWidth="1" min="3" max="3" width="17.63"/>
    <col customWidth="1" min="4" max="4" width="16.13"/>
    <col customWidth="1" min="5" max="5" width="11.5"/>
    <col customWidth="1" min="6" max="6" width="11.38"/>
    <col customWidth="1" min="7" max="7" width="12.63"/>
    <col customWidth="1" min="9" max="9" width="11.88"/>
    <col customWidth="1" min="10" max="10" width="16.63"/>
    <col customWidth="1" min="11" max="11" width="9.75"/>
    <col customWidth="1" min="13" max="13" width="22.0"/>
    <col customWidth="1" min="14" max="14" width="13.88"/>
    <col customWidth="1" min="23" max="23" width="14.38"/>
    <col customWidth="1" min="24" max="24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1" t="s">
        <v>22</v>
      </c>
      <c r="X1" s="1" t="s">
        <v>23</v>
      </c>
      <c r="Y1" s="7"/>
      <c r="Z1" s="7"/>
      <c r="AA1" s="7"/>
      <c r="AB1" s="7"/>
      <c r="AC1" s="7"/>
    </row>
    <row r="2">
      <c r="A2" s="8" t="s">
        <v>24</v>
      </c>
      <c r="B2" s="8" t="s">
        <v>24</v>
      </c>
      <c r="C2" s="8" t="s">
        <v>25</v>
      </c>
      <c r="D2" s="8" t="s">
        <v>26</v>
      </c>
      <c r="E2" s="8" t="str">
        <f t="shared" ref="E2:E102" si="1">IFS(F2 &lt; 10000, "☆", F2&lt;25000, "★", F2&lt;60000, "★★", F2&lt;160000, "★★★", F2&lt;1160000, "★★★★", F2=1160000, "★★★★★")</f>
        <v>★</v>
      </c>
      <c r="F2" s="9">
        <v>12660.0</v>
      </c>
      <c r="G2" s="8">
        <f t="shared" ref="G2:G102" si="2">IFS(F2&lt;25000, 25000, F2&lt;60000, 60000, F2&lt;160000, 160000, F2&gt;160000, 1160000)</f>
        <v>25000</v>
      </c>
      <c r="H2" s="8">
        <f t="shared" ref="H2:H102" si="3">G2-F2</f>
        <v>12340</v>
      </c>
      <c r="I2" s="10">
        <f t="shared" ref="I2:I71" si="4">F2*100/G2</f>
        <v>50.64</v>
      </c>
      <c r="J2" s="11" t="str">
        <f>IFERROR(__xludf.DUMMYFUNCTION("SPARKLINE(F2/G2, {""charttype"",""bar"";""max"",1;""min"",0;""color1"",""green""})"),"")</f>
        <v/>
      </c>
      <c r="K2" s="8">
        <v>27.0</v>
      </c>
      <c r="L2" s="11" t="str">
        <f>IFERROR(__xludf.DUMMYFUNCTION("SPARKLINE(K2, {""charttype"",""bar"";""max"",100;""min"",0;""color1"",""green""})"),"")</f>
        <v/>
      </c>
      <c r="M2" s="8" t="s">
        <v>27</v>
      </c>
      <c r="N2" s="8" t="s">
        <v>28</v>
      </c>
      <c r="O2" s="8">
        <v>70.0</v>
      </c>
      <c r="P2" s="11" t="str">
        <f>IFERROR(__xludf.DUMMYFUNCTION("SPARKLINE(O2, {""charttype"",""bar"";""max"",100;""min"",0;""color1"",""grey""})"),"")</f>
        <v/>
      </c>
      <c r="Q2" s="9"/>
      <c r="R2" s="9"/>
      <c r="S2" s="8">
        <v>20.0</v>
      </c>
      <c r="T2" s="9" t="str">
        <f>IFERROR(__xludf.DUMMYFUNCTION("SPARKLINE(S2, {""charttype"",""bar"";""max"",100;""min"",0;""color1"",""grey""})"),"")</f>
        <v/>
      </c>
      <c r="U2" s="9"/>
      <c r="V2" s="9"/>
      <c r="W2" s="9"/>
      <c r="X2" s="8">
        <v>180.0</v>
      </c>
    </row>
    <row r="3">
      <c r="A3" s="8" t="s">
        <v>24</v>
      </c>
      <c r="B3" s="8" t="s">
        <v>29</v>
      </c>
      <c r="C3" s="8" t="s">
        <v>30</v>
      </c>
      <c r="D3" s="8" t="s">
        <v>31</v>
      </c>
      <c r="E3" s="8" t="str">
        <f t="shared" si="1"/>
        <v>★</v>
      </c>
      <c r="F3" s="9">
        <v>17960.0</v>
      </c>
      <c r="G3" s="8">
        <f t="shared" si="2"/>
        <v>25000</v>
      </c>
      <c r="H3" s="8">
        <f t="shared" si="3"/>
        <v>7040</v>
      </c>
      <c r="I3" s="10">
        <f t="shared" si="4"/>
        <v>71.84</v>
      </c>
      <c r="J3" s="11" t="str">
        <f>IFERROR(__xludf.DUMMYFUNCTION("SPARKLINE(F3/G3, {""charttype"",""bar"";""max"",1;""min"",0;""color1"",""green""})"),"")</f>
        <v/>
      </c>
      <c r="K3" s="8">
        <v>21.0</v>
      </c>
      <c r="L3" s="11" t="str">
        <f>IFERROR(__xludf.DUMMYFUNCTION("SPARKLINE(K3, {""charttype"",""bar"";""max"",100;""min"",0;""color1"",""green""})"),"")</f>
        <v/>
      </c>
      <c r="M3" s="8" t="s">
        <v>32</v>
      </c>
      <c r="N3" s="8" t="s">
        <v>33</v>
      </c>
      <c r="O3" s="8">
        <v>30.0</v>
      </c>
      <c r="P3" s="11" t="str">
        <f>IFERROR(__xludf.DUMMYFUNCTION("SPARKLINE(O3, {""charttype"",""bar"";""max"",100;""min"",0;""color1"",""grey""})"),"")</f>
        <v/>
      </c>
      <c r="Q3" s="9"/>
      <c r="R3" s="9"/>
      <c r="S3" s="8">
        <v>65.0</v>
      </c>
      <c r="T3" s="9" t="str">
        <f>IFERROR(__xludf.DUMMYFUNCTION("SPARKLINE(S3, {""charttype"",""bar"";""max"",100;""min"",0;""color1"",""grey""})"),"")</f>
        <v/>
      </c>
      <c r="U3" s="9"/>
      <c r="V3" s="9"/>
      <c r="W3" s="9"/>
      <c r="X3" s="8">
        <v>180.0</v>
      </c>
    </row>
    <row r="4">
      <c r="A4" s="8" t="s">
        <v>24</v>
      </c>
      <c r="B4" s="8" t="s">
        <v>34</v>
      </c>
      <c r="C4" s="8" t="s">
        <v>35</v>
      </c>
      <c r="D4" s="8" t="s">
        <v>36</v>
      </c>
      <c r="E4" s="8" t="str">
        <f t="shared" si="1"/>
        <v>★</v>
      </c>
      <c r="F4" s="9">
        <v>10235.0</v>
      </c>
      <c r="G4" s="8">
        <f t="shared" si="2"/>
        <v>25000</v>
      </c>
      <c r="H4" s="8">
        <f t="shared" si="3"/>
        <v>14765</v>
      </c>
      <c r="I4" s="10">
        <f t="shared" si="4"/>
        <v>40.94</v>
      </c>
      <c r="J4" s="11" t="str">
        <f>IFERROR(__xludf.DUMMYFUNCTION("SPARKLINE(F4/G4, {""charttype"",""bar"";""max"",1;""min"",0;""color1"",""green""})"),"")</f>
        <v/>
      </c>
      <c r="K4" s="8">
        <v>21.0</v>
      </c>
      <c r="L4" s="11" t="str">
        <f>IFERROR(__xludf.DUMMYFUNCTION("SPARKLINE(K4, {""charttype"",""bar"";""max"",100;""min"",0;""color1"",""green""})"),"")</f>
        <v/>
      </c>
      <c r="M4" s="8" t="s">
        <v>37</v>
      </c>
      <c r="N4" s="8" t="s">
        <v>33</v>
      </c>
      <c r="O4" s="8">
        <v>30.0</v>
      </c>
      <c r="P4" s="11" t="str">
        <f>IFERROR(__xludf.DUMMYFUNCTION("SPARKLINE(O4, {""charttype"",""bar"";""max"",100;""min"",0;""color1"",""grey""})"),"")</f>
        <v/>
      </c>
      <c r="Q4" s="9"/>
      <c r="R4" s="9"/>
      <c r="S4" s="8">
        <v>65.0</v>
      </c>
      <c r="T4" s="9" t="str">
        <f>IFERROR(__xludf.DUMMYFUNCTION("SPARKLINE(S4, {""charttype"",""bar"";""max"",100;""min"",0;""color1"",""grey""})"),"")</f>
        <v/>
      </c>
      <c r="U4" s="9"/>
      <c r="V4" s="9"/>
      <c r="W4" s="9"/>
      <c r="X4" s="8">
        <v>180.0</v>
      </c>
    </row>
    <row r="5">
      <c r="A5" s="8" t="s">
        <v>24</v>
      </c>
      <c r="B5" s="8" t="s">
        <v>38</v>
      </c>
      <c r="C5" s="8" t="s">
        <v>30</v>
      </c>
      <c r="D5" s="8" t="s">
        <v>39</v>
      </c>
      <c r="E5" s="8" t="str">
        <f t="shared" si="1"/>
        <v>★</v>
      </c>
      <c r="F5" s="9">
        <v>11485.0</v>
      </c>
      <c r="G5" s="8">
        <f t="shared" si="2"/>
        <v>25000</v>
      </c>
      <c r="H5" s="8">
        <f t="shared" si="3"/>
        <v>13515</v>
      </c>
      <c r="I5" s="10">
        <f t="shared" si="4"/>
        <v>45.94</v>
      </c>
      <c r="J5" s="11" t="str">
        <f>IFERROR(__xludf.DUMMYFUNCTION("SPARKLINE(F5/G5, {""charttype"",""bar"";""max"",1;""min"",0;""color1"",""green""})"),"")</f>
        <v/>
      </c>
      <c r="K5" s="8">
        <v>18.0</v>
      </c>
      <c r="L5" s="11" t="str">
        <f>IFERROR(__xludf.DUMMYFUNCTION("SPARKLINE(K5, {""charttype"",""bar"";""max"",100;""min"",0;""color1"",""green""})"),"")</f>
        <v/>
      </c>
      <c r="M5" s="8" t="s">
        <v>37</v>
      </c>
      <c r="N5" s="8" t="s">
        <v>33</v>
      </c>
      <c r="O5" s="8">
        <v>70.0</v>
      </c>
      <c r="P5" s="11" t="str">
        <f>IFERROR(__xludf.DUMMYFUNCTION("SPARKLINE(O5, {""charttype"",""bar"";""max"",100;""min"",0;""color1"",""grey""})"),"")</f>
        <v/>
      </c>
      <c r="Q5" s="9"/>
      <c r="R5" s="9"/>
      <c r="S5" s="8">
        <v>30.0</v>
      </c>
      <c r="T5" s="9" t="str">
        <f>IFERROR(__xludf.DUMMYFUNCTION("SPARKLINE(S5, {""charttype"",""bar"";""max"",100;""min"",0;""color1"",""grey""})"),"")</f>
        <v/>
      </c>
      <c r="U5" s="9"/>
      <c r="V5" s="9"/>
      <c r="W5" s="9"/>
      <c r="X5" s="8">
        <v>180.0</v>
      </c>
    </row>
    <row r="6">
      <c r="A6" s="8" t="s">
        <v>24</v>
      </c>
      <c r="B6" s="8" t="s">
        <v>40</v>
      </c>
      <c r="C6" s="8" t="s">
        <v>41</v>
      </c>
      <c r="D6" s="8" t="s">
        <v>42</v>
      </c>
      <c r="E6" s="8" t="str">
        <f t="shared" si="1"/>
        <v>★★</v>
      </c>
      <c r="F6" s="8">
        <v>31220.0</v>
      </c>
      <c r="G6" s="8">
        <f t="shared" si="2"/>
        <v>60000</v>
      </c>
      <c r="H6" s="8">
        <f t="shared" si="3"/>
        <v>28780</v>
      </c>
      <c r="I6" s="10">
        <f t="shared" si="4"/>
        <v>52.03333333</v>
      </c>
      <c r="J6" s="11" t="str">
        <f>IFERROR(__xludf.DUMMYFUNCTION("SPARKLINE(F6/G6, {""charttype"",""bar"";""max"",1;""min"",0;""color1"",""green""})"),"")</f>
        <v/>
      </c>
      <c r="K6" s="8">
        <v>18.0</v>
      </c>
      <c r="L6" s="11" t="str">
        <f>IFERROR(__xludf.DUMMYFUNCTION("SPARKLINE(K6, {""charttype"",""bar"";""max"",100;""min"",0;""color1"",""green""})"),"")</f>
        <v/>
      </c>
      <c r="M6" s="8" t="s">
        <v>37</v>
      </c>
      <c r="N6" s="8" t="s">
        <v>33</v>
      </c>
      <c r="O6" s="8">
        <v>70.0</v>
      </c>
      <c r="P6" s="11" t="str">
        <f>IFERROR(__xludf.DUMMYFUNCTION("SPARKLINE(O6, {""charttype"",""bar"";""max"",100;""min"",0;""color1"",""grey""})"),"")</f>
        <v/>
      </c>
      <c r="Q6" s="9"/>
      <c r="R6" s="9"/>
      <c r="S6" s="8">
        <v>30.0</v>
      </c>
      <c r="T6" s="9" t="str">
        <f>IFERROR(__xludf.DUMMYFUNCTION("SPARKLINE(S6, {""charttype"",""bar"";""max"",100;""min"",0;""color1"",""grey""})"),"")</f>
        <v/>
      </c>
      <c r="U6" s="9"/>
      <c r="V6" s="9"/>
      <c r="W6" s="9"/>
      <c r="X6" s="8">
        <v>180.0</v>
      </c>
    </row>
    <row r="7">
      <c r="A7" s="8" t="s">
        <v>24</v>
      </c>
      <c r="B7" s="8" t="s">
        <v>43</v>
      </c>
      <c r="C7" s="8" t="s">
        <v>44</v>
      </c>
      <c r="D7" s="8" t="s">
        <v>45</v>
      </c>
      <c r="E7" s="8" t="str">
        <f t="shared" si="1"/>
        <v>★★★</v>
      </c>
      <c r="F7" s="9">
        <v>62925.0</v>
      </c>
      <c r="G7" s="8">
        <f t="shared" si="2"/>
        <v>160000</v>
      </c>
      <c r="H7" s="8">
        <f t="shared" si="3"/>
        <v>97075</v>
      </c>
      <c r="I7" s="10">
        <f t="shared" si="4"/>
        <v>39.328125</v>
      </c>
      <c r="J7" s="11" t="str">
        <f>IFERROR(__xludf.DUMMYFUNCTION("SPARKLINE(F7/G7, {""charttype"",""bar"";""max"",1;""min"",0;""color1"",""green""})"),"")</f>
        <v/>
      </c>
      <c r="K7" s="8">
        <v>56.0</v>
      </c>
      <c r="L7" s="11" t="str">
        <f>IFERROR(__xludf.DUMMYFUNCTION("SPARKLINE(K7, {""charttype"",""bar"";""max"",100;""min"",0;""color1"",""green""})"),"")</f>
        <v/>
      </c>
      <c r="M7" s="8" t="s">
        <v>37</v>
      </c>
      <c r="N7" s="8" t="s">
        <v>28</v>
      </c>
      <c r="O7" s="8">
        <v>70.0</v>
      </c>
      <c r="P7" s="11" t="str">
        <f>IFERROR(__xludf.DUMMYFUNCTION("SPARKLINE(O7, {""charttype"",""bar"";""max"",100;""min"",0;""color1"",""grey""})"),"")</f>
        <v/>
      </c>
      <c r="Q7" s="9"/>
      <c r="R7" s="9"/>
      <c r="S7" s="8">
        <v>10.0</v>
      </c>
      <c r="T7" s="9" t="str">
        <f>IFERROR(__xludf.DUMMYFUNCTION("SPARKLINE(S7, {""charttype"",""bar"";""max"",100;""min"",0;""color1"",""grey""})"),"")</f>
        <v/>
      </c>
      <c r="U7" s="9"/>
      <c r="V7" s="9"/>
      <c r="W7" s="9"/>
      <c r="X7" s="8">
        <v>200.0</v>
      </c>
    </row>
    <row r="8">
      <c r="A8" s="8" t="s">
        <v>24</v>
      </c>
      <c r="B8" s="8" t="s">
        <v>46</v>
      </c>
      <c r="C8" s="8" t="s">
        <v>47</v>
      </c>
      <c r="D8" s="8" t="s">
        <v>48</v>
      </c>
      <c r="E8" s="8" t="str">
        <f t="shared" si="1"/>
        <v>★</v>
      </c>
      <c r="F8" s="9">
        <v>10600.0</v>
      </c>
      <c r="G8" s="8">
        <f t="shared" si="2"/>
        <v>25000</v>
      </c>
      <c r="H8" s="8">
        <f t="shared" si="3"/>
        <v>14400</v>
      </c>
      <c r="I8" s="10">
        <f t="shared" si="4"/>
        <v>42.4</v>
      </c>
      <c r="J8" s="11" t="str">
        <f>IFERROR(__xludf.DUMMYFUNCTION("SPARKLINE(F8/G8, {""charttype"",""bar"";""max"",1;""min"",0;""color1"",""green""})"),"")</f>
        <v/>
      </c>
      <c r="K8" s="8">
        <v>62.0</v>
      </c>
      <c r="L8" s="11" t="str">
        <f>IFERROR(__xludf.DUMMYFUNCTION("SPARKLINE(K8, {""charttype"",""bar"";""max"",100;""min"",0;""color1"",""green""})"),"")</f>
        <v/>
      </c>
      <c r="M8" s="8" t="s">
        <v>27</v>
      </c>
      <c r="N8" s="8" t="s">
        <v>28</v>
      </c>
      <c r="O8" s="8">
        <v>35.0</v>
      </c>
      <c r="P8" s="11" t="str">
        <f>IFERROR(__xludf.DUMMYFUNCTION("SPARKLINE(O8, {""charttype"",""bar"";""max"",100;""min"",0;""color1"",""grey""})"),"")</f>
        <v/>
      </c>
      <c r="Q8" s="9"/>
      <c r="R8" s="9"/>
      <c r="S8" s="8">
        <v>40.0</v>
      </c>
      <c r="T8" s="9" t="str">
        <f>IFERROR(__xludf.DUMMYFUNCTION("SPARKLINE(S8, {""charttype"",""bar"";""max"",100;""min"",0;""color1"",""grey""})"),"")</f>
        <v/>
      </c>
      <c r="U8" s="9"/>
      <c r="V8" s="9"/>
      <c r="W8" s="9"/>
      <c r="X8" s="8">
        <v>200.0</v>
      </c>
    </row>
    <row r="9">
      <c r="A9" s="8" t="s">
        <v>24</v>
      </c>
      <c r="B9" s="8" t="s">
        <v>49</v>
      </c>
      <c r="C9" s="8" t="s">
        <v>50</v>
      </c>
      <c r="D9" s="8" t="s">
        <v>51</v>
      </c>
      <c r="E9" s="8" t="str">
        <f t="shared" si="1"/>
        <v>★</v>
      </c>
      <c r="F9" s="9">
        <v>10200.0</v>
      </c>
      <c r="G9" s="8">
        <f t="shared" si="2"/>
        <v>25000</v>
      </c>
      <c r="H9" s="8">
        <f t="shared" si="3"/>
        <v>14800</v>
      </c>
      <c r="I9" s="10">
        <f t="shared" si="4"/>
        <v>40.8</v>
      </c>
      <c r="J9" s="11" t="str">
        <f>IFERROR(__xludf.DUMMYFUNCTION("SPARKLINE(F9/G9, {""charttype"",""bar"";""max"",1;""min"",0;""color1"",""green""})"),"")</f>
        <v/>
      </c>
      <c r="K9" s="8">
        <v>62.0</v>
      </c>
      <c r="L9" s="11" t="str">
        <f>IFERROR(__xludf.DUMMYFUNCTION("SPARKLINE(K9, {""charttype"",""bar"";""max"",100;""min"",0;""color1"",""green""})"),"")</f>
        <v/>
      </c>
      <c r="M9" s="8" t="s">
        <v>27</v>
      </c>
      <c r="N9" s="8" t="s">
        <v>28</v>
      </c>
      <c r="O9" s="8">
        <v>35.0</v>
      </c>
      <c r="P9" s="11" t="str">
        <f>IFERROR(__xludf.DUMMYFUNCTION("SPARKLINE(O9, {""charttype"",""bar"";""max"",100;""min"",0;""color1"",""grey""})"),"")</f>
        <v/>
      </c>
      <c r="Q9" s="9"/>
      <c r="R9" s="9"/>
      <c r="S9" s="8">
        <v>40.0</v>
      </c>
      <c r="T9" s="9" t="str">
        <f>IFERROR(__xludf.DUMMYFUNCTION("SPARKLINE(S9, {""charttype"",""bar"";""max"",100;""min"",0;""color1"",""grey""})"),"")</f>
        <v/>
      </c>
      <c r="U9" s="9"/>
      <c r="V9" s="9"/>
      <c r="W9" s="9"/>
      <c r="X9" s="8">
        <v>210.0</v>
      </c>
    </row>
    <row r="10">
      <c r="A10" s="8" t="s">
        <v>24</v>
      </c>
      <c r="B10" s="8" t="s">
        <v>52</v>
      </c>
      <c r="C10" s="8" t="s">
        <v>53</v>
      </c>
      <c r="D10" s="8" t="s">
        <v>54</v>
      </c>
      <c r="E10" s="8" t="str">
        <f t="shared" si="1"/>
        <v>★</v>
      </c>
      <c r="F10" s="9">
        <v>11630.0</v>
      </c>
      <c r="G10" s="8">
        <f t="shared" si="2"/>
        <v>25000</v>
      </c>
      <c r="H10" s="8">
        <f t="shared" si="3"/>
        <v>13370</v>
      </c>
      <c r="I10" s="10">
        <f t="shared" si="4"/>
        <v>46.52</v>
      </c>
      <c r="J10" s="11" t="str">
        <f>IFERROR(__xludf.DUMMYFUNCTION("SPARKLINE(F10/G10, {""charttype"",""bar"";""max"",1;""min"",0;""color1"",""green""})"),"")</f>
        <v/>
      </c>
      <c r="K10" s="8">
        <v>72.0</v>
      </c>
      <c r="L10" s="11" t="str">
        <f>IFERROR(__xludf.DUMMYFUNCTION("SPARKLINE(K10, {""charttype"",""bar"";""max"",100;""min"",0;""color1"",""green""})"),"")</f>
        <v/>
      </c>
      <c r="M10" s="8" t="s">
        <v>55</v>
      </c>
      <c r="N10" s="8" t="s">
        <v>28</v>
      </c>
      <c r="O10" s="8">
        <v>35.0</v>
      </c>
      <c r="P10" s="11" t="str">
        <f>IFERROR(__xludf.DUMMYFUNCTION("SPARKLINE(O10, {""charttype"",""bar"";""max"",100;""min"",0;""color1"",""grey""})"),"")</f>
        <v/>
      </c>
      <c r="Q10" s="9"/>
      <c r="R10" s="9"/>
      <c r="S10" s="8">
        <v>30.0</v>
      </c>
      <c r="T10" s="9" t="str">
        <f>IFERROR(__xludf.DUMMYFUNCTION("SPARKLINE(S10, {""charttype"",""bar"";""max"",100;""min"",0;""color1"",""grey""})"),"")</f>
        <v/>
      </c>
      <c r="U10" s="9"/>
      <c r="V10" s="9"/>
      <c r="W10" s="9"/>
      <c r="X10" s="8">
        <v>180.0</v>
      </c>
    </row>
    <row r="11">
      <c r="A11" s="8" t="s">
        <v>24</v>
      </c>
      <c r="B11" s="8" t="s">
        <v>56</v>
      </c>
      <c r="C11" s="8" t="s">
        <v>57</v>
      </c>
      <c r="D11" s="8" t="s">
        <v>58</v>
      </c>
      <c r="E11" s="8" t="str">
        <f t="shared" si="1"/>
        <v>★</v>
      </c>
      <c r="F11" s="9">
        <v>10200.0</v>
      </c>
      <c r="G11" s="8">
        <f t="shared" si="2"/>
        <v>25000</v>
      </c>
      <c r="H11" s="8">
        <f t="shared" si="3"/>
        <v>14800</v>
      </c>
      <c r="I11" s="10">
        <f t="shared" si="4"/>
        <v>40.8</v>
      </c>
      <c r="J11" s="11" t="str">
        <f>IFERROR(__xludf.DUMMYFUNCTION("SPARKLINE(F11/G11, {""charttype"",""bar"";""max"",1;""min"",0;""color1"",""green""})"),"")</f>
        <v/>
      </c>
      <c r="K11" s="8">
        <v>72.0</v>
      </c>
      <c r="L11" s="11" t="str">
        <f>IFERROR(__xludf.DUMMYFUNCTION("SPARKLINE(K11, {""charttype"",""bar"";""max"",100;""min"",0;""color1"",""green""})"),"")</f>
        <v/>
      </c>
      <c r="M11" s="8" t="s">
        <v>55</v>
      </c>
      <c r="N11" s="8" t="s">
        <v>28</v>
      </c>
      <c r="O11" s="8">
        <v>35.0</v>
      </c>
      <c r="P11" s="11" t="str">
        <f>IFERROR(__xludf.DUMMYFUNCTION("SPARKLINE(O11, {""charttype"",""bar"";""max"",100;""min"",0;""color1"",""grey""})"),"")</f>
        <v/>
      </c>
      <c r="Q11" s="9"/>
      <c r="R11" s="9"/>
      <c r="S11" s="8">
        <v>30.0</v>
      </c>
      <c r="T11" s="9" t="str">
        <f>IFERROR(__xludf.DUMMYFUNCTION("SPARKLINE(S11, {""charttype"",""bar"";""max"",100;""min"",0;""color1"",""grey""})"),"")</f>
        <v/>
      </c>
      <c r="U11" s="9"/>
      <c r="V11" s="9"/>
      <c r="W11" s="9"/>
      <c r="X11" s="8">
        <v>180.0</v>
      </c>
    </row>
    <row r="12">
      <c r="A12" s="8" t="s">
        <v>24</v>
      </c>
      <c r="B12" s="8" t="s">
        <v>59</v>
      </c>
      <c r="C12" s="8" t="s">
        <v>60</v>
      </c>
      <c r="D12" s="8" t="s">
        <v>61</v>
      </c>
      <c r="E12" s="8" t="str">
        <f t="shared" si="1"/>
        <v>★</v>
      </c>
      <c r="F12" s="9">
        <v>10000.0</v>
      </c>
      <c r="G12" s="8">
        <f t="shared" si="2"/>
        <v>25000</v>
      </c>
      <c r="H12" s="8">
        <f t="shared" si="3"/>
        <v>15000</v>
      </c>
      <c r="I12" s="10">
        <f t="shared" si="4"/>
        <v>40</v>
      </c>
      <c r="J12" s="11" t="str">
        <f>IFERROR(__xludf.DUMMYFUNCTION("SPARKLINE(F12/G12, {""charttype"",""bar"";""max"",1;""min"",0;""color1"",""green""})"),"")</f>
        <v/>
      </c>
      <c r="K12" s="8">
        <v>45.0</v>
      </c>
      <c r="L12" s="11" t="str">
        <f>IFERROR(__xludf.DUMMYFUNCTION("SPARKLINE(K12, {""charttype"",""bar"";""max"",100;""min"",0;""color1"",""green""})"),"")</f>
        <v/>
      </c>
      <c r="M12" s="8" t="s">
        <v>27</v>
      </c>
      <c r="N12" s="8" t="s">
        <v>28</v>
      </c>
      <c r="O12" s="8">
        <v>70.0</v>
      </c>
      <c r="P12" s="11" t="str">
        <f>IFERROR(__xludf.DUMMYFUNCTION("SPARKLINE(O12, {""charttype"",""bar"";""max"",100;""min"",0;""color1"",""grey""})"),"")</f>
        <v/>
      </c>
      <c r="Q12" s="9"/>
      <c r="R12" s="9"/>
      <c r="S12" s="8">
        <v>10.0</v>
      </c>
      <c r="T12" s="9" t="str">
        <f>IFERROR(__xludf.DUMMYFUNCTION("SPARKLINE(S12, {""charttype"",""bar"";""max"",100;""min"",0;""color1"",""grey""})"),"")</f>
        <v/>
      </c>
      <c r="U12" s="9"/>
      <c r="V12" s="9"/>
      <c r="W12" s="9"/>
      <c r="X12" s="8">
        <v>180.0</v>
      </c>
    </row>
    <row r="13">
      <c r="A13" s="8" t="s">
        <v>62</v>
      </c>
      <c r="B13" s="8" t="s">
        <v>63</v>
      </c>
      <c r="C13" s="8" t="s">
        <v>25</v>
      </c>
      <c r="D13" s="8" t="s">
        <v>51</v>
      </c>
      <c r="E13" s="8" t="str">
        <f t="shared" si="1"/>
        <v>★</v>
      </c>
      <c r="F13" s="8">
        <v>10400.0</v>
      </c>
      <c r="G13" s="8">
        <f t="shared" si="2"/>
        <v>25000</v>
      </c>
      <c r="H13" s="8">
        <f t="shared" si="3"/>
        <v>14600</v>
      </c>
      <c r="I13" s="10">
        <f t="shared" si="4"/>
        <v>41.6</v>
      </c>
      <c r="J13" s="11" t="str">
        <f>IFERROR(__xludf.DUMMYFUNCTION("SPARKLINE(F13/G13, {""charttype"",""bar"";""max"",1;""min"",0;""color1"",""green""})"),"")</f>
        <v/>
      </c>
      <c r="K13" s="8">
        <v>43.0</v>
      </c>
      <c r="L13" s="11" t="str">
        <f>IFERROR(__xludf.DUMMYFUNCTION("SPARKLINE(K13, {""charttype"",""bar"";""max"",100;""min"",0;""color1"",""green""})"),"")</f>
        <v/>
      </c>
      <c r="M13" s="8" t="s">
        <v>64</v>
      </c>
      <c r="N13" s="8" t="s">
        <v>28</v>
      </c>
      <c r="O13" s="9"/>
      <c r="P13" s="8">
        <v>65.0</v>
      </c>
      <c r="Q13" s="9" t="str">
        <f>IFERROR(__xludf.DUMMYFUNCTION("SPARKLINE(P13, {""charttype"",""bar"";""max"",100;""min"",0;""color1"",""grey""})"),"")</f>
        <v/>
      </c>
      <c r="R13" s="9"/>
      <c r="S13" s="9"/>
      <c r="T13" s="8">
        <v>60.0</v>
      </c>
      <c r="U13" s="9" t="str">
        <f>IFERROR(__xludf.DUMMYFUNCTION("SPARKLINE(T13, {""charttype"",""bar"";""max"",100;""min"",0;""color1"",""grey""})"),"")</f>
        <v/>
      </c>
      <c r="V13" s="9"/>
      <c r="W13" s="9"/>
      <c r="X13" s="8">
        <v>190.0</v>
      </c>
    </row>
    <row r="14">
      <c r="A14" s="8" t="s">
        <v>62</v>
      </c>
      <c r="B14" s="8" t="s">
        <v>65</v>
      </c>
      <c r="C14" s="8" t="s">
        <v>60</v>
      </c>
      <c r="D14" s="8" t="s">
        <v>48</v>
      </c>
      <c r="E14" s="8" t="str">
        <f t="shared" si="1"/>
        <v>★</v>
      </c>
      <c r="F14" s="9">
        <v>11235.0</v>
      </c>
      <c r="G14" s="8">
        <f t="shared" si="2"/>
        <v>25000</v>
      </c>
      <c r="H14" s="8">
        <f t="shared" si="3"/>
        <v>13765</v>
      </c>
      <c r="I14" s="10">
        <f t="shared" si="4"/>
        <v>44.94</v>
      </c>
      <c r="J14" s="11" t="str">
        <f>IFERROR(__xludf.DUMMYFUNCTION("SPARKLINE(F14/G14, {""charttype"",""bar"";""max"",1;""min"",0;""color1"",""green""})"),"")</f>
        <v/>
      </c>
      <c r="K14" s="8">
        <v>43.0</v>
      </c>
      <c r="L14" s="11" t="str">
        <f>IFERROR(__xludf.DUMMYFUNCTION("SPARKLINE(K14, {""charttype"",""bar"";""max"",100;""min"",0;""color1"",""green""})"),"")</f>
        <v/>
      </c>
      <c r="M14" s="8" t="s">
        <v>66</v>
      </c>
      <c r="N14" s="8" t="s">
        <v>28</v>
      </c>
      <c r="O14" s="9"/>
      <c r="P14" s="8">
        <v>65.0</v>
      </c>
      <c r="Q14" s="9" t="str">
        <f>IFERROR(__xludf.DUMMYFUNCTION("SPARKLINE(P14, {""charttype"",""bar"";""max"",100;""min"",0;""color1"",""grey""})"),"")</f>
        <v/>
      </c>
      <c r="R14" s="9"/>
      <c r="S14" s="9"/>
      <c r="T14" s="8">
        <v>60.0</v>
      </c>
      <c r="U14" s="9" t="str">
        <f>IFERROR(__xludf.DUMMYFUNCTION("SPARKLINE(T14, {""charttype"",""bar"";""max"",100;""min"",0;""color1"",""grey""})"),"")</f>
        <v/>
      </c>
      <c r="V14" s="9"/>
      <c r="W14" s="9"/>
      <c r="X14" s="8">
        <v>200.0</v>
      </c>
    </row>
    <row r="15">
      <c r="A15" s="8" t="s">
        <v>62</v>
      </c>
      <c r="B15" s="8" t="s">
        <v>67</v>
      </c>
      <c r="C15" s="8" t="s">
        <v>68</v>
      </c>
      <c r="D15" s="8" t="s">
        <v>54</v>
      </c>
      <c r="E15" s="8" t="str">
        <f t="shared" si="1"/>
        <v>★</v>
      </c>
      <c r="F15" s="9">
        <v>11045.0</v>
      </c>
      <c r="G15" s="8">
        <f t="shared" si="2"/>
        <v>25000</v>
      </c>
      <c r="H15" s="8">
        <f t="shared" si="3"/>
        <v>13955</v>
      </c>
      <c r="I15" s="10">
        <f t="shared" si="4"/>
        <v>44.18</v>
      </c>
      <c r="J15" s="11" t="str">
        <f>IFERROR(__xludf.DUMMYFUNCTION("SPARKLINE(F15/G15, {""charttype"",""bar"";""max"",1;""min"",0;""color1"",""green""})"),"")</f>
        <v/>
      </c>
      <c r="K15" s="8">
        <v>62.0</v>
      </c>
      <c r="L15" s="11" t="str">
        <f>IFERROR(__xludf.DUMMYFUNCTION("SPARKLINE(K15, {""charttype"",""bar"";""max"",100;""min"",0;""color1"",""green""})"),"")</f>
        <v/>
      </c>
      <c r="M15" s="8" t="s">
        <v>32</v>
      </c>
      <c r="N15" s="8" t="s">
        <v>69</v>
      </c>
      <c r="O15" s="9"/>
      <c r="P15" s="8">
        <v>85.0</v>
      </c>
      <c r="Q15" s="9" t="str">
        <f>IFERROR(__xludf.DUMMYFUNCTION("SPARKLINE(P15, {""charttype"",""bar"";""max"",100;""min"",0;""color1"",""grey""})"),"")</f>
        <v/>
      </c>
      <c r="R15" s="9"/>
      <c r="S15" s="9"/>
      <c r="T15" s="8">
        <v>85.0</v>
      </c>
      <c r="U15" s="9" t="str">
        <f>IFERROR(__xludf.DUMMYFUNCTION("SPARKLINE(T15, {""charttype"",""bar"";""max"",100;""min"",0;""color1"",""grey""})"),"")</f>
        <v/>
      </c>
      <c r="V15" s="9"/>
      <c r="W15" s="9"/>
      <c r="X15" s="8">
        <v>190.0</v>
      </c>
    </row>
    <row r="16">
      <c r="A16" s="8" t="s">
        <v>62</v>
      </c>
      <c r="B16" s="8" t="s">
        <v>70</v>
      </c>
      <c r="C16" s="8" t="s">
        <v>47</v>
      </c>
      <c r="D16" s="8" t="s">
        <v>31</v>
      </c>
      <c r="E16" s="8" t="str">
        <f t="shared" si="1"/>
        <v>★</v>
      </c>
      <c r="F16" s="9">
        <v>11200.0</v>
      </c>
      <c r="G16" s="8">
        <f t="shared" si="2"/>
        <v>25000</v>
      </c>
      <c r="H16" s="8">
        <f t="shared" si="3"/>
        <v>13800</v>
      </c>
      <c r="I16" s="10">
        <f t="shared" si="4"/>
        <v>44.8</v>
      </c>
      <c r="J16" s="11" t="str">
        <f>IFERROR(__xludf.DUMMYFUNCTION("SPARKLINE(F16/G16, {""charttype"",""bar"";""max"",1;""min"",0;""color1"",""green""})"),"")</f>
        <v/>
      </c>
      <c r="K16" s="8">
        <v>62.0</v>
      </c>
      <c r="L16" s="11" t="str">
        <f>IFERROR(__xludf.DUMMYFUNCTION("SPARKLINE(K16, {""charttype"",""bar"";""max"",100;""min"",0;""color1"",""green""})"),"")</f>
        <v/>
      </c>
      <c r="M16" s="8" t="s">
        <v>32</v>
      </c>
      <c r="N16" s="8" t="s">
        <v>69</v>
      </c>
      <c r="O16" s="9"/>
      <c r="P16" s="8">
        <v>85.0</v>
      </c>
      <c r="Q16" s="9" t="str">
        <f>IFERROR(__xludf.DUMMYFUNCTION("SPARKLINE(P16, {""charttype"",""bar"";""max"",100;""min"",0;""color1"",""grey""})"),"")</f>
        <v/>
      </c>
      <c r="R16" s="9"/>
      <c r="S16" s="9"/>
      <c r="T16" s="8">
        <v>85.0</v>
      </c>
      <c r="U16" s="9" t="str">
        <f>IFERROR(__xludf.DUMMYFUNCTION("SPARKLINE(T16, {""charttype"",""bar"";""max"",100;""min"",0;""color1"",""grey""})"),"")</f>
        <v/>
      </c>
      <c r="V16" s="9"/>
      <c r="W16" s="9"/>
      <c r="X16" s="8">
        <v>200.0</v>
      </c>
    </row>
    <row r="17">
      <c r="A17" s="8" t="s">
        <v>62</v>
      </c>
      <c r="B17" s="8" t="s">
        <v>71</v>
      </c>
      <c r="C17" s="8" t="s">
        <v>47</v>
      </c>
      <c r="D17" s="8" t="s">
        <v>61</v>
      </c>
      <c r="E17" s="8" t="str">
        <f t="shared" si="1"/>
        <v>★</v>
      </c>
      <c r="F17" s="9">
        <v>12200.0</v>
      </c>
      <c r="G17" s="8">
        <f t="shared" si="2"/>
        <v>25000</v>
      </c>
      <c r="H17" s="8">
        <f t="shared" si="3"/>
        <v>12800</v>
      </c>
      <c r="I17" s="10">
        <f t="shared" si="4"/>
        <v>48.8</v>
      </c>
      <c r="J17" s="11" t="str">
        <f>IFERROR(__xludf.DUMMYFUNCTION("SPARKLINE(F17/G17, {""charttype"",""bar"";""max"",1;""min"",0;""color1"",""green""})"),"")</f>
        <v/>
      </c>
      <c r="K17" s="8">
        <v>50.0</v>
      </c>
      <c r="L17" s="11" t="str">
        <f>IFERROR(__xludf.DUMMYFUNCTION("SPARKLINE(K17, {""charttype"",""bar"";""max"",100;""min"",0;""color1"",""green""})"),"")</f>
        <v/>
      </c>
      <c r="M17" s="8" t="s">
        <v>72</v>
      </c>
      <c r="N17" s="8" t="s">
        <v>33</v>
      </c>
      <c r="O17" s="9"/>
      <c r="P17" s="8">
        <v>30.0</v>
      </c>
      <c r="Q17" s="9" t="str">
        <f>IFERROR(__xludf.DUMMYFUNCTION("SPARKLINE(P17, {""charttype"",""bar"";""max"",100;""min"",0;""color1"",""grey""})"),"")</f>
        <v/>
      </c>
      <c r="R17" s="9"/>
      <c r="S17" s="9"/>
      <c r="T17" s="8">
        <v>25.0</v>
      </c>
      <c r="U17" s="9" t="str">
        <f>IFERROR(__xludf.DUMMYFUNCTION("SPARKLINE(T17, {""charttype"",""bar"";""max"",100;""min"",0;""color1"",""grey""})"),"")</f>
        <v/>
      </c>
      <c r="V17" s="9"/>
      <c r="W17" s="9"/>
      <c r="X17" s="8">
        <v>180.0</v>
      </c>
    </row>
    <row r="18">
      <c r="A18" s="8" t="s">
        <v>73</v>
      </c>
      <c r="B18" s="8" t="s">
        <v>74</v>
      </c>
      <c r="C18" s="8" t="s">
        <v>30</v>
      </c>
      <c r="D18" s="8" t="s">
        <v>58</v>
      </c>
      <c r="E18" s="8" t="str">
        <f t="shared" si="1"/>
        <v>★★</v>
      </c>
      <c r="F18" s="9">
        <v>25370.0</v>
      </c>
      <c r="G18" s="8">
        <f t="shared" si="2"/>
        <v>60000</v>
      </c>
      <c r="H18" s="8">
        <f t="shared" si="3"/>
        <v>34630</v>
      </c>
      <c r="I18" s="10">
        <f t="shared" si="4"/>
        <v>42.28333333</v>
      </c>
      <c r="J18" s="11" t="str">
        <f>IFERROR(__xludf.DUMMYFUNCTION("SPARKLINE(F18/G18, {""charttype"",""bar"";""max"",1;""min"",0;""color1"",""green""})"),"")</f>
        <v/>
      </c>
      <c r="K18" s="8">
        <v>5.0</v>
      </c>
      <c r="L18" s="11" t="str">
        <f>IFERROR(__xludf.DUMMYFUNCTION("SPARKLINE(K18, {""charttype"",""bar"";""max"",100;""min"",0;""color1"",""green""})"),"")</f>
        <v/>
      </c>
      <c r="M18" s="8" t="s">
        <v>72</v>
      </c>
      <c r="N18" s="8" t="s">
        <v>33</v>
      </c>
      <c r="O18" s="9"/>
      <c r="P18" s="9"/>
      <c r="Q18" s="8">
        <v>100.0</v>
      </c>
      <c r="R18" s="9" t="str">
        <f>IFERROR(__xludf.DUMMYFUNCTION("SPARKLINE(Q18, {""charttype"",""bar"";""max"",100;""min"",0;""color1"",""grey""})"),"")</f>
        <v/>
      </c>
      <c r="S18" s="9"/>
      <c r="T18" s="9"/>
      <c r="U18" s="8">
        <v>100.0</v>
      </c>
      <c r="V18" s="9" t="str">
        <f>IFERROR(__xludf.DUMMYFUNCTION("SPARKLINE(U18, {""charttype"",""bar"";""max"",100;""min"",0;""color1"",""grey""})"),"")</f>
        <v/>
      </c>
      <c r="W18" s="9"/>
      <c r="X18" s="8">
        <v>180.0</v>
      </c>
    </row>
    <row r="19">
      <c r="A19" s="8" t="s">
        <v>73</v>
      </c>
      <c r="B19" s="8" t="s">
        <v>75</v>
      </c>
      <c r="C19" s="8" t="s">
        <v>47</v>
      </c>
      <c r="D19" s="8" t="s">
        <v>42</v>
      </c>
      <c r="E19" s="8" t="str">
        <f t="shared" si="1"/>
        <v>★</v>
      </c>
      <c r="F19" s="9">
        <v>10135.0</v>
      </c>
      <c r="G19" s="8">
        <f t="shared" si="2"/>
        <v>25000</v>
      </c>
      <c r="H19" s="8">
        <f t="shared" si="3"/>
        <v>14865</v>
      </c>
      <c r="I19" s="10">
        <f t="shared" si="4"/>
        <v>40.54</v>
      </c>
      <c r="J19" s="11" t="str">
        <f>IFERROR(__xludf.DUMMYFUNCTION("SPARKLINE(F19/G19, {""charttype"",""bar"";""max"",1;""min"",0;""color1"",""green""})"),"")</f>
        <v/>
      </c>
      <c r="K19" s="8">
        <v>5.0</v>
      </c>
      <c r="L19" s="11" t="str">
        <f>IFERROR(__xludf.DUMMYFUNCTION("SPARKLINE(K19, {""charttype"",""bar"";""max"",100;""min"",0;""color1"",""green""})"),"")</f>
        <v/>
      </c>
      <c r="M19" s="8" t="s">
        <v>72</v>
      </c>
      <c r="N19" s="8" t="s">
        <v>33</v>
      </c>
      <c r="O19" s="9"/>
      <c r="P19" s="9"/>
      <c r="Q19" s="8">
        <v>100.0</v>
      </c>
      <c r="R19" s="9" t="str">
        <f>IFERROR(__xludf.DUMMYFUNCTION("SPARKLINE(Q19, {""charttype"",""bar"";""max"",100;""min"",0;""color1"",""grey""})"),"")</f>
        <v/>
      </c>
      <c r="S19" s="9"/>
      <c r="T19" s="9"/>
      <c r="U19" s="8">
        <v>100.0</v>
      </c>
      <c r="V19" s="9" t="str">
        <f>IFERROR(__xludf.DUMMYFUNCTION("SPARKLINE(U19, {""charttype"",""bar"";""max"",100;""min"",0;""color1"",""grey""})"),"")</f>
        <v/>
      </c>
      <c r="W19" s="9"/>
      <c r="X19" s="8">
        <v>180.0</v>
      </c>
    </row>
    <row r="20">
      <c r="A20" s="8" t="s">
        <v>73</v>
      </c>
      <c r="B20" s="8" t="s">
        <v>76</v>
      </c>
      <c r="C20" s="8" t="s">
        <v>44</v>
      </c>
      <c r="D20" s="8" t="s">
        <v>39</v>
      </c>
      <c r="E20" s="8" t="str">
        <f t="shared" si="1"/>
        <v>★★★★</v>
      </c>
      <c r="F20" s="8">
        <v>161830.0</v>
      </c>
      <c r="G20" s="8">
        <f t="shared" si="2"/>
        <v>1160000</v>
      </c>
      <c r="H20" s="8">
        <f t="shared" si="3"/>
        <v>998170</v>
      </c>
      <c r="I20" s="10">
        <f t="shared" si="4"/>
        <v>13.95086207</v>
      </c>
      <c r="J20" s="11" t="str">
        <f>IFERROR(__xludf.DUMMYFUNCTION("SPARKLINE(F20/G20, {""charttype"",""bar"";""max"",1;""min"",0;""color1"",""green""})"),"")</f>
        <v/>
      </c>
      <c r="K20" s="8">
        <v>23.0</v>
      </c>
      <c r="L20" s="11" t="str">
        <f>IFERROR(__xludf.DUMMYFUNCTION("SPARKLINE(K20, {""charttype"",""bar"";""max"",100;""min"",0;""color1"",""green""})"),"")</f>
        <v/>
      </c>
      <c r="M20" s="8" t="s">
        <v>37</v>
      </c>
      <c r="N20" s="8" t="s">
        <v>28</v>
      </c>
      <c r="O20" s="9"/>
      <c r="P20" s="9"/>
      <c r="Q20" s="8">
        <v>80.0</v>
      </c>
      <c r="R20" s="9" t="str">
        <f>IFERROR(__xludf.DUMMYFUNCTION("SPARKLINE(Q20, {""charttype"",""bar"";""max"",100;""min"",0;""color1"",""grey""})"),"")</f>
        <v/>
      </c>
      <c r="S20" s="9"/>
      <c r="T20" s="9"/>
      <c r="U20" s="8">
        <v>85.0</v>
      </c>
      <c r="V20" s="9" t="str">
        <f>IFERROR(__xludf.DUMMYFUNCTION("SPARKLINE(U20, {""charttype"",""bar"";""max"",100;""min"",0;""color1"",""grey""})"),"")</f>
        <v/>
      </c>
      <c r="W20" s="9"/>
      <c r="X20" s="8">
        <v>200.0</v>
      </c>
    </row>
    <row r="21">
      <c r="A21" s="8" t="s">
        <v>73</v>
      </c>
      <c r="B21" s="8" t="s">
        <v>77</v>
      </c>
      <c r="C21" s="8" t="s">
        <v>68</v>
      </c>
      <c r="D21" s="8" t="s">
        <v>78</v>
      </c>
      <c r="E21" s="8" t="str">
        <f t="shared" si="1"/>
        <v>★</v>
      </c>
      <c r="F21" s="8">
        <v>10800.0</v>
      </c>
      <c r="G21" s="8">
        <f t="shared" si="2"/>
        <v>25000</v>
      </c>
      <c r="H21" s="8">
        <f t="shared" si="3"/>
        <v>14200</v>
      </c>
      <c r="I21" s="10">
        <f t="shared" si="4"/>
        <v>43.2</v>
      </c>
      <c r="J21" s="11" t="str">
        <f>IFERROR(__xludf.DUMMYFUNCTION("SPARKLINE(F21/G21, {""charttype"",""bar"";""max"",1;""min"",0;""color1"",""green""})"),"")</f>
        <v/>
      </c>
      <c r="K21" s="8">
        <v>23.0</v>
      </c>
      <c r="L21" s="11" t="str">
        <f>IFERROR(__xludf.DUMMYFUNCTION("SPARKLINE(K21, {""charttype"",""bar"";""max"",100;""min"",0;""color1"",""green""})"),"")</f>
        <v/>
      </c>
      <c r="M21" s="8" t="s">
        <v>37</v>
      </c>
      <c r="N21" s="8" t="s">
        <v>28</v>
      </c>
      <c r="O21" s="9"/>
      <c r="P21" s="9"/>
      <c r="Q21" s="8">
        <v>80.0</v>
      </c>
      <c r="R21" s="9" t="str">
        <f>IFERROR(__xludf.DUMMYFUNCTION("SPARKLINE(Q21, {""charttype"",""bar"";""max"",100;""min"",0;""color1"",""grey""})"),"")</f>
        <v/>
      </c>
      <c r="S21" s="9"/>
      <c r="T21" s="9"/>
      <c r="U21" s="8">
        <v>85.0</v>
      </c>
      <c r="V21" s="9" t="str">
        <f>IFERROR(__xludf.DUMMYFUNCTION("SPARKLINE(U21, {""charttype"",""bar"";""max"",100;""min"",0;""color1"",""grey""})"),"")</f>
        <v/>
      </c>
      <c r="W21" s="9"/>
      <c r="X21" s="8">
        <v>180.0</v>
      </c>
    </row>
    <row r="22">
      <c r="A22" s="8" t="s">
        <v>73</v>
      </c>
      <c r="B22" s="8" t="s">
        <v>79</v>
      </c>
      <c r="C22" s="8" t="s">
        <v>35</v>
      </c>
      <c r="D22" s="8" t="s">
        <v>45</v>
      </c>
      <c r="E22" s="8" t="str">
        <f t="shared" si="1"/>
        <v>★</v>
      </c>
      <c r="F22" s="9">
        <v>10200.0</v>
      </c>
      <c r="G22" s="8">
        <f t="shared" si="2"/>
        <v>25000</v>
      </c>
      <c r="H22" s="8">
        <f t="shared" si="3"/>
        <v>14800</v>
      </c>
      <c r="I22" s="10">
        <f t="shared" si="4"/>
        <v>40.8</v>
      </c>
      <c r="J22" s="11" t="str">
        <f>IFERROR(__xludf.DUMMYFUNCTION("SPARKLINE(F22/G22, {""charttype"",""bar"";""max"",1;""min"",0;""color1"",""green""})"),"")</f>
        <v/>
      </c>
      <c r="K22" s="8">
        <v>33.0</v>
      </c>
      <c r="L22" s="11" t="str">
        <f>IFERROR(__xludf.DUMMYFUNCTION("SPARKLINE(K22, {""charttype"",""bar"";""max"",100;""min"",0;""color1"",""green""})"),"")</f>
        <v/>
      </c>
      <c r="M22" s="8" t="s">
        <v>80</v>
      </c>
      <c r="N22" s="8" t="s">
        <v>28</v>
      </c>
      <c r="O22" s="9"/>
      <c r="P22" s="9"/>
      <c r="Q22" s="8">
        <v>85.0</v>
      </c>
      <c r="R22" s="9" t="str">
        <f>IFERROR(__xludf.DUMMYFUNCTION("SPARKLINE(Q22, {""charttype"",""bar"";""max"",100;""min"",0;""color1"",""grey""})"),"")</f>
        <v/>
      </c>
      <c r="S22" s="9"/>
      <c r="T22" s="9"/>
      <c r="U22" s="8">
        <v>60.0</v>
      </c>
      <c r="V22" s="9" t="str">
        <f>IFERROR(__xludf.DUMMYFUNCTION("SPARKLINE(U22, {""charttype"",""bar"";""max"",100;""min"",0;""color1"",""grey""})"),"")</f>
        <v/>
      </c>
      <c r="W22" s="9"/>
      <c r="X22" s="8">
        <v>200.0</v>
      </c>
    </row>
    <row r="23">
      <c r="A23" s="8" t="s">
        <v>81</v>
      </c>
      <c r="B23" s="8" t="s">
        <v>82</v>
      </c>
      <c r="C23" s="8" t="s">
        <v>25</v>
      </c>
      <c r="D23" s="8" t="s">
        <v>58</v>
      </c>
      <c r="E23" s="8" t="str">
        <f t="shared" si="1"/>
        <v>★</v>
      </c>
      <c r="F23" s="9">
        <v>10000.0</v>
      </c>
      <c r="G23" s="8">
        <f t="shared" si="2"/>
        <v>25000</v>
      </c>
      <c r="H23" s="8">
        <f t="shared" si="3"/>
        <v>15000</v>
      </c>
      <c r="I23" s="10">
        <f t="shared" si="4"/>
        <v>40</v>
      </c>
      <c r="J23" s="11" t="str">
        <f>IFERROR(__xludf.DUMMYFUNCTION("SPARKLINE(F23/G23, {""charttype"",""bar"";""max"",1;""min"",0;""color1"",""green""})"),"")</f>
        <v/>
      </c>
      <c r="K23" s="8">
        <v>78.0</v>
      </c>
      <c r="L23" s="11" t="str">
        <f>IFERROR(__xludf.DUMMYFUNCTION("SPARKLINE(K23, {""charttype"",""bar"";""max"",100;""min"",0;""color1"",""green""})"),"")</f>
        <v/>
      </c>
      <c r="M23" s="8" t="s">
        <v>83</v>
      </c>
      <c r="N23" s="8" t="s">
        <v>33</v>
      </c>
      <c r="O23" s="9"/>
      <c r="P23" s="9"/>
      <c r="Q23" s="9"/>
      <c r="R23" s="8">
        <v>90.0</v>
      </c>
      <c r="S23" s="9" t="str">
        <f>IFERROR(__xludf.DUMMYFUNCTION("SPARKLINE(R23, {""charttype"",""bar"";""max"",100;""min"",0;""color1"",""grey""})"),"")</f>
        <v/>
      </c>
      <c r="T23" s="9"/>
      <c r="U23" s="9"/>
      <c r="V23" s="8">
        <v>80.0</v>
      </c>
      <c r="W23" s="9" t="str">
        <f>IFERROR(__xludf.DUMMYFUNCTION("SPARKLINE(V23, {""charttype"",""bar"";""max"",100;""min"",0;""color1"",""grey""})"),"")</f>
        <v/>
      </c>
      <c r="X23" s="8">
        <v>200.0</v>
      </c>
    </row>
    <row r="24">
      <c r="A24" s="8" t="s">
        <v>81</v>
      </c>
      <c r="B24" s="8" t="s">
        <v>84</v>
      </c>
      <c r="C24" s="8" t="s">
        <v>85</v>
      </c>
      <c r="D24" s="8" t="s">
        <v>26</v>
      </c>
      <c r="E24" s="8" t="str">
        <f t="shared" si="1"/>
        <v>★</v>
      </c>
      <c r="F24" s="9">
        <v>11200.0</v>
      </c>
      <c r="G24" s="8">
        <f t="shared" si="2"/>
        <v>25000</v>
      </c>
      <c r="H24" s="8">
        <f t="shared" si="3"/>
        <v>13800</v>
      </c>
      <c r="I24" s="10">
        <f t="shared" si="4"/>
        <v>44.8</v>
      </c>
      <c r="J24" s="11" t="str">
        <f>IFERROR(__xludf.DUMMYFUNCTION("SPARKLINE(F24/G24, {""charttype"",""bar"";""max"",1;""min"",0;""color1"",""green""})"),"")</f>
        <v/>
      </c>
      <c r="K24" s="8">
        <v>75.0</v>
      </c>
      <c r="L24" s="11" t="str">
        <f>IFERROR(__xludf.DUMMYFUNCTION("SPARKLINE(K24, {""charttype"",""bar"";""max"",100;""min"",0;""color1"",""green""})"),"")</f>
        <v/>
      </c>
      <c r="M24" s="8" t="s">
        <v>86</v>
      </c>
      <c r="N24" s="8" t="s">
        <v>28</v>
      </c>
      <c r="O24" s="9"/>
      <c r="P24" s="9"/>
      <c r="Q24" s="9"/>
      <c r="R24" s="8">
        <v>70.0</v>
      </c>
      <c r="S24" s="9" t="str">
        <f>IFERROR(__xludf.DUMMYFUNCTION("SPARKLINE(R24, {""charttype"",""bar"";""max"",100;""min"",0;""color1"",""grey""})"),"")</f>
        <v/>
      </c>
      <c r="T24" s="9"/>
      <c r="U24" s="9"/>
      <c r="V24" s="8">
        <v>60.0</v>
      </c>
      <c r="W24" s="9" t="str">
        <f>IFERROR(__xludf.DUMMYFUNCTION("SPARKLINE(V24, {""charttype"",""bar"";""max"",100;""min"",0;""color1"",""grey""})"),"")</f>
        <v/>
      </c>
      <c r="X24" s="8">
        <v>190.0</v>
      </c>
    </row>
    <row r="25">
      <c r="A25" s="8" t="s">
        <v>81</v>
      </c>
      <c r="B25" s="8" t="s">
        <v>87</v>
      </c>
      <c r="C25" s="8" t="s">
        <v>41</v>
      </c>
      <c r="D25" s="8" t="s">
        <v>42</v>
      </c>
      <c r="E25" s="8" t="str">
        <f t="shared" si="1"/>
        <v>★</v>
      </c>
      <c r="F25" s="8">
        <v>10600.0</v>
      </c>
      <c r="G25" s="8">
        <f t="shared" si="2"/>
        <v>25000</v>
      </c>
      <c r="H25" s="8">
        <f t="shared" si="3"/>
        <v>14400</v>
      </c>
      <c r="I25" s="10">
        <f t="shared" si="4"/>
        <v>42.4</v>
      </c>
      <c r="J25" s="11" t="str">
        <f>IFERROR(__xludf.DUMMYFUNCTION("SPARKLINE(F25/G25, {""charttype"",""bar"";""max"",1;""min"",0;""color1"",""green""})"),"")</f>
        <v/>
      </c>
      <c r="K25" s="8">
        <v>78.0</v>
      </c>
      <c r="L25" s="11" t="str">
        <f>IFERROR(__xludf.DUMMYFUNCTION("SPARKLINE(K25, {""charttype"",""bar"";""max"",100;""min"",0;""color1"",""green""})"),"")</f>
        <v/>
      </c>
      <c r="M25" s="8" t="s">
        <v>27</v>
      </c>
      <c r="N25" s="8" t="s">
        <v>28</v>
      </c>
      <c r="O25" s="9"/>
      <c r="P25" s="9"/>
      <c r="Q25" s="9"/>
      <c r="R25" s="8">
        <v>38.0</v>
      </c>
      <c r="S25" s="9" t="str">
        <f>IFERROR(__xludf.DUMMYFUNCTION("SPARKLINE(R25, {""charttype"",""bar"";""max"",100;""min"",0;""color1"",""grey""})"),"")</f>
        <v/>
      </c>
      <c r="T25" s="9"/>
      <c r="U25" s="9"/>
      <c r="V25" s="8">
        <v>70.0</v>
      </c>
      <c r="W25" s="9" t="str">
        <f>IFERROR(__xludf.DUMMYFUNCTION("SPARKLINE(V25, {""charttype"",""bar"";""max"",100;""min"",0;""color1"",""grey""})"),"")</f>
        <v/>
      </c>
      <c r="X25" s="8">
        <v>200.0</v>
      </c>
    </row>
    <row r="26">
      <c r="A26" s="8" t="s">
        <v>81</v>
      </c>
      <c r="B26" s="8" t="s">
        <v>88</v>
      </c>
      <c r="C26" s="8" t="s">
        <v>47</v>
      </c>
      <c r="D26" s="8" t="s">
        <v>45</v>
      </c>
      <c r="E26" s="8" t="str">
        <f t="shared" si="1"/>
        <v>★</v>
      </c>
      <c r="F26" s="9">
        <v>17800.0</v>
      </c>
      <c r="G26" s="8">
        <f t="shared" si="2"/>
        <v>25000</v>
      </c>
      <c r="H26" s="8">
        <f t="shared" si="3"/>
        <v>7200</v>
      </c>
      <c r="I26" s="10">
        <f t="shared" si="4"/>
        <v>71.2</v>
      </c>
      <c r="J26" s="11" t="str">
        <f>IFERROR(__xludf.DUMMYFUNCTION("SPARKLINE(F26/G26, {""charttype"",""bar"";""max"",1;""min"",0;""color1"",""green""})"),"")</f>
        <v/>
      </c>
      <c r="K26" s="8">
        <v>96.0</v>
      </c>
      <c r="L26" s="11" t="str">
        <f>IFERROR(__xludf.DUMMYFUNCTION("SPARKLINE(K26, {""charttype"",""bar"";""max"",100;""min"",0;""color1"",""green""})"),"")</f>
        <v/>
      </c>
      <c r="M26" s="8" t="s">
        <v>83</v>
      </c>
      <c r="N26" s="8" t="s">
        <v>69</v>
      </c>
      <c r="O26" s="9"/>
      <c r="P26" s="9"/>
      <c r="Q26" s="9"/>
      <c r="R26" s="8">
        <v>20.0</v>
      </c>
      <c r="S26" s="9" t="str">
        <f>IFERROR(__xludf.DUMMYFUNCTION("SPARKLINE(R26, {""charttype"",""bar"";""max"",100;""min"",0;""color1"",""grey""})"),"")</f>
        <v/>
      </c>
      <c r="T26" s="9"/>
      <c r="U26" s="9"/>
      <c r="V26" s="8">
        <v>15.0</v>
      </c>
      <c r="W26" s="9" t="str">
        <f>IFERROR(__xludf.DUMMYFUNCTION("SPARKLINE(V26, {""charttype"",""bar"";""max"",100;""min"",0;""color1"",""grey""})"),"")</f>
        <v/>
      </c>
      <c r="X26" s="8">
        <v>210.0</v>
      </c>
    </row>
    <row r="27">
      <c r="A27" s="8" t="s">
        <v>81</v>
      </c>
      <c r="B27" s="8" t="s">
        <v>89</v>
      </c>
      <c r="C27" s="8" t="s">
        <v>47</v>
      </c>
      <c r="D27" s="8" t="s">
        <v>45</v>
      </c>
      <c r="E27" s="8" t="str">
        <f t="shared" si="1"/>
        <v>★</v>
      </c>
      <c r="F27" s="9">
        <v>10800.0</v>
      </c>
      <c r="G27" s="8">
        <f t="shared" si="2"/>
        <v>25000</v>
      </c>
      <c r="H27" s="8">
        <f t="shared" si="3"/>
        <v>14200</v>
      </c>
      <c r="I27" s="10">
        <f t="shared" si="4"/>
        <v>43.2</v>
      </c>
      <c r="J27" s="11" t="str">
        <f>IFERROR(__xludf.DUMMYFUNCTION("SPARKLINE(F27/G27, {""charttype"",""bar"";""max"",1;""min"",0;""color1"",""green""})"),"")</f>
        <v/>
      </c>
      <c r="K27" s="8">
        <v>100.0</v>
      </c>
      <c r="L27" s="11" t="str">
        <f>IFERROR(__xludf.DUMMYFUNCTION("SPARKLINE(K27, {""charttype"",""bar"";""max"",100;""min"",0;""color1"",""green""})"),"")</f>
        <v/>
      </c>
      <c r="M27" s="8" t="s">
        <v>83</v>
      </c>
      <c r="N27" s="8" t="s">
        <v>69</v>
      </c>
      <c r="O27" s="9"/>
      <c r="P27" s="9"/>
      <c r="Q27" s="9"/>
      <c r="R27" s="8">
        <v>20.0</v>
      </c>
      <c r="S27" s="9" t="str">
        <f>IFERROR(__xludf.DUMMYFUNCTION("SPARKLINE(R27, {""charttype"",""bar"";""max"",100;""min"",0;""color1"",""grey""})"),"")</f>
        <v/>
      </c>
      <c r="T27" s="9"/>
      <c r="U27" s="9"/>
      <c r="V27" s="8">
        <v>5.0</v>
      </c>
      <c r="W27" s="9" t="str">
        <f>IFERROR(__xludf.DUMMYFUNCTION("SPARKLINE(V27, {""charttype"",""bar"";""max"",100;""min"",0;""color1"",""grey""})"),"")</f>
        <v/>
      </c>
      <c r="X27" s="8">
        <v>210.0</v>
      </c>
    </row>
    <row r="28">
      <c r="A28" s="8" t="s">
        <v>81</v>
      </c>
      <c r="B28" s="8" t="s">
        <v>90</v>
      </c>
      <c r="C28" s="8" t="s">
        <v>50</v>
      </c>
      <c r="D28" s="8" t="s">
        <v>91</v>
      </c>
      <c r="E28" s="8" t="str">
        <f t="shared" si="1"/>
        <v>★</v>
      </c>
      <c r="F28" s="9">
        <v>10435.0</v>
      </c>
      <c r="G28" s="8">
        <f t="shared" si="2"/>
        <v>25000</v>
      </c>
      <c r="H28" s="8">
        <f t="shared" si="3"/>
        <v>14565</v>
      </c>
      <c r="I28" s="10">
        <f t="shared" si="4"/>
        <v>41.74</v>
      </c>
      <c r="J28" s="11" t="str">
        <f>IFERROR(__xludf.DUMMYFUNCTION("SPARKLINE(F28/G28, {""charttype"",""bar"";""max"",1;""min"",0;""color1"",""green""})"),"")</f>
        <v/>
      </c>
      <c r="K28" s="8">
        <v>78.0</v>
      </c>
      <c r="L28" s="11" t="str">
        <f>IFERROR(__xludf.DUMMYFUNCTION("SPARKLINE(K28, {""charttype"",""bar"";""max"",100;""min"",0;""color1"",""green""})"),"")</f>
        <v/>
      </c>
      <c r="M28" s="8" t="s">
        <v>37</v>
      </c>
      <c r="N28" s="8" t="s">
        <v>28</v>
      </c>
      <c r="O28" s="9"/>
      <c r="P28" s="9"/>
      <c r="Q28" s="9"/>
      <c r="R28" s="8">
        <v>38.0</v>
      </c>
      <c r="S28" s="9" t="str">
        <f>IFERROR(__xludf.DUMMYFUNCTION("SPARKLINE(R28, {""charttype"",""bar"";""max"",100;""min"",0;""color1"",""grey""})"),"")</f>
        <v/>
      </c>
      <c r="T28" s="9"/>
      <c r="U28" s="9"/>
      <c r="V28" s="8">
        <v>70.0</v>
      </c>
      <c r="W28" s="9" t="str">
        <f>IFERROR(__xludf.DUMMYFUNCTION("SPARKLINE(V28, {""charttype"",""bar"";""max"",100;""min"",0;""color1"",""grey""})"),"")</f>
        <v/>
      </c>
      <c r="X28" s="8">
        <v>200.0</v>
      </c>
    </row>
    <row r="29">
      <c r="A29" s="8" t="s">
        <v>81</v>
      </c>
      <c r="B29" s="8" t="s">
        <v>92</v>
      </c>
      <c r="C29" s="8" t="s">
        <v>60</v>
      </c>
      <c r="D29" s="8" t="s">
        <v>93</v>
      </c>
      <c r="E29" s="8" t="str">
        <f t="shared" si="1"/>
        <v>★</v>
      </c>
      <c r="F29" s="9">
        <v>14200.0</v>
      </c>
      <c r="G29" s="8">
        <f t="shared" si="2"/>
        <v>25000</v>
      </c>
      <c r="H29" s="8">
        <f t="shared" si="3"/>
        <v>10800</v>
      </c>
      <c r="I29" s="10">
        <f t="shared" si="4"/>
        <v>56.8</v>
      </c>
      <c r="J29" s="11" t="str">
        <f>IFERROR(__xludf.DUMMYFUNCTION("SPARKLINE(F29/G29, {""charttype"",""bar"";""max"",1;""min"",0;""color1"",""green""})"),"")</f>
        <v/>
      </c>
      <c r="K29" s="8">
        <v>91.0</v>
      </c>
      <c r="L29" s="11" t="str">
        <f>IFERROR(__xludf.DUMMYFUNCTION("SPARKLINE(K29, {""charttype"",""bar"";""max"",100;""min"",0;""color1"",""green""})"),"")</f>
        <v/>
      </c>
      <c r="M29" s="8" t="s">
        <v>55</v>
      </c>
      <c r="N29" s="8" t="s">
        <v>28</v>
      </c>
      <c r="O29" s="9"/>
      <c r="P29" s="9"/>
      <c r="Q29" s="9"/>
      <c r="R29" s="8">
        <v>43.0</v>
      </c>
      <c r="S29" s="9" t="str">
        <f>IFERROR(__xludf.DUMMYFUNCTION("SPARKLINE(R29, {""charttype"",""bar"";""max"",100;""min"",0;""color1"",""grey""})"),"")</f>
        <v/>
      </c>
      <c r="T29" s="9"/>
      <c r="U29" s="9"/>
      <c r="V29" s="8">
        <v>80.0</v>
      </c>
      <c r="W29" s="9" t="str">
        <f>IFERROR(__xludf.DUMMYFUNCTION("SPARKLINE(V29, {""charttype"",""bar"";""max"",100;""min"",0;""color1"",""grey""})"),"")</f>
        <v/>
      </c>
      <c r="X29" s="8">
        <v>200.0</v>
      </c>
    </row>
    <row r="30">
      <c r="A30" s="8" t="s">
        <v>81</v>
      </c>
      <c r="B30" s="8" t="s">
        <v>94</v>
      </c>
      <c r="C30" s="8" t="s">
        <v>30</v>
      </c>
      <c r="D30" s="8" t="s">
        <v>54</v>
      </c>
      <c r="E30" s="8" t="str">
        <f t="shared" si="1"/>
        <v>★</v>
      </c>
      <c r="F30" s="9">
        <v>11000.0</v>
      </c>
      <c r="G30" s="8">
        <f t="shared" si="2"/>
        <v>25000</v>
      </c>
      <c r="H30" s="8">
        <f t="shared" si="3"/>
        <v>14000</v>
      </c>
      <c r="I30" s="10">
        <f t="shared" si="4"/>
        <v>44</v>
      </c>
      <c r="J30" s="11" t="str">
        <f>IFERROR(__xludf.DUMMYFUNCTION("SPARKLINE(F30/G30, {""charttype"",""bar"";""max"",1;""min"",0;""color1"",""green""})"),"")</f>
        <v/>
      </c>
      <c r="K30" s="8">
        <v>88.0</v>
      </c>
      <c r="L30" s="11" t="str">
        <f>IFERROR(__xludf.DUMMYFUNCTION("SPARKLINE(K30, {""charttype"",""bar"";""max"",100;""min"",0;""color1"",""green""})"),"")</f>
        <v/>
      </c>
      <c r="M30" s="8" t="s">
        <v>55</v>
      </c>
      <c r="N30" s="8" t="s">
        <v>28</v>
      </c>
      <c r="O30" s="9"/>
      <c r="P30" s="9"/>
      <c r="Q30" s="9"/>
      <c r="R30" s="8">
        <v>50.0</v>
      </c>
      <c r="S30" s="9" t="str">
        <f>IFERROR(__xludf.DUMMYFUNCTION("SPARKLINE(R30, {""charttype"",""bar"";""max"",100;""min"",0;""color1"",""grey""})"),"")</f>
        <v/>
      </c>
      <c r="T30" s="9"/>
      <c r="U30" s="9"/>
      <c r="V30" s="8">
        <v>40.0</v>
      </c>
      <c r="W30" s="9" t="str">
        <f>IFERROR(__xludf.DUMMYFUNCTION("SPARKLINE(V30, {""charttype"",""bar"";""max"",100;""min"",0;""color1"",""grey""})"),"")</f>
        <v/>
      </c>
      <c r="X30" s="8">
        <v>200.0</v>
      </c>
    </row>
    <row r="31">
      <c r="A31" s="8" t="s">
        <v>81</v>
      </c>
      <c r="B31" s="8" t="s">
        <v>95</v>
      </c>
      <c r="C31" s="8" t="s">
        <v>30</v>
      </c>
      <c r="D31" s="8" t="s">
        <v>54</v>
      </c>
      <c r="E31" s="8" t="str">
        <f t="shared" si="1"/>
        <v>★</v>
      </c>
      <c r="F31" s="9">
        <v>10000.0</v>
      </c>
      <c r="G31" s="8">
        <f t="shared" si="2"/>
        <v>25000</v>
      </c>
      <c r="H31" s="8">
        <f t="shared" si="3"/>
        <v>15000</v>
      </c>
      <c r="I31" s="10">
        <f t="shared" si="4"/>
        <v>40</v>
      </c>
      <c r="J31" s="11" t="str">
        <f>IFERROR(__xludf.DUMMYFUNCTION("SPARKLINE(F31/G31, {""charttype"",""bar"";""max"",1;""min"",0;""color1"",""green""})"),"")</f>
        <v/>
      </c>
      <c r="K31" s="8">
        <v>91.0</v>
      </c>
      <c r="L31" s="11" t="str">
        <f>IFERROR(__xludf.DUMMYFUNCTION("SPARKLINE(K31, {""charttype"",""bar"";""max"",100;""min"",0;""color1"",""green""})"),"")</f>
        <v/>
      </c>
      <c r="M31" s="8" t="s">
        <v>83</v>
      </c>
      <c r="N31" s="8" t="s">
        <v>28</v>
      </c>
      <c r="O31" s="9"/>
      <c r="P31" s="9"/>
      <c r="Q31" s="9"/>
      <c r="R31" s="8">
        <v>50.0</v>
      </c>
      <c r="S31" s="9" t="str">
        <f>IFERROR(__xludf.DUMMYFUNCTION("SPARKLINE(R31, {""charttype"",""bar"";""max"",100;""min"",0;""color1"",""grey""})"),"")</f>
        <v/>
      </c>
      <c r="T31" s="9"/>
      <c r="U31" s="9"/>
      <c r="V31" s="8">
        <v>30.0</v>
      </c>
      <c r="W31" s="9" t="str">
        <f>IFERROR(__xludf.DUMMYFUNCTION("SPARKLINE(V31, {""charttype"",""bar"";""max"",100;""min"",0;""color1"",""grey""})"),"")</f>
        <v/>
      </c>
      <c r="X31" s="8">
        <v>200.0</v>
      </c>
    </row>
    <row r="32">
      <c r="A32" s="8" t="s">
        <v>81</v>
      </c>
      <c r="B32" s="8" t="s">
        <v>96</v>
      </c>
      <c r="C32" s="8" t="s">
        <v>97</v>
      </c>
      <c r="D32" s="8" t="s">
        <v>48</v>
      </c>
      <c r="E32" s="8" t="str">
        <f t="shared" si="1"/>
        <v>★</v>
      </c>
      <c r="F32" s="9">
        <v>10200.0</v>
      </c>
      <c r="G32" s="8">
        <f t="shared" si="2"/>
        <v>25000</v>
      </c>
      <c r="H32" s="8">
        <f t="shared" si="3"/>
        <v>14800</v>
      </c>
      <c r="I32" s="10">
        <f t="shared" si="4"/>
        <v>40.8</v>
      </c>
      <c r="J32" s="11" t="str">
        <f>IFERROR(__xludf.DUMMYFUNCTION("SPARKLINE(F32/G32, {""charttype"",""bar"";""max"",1;""min"",0;""color1"",""green""})"),"")</f>
        <v/>
      </c>
      <c r="K32" s="8">
        <v>88.0</v>
      </c>
      <c r="L32" s="11" t="str">
        <f>IFERROR(__xludf.DUMMYFUNCTION("SPARKLINE(K32, {""charttype"",""bar"";""max"",100;""min"",0;""color1"",""green""})"),"")</f>
        <v/>
      </c>
      <c r="M32" s="8" t="s">
        <v>37</v>
      </c>
      <c r="N32" s="8" t="s">
        <v>28</v>
      </c>
      <c r="O32" s="9"/>
      <c r="P32" s="9"/>
      <c r="Q32" s="9"/>
      <c r="R32" s="8">
        <v>50.0</v>
      </c>
      <c r="S32" s="9" t="str">
        <f>IFERROR(__xludf.DUMMYFUNCTION("SPARKLINE(R32, {""charttype"",""bar"";""max"",100;""min"",0;""color1"",""grey""})"),"")</f>
        <v/>
      </c>
      <c r="T32" s="9"/>
      <c r="U32" s="9"/>
      <c r="V32" s="8">
        <v>40.0</v>
      </c>
      <c r="W32" s="9" t="str">
        <f>IFERROR(__xludf.DUMMYFUNCTION("SPARKLINE(V32, {""charttype"",""bar"";""max"",100;""min"",0;""color1"",""grey""})"),"")</f>
        <v/>
      </c>
      <c r="X32" s="8">
        <v>210.0</v>
      </c>
    </row>
    <row r="33">
      <c r="A33" s="8" t="s">
        <v>81</v>
      </c>
      <c r="B33" s="8" t="s">
        <v>98</v>
      </c>
      <c r="C33" s="8" t="s">
        <v>97</v>
      </c>
      <c r="D33" s="8" t="s">
        <v>48</v>
      </c>
      <c r="E33" s="8" t="str">
        <f t="shared" si="1"/>
        <v>★</v>
      </c>
      <c r="F33" s="9">
        <v>10200.0</v>
      </c>
      <c r="G33" s="8">
        <f t="shared" si="2"/>
        <v>25000</v>
      </c>
      <c r="H33" s="8">
        <f t="shared" si="3"/>
        <v>14800</v>
      </c>
      <c r="I33" s="10">
        <f t="shared" si="4"/>
        <v>40.8</v>
      </c>
      <c r="J33" s="11" t="str">
        <f>IFERROR(__xludf.DUMMYFUNCTION("SPARKLINE(F33/G33, {""charttype"",""bar"";""max"",1;""min"",0;""color1"",""green""})"),"")</f>
        <v/>
      </c>
      <c r="K33" s="8">
        <v>91.0</v>
      </c>
      <c r="L33" s="11" t="str">
        <f>IFERROR(__xludf.DUMMYFUNCTION("SPARKLINE(K33, {""charttype"",""bar"";""max"",100;""min"",0;""color1"",""green""})"),"")</f>
        <v/>
      </c>
      <c r="M33" s="8" t="s">
        <v>37</v>
      </c>
      <c r="N33" s="8" t="s">
        <v>28</v>
      </c>
      <c r="O33" s="9"/>
      <c r="P33" s="9"/>
      <c r="Q33" s="9"/>
      <c r="R33" s="8">
        <v>50.0</v>
      </c>
      <c r="S33" s="9" t="str">
        <f>IFERROR(__xludf.DUMMYFUNCTION("SPARKLINE(R33, {""charttype"",""bar"";""max"",100;""min"",0;""color1"",""grey""})"),"")</f>
        <v/>
      </c>
      <c r="T33" s="9"/>
      <c r="U33" s="9"/>
      <c r="V33" s="8">
        <v>40.0</v>
      </c>
      <c r="W33" s="9" t="str">
        <f>IFERROR(__xludf.DUMMYFUNCTION("SPARKLINE(V33, {""charttype"",""bar"";""max"",100;""min"",0;""color1"",""grey""})"),"")</f>
        <v/>
      </c>
      <c r="X33" s="8">
        <v>210.0</v>
      </c>
    </row>
    <row r="34">
      <c r="A34" s="8" t="s">
        <v>99</v>
      </c>
      <c r="B34" s="8" t="s">
        <v>100</v>
      </c>
      <c r="C34" s="8" t="s">
        <v>68</v>
      </c>
      <c r="D34" s="8" t="s">
        <v>36</v>
      </c>
      <c r="E34" s="8" t="str">
        <f t="shared" si="1"/>
        <v>★</v>
      </c>
      <c r="F34" s="9">
        <v>10500.0</v>
      </c>
      <c r="G34" s="8">
        <f t="shared" si="2"/>
        <v>25000</v>
      </c>
      <c r="H34" s="8">
        <f t="shared" si="3"/>
        <v>14500</v>
      </c>
      <c r="I34" s="10">
        <f t="shared" si="4"/>
        <v>42</v>
      </c>
      <c r="J34" s="11" t="str">
        <f>IFERROR(__xludf.DUMMYFUNCTION("SPARKLINE(F34/G34, {""charttype"",""bar"";""max"",1;""min"",0;""color1"",""green""})"),"")</f>
        <v/>
      </c>
      <c r="K34" s="8">
        <v>70.0</v>
      </c>
      <c r="L34" s="11" t="str">
        <f>IFERROR(__xludf.DUMMYFUNCTION("SPARKLINE(K34, {""charttype"",""bar"";""max"",100;""min"",0;""color1"",""green""})"),"")</f>
        <v/>
      </c>
      <c r="M34" s="8" t="s">
        <v>101</v>
      </c>
      <c r="N34" s="8" t="s">
        <v>28</v>
      </c>
      <c r="O34" s="9"/>
      <c r="P34" s="8">
        <v>28.0</v>
      </c>
      <c r="Q34" s="9" t="str">
        <f>IFERROR(__xludf.DUMMYFUNCTION("SPARKLINE(P34, {""charttype"",""bar"";""max"",100;""min"",0;""color1"",""grey""})"),"")</f>
        <v/>
      </c>
      <c r="R34" s="9"/>
      <c r="S34" s="9"/>
      <c r="T34" s="9"/>
      <c r="U34" s="9"/>
      <c r="V34" s="8">
        <v>70.0</v>
      </c>
      <c r="W34" s="9" t="str">
        <f>IFERROR(__xludf.DUMMYFUNCTION("SPARKLINE(V34, {""charttype"",""bar"";""max"",100;""min"",0;""color1"",""grey""})"),"")</f>
        <v/>
      </c>
      <c r="X34" s="8">
        <v>200.0</v>
      </c>
    </row>
    <row r="35">
      <c r="A35" s="8" t="s">
        <v>99</v>
      </c>
      <c r="B35" s="8" t="s">
        <v>102</v>
      </c>
      <c r="C35" s="8" t="s">
        <v>68</v>
      </c>
      <c r="D35" s="8" t="s">
        <v>93</v>
      </c>
      <c r="E35" s="8" t="str">
        <f t="shared" si="1"/>
        <v>★</v>
      </c>
      <c r="F35" s="9">
        <v>11810.0</v>
      </c>
      <c r="G35" s="8">
        <f t="shared" si="2"/>
        <v>25000</v>
      </c>
      <c r="H35" s="8">
        <f t="shared" si="3"/>
        <v>13190</v>
      </c>
      <c r="I35" s="10">
        <f t="shared" si="4"/>
        <v>47.24</v>
      </c>
      <c r="J35" s="11" t="str">
        <f>IFERROR(__xludf.DUMMYFUNCTION("SPARKLINE(F35/G35, {""charttype"",""bar"";""max"",1;""min"",0;""color1"",""green""})"),"")</f>
        <v/>
      </c>
      <c r="K35" s="8">
        <v>24.0</v>
      </c>
      <c r="L35" s="11" t="str">
        <f>IFERROR(__xludf.DUMMYFUNCTION("SPARKLINE(K35, {""charttype"",""bar"";""max"",100;""min"",0;""color1"",""green""})"),"")</f>
        <v/>
      </c>
      <c r="M35" s="8" t="s">
        <v>37</v>
      </c>
      <c r="N35" s="8" t="s">
        <v>33</v>
      </c>
      <c r="O35" s="9"/>
      <c r="P35" s="8">
        <v>47.0</v>
      </c>
      <c r="Q35" s="9" t="str">
        <f>IFERROR(__xludf.DUMMYFUNCTION("SPARKLINE(P35, {""charttype"",""bar"";""max"",100;""min"",0;""color1"",""grey""})"),"")</f>
        <v/>
      </c>
      <c r="R35" s="9"/>
      <c r="S35" s="9"/>
      <c r="T35" s="9"/>
      <c r="U35" s="9"/>
      <c r="V35" s="8">
        <v>80.0</v>
      </c>
      <c r="W35" s="9" t="str">
        <f>IFERROR(__xludf.DUMMYFUNCTION("SPARKLINE(V35, {""charttype"",""bar"";""max"",100;""min"",0;""color1"",""grey""})"),"")</f>
        <v/>
      </c>
      <c r="X35" s="8">
        <v>180.0</v>
      </c>
    </row>
    <row r="36">
      <c r="A36" s="8" t="s">
        <v>99</v>
      </c>
      <c r="B36" s="8" t="s">
        <v>103</v>
      </c>
      <c r="C36" s="8" t="s">
        <v>50</v>
      </c>
      <c r="D36" s="8" t="s">
        <v>61</v>
      </c>
      <c r="E36" s="8" t="str">
        <f t="shared" si="1"/>
        <v>★</v>
      </c>
      <c r="F36" s="9">
        <v>10400.0</v>
      </c>
      <c r="G36" s="8">
        <f t="shared" si="2"/>
        <v>25000</v>
      </c>
      <c r="H36" s="8">
        <f t="shared" si="3"/>
        <v>14600</v>
      </c>
      <c r="I36" s="10">
        <f t="shared" si="4"/>
        <v>41.6</v>
      </c>
      <c r="J36" s="11" t="str">
        <f>IFERROR(__xludf.DUMMYFUNCTION("SPARKLINE(F36/G36, {""charttype"",""bar"";""max"",1;""min"",0;""color1"",""green""})"),"")</f>
        <v/>
      </c>
      <c r="K36" s="8">
        <v>24.0</v>
      </c>
      <c r="L36" s="11" t="str">
        <f>IFERROR(__xludf.DUMMYFUNCTION("SPARKLINE(K36, {""charttype"",""bar"";""max"",100;""min"",0;""color1"",""green""})"),"")</f>
        <v/>
      </c>
      <c r="M36" s="8" t="s">
        <v>27</v>
      </c>
      <c r="N36" s="8" t="s">
        <v>33</v>
      </c>
      <c r="O36" s="9"/>
      <c r="P36" s="8">
        <v>47.0</v>
      </c>
      <c r="Q36" s="9" t="str">
        <f>IFERROR(__xludf.DUMMYFUNCTION("SPARKLINE(P36, {""charttype"",""bar"";""max"",100;""min"",0;""color1"",""grey""})"),"")</f>
        <v/>
      </c>
      <c r="R36" s="9"/>
      <c r="S36" s="9"/>
      <c r="T36" s="9"/>
      <c r="U36" s="9"/>
      <c r="V36" s="8">
        <v>80.0</v>
      </c>
      <c r="W36" s="9" t="str">
        <f>IFERROR(__xludf.DUMMYFUNCTION("SPARKLINE(V36, {""charttype"",""bar"";""max"",100;""min"",0;""color1"",""grey""})"),"")</f>
        <v/>
      </c>
      <c r="X36" s="8">
        <v>190.0</v>
      </c>
    </row>
    <row r="37">
      <c r="A37" s="8" t="s">
        <v>99</v>
      </c>
      <c r="B37" s="8" t="s">
        <v>104</v>
      </c>
      <c r="C37" s="8" t="s">
        <v>25</v>
      </c>
      <c r="D37" s="8" t="s">
        <v>61</v>
      </c>
      <c r="E37" s="8" t="str">
        <f t="shared" si="1"/>
        <v>★</v>
      </c>
      <c r="F37" s="9">
        <v>18815.0</v>
      </c>
      <c r="G37" s="8">
        <f t="shared" si="2"/>
        <v>25000</v>
      </c>
      <c r="H37" s="8">
        <f t="shared" si="3"/>
        <v>6185</v>
      </c>
      <c r="I37" s="10">
        <f t="shared" si="4"/>
        <v>75.26</v>
      </c>
      <c r="J37" s="11" t="str">
        <f>IFERROR(__xludf.DUMMYFUNCTION("SPARKLINE(F37/G37, {""charttype"",""bar"";""max"",1;""min"",0;""color1"",""green""})"),"")</f>
        <v/>
      </c>
      <c r="K37" s="8">
        <v>58.0</v>
      </c>
      <c r="L37" s="11" t="str">
        <f>IFERROR(__xludf.DUMMYFUNCTION("SPARKLINE(K37, {""charttype"",""bar"";""max"",100;""min"",0;""color1"",""green""})"),"")</f>
        <v/>
      </c>
      <c r="M37" s="8" t="s">
        <v>32</v>
      </c>
      <c r="N37" s="8" t="s">
        <v>28</v>
      </c>
      <c r="O37" s="9"/>
      <c r="P37" s="8">
        <v>22.0</v>
      </c>
      <c r="Q37" s="9" t="str">
        <f>IFERROR(__xludf.DUMMYFUNCTION("SPARKLINE(P37, {""charttype"",""bar"";""max"",100;""min"",0;""color1"",""grey""})"),"")</f>
        <v/>
      </c>
      <c r="R37" s="9"/>
      <c r="S37" s="9"/>
      <c r="T37" s="9"/>
      <c r="U37" s="9"/>
      <c r="V37" s="8">
        <v>90.0</v>
      </c>
      <c r="W37" s="9" t="str">
        <f>IFERROR(__xludf.DUMMYFUNCTION("SPARKLINE(V37, {""charttype"",""bar"";""max"",100;""min"",0;""color1"",""grey""})"),"")</f>
        <v/>
      </c>
      <c r="X37" s="8">
        <v>200.0</v>
      </c>
    </row>
    <row r="38">
      <c r="A38" s="8" t="s">
        <v>99</v>
      </c>
      <c r="B38" s="8" t="s">
        <v>105</v>
      </c>
      <c r="C38" s="8" t="s">
        <v>30</v>
      </c>
      <c r="D38" s="8" t="s">
        <v>45</v>
      </c>
      <c r="E38" s="8" t="str">
        <f t="shared" si="1"/>
        <v>★★★</v>
      </c>
      <c r="F38" s="9">
        <v>61920.0</v>
      </c>
      <c r="G38" s="8">
        <f t="shared" si="2"/>
        <v>160000</v>
      </c>
      <c r="H38" s="8">
        <f t="shared" si="3"/>
        <v>98080</v>
      </c>
      <c r="I38" s="10">
        <f t="shared" si="4"/>
        <v>38.7</v>
      </c>
      <c r="J38" s="11" t="str">
        <f>IFERROR(__xludf.DUMMYFUNCTION("SPARKLINE(F38/G38, {""charttype"",""bar"";""max"",1;""min"",0;""color1"",""green""})"),"")</f>
        <v/>
      </c>
      <c r="K38" s="8">
        <v>70.0</v>
      </c>
      <c r="L38" s="11" t="str">
        <f>IFERROR(__xludf.DUMMYFUNCTION("SPARKLINE(K38, {""charttype"",""bar"";""max"",100;""min"",0;""color1"",""green""})"),"")</f>
        <v/>
      </c>
      <c r="M38" s="8" t="s">
        <v>66</v>
      </c>
      <c r="N38" s="8" t="s">
        <v>28</v>
      </c>
      <c r="O38" s="9"/>
      <c r="P38" s="8">
        <v>28.0</v>
      </c>
      <c r="Q38" s="9" t="str">
        <f>IFERROR(__xludf.DUMMYFUNCTION("SPARKLINE(P38, {""charttype"",""bar"";""max"",100;""min"",0;""color1"",""grey""})"),"")</f>
        <v/>
      </c>
      <c r="R38" s="9"/>
      <c r="S38" s="9"/>
      <c r="T38" s="9"/>
      <c r="U38" s="9"/>
      <c r="V38" s="8">
        <v>70.0</v>
      </c>
      <c r="W38" s="9" t="str">
        <f>IFERROR(__xludf.DUMMYFUNCTION("SPARKLINE(V38, {""charttype"",""bar"";""max"",100;""min"",0;""color1"",""grey""})"),"")</f>
        <v/>
      </c>
      <c r="X38" s="8">
        <v>200.0</v>
      </c>
    </row>
    <row r="39">
      <c r="A39" s="8" t="s">
        <v>99</v>
      </c>
      <c r="B39" s="8" t="s">
        <v>106</v>
      </c>
      <c r="C39" s="8" t="s">
        <v>97</v>
      </c>
      <c r="D39" s="8" t="s">
        <v>107</v>
      </c>
      <c r="E39" s="8" t="str">
        <f t="shared" si="1"/>
        <v>★</v>
      </c>
      <c r="F39" s="9">
        <v>10120.0</v>
      </c>
      <c r="G39" s="8">
        <f t="shared" si="2"/>
        <v>25000</v>
      </c>
      <c r="H39" s="8">
        <f t="shared" si="3"/>
        <v>14880</v>
      </c>
      <c r="I39" s="10">
        <f t="shared" si="4"/>
        <v>40.48</v>
      </c>
      <c r="J39" s="11" t="str">
        <f>IFERROR(__xludf.DUMMYFUNCTION("SPARKLINE(F39/G39, {""charttype"",""bar"";""max"",1;""min"",0;""color1"",""green""})"),"")</f>
        <v/>
      </c>
      <c r="K39" s="8">
        <v>66.0</v>
      </c>
      <c r="L39" s="11" t="str">
        <f>IFERROR(__xludf.DUMMYFUNCTION("SPARKLINE(K39, {""charttype"",""bar"";""max"",100;""min"",0;""color1"",""green""})"),"")</f>
        <v/>
      </c>
      <c r="M39" s="8" t="s">
        <v>27</v>
      </c>
      <c r="N39" s="8" t="s">
        <v>28</v>
      </c>
      <c r="O39" s="9"/>
      <c r="P39" s="8">
        <v>76.0</v>
      </c>
      <c r="Q39" s="9" t="str">
        <f>IFERROR(__xludf.DUMMYFUNCTION("SPARKLINE(P39, {""charttype"",""bar"";""max"",100;""min"",0;""color1"",""grey""})"),"")</f>
        <v/>
      </c>
      <c r="R39" s="9"/>
      <c r="S39" s="9"/>
      <c r="T39" s="9"/>
      <c r="U39" s="9"/>
      <c r="V39" s="8">
        <v>35.0</v>
      </c>
      <c r="W39" s="9" t="str">
        <f>IFERROR(__xludf.DUMMYFUNCTION("SPARKLINE(V39, {""charttype"",""bar"";""max"",100;""min"",0;""color1"",""grey""})"),"")</f>
        <v/>
      </c>
      <c r="X39" s="8">
        <v>180.0</v>
      </c>
    </row>
    <row r="40">
      <c r="A40" s="8" t="s">
        <v>99</v>
      </c>
      <c r="B40" s="8" t="s">
        <v>108</v>
      </c>
      <c r="C40" s="8" t="s">
        <v>60</v>
      </c>
      <c r="D40" s="8" t="s">
        <v>39</v>
      </c>
      <c r="E40" s="8" t="str">
        <f t="shared" si="1"/>
        <v>★</v>
      </c>
      <c r="F40" s="9">
        <v>10785.0</v>
      </c>
      <c r="G40" s="8">
        <f t="shared" si="2"/>
        <v>25000</v>
      </c>
      <c r="H40" s="8">
        <f t="shared" si="3"/>
        <v>14215</v>
      </c>
      <c r="I40" s="10">
        <f t="shared" si="4"/>
        <v>43.14</v>
      </c>
      <c r="J40" s="11" t="str">
        <f>IFERROR(__xludf.DUMMYFUNCTION("SPARKLINE(F40/G40, {""charttype"",""bar"";""max"",1;""min"",0;""color1"",""green""})"),"")</f>
        <v/>
      </c>
      <c r="K40" s="8">
        <v>58.0</v>
      </c>
      <c r="L40" s="11" t="str">
        <f>IFERROR(__xludf.DUMMYFUNCTION("SPARKLINE(K40, {""charttype"",""bar"";""max"",100;""min"",0;""color1"",""green""})"),"")</f>
        <v/>
      </c>
      <c r="M40" s="8" t="s">
        <v>32</v>
      </c>
      <c r="N40" s="8" t="s">
        <v>28</v>
      </c>
      <c r="O40" s="9"/>
      <c r="P40" s="8">
        <v>22.0</v>
      </c>
      <c r="Q40" s="9" t="str">
        <f>IFERROR(__xludf.DUMMYFUNCTION("SPARKLINE(P40, {""charttype"",""bar"";""max"",100;""min"",0;""color1"",""grey""})"),"")</f>
        <v/>
      </c>
      <c r="R40" s="9"/>
      <c r="S40" s="9"/>
      <c r="T40" s="9"/>
      <c r="U40" s="9"/>
      <c r="V40" s="8">
        <v>90.0</v>
      </c>
      <c r="W40" s="9" t="str">
        <f>IFERROR(__xludf.DUMMYFUNCTION("SPARKLINE(V40, {""charttype"",""bar"";""max"",100;""min"",0;""color1"",""grey""})"),"")</f>
        <v/>
      </c>
      <c r="X40" s="8">
        <v>190.0</v>
      </c>
    </row>
    <row r="41">
      <c r="A41" s="8" t="s">
        <v>99</v>
      </c>
      <c r="B41" s="8" t="s">
        <v>109</v>
      </c>
      <c r="C41" s="8" t="s">
        <v>44</v>
      </c>
      <c r="D41" s="8" t="s">
        <v>110</v>
      </c>
      <c r="E41" s="8" t="str">
        <f t="shared" si="1"/>
        <v>★</v>
      </c>
      <c r="F41" s="9">
        <v>15940.0</v>
      </c>
      <c r="G41" s="8">
        <f t="shared" si="2"/>
        <v>25000</v>
      </c>
      <c r="H41" s="8">
        <f t="shared" si="3"/>
        <v>9060</v>
      </c>
      <c r="I41" s="10">
        <f t="shared" si="4"/>
        <v>63.76</v>
      </c>
      <c r="J41" s="11" t="str">
        <f>IFERROR(__xludf.DUMMYFUNCTION("SPARKLINE(F41/G41, {""charttype"",""bar"";""max"",1;""min"",0;""color1"",""green""})"),"")</f>
        <v/>
      </c>
      <c r="K41" s="8">
        <v>50.0</v>
      </c>
      <c r="L41" s="11" t="str">
        <f>IFERROR(__xludf.DUMMYFUNCTION("SPARKLINE(K41, {""charttype"",""bar"";""max"",100;""min"",0;""color1"",""green""})"),"")</f>
        <v/>
      </c>
      <c r="M41" s="8" t="s">
        <v>37</v>
      </c>
      <c r="N41" s="8" t="s">
        <v>28</v>
      </c>
      <c r="O41" s="9"/>
      <c r="P41" s="8">
        <v>30.0</v>
      </c>
      <c r="Q41" s="9" t="str">
        <f>IFERROR(__xludf.DUMMYFUNCTION("SPARKLINE(P41, {""charttype"",""bar"";""max"",100;""min"",0;""color1"",""grey""})"),"")</f>
        <v/>
      </c>
      <c r="R41" s="9"/>
      <c r="S41" s="9"/>
      <c r="T41" s="9"/>
      <c r="U41" s="9"/>
      <c r="V41" s="8">
        <v>60.0</v>
      </c>
      <c r="W41" s="9" t="str">
        <f>IFERROR(__xludf.DUMMYFUNCTION("SPARKLINE(V41, {""charttype"",""bar"";""max"",100;""min"",0;""color1"",""grey""})"),"")</f>
        <v/>
      </c>
      <c r="X41" s="8">
        <v>190.0</v>
      </c>
    </row>
    <row r="42">
      <c r="A42" s="8" t="s">
        <v>111</v>
      </c>
      <c r="B42" s="8" t="s">
        <v>112</v>
      </c>
      <c r="C42" s="8" t="s">
        <v>97</v>
      </c>
      <c r="D42" s="8" t="s">
        <v>54</v>
      </c>
      <c r="E42" s="8" t="str">
        <f t="shared" si="1"/>
        <v>★</v>
      </c>
      <c r="F42" s="9">
        <v>13195.0</v>
      </c>
      <c r="G42" s="8">
        <f t="shared" si="2"/>
        <v>25000</v>
      </c>
      <c r="H42" s="8">
        <f t="shared" si="3"/>
        <v>11805</v>
      </c>
      <c r="I42" s="10">
        <f t="shared" si="4"/>
        <v>52.78</v>
      </c>
      <c r="J42" s="11" t="str">
        <f>IFERROR(__xludf.DUMMYFUNCTION("SPARKLINE(F42/G42, {""charttype"",""bar"";""max"",1;""min"",0;""color1"",""green""})"),"")</f>
        <v/>
      </c>
      <c r="K42" s="8">
        <v>56.0</v>
      </c>
      <c r="L42" s="11" t="str">
        <f>IFERROR(__xludf.DUMMYFUNCTION("SPARKLINE(K42, {""charttype"",""bar"";""max"",100;""min"",0;""color1"",""green""})"),"")</f>
        <v/>
      </c>
      <c r="M42" s="8" t="s">
        <v>66</v>
      </c>
      <c r="N42" s="8" t="s">
        <v>28</v>
      </c>
      <c r="O42" s="9"/>
      <c r="P42" s="9"/>
      <c r="Q42" s="8">
        <v>54.0</v>
      </c>
      <c r="R42" s="9" t="str">
        <f>IFERROR(__xludf.DUMMYFUNCTION("SPARKLINE(Q42, {""charttype"",""bar"";""max"",100;""min"",0;""color1"",""grey""})"),"")</f>
        <v/>
      </c>
      <c r="S42" s="9"/>
      <c r="T42" s="9"/>
      <c r="U42" s="8">
        <v>60.0</v>
      </c>
      <c r="V42" s="9" t="str">
        <f>IFERROR(__xludf.DUMMYFUNCTION("SPARKLINE(U42, {""charttype"",""bar"";""max"",100;""min"",0;""color1"",""grey""})"),"")</f>
        <v/>
      </c>
      <c r="W42" s="9"/>
      <c r="X42" s="8">
        <v>200.0</v>
      </c>
    </row>
    <row r="43">
      <c r="A43" s="8" t="s">
        <v>111</v>
      </c>
      <c r="B43" s="8" t="s">
        <v>113</v>
      </c>
      <c r="C43" s="8" t="s">
        <v>57</v>
      </c>
      <c r="D43" s="8" t="s">
        <v>78</v>
      </c>
      <c r="E43" s="8" t="str">
        <f t="shared" si="1"/>
        <v>★</v>
      </c>
      <c r="F43" s="9">
        <v>11000.0</v>
      </c>
      <c r="G43" s="8">
        <f t="shared" si="2"/>
        <v>25000</v>
      </c>
      <c r="H43" s="8">
        <f t="shared" si="3"/>
        <v>14000</v>
      </c>
      <c r="I43" s="10">
        <f t="shared" si="4"/>
        <v>44</v>
      </c>
      <c r="J43" s="11" t="str">
        <f>IFERROR(__xludf.DUMMYFUNCTION("SPARKLINE(F43/G43, {""charttype"",""bar"";""max"",1;""min"",0;""color1"",""green""})"),"")</f>
        <v/>
      </c>
      <c r="K43" s="8">
        <v>56.0</v>
      </c>
      <c r="L43" s="11" t="str">
        <f>IFERROR(__xludf.DUMMYFUNCTION("SPARKLINE(K43, {""charttype"",""bar"";""max"",100;""min"",0;""color1"",""green""})"),"")</f>
        <v/>
      </c>
      <c r="M43" s="8" t="s">
        <v>66</v>
      </c>
      <c r="N43" s="8" t="s">
        <v>28</v>
      </c>
      <c r="O43" s="9"/>
      <c r="P43" s="9"/>
      <c r="Q43" s="8">
        <v>54.0</v>
      </c>
      <c r="R43" s="9" t="str">
        <f>IFERROR(__xludf.DUMMYFUNCTION("SPARKLINE(Q43, {""charttype"",""bar"";""max"",100;""min"",0;""color1"",""grey""})"),"")</f>
        <v/>
      </c>
      <c r="S43" s="9"/>
      <c r="T43" s="9"/>
      <c r="U43" s="8">
        <v>60.0</v>
      </c>
      <c r="V43" s="9" t="str">
        <f>IFERROR(__xludf.DUMMYFUNCTION("SPARKLINE(U43, {""charttype"",""bar"";""max"",100;""min"",0;""color1"",""grey""})"),"")</f>
        <v/>
      </c>
      <c r="W43" s="9"/>
      <c r="X43" s="8">
        <v>200.0</v>
      </c>
    </row>
    <row r="44">
      <c r="A44" s="8" t="s">
        <v>111</v>
      </c>
      <c r="B44" s="8" t="s">
        <v>114</v>
      </c>
      <c r="C44" s="8" t="s">
        <v>25</v>
      </c>
      <c r="D44" s="8" t="s">
        <v>39</v>
      </c>
      <c r="E44" s="8" t="str">
        <f t="shared" si="1"/>
        <v>★</v>
      </c>
      <c r="F44" s="9">
        <v>11000.0</v>
      </c>
      <c r="G44" s="8">
        <f t="shared" si="2"/>
        <v>25000</v>
      </c>
      <c r="H44" s="8">
        <f t="shared" si="3"/>
        <v>14000</v>
      </c>
      <c r="I44" s="10">
        <f t="shared" si="4"/>
        <v>44</v>
      </c>
      <c r="J44" s="11" t="str">
        <f>IFERROR(__xludf.DUMMYFUNCTION("SPARKLINE(F44/G44, {""charttype"",""bar"";""max"",1;""min"",0;""color1"",""green""})"),"")</f>
        <v/>
      </c>
      <c r="K44" s="8">
        <v>20.0</v>
      </c>
      <c r="L44" s="11" t="str">
        <f>IFERROR(__xludf.DUMMYFUNCTION("SPARKLINE(K44, {""charttype"",""bar"";""max"",100;""min"",0;""color1"",""green""})"),"")</f>
        <v/>
      </c>
      <c r="M44" s="8" t="s">
        <v>27</v>
      </c>
      <c r="N44" s="8" t="s">
        <v>33</v>
      </c>
      <c r="O44" s="9"/>
      <c r="P44" s="9"/>
      <c r="Q44" s="8">
        <v>63.0</v>
      </c>
      <c r="R44" s="9" t="str">
        <f>IFERROR(__xludf.DUMMYFUNCTION("SPARKLINE(Q44, {""charttype"",""bar"";""max"",100;""min"",0;""color1"",""grey""})"),"")</f>
        <v/>
      </c>
      <c r="S44" s="9"/>
      <c r="T44" s="9"/>
      <c r="U44" s="8">
        <v>65.0</v>
      </c>
      <c r="V44" s="9" t="str">
        <f>IFERROR(__xludf.DUMMYFUNCTION("SPARKLINE(U44, {""charttype"",""bar"";""max"",100;""min"",0;""color1"",""grey""})"),"")</f>
        <v/>
      </c>
      <c r="W44" s="9"/>
      <c r="X44" s="8">
        <v>180.0</v>
      </c>
    </row>
    <row r="45">
      <c r="A45" s="8" t="s">
        <v>111</v>
      </c>
      <c r="B45" s="8" t="s">
        <v>115</v>
      </c>
      <c r="C45" s="8" t="s">
        <v>116</v>
      </c>
      <c r="D45" s="8" t="s">
        <v>31</v>
      </c>
      <c r="E45" s="8" t="str">
        <f t="shared" si="1"/>
        <v>★</v>
      </c>
      <c r="F45" s="8">
        <v>17400.0</v>
      </c>
      <c r="G45" s="8">
        <f t="shared" si="2"/>
        <v>25000</v>
      </c>
      <c r="H45" s="8">
        <f t="shared" si="3"/>
        <v>7600</v>
      </c>
      <c r="I45" s="10">
        <f t="shared" si="4"/>
        <v>69.6</v>
      </c>
      <c r="J45" s="11" t="str">
        <f>IFERROR(__xludf.DUMMYFUNCTION("SPARKLINE(F45/G45, {""charttype"",""bar"";""max"",1;""min"",0;""color1"",""green""})"),"")</f>
        <v/>
      </c>
      <c r="K45" s="8">
        <v>20.0</v>
      </c>
      <c r="L45" s="11" t="str">
        <f>IFERROR(__xludf.DUMMYFUNCTION("SPARKLINE(K45, {""charttype"",""bar"";""max"",100;""min"",0;""color1"",""green""})"),"")</f>
        <v/>
      </c>
      <c r="M45" s="8" t="s">
        <v>27</v>
      </c>
      <c r="N45" s="8" t="s">
        <v>33</v>
      </c>
      <c r="O45" s="9"/>
      <c r="P45" s="9"/>
      <c r="Q45" s="8">
        <v>63.0</v>
      </c>
      <c r="R45" s="9" t="str">
        <f>IFERROR(__xludf.DUMMYFUNCTION("SPARKLINE(Q45, {""charttype"",""bar"";""max"",100;""min"",0;""color1"",""grey""})"),"")</f>
        <v/>
      </c>
      <c r="S45" s="9"/>
      <c r="T45" s="9"/>
      <c r="U45" s="8">
        <v>65.0</v>
      </c>
      <c r="V45" s="9" t="str">
        <f>IFERROR(__xludf.DUMMYFUNCTION("SPARKLINE(U45, {""charttype"",""bar"";""max"",100;""min"",0;""color1"",""grey""})"),"")</f>
        <v/>
      </c>
      <c r="W45" s="9"/>
      <c r="X45" s="8">
        <v>190.0</v>
      </c>
    </row>
    <row r="46">
      <c r="A46" s="8" t="s">
        <v>111</v>
      </c>
      <c r="B46" s="8" t="s">
        <v>117</v>
      </c>
      <c r="C46" s="8" t="s">
        <v>60</v>
      </c>
      <c r="D46" s="8" t="s">
        <v>93</v>
      </c>
      <c r="E46" s="8" t="str">
        <f t="shared" si="1"/>
        <v>★★★</v>
      </c>
      <c r="F46" s="9">
        <v>67655.0</v>
      </c>
      <c r="G46" s="8">
        <f t="shared" si="2"/>
        <v>160000</v>
      </c>
      <c r="H46" s="8">
        <f t="shared" si="3"/>
        <v>92345</v>
      </c>
      <c r="I46" s="10">
        <f t="shared" si="4"/>
        <v>42.284375</v>
      </c>
      <c r="J46" s="11" t="str">
        <f>IFERROR(__xludf.DUMMYFUNCTION("SPARKLINE(F46/G46, {""charttype"",""bar"";""max"",1;""min"",0;""color1"",""green""})"),"")</f>
        <v/>
      </c>
      <c r="K46" s="8">
        <v>76.0</v>
      </c>
      <c r="L46" s="11" t="str">
        <f>IFERROR(__xludf.DUMMYFUNCTION("SPARKLINE(K46, {""charttype"",""bar"";""max"",100;""min"",0;""color1"",""green""})"),"")</f>
        <v/>
      </c>
      <c r="M46" s="8" t="s">
        <v>55</v>
      </c>
      <c r="N46" s="8" t="s">
        <v>69</v>
      </c>
      <c r="O46" s="9"/>
      <c r="P46" s="9"/>
      <c r="Q46" s="8">
        <v>25.0</v>
      </c>
      <c r="R46" s="9" t="str">
        <f>IFERROR(__xludf.DUMMYFUNCTION("SPARKLINE(Q46, {""charttype"",""bar"";""max"",100;""min"",0;""color1"",""grey""})"),"")</f>
        <v/>
      </c>
      <c r="S46" s="9"/>
      <c r="T46" s="9"/>
      <c r="U46" s="8">
        <v>20.0</v>
      </c>
      <c r="V46" s="9" t="str">
        <f>IFERROR(__xludf.DUMMYFUNCTION("SPARKLINE(U46, {""charttype"",""bar"";""max"",100;""min"",0;""color1"",""grey""})"),"")</f>
        <v/>
      </c>
      <c r="W46" s="9"/>
      <c r="X46" s="8">
        <v>190.0</v>
      </c>
    </row>
    <row r="47">
      <c r="A47" s="8" t="s">
        <v>111</v>
      </c>
      <c r="B47" s="8" t="s">
        <v>118</v>
      </c>
      <c r="C47" s="8" t="s">
        <v>47</v>
      </c>
      <c r="D47" s="8" t="s">
        <v>91</v>
      </c>
      <c r="E47" s="8" t="str">
        <f t="shared" si="1"/>
        <v>★★</v>
      </c>
      <c r="F47" s="8">
        <v>35400.0</v>
      </c>
      <c r="G47" s="8">
        <f t="shared" si="2"/>
        <v>60000</v>
      </c>
      <c r="H47" s="8">
        <f t="shared" si="3"/>
        <v>24600</v>
      </c>
      <c r="I47" s="10">
        <f t="shared" si="4"/>
        <v>59</v>
      </c>
      <c r="J47" s="11" t="str">
        <f>IFERROR(__xludf.DUMMYFUNCTION("SPARKLINE(F47/G47, {""charttype"",""bar"";""max"",1;""min"",0;""color1"",""green""})"),"")</f>
        <v/>
      </c>
      <c r="K47" s="8">
        <v>58.0</v>
      </c>
      <c r="L47" s="11" t="str">
        <f>IFERROR(__xludf.DUMMYFUNCTION("SPARKLINE(K47, {""charttype"",""bar"";""max"",100;""min"",0;""color1"",""green""})"),"")</f>
        <v/>
      </c>
      <c r="M47" s="8" t="s">
        <v>66</v>
      </c>
      <c r="N47" s="8" t="s">
        <v>28</v>
      </c>
      <c r="O47" s="9"/>
      <c r="P47" s="9"/>
      <c r="Q47" s="8">
        <v>45.0</v>
      </c>
      <c r="R47" s="9" t="str">
        <f>IFERROR(__xludf.DUMMYFUNCTION("SPARKLINE(Q47, {""charttype"",""bar"";""max"",100;""min"",0;""color1"",""grey""})"),"")</f>
        <v/>
      </c>
      <c r="S47" s="9"/>
      <c r="T47" s="9"/>
      <c r="U47" s="8">
        <v>45.0</v>
      </c>
      <c r="V47" s="9" t="str">
        <f>IFERROR(__xludf.DUMMYFUNCTION("SPARKLINE(U47, {""charttype"",""bar"";""max"",100;""min"",0;""color1"",""grey""})"),"")</f>
        <v/>
      </c>
      <c r="W47" s="9"/>
      <c r="X47" s="8">
        <v>210.0</v>
      </c>
    </row>
    <row r="48">
      <c r="A48" s="8" t="s">
        <v>111</v>
      </c>
      <c r="B48" s="8" t="s">
        <v>119</v>
      </c>
      <c r="C48" s="8" t="s">
        <v>30</v>
      </c>
      <c r="D48" s="8" t="s">
        <v>36</v>
      </c>
      <c r="E48" s="8" t="str">
        <f t="shared" si="1"/>
        <v>★</v>
      </c>
      <c r="F48" s="8">
        <v>10000.0</v>
      </c>
      <c r="G48" s="8">
        <f t="shared" si="2"/>
        <v>25000</v>
      </c>
      <c r="H48" s="8">
        <f t="shared" si="3"/>
        <v>15000</v>
      </c>
      <c r="I48" s="10">
        <f t="shared" si="4"/>
        <v>40</v>
      </c>
      <c r="J48" s="11" t="str">
        <f>IFERROR(__xludf.DUMMYFUNCTION("SPARKLINE(F48/G48, {""charttype"",""bar"";""max"",1;""min"",0;""color1"",""green""})"),"")</f>
        <v/>
      </c>
      <c r="K48" s="8">
        <v>76.0</v>
      </c>
      <c r="L48" s="11" t="str">
        <f>IFERROR(__xludf.DUMMYFUNCTION("SPARKLINE(K48, {""charttype"",""bar"";""max"",100;""min"",0;""color1"",""green""})"),"")</f>
        <v/>
      </c>
      <c r="M48" s="8" t="s">
        <v>55</v>
      </c>
      <c r="N48" s="8" t="s">
        <v>69</v>
      </c>
      <c r="O48" s="9"/>
      <c r="P48" s="9"/>
      <c r="Q48" s="8">
        <v>25.0</v>
      </c>
      <c r="R48" s="9" t="str">
        <f>IFERROR(__xludf.DUMMYFUNCTION("SPARKLINE(Q48, {""charttype"",""bar"";""max"",100;""min"",0;""color1"",""grey""})"),"")</f>
        <v/>
      </c>
      <c r="S48" s="9"/>
      <c r="T48" s="9"/>
      <c r="U48" s="8">
        <v>20.0</v>
      </c>
      <c r="V48" s="9" t="str">
        <f>IFERROR(__xludf.DUMMYFUNCTION("SPARKLINE(U48, {""charttype"",""bar"";""max"",100;""min"",0;""color1"",""grey""})"),"")</f>
        <v/>
      </c>
      <c r="W48" s="9"/>
      <c r="X48" s="8">
        <v>190.0</v>
      </c>
    </row>
    <row r="49">
      <c r="A49" s="8" t="s">
        <v>111</v>
      </c>
      <c r="B49" s="8" t="s">
        <v>120</v>
      </c>
      <c r="C49" s="8" t="s">
        <v>68</v>
      </c>
      <c r="D49" s="8" t="s">
        <v>121</v>
      </c>
      <c r="E49" s="8" t="str">
        <f t="shared" si="1"/>
        <v>★</v>
      </c>
      <c r="F49" s="9">
        <v>10200.0</v>
      </c>
      <c r="G49" s="8">
        <f t="shared" si="2"/>
        <v>25000</v>
      </c>
      <c r="H49" s="8">
        <f t="shared" si="3"/>
        <v>14800</v>
      </c>
      <c r="I49" s="10">
        <f t="shared" si="4"/>
        <v>40.8</v>
      </c>
      <c r="J49" s="11" t="str">
        <f>IFERROR(__xludf.DUMMYFUNCTION("SPARKLINE(F49/G49, {""charttype"",""bar"";""max"",1;""min"",0;""color1"",""green""})"),"")</f>
        <v/>
      </c>
      <c r="K49" s="8">
        <v>48.0</v>
      </c>
      <c r="L49" s="11" t="str">
        <f>IFERROR(__xludf.DUMMYFUNCTION("SPARKLINE(K49, {""charttype"",""bar"";""max"",100;""min"",0;""color1"",""green""})"),"")</f>
        <v/>
      </c>
      <c r="M49" s="8" t="s">
        <v>37</v>
      </c>
      <c r="N49" s="8" t="s">
        <v>28</v>
      </c>
      <c r="O49" s="9"/>
      <c r="P49" s="9"/>
      <c r="Q49" s="8">
        <v>45.0</v>
      </c>
      <c r="R49" s="9" t="str">
        <f>IFERROR(__xludf.DUMMYFUNCTION("SPARKLINE(Q49, {""charttype"",""bar"";""max"",100;""min"",0;""color1"",""grey""})"),"")</f>
        <v/>
      </c>
      <c r="S49" s="9"/>
      <c r="T49" s="9"/>
      <c r="U49" s="8">
        <v>55.0</v>
      </c>
      <c r="V49" s="9" t="str">
        <f>IFERROR(__xludf.DUMMYFUNCTION("SPARKLINE(U49, {""charttype"",""bar"";""max"",100;""min"",0;""color1"",""grey""})"),"")</f>
        <v/>
      </c>
      <c r="W49" s="9"/>
      <c r="X49" s="8">
        <v>180.0</v>
      </c>
    </row>
    <row r="50">
      <c r="A50" s="8" t="s">
        <v>111</v>
      </c>
      <c r="B50" s="8" t="s">
        <v>122</v>
      </c>
      <c r="C50" s="8" t="s">
        <v>35</v>
      </c>
      <c r="D50" s="8" t="s">
        <v>26</v>
      </c>
      <c r="E50" s="8" t="str">
        <f t="shared" si="1"/>
        <v>★</v>
      </c>
      <c r="F50" s="9">
        <v>10285.0</v>
      </c>
      <c r="G50" s="8">
        <f t="shared" si="2"/>
        <v>25000</v>
      </c>
      <c r="H50" s="8">
        <f t="shared" si="3"/>
        <v>14715</v>
      </c>
      <c r="I50" s="10">
        <f t="shared" si="4"/>
        <v>41.14</v>
      </c>
      <c r="J50" s="11" t="str">
        <f>IFERROR(__xludf.DUMMYFUNCTION("SPARKLINE(F50/G50, {""charttype"",""bar"";""max"",1;""min"",0;""color1"",""green""})"),"")</f>
        <v/>
      </c>
      <c r="K50" s="8">
        <v>48.0</v>
      </c>
      <c r="L50" s="11" t="str">
        <f>IFERROR(__xludf.DUMMYFUNCTION("SPARKLINE(K50, {""charttype"",""bar"";""max"",100;""min"",0;""color1"",""green""})"),"")</f>
        <v/>
      </c>
      <c r="M50" s="8" t="s">
        <v>37</v>
      </c>
      <c r="N50" s="8" t="s">
        <v>28</v>
      </c>
      <c r="O50" s="9"/>
      <c r="P50" s="9"/>
      <c r="Q50" s="8">
        <v>45.0</v>
      </c>
      <c r="R50" s="9" t="str">
        <f>IFERROR(__xludf.DUMMYFUNCTION("SPARKLINE(Q50, {""charttype"",""bar"";""max"",100;""min"",0;""color1"",""grey""})"),"")</f>
        <v/>
      </c>
      <c r="S50" s="9"/>
      <c r="T50" s="9"/>
      <c r="U50" s="8">
        <v>55.0</v>
      </c>
      <c r="V50" s="9" t="str">
        <f>IFERROR(__xludf.DUMMYFUNCTION("SPARKLINE(U50, {""charttype"",""bar"";""max"",100;""min"",0;""color1"",""grey""})"),"")</f>
        <v/>
      </c>
      <c r="W50" s="9"/>
      <c r="X50" s="8">
        <v>180.0</v>
      </c>
    </row>
    <row r="51">
      <c r="A51" s="8" t="s">
        <v>123</v>
      </c>
      <c r="B51" s="8" t="s">
        <v>124</v>
      </c>
      <c r="C51" s="8" t="s">
        <v>97</v>
      </c>
      <c r="D51" s="8" t="s">
        <v>58</v>
      </c>
      <c r="E51" s="8" t="str">
        <f t="shared" si="1"/>
        <v>★★★</v>
      </c>
      <c r="F51" s="9">
        <v>61665.0</v>
      </c>
      <c r="G51" s="8">
        <f t="shared" si="2"/>
        <v>160000</v>
      </c>
      <c r="H51" s="8">
        <f t="shared" si="3"/>
        <v>98335</v>
      </c>
      <c r="I51" s="10">
        <f t="shared" si="4"/>
        <v>38.540625</v>
      </c>
      <c r="J51" s="11" t="str">
        <f>IFERROR(__xludf.DUMMYFUNCTION("SPARKLINE(F51/G51, {""charttype"",""bar"";""max"",1;""min"",0;""color1"",""green""})"),"")</f>
        <v/>
      </c>
      <c r="K51" s="8">
        <v>55.0</v>
      </c>
      <c r="L51" s="11" t="str">
        <f>IFERROR(__xludf.DUMMYFUNCTION("SPARKLINE(K51, {""charttype"",""bar"";""max"",100;""min"",0;""color1"",""green""})"),"")</f>
        <v/>
      </c>
      <c r="M51" s="8" t="s">
        <v>27</v>
      </c>
      <c r="N51" s="8" t="s">
        <v>28</v>
      </c>
      <c r="O51" s="8"/>
      <c r="P51" s="8">
        <v>75.0</v>
      </c>
      <c r="Q51" s="9" t="str">
        <f>IFERROR(__xludf.DUMMYFUNCTION("SPARKLINE(P51, {""charttype"",""bar"";""max"",100;""min"",0;""color1"",""grey""})"),"")</f>
        <v/>
      </c>
      <c r="R51" s="9"/>
      <c r="S51" s="8">
        <v>25.0</v>
      </c>
      <c r="T51" s="9" t="str">
        <f>IFERROR(__xludf.DUMMYFUNCTION("SPARKLINE(S51, {""charttype"",""bar"";""max"",100;""min"",0;""color1"",""grey""})"),"")</f>
        <v/>
      </c>
      <c r="U51" s="9"/>
      <c r="V51" s="9"/>
      <c r="W51" s="9"/>
      <c r="X51" s="8">
        <v>190.0</v>
      </c>
    </row>
    <row r="52">
      <c r="A52" s="8" t="s">
        <v>123</v>
      </c>
      <c r="B52" s="8" t="s">
        <v>125</v>
      </c>
      <c r="C52" s="8" t="s">
        <v>60</v>
      </c>
      <c r="D52" s="8" t="s">
        <v>54</v>
      </c>
      <c r="E52" s="8" t="str">
        <f t="shared" si="1"/>
        <v>★</v>
      </c>
      <c r="F52" s="9">
        <v>10000.0</v>
      </c>
      <c r="G52" s="8">
        <f t="shared" si="2"/>
        <v>25000</v>
      </c>
      <c r="H52" s="8">
        <f t="shared" si="3"/>
        <v>15000</v>
      </c>
      <c r="I52" s="10">
        <f t="shared" si="4"/>
        <v>40</v>
      </c>
      <c r="J52" s="11" t="str">
        <f>IFERROR(__xludf.DUMMYFUNCTION("SPARKLINE(F52/G52, {""charttype"",""bar"";""max"",1;""min"",0;""color1"",""green""})"),"")</f>
        <v/>
      </c>
      <c r="K52" s="8">
        <v>74.0</v>
      </c>
      <c r="L52" s="11" t="str">
        <f>IFERROR(__xludf.DUMMYFUNCTION("SPARKLINE(K52, {""charttype"",""bar"";""max"",100;""min"",0;""color1"",""green""})"),"")</f>
        <v/>
      </c>
      <c r="M52" s="8" t="s">
        <v>66</v>
      </c>
      <c r="N52" s="8" t="s">
        <v>28</v>
      </c>
      <c r="O52" s="9"/>
      <c r="P52" s="8">
        <v>80.0</v>
      </c>
      <c r="Q52" s="9" t="str">
        <f>IFERROR(__xludf.DUMMYFUNCTION("SPARKLINE(P52, {""charttype"",""bar"";""max"",100;""min"",0;""color1"",""grey""})"),"")</f>
        <v/>
      </c>
      <c r="R52" s="9"/>
      <c r="S52" s="8">
        <v>10.0</v>
      </c>
      <c r="T52" s="9" t="str">
        <f>IFERROR(__xludf.DUMMYFUNCTION("SPARKLINE(S52, {""charttype"",""bar"";""max"",100;""min"",0;""color1"",""grey""})"),"")</f>
        <v/>
      </c>
      <c r="U52" s="9"/>
      <c r="V52" s="9"/>
      <c r="W52" s="9"/>
      <c r="X52" s="8">
        <v>190.0</v>
      </c>
    </row>
    <row r="53">
      <c r="A53" s="8" t="s">
        <v>123</v>
      </c>
      <c r="B53" s="8" t="s">
        <v>126</v>
      </c>
      <c r="C53" s="8" t="s">
        <v>97</v>
      </c>
      <c r="D53" s="8" t="s">
        <v>121</v>
      </c>
      <c r="E53" s="8" t="str">
        <f t="shared" si="1"/>
        <v>★★</v>
      </c>
      <c r="F53" s="8">
        <v>25365.0</v>
      </c>
      <c r="G53" s="8">
        <f t="shared" si="2"/>
        <v>60000</v>
      </c>
      <c r="H53" s="8">
        <f t="shared" si="3"/>
        <v>34635</v>
      </c>
      <c r="I53" s="10">
        <f t="shared" si="4"/>
        <v>42.275</v>
      </c>
      <c r="J53" s="11" t="str">
        <f>IFERROR(__xludf.DUMMYFUNCTION("SPARKLINE(F53/G53, {""charttype"",""bar"";""max"",1;""min"",0;""color1"",""green""})"),"")</f>
        <v/>
      </c>
      <c r="K53" s="8">
        <v>74.0</v>
      </c>
      <c r="L53" s="11" t="str">
        <f>IFERROR(__xludf.DUMMYFUNCTION("SPARKLINE(K53, {""charttype"",""bar"";""max"",100;""min"",0;""color1"",""green""})"),"")</f>
        <v/>
      </c>
      <c r="M53" s="8" t="s">
        <v>72</v>
      </c>
      <c r="N53" s="8" t="s">
        <v>28</v>
      </c>
      <c r="O53" s="9"/>
      <c r="P53" s="8">
        <v>80.0</v>
      </c>
      <c r="Q53" s="9" t="str">
        <f>IFERROR(__xludf.DUMMYFUNCTION("SPARKLINE(P53, {""charttype"",""bar"";""max"",100;""min"",0;""color1"",""grey""})"),"")</f>
        <v/>
      </c>
      <c r="R53" s="9"/>
      <c r="S53" s="8">
        <v>10.0</v>
      </c>
      <c r="T53" s="9" t="str">
        <f>IFERROR(__xludf.DUMMYFUNCTION("SPARKLINE(S53, {""charttype"",""bar"";""max"",100;""min"",0;""color1"",""grey""})"),"")</f>
        <v/>
      </c>
      <c r="U53" s="9"/>
      <c r="V53" s="9"/>
      <c r="W53" s="9"/>
      <c r="X53" s="8">
        <v>210.0</v>
      </c>
    </row>
    <row r="54">
      <c r="A54" s="8" t="s">
        <v>123</v>
      </c>
      <c r="B54" s="8" t="s">
        <v>127</v>
      </c>
      <c r="C54" s="8" t="s">
        <v>41</v>
      </c>
      <c r="D54" s="8" t="s">
        <v>61</v>
      </c>
      <c r="E54" s="8" t="str">
        <f t="shared" si="1"/>
        <v>★</v>
      </c>
      <c r="F54" s="9">
        <v>17900.0</v>
      </c>
      <c r="G54" s="8">
        <f t="shared" si="2"/>
        <v>25000</v>
      </c>
      <c r="H54" s="8">
        <f t="shared" si="3"/>
        <v>7100</v>
      </c>
      <c r="I54" s="10">
        <f t="shared" si="4"/>
        <v>71.6</v>
      </c>
      <c r="J54" s="11" t="str">
        <f>IFERROR(__xludf.DUMMYFUNCTION("SPARKLINE(F54/G54, {""charttype"",""bar"";""max"",1;""min"",0;""color1"",""green""})"),"")</f>
        <v/>
      </c>
      <c r="K54" s="8">
        <v>35.0</v>
      </c>
      <c r="L54" s="11" t="str">
        <f>IFERROR(__xludf.DUMMYFUNCTION("SPARKLINE(K54, {""charttype"",""bar"";""max"",100;""min"",0;""color1"",""green""})"),"")</f>
        <v/>
      </c>
      <c r="M54" s="8" t="s">
        <v>66</v>
      </c>
      <c r="N54" s="8" t="s">
        <v>33</v>
      </c>
      <c r="O54" s="9"/>
      <c r="P54" s="8">
        <v>10.0</v>
      </c>
      <c r="Q54" s="9" t="str">
        <f>IFERROR(__xludf.DUMMYFUNCTION("SPARKLINE(P54, {""charttype"",""bar"";""max"",100;""min"",0;""color1"",""grey""})"),"")</f>
        <v/>
      </c>
      <c r="R54" s="9"/>
      <c r="S54" s="8">
        <v>90.0</v>
      </c>
      <c r="T54" s="9" t="str">
        <f>IFERROR(__xludf.DUMMYFUNCTION("SPARKLINE(S54, {""charttype"",""bar"";""max"",100;""min"",0;""color1"",""grey""})"),"")</f>
        <v/>
      </c>
      <c r="U54" s="9"/>
      <c r="V54" s="9"/>
      <c r="W54" s="9"/>
      <c r="X54" s="8">
        <v>180.0</v>
      </c>
    </row>
    <row r="55">
      <c r="A55" s="8" t="s">
        <v>123</v>
      </c>
      <c r="B55" s="8" t="s">
        <v>128</v>
      </c>
      <c r="C55" s="8" t="s">
        <v>60</v>
      </c>
      <c r="D55" s="8" t="s">
        <v>107</v>
      </c>
      <c r="E55" s="8" t="str">
        <f t="shared" si="1"/>
        <v>★★★</v>
      </c>
      <c r="F55" s="8">
        <v>60695.0</v>
      </c>
      <c r="G55" s="8">
        <f t="shared" si="2"/>
        <v>160000</v>
      </c>
      <c r="H55" s="8">
        <f t="shared" si="3"/>
        <v>99305</v>
      </c>
      <c r="I55" s="10">
        <f t="shared" si="4"/>
        <v>37.934375</v>
      </c>
      <c r="J55" s="11" t="str">
        <f>IFERROR(__xludf.DUMMYFUNCTION("SPARKLINE(F55/G55, {""charttype"",""bar"";""max"",1;""min"",0;""color1"",""green""})"),"")</f>
        <v/>
      </c>
      <c r="K55" s="8">
        <v>35.0</v>
      </c>
      <c r="L55" s="11" t="str">
        <f>IFERROR(__xludf.DUMMYFUNCTION("SPARKLINE(K55, {""charttype"",""bar"";""max"",100;""min"",0;""color1"",""green""})"),"")</f>
        <v/>
      </c>
      <c r="M55" s="8" t="s">
        <v>66</v>
      </c>
      <c r="N55" s="8" t="s">
        <v>33</v>
      </c>
      <c r="O55" s="9"/>
      <c r="P55" s="8">
        <v>10.0</v>
      </c>
      <c r="Q55" s="9" t="str">
        <f>IFERROR(__xludf.DUMMYFUNCTION("SPARKLINE(P55, {""charttype"",""bar"";""max"",100;""min"",0;""color1"",""grey""})"),"")</f>
        <v/>
      </c>
      <c r="R55" s="9"/>
      <c r="S55" s="8">
        <v>90.0</v>
      </c>
      <c r="T55" s="9" t="str">
        <f>IFERROR(__xludf.DUMMYFUNCTION("SPARKLINE(S55, {""charttype"",""bar"";""max"",100;""min"",0;""color1"",""grey""})"),"")</f>
        <v/>
      </c>
      <c r="U55" s="9"/>
      <c r="V55" s="9"/>
      <c r="W55" s="9"/>
      <c r="X55" s="8">
        <v>200.0</v>
      </c>
    </row>
    <row r="56">
      <c r="A56" s="8" t="s">
        <v>123</v>
      </c>
      <c r="B56" s="8" t="s">
        <v>129</v>
      </c>
      <c r="C56" s="8" t="s">
        <v>47</v>
      </c>
      <c r="D56" s="8" t="s">
        <v>51</v>
      </c>
      <c r="E56" s="8" t="str">
        <f t="shared" si="1"/>
        <v>★</v>
      </c>
      <c r="F56" s="8">
        <v>18460.0</v>
      </c>
      <c r="G56" s="8">
        <f t="shared" si="2"/>
        <v>25000</v>
      </c>
      <c r="H56" s="8">
        <f t="shared" si="3"/>
        <v>6540</v>
      </c>
      <c r="I56" s="10">
        <f t="shared" si="4"/>
        <v>73.84</v>
      </c>
      <c r="J56" s="11" t="str">
        <f>IFERROR(__xludf.DUMMYFUNCTION("SPARKLINE(F56/G56, {""charttype"",""bar"";""max"",1;""min"",0;""color1"",""green""})"),"")</f>
        <v/>
      </c>
      <c r="K56" s="8">
        <v>68.0</v>
      </c>
      <c r="L56" s="11" t="str">
        <f>IFERROR(__xludf.DUMMYFUNCTION("SPARKLINE(K56, {""charttype"",""bar"";""max"",100;""min"",0;""color1"",""green""})"),"")</f>
        <v/>
      </c>
      <c r="M56" s="8" t="s">
        <v>66</v>
      </c>
      <c r="N56" s="8" t="s">
        <v>28</v>
      </c>
      <c r="O56" s="9"/>
      <c r="P56" s="8">
        <v>20.0</v>
      </c>
      <c r="Q56" s="9" t="str">
        <f>IFERROR(__xludf.DUMMYFUNCTION("SPARKLINE(P56, {""charttype"",""bar"";""max"",100;""min"",0;""color1"",""grey""})"),"")</f>
        <v/>
      </c>
      <c r="R56" s="9"/>
      <c r="S56" s="8">
        <v>60.0</v>
      </c>
      <c r="T56" s="9" t="str">
        <f>IFERROR(__xludf.DUMMYFUNCTION("SPARKLINE(S56, {""charttype"",""bar"";""max"",100;""min"",0;""color1"",""grey""})"),"")</f>
        <v/>
      </c>
      <c r="U56" s="9"/>
      <c r="V56" s="9"/>
      <c r="W56" s="9"/>
      <c r="X56" s="8">
        <v>200.0</v>
      </c>
    </row>
    <row r="57">
      <c r="A57" s="8" t="s">
        <v>123</v>
      </c>
      <c r="B57" s="8" t="s">
        <v>130</v>
      </c>
      <c r="C57" s="8" t="s">
        <v>53</v>
      </c>
      <c r="D57" s="8" t="s">
        <v>78</v>
      </c>
      <c r="E57" s="8" t="str">
        <f t="shared" si="1"/>
        <v>★</v>
      </c>
      <c r="F57" s="9">
        <v>10700.0</v>
      </c>
      <c r="G57" s="8">
        <f t="shared" si="2"/>
        <v>25000</v>
      </c>
      <c r="H57" s="8">
        <f t="shared" si="3"/>
        <v>14300</v>
      </c>
      <c r="I57" s="10">
        <f t="shared" si="4"/>
        <v>42.8</v>
      </c>
      <c r="J57" s="11" t="str">
        <f>IFERROR(__xludf.DUMMYFUNCTION("SPARKLINE(F57/G57, {""charttype"",""bar"";""max"",1;""min"",0;""color1"",""green""})"),"")</f>
        <v/>
      </c>
      <c r="K57" s="8">
        <v>82.0</v>
      </c>
      <c r="L57" s="11" t="str">
        <f>IFERROR(__xludf.DUMMYFUNCTION("SPARKLINE(K57, {""charttype"",""bar"";""max"",100;""min"",0;""color1"",""green""})"),"")</f>
        <v/>
      </c>
      <c r="M57" s="8" t="s">
        <v>55</v>
      </c>
      <c r="N57" s="8" t="s">
        <v>28</v>
      </c>
      <c r="O57" s="9"/>
      <c r="P57" s="8">
        <v>35.0</v>
      </c>
      <c r="Q57" s="9" t="str">
        <f>IFERROR(__xludf.DUMMYFUNCTION("SPARKLINE(P57, {""charttype"",""bar"";""max"",100;""min"",0;""color1"",""grey""})"),"")</f>
        <v/>
      </c>
      <c r="R57" s="9"/>
      <c r="S57" s="8">
        <v>30.0</v>
      </c>
      <c r="T57" s="9" t="str">
        <f>IFERROR(__xludf.DUMMYFUNCTION("SPARKLINE(S57, {""charttype"",""bar"";""max"",100;""min"",0;""color1"",""grey""})"),"")</f>
        <v/>
      </c>
      <c r="U57" s="9"/>
      <c r="V57" s="9"/>
      <c r="W57" s="9"/>
      <c r="X57" s="8">
        <v>180.0</v>
      </c>
    </row>
    <row r="58">
      <c r="A58" s="8" t="s">
        <v>123</v>
      </c>
      <c r="B58" s="8" t="s">
        <v>131</v>
      </c>
      <c r="C58" s="8" t="s">
        <v>50</v>
      </c>
      <c r="D58" s="8" t="s">
        <v>45</v>
      </c>
      <c r="E58" s="8" t="str">
        <f t="shared" si="1"/>
        <v>★★★★</v>
      </c>
      <c r="F58" s="8">
        <v>292200.0</v>
      </c>
      <c r="G58" s="8">
        <f t="shared" si="2"/>
        <v>1160000</v>
      </c>
      <c r="H58" s="8">
        <f t="shared" si="3"/>
        <v>867800</v>
      </c>
      <c r="I58" s="10">
        <f t="shared" si="4"/>
        <v>25.18965517</v>
      </c>
      <c r="J58" s="11" t="str">
        <f>IFERROR(__xludf.DUMMYFUNCTION("SPARKLINE(F58/G58, {""charttype"",""bar"";""max"",1;""min"",0;""color1"",""green""})"),"")</f>
        <v/>
      </c>
      <c r="K58" s="8">
        <v>35.0</v>
      </c>
      <c r="L58" s="11" t="str">
        <f>IFERROR(__xludf.DUMMYFUNCTION("SPARKLINE(K58, {""charttype"",""bar"";""max"",100;""min"",0;""color1"",""green""})"),"")</f>
        <v/>
      </c>
      <c r="M58" s="8" t="s">
        <v>66</v>
      </c>
      <c r="N58" s="8" t="s">
        <v>33</v>
      </c>
      <c r="O58" s="9"/>
      <c r="P58" s="8">
        <v>22.0</v>
      </c>
      <c r="Q58" s="9" t="str">
        <f>IFERROR(__xludf.DUMMYFUNCTION("SPARKLINE(P58, {""charttype"",""bar"";""max"",100;""min"",0;""color1"",""grey""})"),"")</f>
        <v/>
      </c>
      <c r="R58" s="9"/>
      <c r="S58" s="8">
        <v>75.0</v>
      </c>
      <c r="T58" s="9" t="str">
        <f>IFERROR(__xludf.DUMMYFUNCTION("SPARKLINE(S58, {""charttype"",""bar"";""max"",100;""min"",0;""color1"",""grey""})"),"")</f>
        <v/>
      </c>
      <c r="U58" s="9"/>
      <c r="V58" s="9"/>
      <c r="W58" s="9"/>
      <c r="X58" s="8">
        <v>190.0</v>
      </c>
    </row>
    <row r="59">
      <c r="A59" s="8" t="s">
        <v>123</v>
      </c>
      <c r="B59" s="8" t="s">
        <v>132</v>
      </c>
      <c r="C59" s="8" t="s">
        <v>44</v>
      </c>
      <c r="D59" s="8" t="s">
        <v>107</v>
      </c>
      <c r="E59" s="8" t="str">
        <f t="shared" si="1"/>
        <v>★★★</v>
      </c>
      <c r="F59" s="8">
        <v>73710.0</v>
      </c>
      <c r="G59" s="8">
        <f t="shared" si="2"/>
        <v>160000</v>
      </c>
      <c r="H59" s="8">
        <f t="shared" si="3"/>
        <v>86290</v>
      </c>
      <c r="I59" s="10">
        <f t="shared" si="4"/>
        <v>46.06875</v>
      </c>
      <c r="J59" s="11" t="str">
        <f>IFERROR(__xludf.DUMMYFUNCTION("SPARKLINE(F59/G59, {""charttype"",""bar"";""max"",1;""min"",0;""color1"",""green""})"),"")</f>
        <v/>
      </c>
      <c r="K59" s="8">
        <v>70.0</v>
      </c>
      <c r="L59" s="11" t="str">
        <f>IFERROR(__xludf.DUMMYFUNCTION("SPARKLINE(K59, {""charttype"",""bar"";""max"",100;""min"",0;""color1"",""green""})"),"")</f>
        <v/>
      </c>
      <c r="M59" s="8" t="s">
        <v>27</v>
      </c>
      <c r="N59" s="8" t="s">
        <v>28</v>
      </c>
      <c r="O59" s="9"/>
      <c r="P59" s="8">
        <v>60.0</v>
      </c>
      <c r="Q59" s="9" t="str">
        <f>IFERROR(__xludf.DUMMYFUNCTION("SPARKLINE(P59, {""charttype"",""bar"";""max"",100;""min"",0;""color1"",""grey""})"),"")</f>
        <v/>
      </c>
      <c r="R59" s="9"/>
      <c r="S59" s="8">
        <v>30.0</v>
      </c>
      <c r="T59" s="9" t="str">
        <f>IFERROR(__xludf.DUMMYFUNCTION("SPARKLINE(S59, {""charttype"",""bar"";""max"",100;""min"",0;""color1"",""grey""})"),"")</f>
        <v/>
      </c>
      <c r="U59" s="9"/>
      <c r="V59" s="9"/>
      <c r="W59" s="9"/>
      <c r="X59" s="8">
        <v>210.0</v>
      </c>
    </row>
    <row r="60">
      <c r="A60" s="8" t="s">
        <v>123</v>
      </c>
      <c r="B60" s="8" t="s">
        <v>133</v>
      </c>
      <c r="C60" s="8" t="s">
        <v>85</v>
      </c>
      <c r="D60" s="8" t="s">
        <v>93</v>
      </c>
      <c r="E60" s="8" t="str">
        <f t="shared" si="1"/>
        <v>★</v>
      </c>
      <c r="F60" s="9">
        <v>10000.0</v>
      </c>
      <c r="G60" s="8">
        <f t="shared" si="2"/>
        <v>25000</v>
      </c>
      <c r="H60" s="8">
        <f t="shared" si="3"/>
        <v>15000</v>
      </c>
      <c r="I60" s="10">
        <f t="shared" si="4"/>
        <v>40</v>
      </c>
      <c r="J60" s="11" t="str">
        <f>IFERROR(__xludf.DUMMYFUNCTION("SPARKLINE(F60/G60, {""charttype"",""bar"";""max"",1;""min"",0;""color1"",""green""})"),"")</f>
        <v/>
      </c>
      <c r="K60" s="8">
        <v>70.0</v>
      </c>
      <c r="L60" s="11" t="str">
        <f>IFERROR(__xludf.DUMMYFUNCTION("SPARKLINE(K60, {""charttype"",""bar"";""max"",100;""min"",0;""color1"",""green""})"),"")</f>
        <v/>
      </c>
      <c r="M60" s="8" t="s">
        <v>37</v>
      </c>
      <c r="N60" s="8" t="s">
        <v>28</v>
      </c>
      <c r="O60" s="9"/>
      <c r="P60" s="8">
        <v>58.0</v>
      </c>
      <c r="Q60" s="9" t="str">
        <f>IFERROR(__xludf.DUMMYFUNCTION("SPARKLINE(P60, {""charttype"",""bar"";""max"",100;""min"",0;""color1"",""grey""})"),"")</f>
        <v/>
      </c>
      <c r="R60" s="9"/>
      <c r="S60" s="8">
        <v>30.0</v>
      </c>
      <c r="T60" s="9" t="str">
        <f>IFERROR(__xludf.DUMMYFUNCTION("SPARKLINE(S60, {""charttype"",""bar"";""max"",100;""min"",0;""color1"",""grey""})"),"")</f>
        <v/>
      </c>
      <c r="U60" s="9"/>
      <c r="V60" s="9"/>
      <c r="W60" s="9"/>
      <c r="X60" s="8">
        <v>190.0</v>
      </c>
    </row>
    <row r="61">
      <c r="A61" s="8" t="s">
        <v>123</v>
      </c>
      <c r="B61" s="8" t="s">
        <v>134</v>
      </c>
      <c r="C61" s="8" t="s">
        <v>97</v>
      </c>
      <c r="D61" s="8" t="s">
        <v>26</v>
      </c>
      <c r="E61" s="8" t="str">
        <f t="shared" si="1"/>
        <v>★</v>
      </c>
      <c r="F61" s="9">
        <v>10400.0</v>
      </c>
      <c r="G61" s="8">
        <f t="shared" si="2"/>
        <v>25000</v>
      </c>
      <c r="H61" s="8">
        <f t="shared" si="3"/>
        <v>14600</v>
      </c>
      <c r="I61" s="10">
        <f t="shared" si="4"/>
        <v>41.6</v>
      </c>
      <c r="J61" s="11" t="str">
        <f>IFERROR(__xludf.DUMMYFUNCTION("SPARKLINE(F61/G61, {""charttype"",""bar"";""max"",1;""min"",0;""color1"",""green""})"),"")</f>
        <v/>
      </c>
      <c r="K61" s="8">
        <v>70.0</v>
      </c>
      <c r="L61" s="11" t="str">
        <f>IFERROR(__xludf.DUMMYFUNCTION("SPARKLINE(K61, {""charttype"",""bar"";""max"",100;""min"",0;""color1"",""green""})"),"")</f>
        <v/>
      </c>
      <c r="M61" s="8" t="s">
        <v>37</v>
      </c>
      <c r="N61" s="8" t="s">
        <v>28</v>
      </c>
      <c r="O61" s="9"/>
      <c r="P61" s="8">
        <v>58.0</v>
      </c>
      <c r="Q61" s="9" t="str">
        <f>IFERROR(__xludf.DUMMYFUNCTION("SPARKLINE(P61, {""charttype"",""bar"";""max"",100;""min"",0;""color1"",""grey""})"),"")</f>
        <v/>
      </c>
      <c r="R61" s="9"/>
      <c r="S61" s="8">
        <v>30.0</v>
      </c>
      <c r="T61" s="9" t="str">
        <f>IFERROR(__xludf.DUMMYFUNCTION("SPARKLINE(S61, {""charttype"",""bar"";""max"",100;""min"",0;""color1"",""grey""})"),"")</f>
        <v/>
      </c>
      <c r="U61" s="9"/>
      <c r="V61" s="9"/>
      <c r="W61" s="9"/>
      <c r="X61" s="8">
        <v>200.0</v>
      </c>
    </row>
    <row r="62">
      <c r="A62" s="8" t="s">
        <v>123</v>
      </c>
      <c r="B62" s="8" t="s">
        <v>135</v>
      </c>
      <c r="C62" s="8" t="s">
        <v>44</v>
      </c>
      <c r="D62" s="8" t="s">
        <v>31</v>
      </c>
      <c r="E62" s="8" t="str">
        <f t="shared" si="1"/>
        <v>★</v>
      </c>
      <c r="F62" s="9">
        <v>10255.0</v>
      </c>
      <c r="G62" s="8">
        <f t="shared" si="2"/>
        <v>25000</v>
      </c>
      <c r="H62" s="8">
        <f t="shared" si="3"/>
        <v>14745</v>
      </c>
      <c r="I62" s="10">
        <f t="shared" si="4"/>
        <v>41.02</v>
      </c>
      <c r="J62" s="11" t="str">
        <f>IFERROR(__xludf.DUMMYFUNCTION("SPARKLINE(F62/G62, {""charttype"",""bar"";""max"",1;""min"",0;""color1"",""green""})"),"")</f>
        <v/>
      </c>
      <c r="K62" s="8">
        <v>50.0</v>
      </c>
      <c r="L62" s="11" t="str">
        <f>IFERROR(__xludf.DUMMYFUNCTION("SPARKLINE(K62, {""charttype"",""bar"";""max"",100;""min"",0;""color1"",""green""})"),"")</f>
        <v/>
      </c>
      <c r="M62" s="8" t="s">
        <v>27</v>
      </c>
      <c r="N62" s="8" t="s">
        <v>28</v>
      </c>
      <c r="O62" s="9"/>
      <c r="P62" s="8">
        <v>47.0</v>
      </c>
      <c r="Q62" s="9" t="str">
        <f>IFERROR(__xludf.DUMMYFUNCTION("SPARKLINE(P62, {""charttype"",""bar"";""max"",100;""min"",0;""color1"",""grey""})"),"")</f>
        <v/>
      </c>
      <c r="R62" s="9"/>
      <c r="S62" s="8">
        <v>60.0</v>
      </c>
      <c r="T62" s="9" t="str">
        <f>IFERROR(__xludf.DUMMYFUNCTION("SPARKLINE(S62, {""charttype"",""bar"";""max"",100;""min"",0;""color1"",""grey""})"),"")</f>
        <v/>
      </c>
      <c r="U62" s="9"/>
      <c r="V62" s="9"/>
      <c r="W62" s="9"/>
      <c r="X62" s="8">
        <v>190.0</v>
      </c>
    </row>
    <row r="63">
      <c r="A63" s="8" t="s">
        <v>123</v>
      </c>
      <c r="B63" s="8" t="s">
        <v>136</v>
      </c>
      <c r="C63" s="8" t="s">
        <v>57</v>
      </c>
      <c r="D63" s="8" t="s">
        <v>54</v>
      </c>
      <c r="E63" s="8" t="str">
        <f t="shared" si="1"/>
        <v>★</v>
      </c>
      <c r="F63" s="9">
        <v>10300.0</v>
      </c>
      <c r="G63" s="8">
        <f t="shared" si="2"/>
        <v>25000</v>
      </c>
      <c r="H63" s="8">
        <f t="shared" si="3"/>
        <v>14700</v>
      </c>
      <c r="I63" s="10">
        <f t="shared" si="4"/>
        <v>41.2</v>
      </c>
      <c r="J63" s="11" t="str">
        <f>IFERROR(__xludf.DUMMYFUNCTION("SPARKLINE(F63/G63, {""charttype"",""bar"";""max"",1;""min"",0;""color1"",""green""})"),"")</f>
        <v/>
      </c>
      <c r="K63" s="8">
        <v>82.0</v>
      </c>
      <c r="L63" s="11" t="str">
        <f>IFERROR(__xludf.DUMMYFUNCTION("SPARKLINE(K63, {""charttype"",""bar"";""max"",100;""min"",0;""color1"",""green""})"),"")</f>
        <v/>
      </c>
      <c r="M63" s="8" t="s">
        <v>55</v>
      </c>
      <c r="N63" s="8" t="s">
        <v>28</v>
      </c>
      <c r="O63" s="9"/>
      <c r="P63" s="8">
        <v>35.0</v>
      </c>
      <c r="Q63" s="9" t="str">
        <f>IFERROR(__xludf.DUMMYFUNCTION("SPARKLINE(P63, {""charttype"",""bar"";""max"",100;""min"",0;""color1"",""grey""})"),"")</f>
        <v/>
      </c>
      <c r="R63" s="9"/>
      <c r="S63" s="8">
        <v>30.0</v>
      </c>
      <c r="T63" s="9" t="str">
        <f>IFERROR(__xludf.DUMMYFUNCTION("SPARKLINE(S63, {""charttype"",""bar"";""max"",100;""min"",0;""color1"",""grey""})"),"")</f>
        <v/>
      </c>
      <c r="U63" s="9"/>
      <c r="V63" s="9"/>
      <c r="W63" s="9"/>
      <c r="X63" s="8">
        <v>190.0</v>
      </c>
    </row>
    <row r="64">
      <c r="A64" s="8" t="s">
        <v>123</v>
      </c>
      <c r="B64" s="8" t="s">
        <v>137</v>
      </c>
      <c r="C64" s="8" t="s">
        <v>35</v>
      </c>
      <c r="D64" s="8" t="s">
        <v>110</v>
      </c>
      <c r="E64" s="8" t="str">
        <f t="shared" si="1"/>
        <v>★</v>
      </c>
      <c r="F64" s="9">
        <v>10400.0</v>
      </c>
      <c r="G64" s="8">
        <f t="shared" si="2"/>
        <v>25000</v>
      </c>
      <c r="H64" s="8">
        <f t="shared" si="3"/>
        <v>14600</v>
      </c>
      <c r="I64" s="10">
        <f t="shared" si="4"/>
        <v>41.6</v>
      </c>
      <c r="J64" s="11" t="str">
        <f>IFERROR(__xludf.DUMMYFUNCTION("SPARKLINE(F64/G64, {""charttype"",""bar"";""max"",1;""min"",0;""color1"",""green""})"),"")</f>
        <v/>
      </c>
      <c r="K64" s="8">
        <v>62.0</v>
      </c>
      <c r="L64" s="11" t="str">
        <f>IFERROR(__xludf.DUMMYFUNCTION("SPARKLINE(K64, {""charttype"",""bar"";""max"",100;""min"",0;""color1"",""green""})"),"")</f>
        <v/>
      </c>
      <c r="M64" s="8" t="s">
        <v>27</v>
      </c>
      <c r="N64" s="8" t="s">
        <v>28</v>
      </c>
      <c r="O64" s="9"/>
      <c r="P64" s="8">
        <v>25.0</v>
      </c>
      <c r="Q64" s="9" t="str">
        <f>IFERROR(__xludf.DUMMYFUNCTION("SPARKLINE(P64, {""charttype"",""bar"";""max"",100;""min"",0;""color1"",""grey""})"),"")</f>
        <v/>
      </c>
      <c r="R64" s="9"/>
      <c r="S64" s="8">
        <v>65.0</v>
      </c>
      <c r="T64" s="9" t="str">
        <f>IFERROR(__xludf.DUMMYFUNCTION("SPARKLINE(S64, {""charttype"",""bar"";""max"",100;""min"",0;""color1"",""grey""})"),"")</f>
        <v/>
      </c>
      <c r="U64" s="9"/>
      <c r="V64" s="9"/>
      <c r="W64" s="9"/>
      <c r="X64" s="8">
        <v>200.0</v>
      </c>
    </row>
    <row r="65">
      <c r="A65" s="8" t="s">
        <v>123</v>
      </c>
      <c r="B65" s="8" t="s">
        <v>138</v>
      </c>
      <c r="C65" s="8" t="s">
        <v>116</v>
      </c>
      <c r="D65" s="8" t="s">
        <v>42</v>
      </c>
      <c r="E65" s="8" t="str">
        <f t="shared" si="1"/>
        <v>★</v>
      </c>
      <c r="F65" s="9">
        <v>10000.0</v>
      </c>
      <c r="G65" s="8">
        <f t="shared" si="2"/>
        <v>25000</v>
      </c>
      <c r="H65" s="8">
        <f t="shared" si="3"/>
        <v>15000</v>
      </c>
      <c r="I65" s="10">
        <f t="shared" si="4"/>
        <v>40</v>
      </c>
      <c r="J65" s="11" t="str">
        <f>IFERROR(__xludf.DUMMYFUNCTION("SPARKLINE(F65/G65, {""charttype"",""bar"";""max"",1;""min"",0;""color1"",""green""})"),"")</f>
        <v/>
      </c>
      <c r="K65" s="8">
        <v>62.0</v>
      </c>
      <c r="L65" s="11" t="str">
        <f>IFERROR(__xludf.DUMMYFUNCTION("SPARKLINE(K65, {""charttype"",""bar"";""max"",100;""min"",0;""color1"",""green""})"),"")</f>
        <v/>
      </c>
      <c r="M65" s="8" t="s">
        <v>27</v>
      </c>
      <c r="N65" s="8" t="s">
        <v>28</v>
      </c>
      <c r="O65" s="9"/>
      <c r="P65" s="8">
        <v>25.0</v>
      </c>
      <c r="Q65" s="9" t="str">
        <f>IFERROR(__xludf.DUMMYFUNCTION("SPARKLINE(P65, {""charttype"",""bar"";""max"",100;""min"",0;""color1"",""grey""})"),"")</f>
        <v/>
      </c>
      <c r="R65" s="9"/>
      <c r="S65" s="8">
        <v>65.0</v>
      </c>
      <c r="T65" s="9" t="str">
        <f>IFERROR(__xludf.DUMMYFUNCTION("SPARKLINE(S65, {""charttype"",""bar"";""max"",100;""min"",0;""color1"",""grey""})"),"")</f>
        <v/>
      </c>
      <c r="U65" s="9"/>
      <c r="V65" s="9"/>
      <c r="W65" s="9"/>
      <c r="X65" s="8">
        <v>200.0</v>
      </c>
    </row>
    <row r="66">
      <c r="A66" s="8" t="s">
        <v>123</v>
      </c>
      <c r="B66" s="8" t="s">
        <v>139</v>
      </c>
      <c r="C66" s="8" t="s">
        <v>44</v>
      </c>
      <c r="D66" s="8" t="s">
        <v>93</v>
      </c>
      <c r="E66" s="8" t="str">
        <f t="shared" si="1"/>
        <v>★★★</v>
      </c>
      <c r="F66" s="9">
        <v>64320.0</v>
      </c>
      <c r="G66" s="8">
        <f t="shared" si="2"/>
        <v>160000</v>
      </c>
      <c r="H66" s="8">
        <f t="shared" si="3"/>
        <v>95680</v>
      </c>
      <c r="I66" s="10">
        <f t="shared" si="4"/>
        <v>40.2</v>
      </c>
      <c r="J66" s="11" t="str">
        <f>IFERROR(__xludf.DUMMYFUNCTION("SPARKLINE(F66/G66, {""charttype"",""bar"";""max"",1;""min"",0;""color1"",""green""})"),"")</f>
        <v/>
      </c>
      <c r="K66" s="8">
        <v>50.0</v>
      </c>
      <c r="L66" s="11" t="str">
        <f>IFERROR(__xludf.DUMMYFUNCTION("SPARKLINE(K66, {""charttype"",""bar"";""max"",100;""min"",0;""color1"",""green""})"),"")</f>
        <v/>
      </c>
      <c r="M66" s="8" t="s">
        <v>37</v>
      </c>
      <c r="N66" s="8" t="s">
        <v>33</v>
      </c>
      <c r="O66" s="9"/>
      <c r="P66" s="8">
        <v>28.0</v>
      </c>
      <c r="Q66" s="9" t="str">
        <f>IFERROR(__xludf.DUMMYFUNCTION("SPARKLINE(P66, {""charttype"",""bar"";""max"",100;""min"",0;""color1"",""grey""})"),"")</f>
        <v/>
      </c>
      <c r="R66" s="9"/>
      <c r="S66" s="8">
        <v>75.0</v>
      </c>
      <c r="T66" s="9" t="str">
        <f>IFERROR(__xludf.DUMMYFUNCTION("SPARKLINE(S66, {""charttype"",""bar"";""max"",100;""min"",0;""color1"",""grey""})"),"")</f>
        <v/>
      </c>
      <c r="U66" s="9"/>
      <c r="V66" s="9"/>
      <c r="W66" s="9"/>
      <c r="X66" s="8">
        <v>180.0</v>
      </c>
    </row>
    <row r="67">
      <c r="A67" s="8" t="s">
        <v>123</v>
      </c>
      <c r="B67" s="8" t="s">
        <v>140</v>
      </c>
      <c r="C67" s="8" t="s">
        <v>25</v>
      </c>
      <c r="D67" s="8" t="s">
        <v>36</v>
      </c>
      <c r="E67" s="8" t="str">
        <f t="shared" si="1"/>
        <v>★★★</v>
      </c>
      <c r="F67" s="8">
        <v>60270.0</v>
      </c>
      <c r="G67" s="8">
        <f t="shared" si="2"/>
        <v>160000</v>
      </c>
      <c r="H67" s="8">
        <f t="shared" si="3"/>
        <v>99730</v>
      </c>
      <c r="I67" s="10">
        <f t="shared" si="4"/>
        <v>37.66875</v>
      </c>
      <c r="J67" s="11" t="str">
        <f>IFERROR(__xludf.DUMMYFUNCTION("SPARKLINE(F67/G67, {""charttype"",""bar"";""max"",1;""min"",0;""color1"",""green""})"),"")</f>
        <v/>
      </c>
      <c r="K67" s="8">
        <v>50.0</v>
      </c>
      <c r="L67" s="11" t="str">
        <f>IFERROR(__xludf.DUMMYFUNCTION("SPARKLINE(K67, {""charttype"",""bar"";""max"",100;""min"",0;""color1"",""green""})"),"")</f>
        <v/>
      </c>
      <c r="M67" s="8" t="s">
        <v>37</v>
      </c>
      <c r="N67" s="8" t="s">
        <v>33</v>
      </c>
      <c r="O67" s="9"/>
      <c r="P67" s="8">
        <v>28.0</v>
      </c>
      <c r="Q67" s="9" t="str">
        <f>IFERROR(__xludf.DUMMYFUNCTION("SPARKLINE(P67, {""charttype"",""bar"";""max"",100;""min"",0;""color1"",""grey""})"),"")</f>
        <v/>
      </c>
      <c r="R67" s="9"/>
      <c r="S67" s="8">
        <v>75.0</v>
      </c>
      <c r="T67" s="9" t="str">
        <f>IFERROR(__xludf.DUMMYFUNCTION("SPARKLINE(S67, {""charttype"",""bar"";""max"",100;""min"",0;""color1"",""grey""})"),"")</f>
        <v/>
      </c>
      <c r="U67" s="9"/>
      <c r="V67" s="9"/>
      <c r="W67" s="9"/>
      <c r="X67" s="8">
        <v>180.0</v>
      </c>
    </row>
    <row r="68">
      <c r="A68" s="8" t="s">
        <v>123</v>
      </c>
      <c r="B68" s="8" t="s">
        <v>141</v>
      </c>
      <c r="C68" s="8" t="s">
        <v>44</v>
      </c>
      <c r="D68" s="8" t="s">
        <v>48</v>
      </c>
      <c r="E68" s="8" t="str">
        <f t="shared" si="1"/>
        <v>★★★★</v>
      </c>
      <c r="F68" s="9">
        <v>246220.0</v>
      </c>
      <c r="G68" s="8">
        <f t="shared" si="2"/>
        <v>1160000</v>
      </c>
      <c r="H68" s="8">
        <f t="shared" si="3"/>
        <v>913780</v>
      </c>
      <c r="I68" s="10">
        <f t="shared" si="4"/>
        <v>21.22586207</v>
      </c>
      <c r="J68" s="11" t="str">
        <f>IFERROR(__xludf.DUMMYFUNCTION("SPARKLINE(F68/G68, {""charttype"",""bar"";""max"",1;""min"",0;""color1"",""green""})"),"")</f>
        <v/>
      </c>
      <c r="K68" s="8">
        <v>42.0</v>
      </c>
      <c r="L68" s="11" t="str">
        <f>IFERROR(__xludf.DUMMYFUNCTION("SPARKLINE(K68, {""charttype"",""bar"";""max"",100;""min"",0;""color1"",""green""})"),"")</f>
        <v/>
      </c>
      <c r="M68" s="8" t="s">
        <v>37</v>
      </c>
      <c r="N68" s="8" t="s">
        <v>33</v>
      </c>
      <c r="O68" s="9"/>
      <c r="P68" s="8">
        <v>28.0</v>
      </c>
      <c r="Q68" s="9" t="str">
        <f>IFERROR(__xludf.DUMMYFUNCTION("SPARKLINE(P68, {""charttype"",""bar"";""max"",100;""min"",0;""color1"",""grey""})"),"")</f>
        <v/>
      </c>
      <c r="R68" s="9"/>
      <c r="S68" s="8">
        <v>75.0</v>
      </c>
      <c r="T68" s="9" t="str">
        <f>IFERROR(__xludf.DUMMYFUNCTION("SPARKLINE(S68, {""charttype"",""bar"";""max"",100;""min"",0;""color1"",""grey""})"),"")</f>
        <v/>
      </c>
      <c r="U68" s="9"/>
      <c r="V68" s="9"/>
      <c r="W68" s="9"/>
      <c r="X68" s="8">
        <v>210.0</v>
      </c>
    </row>
    <row r="69">
      <c r="A69" s="8" t="s">
        <v>123</v>
      </c>
      <c r="B69" s="8" t="s">
        <v>142</v>
      </c>
      <c r="C69" s="8" t="s">
        <v>68</v>
      </c>
      <c r="D69" s="8" t="s">
        <v>58</v>
      </c>
      <c r="E69" s="8" t="str">
        <f t="shared" si="1"/>
        <v>★</v>
      </c>
      <c r="F69" s="9">
        <v>10200.0</v>
      </c>
      <c r="G69" s="8">
        <f t="shared" si="2"/>
        <v>25000</v>
      </c>
      <c r="H69" s="8">
        <f t="shared" si="3"/>
        <v>14800</v>
      </c>
      <c r="I69" s="10">
        <f t="shared" si="4"/>
        <v>40.8</v>
      </c>
      <c r="J69" s="11" t="str">
        <f>IFERROR(__xludf.DUMMYFUNCTION("SPARKLINE(F69/G69, {""charttype"",""bar"";""max"",1;""min"",0;""color1"",""green""})"),"")</f>
        <v/>
      </c>
      <c r="K69" s="8">
        <v>12.0</v>
      </c>
      <c r="L69" s="11" t="str">
        <f>IFERROR(__xludf.DUMMYFUNCTION("SPARKLINE(K69, {""charttype"",""bar"";""max"",100;""min"",0;""color1"",""green""})"),"")</f>
        <v/>
      </c>
      <c r="M69" s="8" t="s">
        <v>37</v>
      </c>
      <c r="N69" s="8" t="s">
        <v>33</v>
      </c>
      <c r="O69" s="9"/>
      <c r="P69" s="8">
        <v>52.0</v>
      </c>
      <c r="Q69" s="9" t="str">
        <f>IFERROR(__xludf.DUMMYFUNCTION("SPARKLINE(P69, {""charttype"",""bar"";""max"",100;""min"",0;""color1"",""grey""})"),"")</f>
        <v/>
      </c>
      <c r="R69" s="9"/>
      <c r="S69" s="8">
        <v>75.0</v>
      </c>
      <c r="T69" s="9" t="str">
        <f>IFERROR(__xludf.DUMMYFUNCTION("SPARKLINE(S69, {""charttype"",""bar"";""max"",100;""min"",0;""color1"",""grey""})"),"")</f>
        <v/>
      </c>
      <c r="U69" s="9"/>
      <c r="V69" s="9"/>
      <c r="W69" s="9"/>
      <c r="X69" s="8">
        <v>180.0</v>
      </c>
    </row>
    <row r="70">
      <c r="A70" s="8" t="s">
        <v>123</v>
      </c>
      <c r="B70" s="8" t="s">
        <v>143</v>
      </c>
      <c r="C70" s="8" t="s">
        <v>116</v>
      </c>
      <c r="D70" s="8" t="s">
        <v>110</v>
      </c>
      <c r="E70" s="8" t="str">
        <f t="shared" si="1"/>
        <v>★★★</v>
      </c>
      <c r="F70" s="8">
        <v>107930.0</v>
      </c>
      <c r="G70" s="8">
        <f t="shared" si="2"/>
        <v>160000</v>
      </c>
      <c r="H70" s="8">
        <f t="shared" si="3"/>
        <v>52070</v>
      </c>
      <c r="I70" s="10">
        <f t="shared" si="4"/>
        <v>67.45625</v>
      </c>
      <c r="J70" s="11" t="str">
        <f>IFERROR(__xludf.DUMMYFUNCTION("SPARKLINE(F70/G70, {""charttype"",""bar"";""max"",1;""min"",0;""color1"",""green""})"),"")</f>
        <v/>
      </c>
      <c r="K70" s="8">
        <v>42.0</v>
      </c>
      <c r="L70" s="11" t="str">
        <f>IFERROR(__xludf.DUMMYFUNCTION("SPARKLINE(K70, {""charttype"",""bar"";""max"",100;""min"",0;""color1"",""green""})"),"")</f>
        <v/>
      </c>
      <c r="M70" s="8" t="s">
        <v>37</v>
      </c>
      <c r="N70" s="8" t="s">
        <v>33</v>
      </c>
      <c r="O70" s="9"/>
      <c r="P70" s="8">
        <v>28.0</v>
      </c>
      <c r="Q70" s="9" t="str">
        <f>IFERROR(__xludf.DUMMYFUNCTION("SPARKLINE(P70, {""charttype"",""bar"";""max"",100;""min"",0;""color1"",""grey""})"),"")</f>
        <v/>
      </c>
      <c r="R70" s="9"/>
      <c r="S70" s="8">
        <v>75.0</v>
      </c>
      <c r="T70" s="9" t="str">
        <f>IFERROR(__xludf.DUMMYFUNCTION("SPARKLINE(S70, {""charttype"",""bar"";""max"",100;""min"",0;""color1"",""grey""})"),"")</f>
        <v/>
      </c>
      <c r="U70" s="9"/>
      <c r="V70" s="9"/>
      <c r="W70" s="9"/>
      <c r="X70" s="8">
        <v>200.0</v>
      </c>
    </row>
    <row r="71">
      <c r="A71" s="8" t="s">
        <v>123</v>
      </c>
      <c r="B71" s="8" t="s">
        <v>144</v>
      </c>
      <c r="C71" s="8" t="s">
        <v>44</v>
      </c>
      <c r="D71" s="8" t="s">
        <v>31</v>
      </c>
      <c r="E71" s="8" t="str">
        <f t="shared" si="1"/>
        <v>★★★★</v>
      </c>
      <c r="F71" s="8">
        <v>163410.0</v>
      </c>
      <c r="G71" s="8">
        <f t="shared" si="2"/>
        <v>1160000</v>
      </c>
      <c r="H71" s="8">
        <f t="shared" si="3"/>
        <v>996590</v>
      </c>
      <c r="I71" s="10">
        <f t="shared" si="4"/>
        <v>14.08706897</v>
      </c>
      <c r="J71" s="11" t="str">
        <f>IFERROR(__xludf.DUMMYFUNCTION("SPARKLINE(F71/G71, {""charttype"",""bar"";""max"",1;""min"",0;""color1"",""green""})"),"")</f>
        <v/>
      </c>
      <c r="K71" s="8">
        <v>50.0</v>
      </c>
      <c r="L71" s="11" t="str">
        <f>IFERROR(__xludf.DUMMYFUNCTION("SPARKLINE(K71, {""charttype"",""bar"";""max"",100;""min"",0;""color1"",""green""})"),"")</f>
        <v/>
      </c>
      <c r="M71" s="8" t="s">
        <v>27</v>
      </c>
      <c r="N71" s="8" t="s">
        <v>28</v>
      </c>
      <c r="O71" s="9"/>
      <c r="P71" s="8">
        <v>47.0</v>
      </c>
      <c r="Q71" s="9" t="str">
        <f>IFERROR(__xludf.DUMMYFUNCTION("SPARKLINE(P71, {""charttype"",""bar"";""max"",100;""min"",0;""color1"",""grey""})"),"")</f>
        <v/>
      </c>
      <c r="R71" s="9"/>
      <c r="S71" s="8">
        <v>60.0</v>
      </c>
      <c r="T71" s="9" t="str">
        <f>IFERROR(__xludf.DUMMYFUNCTION("SPARKLINE(S71, {""charttype"",""bar"";""max"",100;""min"",0;""color1"",""grey""})"),"")</f>
        <v/>
      </c>
      <c r="U71" s="9"/>
      <c r="V71" s="9"/>
      <c r="W71" s="9"/>
      <c r="X71" s="8">
        <v>190.0</v>
      </c>
    </row>
    <row r="72">
      <c r="A72" s="8" t="s">
        <v>123</v>
      </c>
      <c r="B72" s="8" t="s">
        <v>145</v>
      </c>
      <c r="C72" s="8" t="s">
        <v>30</v>
      </c>
      <c r="D72" s="8" t="s">
        <v>26</v>
      </c>
      <c r="E72" s="8" t="str">
        <f t="shared" si="1"/>
        <v>★★★★★</v>
      </c>
      <c r="F72" s="8">
        <v>1160000.0</v>
      </c>
      <c r="G72" s="8">
        <f t="shared" si="2"/>
        <v>1160000</v>
      </c>
      <c r="H72" s="8">
        <f t="shared" si="3"/>
        <v>0</v>
      </c>
      <c r="I72" s="12" t="s">
        <v>146</v>
      </c>
      <c r="J72" s="11"/>
      <c r="K72" s="8">
        <v>35.0</v>
      </c>
      <c r="L72" s="11" t="str">
        <f>IFERROR(__xludf.DUMMYFUNCTION("SPARKLINE(K72, {""charttype"",""bar"";""max"",100;""min"",0;""color1"",""green""})"),"")</f>
        <v/>
      </c>
      <c r="M72" s="8" t="s">
        <v>66</v>
      </c>
      <c r="N72" s="8" t="s">
        <v>33</v>
      </c>
      <c r="O72" s="9"/>
      <c r="P72" s="8">
        <v>22.0</v>
      </c>
      <c r="Q72" s="9" t="str">
        <f>IFERROR(__xludf.DUMMYFUNCTION("SPARKLINE(P72, {""charttype"",""bar"";""max"",100;""min"",0;""color1"",""grey""})"),"")</f>
        <v/>
      </c>
      <c r="R72" s="9"/>
      <c r="S72" s="8">
        <v>75.0</v>
      </c>
      <c r="T72" s="9" t="str">
        <f>IFERROR(__xludf.DUMMYFUNCTION("SPARKLINE(S72, {""charttype"",""bar"";""max"",100;""min"",0;""color1"",""grey""})"),"")</f>
        <v/>
      </c>
      <c r="U72" s="9"/>
      <c r="V72" s="9"/>
      <c r="W72" s="9"/>
      <c r="X72" s="8">
        <v>180.0</v>
      </c>
    </row>
    <row r="73">
      <c r="A73" s="8" t="s">
        <v>123</v>
      </c>
      <c r="B73" s="8" t="s">
        <v>147</v>
      </c>
      <c r="C73" s="8" t="s">
        <v>85</v>
      </c>
      <c r="D73" s="8" t="s">
        <v>58</v>
      </c>
      <c r="E73" s="8" t="str">
        <f t="shared" si="1"/>
        <v>★</v>
      </c>
      <c r="F73" s="9">
        <v>12010.0</v>
      </c>
      <c r="G73" s="8">
        <f t="shared" si="2"/>
        <v>25000</v>
      </c>
      <c r="H73" s="8">
        <f t="shared" si="3"/>
        <v>12990</v>
      </c>
      <c r="I73" s="10">
        <f t="shared" ref="I73:I77" si="5">F73*100/G73</f>
        <v>48.04</v>
      </c>
      <c r="J73" s="11" t="str">
        <f>IFERROR(__xludf.DUMMYFUNCTION("SPARKLINE(F73/G73, {""charttype"",""bar"";""max"",1;""min"",0;""color1"",""green""})"),"")</f>
        <v/>
      </c>
      <c r="K73" s="8">
        <v>68.0</v>
      </c>
      <c r="L73" s="11" t="str">
        <f>IFERROR(__xludf.DUMMYFUNCTION("SPARKLINE(K73, {""charttype"",""bar"";""max"",100;""min"",0;""color1"",""green""})"),"")</f>
        <v/>
      </c>
      <c r="M73" s="8" t="s">
        <v>66</v>
      </c>
      <c r="N73" s="8" t="s">
        <v>28</v>
      </c>
      <c r="O73" s="9"/>
      <c r="P73" s="8">
        <v>20.0</v>
      </c>
      <c r="Q73" s="9" t="str">
        <f>IFERROR(__xludf.DUMMYFUNCTION("SPARKLINE(P73, {""charttype"",""bar"";""max"",100;""min"",0;""color1"",""grey""})"),"")</f>
        <v/>
      </c>
      <c r="R73" s="9"/>
      <c r="S73" s="8">
        <v>60.0</v>
      </c>
      <c r="T73" s="9" t="str">
        <f>IFERROR(__xludf.DUMMYFUNCTION("SPARKLINE(S73, {""charttype"",""bar"";""max"",100;""min"",0;""color1"",""grey""})"),"")</f>
        <v/>
      </c>
      <c r="U73" s="9"/>
      <c r="V73" s="9"/>
      <c r="W73" s="9"/>
      <c r="X73" s="8">
        <v>190.0</v>
      </c>
    </row>
    <row r="74">
      <c r="A74" s="8" t="s">
        <v>123</v>
      </c>
      <c r="B74" s="8" t="s">
        <v>148</v>
      </c>
      <c r="C74" s="8" t="s">
        <v>57</v>
      </c>
      <c r="D74" s="8" t="s">
        <v>110</v>
      </c>
      <c r="E74" s="8" t="str">
        <f t="shared" si="1"/>
        <v>★</v>
      </c>
      <c r="F74" s="9">
        <v>10060.0</v>
      </c>
      <c r="G74" s="8">
        <f t="shared" si="2"/>
        <v>25000</v>
      </c>
      <c r="H74" s="8">
        <f t="shared" si="3"/>
        <v>14940</v>
      </c>
      <c r="I74" s="10">
        <f t="shared" si="5"/>
        <v>40.24</v>
      </c>
      <c r="J74" s="11" t="str">
        <f>IFERROR(__xludf.DUMMYFUNCTION("SPARKLINE(F74/G74, {""charttype"",""bar"";""max"",1;""min"",0;""color1"",""green""})"),"")</f>
        <v/>
      </c>
      <c r="K74" s="8">
        <v>70.0</v>
      </c>
      <c r="L74" s="11" t="str">
        <f>IFERROR(__xludf.DUMMYFUNCTION("SPARKLINE(K74, {""charttype"",""bar"";""max"",100;""min"",0;""color1"",""green""})"),"")</f>
        <v/>
      </c>
      <c r="M74" s="8" t="s">
        <v>27</v>
      </c>
      <c r="N74" s="8" t="s">
        <v>28</v>
      </c>
      <c r="O74" s="9"/>
      <c r="P74" s="8">
        <v>60.0</v>
      </c>
      <c r="Q74" s="9" t="str">
        <f>IFERROR(__xludf.DUMMYFUNCTION("SPARKLINE(P74, {""charttype"",""bar"";""max"",100;""min"",0;""color1"",""grey""})"),"")</f>
        <v/>
      </c>
      <c r="R74" s="9"/>
      <c r="S74" s="8">
        <v>30.0</v>
      </c>
      <c r="T74" s="9" t="str">
        <f>IFERROR(__xludf.DUMMYFUNCTION("SPARKLINE(S74, {""charttype"",""bar"";""max"",100;""min"",0;""color1"",""grey""})"),"")</f>
        <v/>
      </c>
      <c r="U74" s="9"/>
      <c r="V74" s="9"/>
      <c r="W74" s="9"/>
      <c r="X74" s="8">
        <v>180.0</v>
      </c>
    </row>
    <row r="75">
      <c r="A75" s="8" t="s">
        <v>123</v>
      </c>
      <c r="B75" s="8" t="s">
        <v>149</v>
      </c>
      <c r="C75" s="8" t="s">
        <v>35</v>
      </c>
      <c r="D75" s="8" t="s">
        <v>42</v>
      </c>
      <c r="E75" s="8" t="str">
        <f t="shared" si="1"/>
        <v>★</v>
      </c>
      <c r="F75" s="9">
        <v>10200.0</v>
      </c>
      <c r="G75" s="8">
        <f t="shared" si="2"/>
        <v>25000</v>
      </c>
      <c r="H75" s="8">
        <f t="shared" si="3"/>
        <v>14800</v>
      </c>
      <c r="I75" s="10">
        <f t="shared" si="5"/>
        <v>40.8</v>
      </c>
      <c r="J75" s="11" t="str">
        <f>IFERROR(__xludf.DUMMYFUNCTION("SPARKLINE(F75/G75, {""charttype"",""bar"";""max"",1;""min"",0;""color1"",""green""})"),"")</f>
        <v/>
      </c>
      <c r="K75" s="8">
        <v>12.0</v>
      </c>
      <c r="L75" s="11" t="str">
        <f>IFERROR(__xludf.DUMMYFUNCTION("SPARKLINE(K75, {""charttype"",""bar"";""max"",100;""min"",0;""color1"",""green""})"),"")</f>
        <v/>
      </c>
      <c r="M75" s="8" t="s">
        <v>27</v>
      </c>
      <c r="N75" s="8" t="s">
        <v>33</v>
      </c>
      <c r="O75" s="9"/>
      <c r="P75" s="8">
        <v>52.0</v>
      </c>
      <c r="Q75" s="9" t="str">
        <f>IFERROR(__xludf.DUMMYFUNCTION("SPARKLINE(P75, {""charttype"",""bar"";""max"",100;""min"",0;""color1"",""grey""})"),"")</f>
        <v/>
      </c>
      <c r="R75" s="9"/>
      <c r="S75" s="8">
        <v>75.0</v>
      </c>
      <c r="T75" s="9" t="str">
        <f>IFERROR(__xludf.DUMMYFUNCTION("SPARKLINE(S75, {""charttype"",""bar"";""max"",100;""min"",0;""color1"",""grey""})"),"")</f>
        <v/>
      </c>
      <c r="U75" s="9"/>
      <c r="V75" s="9"/>
      <c r="W75" s="9"/>
      <c r="X75" s="8">
        <v>180.0</v>
      </c>
    </row>
    <row r="76">
      <c r="A76" s="8" t="s">
        <v>123</v>
      </c>
      <c r="B76" s="8" t="s">
        <v>150</v>
      </c>
      <c r="C76" s="8" t="s">
        <v>97</v>
      </c>
      <c r="D76" s="8" t="s">
        <v>31</v>
      </c>
      <c r="E76" s="8" t="str">
        <f t="shared" si="1"/>
        <v>★</v>
      </c>
      <c r="F76" s="9">
        <v>11000.0</v>
      </c>
      <c r="G76" s="8">
        <f t="shared" si="2"/>
        <v>25000</v>
      </c>
      <c r="H76" s="8">
        <f t="shared" si="3"/>
        <v>14000</v>
      </c>
      <c r="I76" s="10">
        <f t="shared" si="5"/>
        <v>44</v>
      </c>
      <c r="J76" s="11" t="str">
        <f>IFERROR(__xludf.DUMMYFUNCTION("SPARKLINE(F76/G76, {""charttype"",""bar"";""max"",1;""min"",0;""color1"",""green""})"),"")</f>
        <v/>
      </c>
      <c r="K76" s="8">
        <v>77.0</v>
      </c>
      <c r="L76" s="11" t="str">
        <f>IFERROR(__xludf.DUMMYFUNCTION("SPARKLINE(K76, {""charttype"",""bar"";""max"",100;""min"",0;""color1"",""green""})"),"")</f>
        <v/>
      </c>
      <c r="M76" s="8" t="s">
        <v>32</v>
      </c>
      <c r="N76" s="8" t="s">
        <v>28</v>
      </c>
      <c r="O76" s="9"/>
      <c r="P76" s="8">
        <v>52.0</v>
      </c>
      <c r="Q76" s="9" t="str">
        <f>IFERROR(__xludf.DUMMYFUNCTION("SPARKLINE(P76, {""charttype"",""bar"";""max"",100;""min"",0;""color1"",""grey""})"),"")</f>
        <v/>
      </c>
      <c r="R76" s="9"/>
      <c r="S76" s="8">
        <v>30.0</v>
      </c>
      <c r="T76" s="9" t="str">
        <f>IFERROR(__xludf.DUMMYFUNCTION("SPARKLINE(S76, {""charttype"",""bar"";""max"",100;""min"",0;""color1"",""grey""})"),"")</f>
        <v/>
      </c>
      <c r="U76" s="9"/>
      <c r="V76" s="9"/>
      <c r="W76" s="9"/>
      <c r="X76" s="8">
        <v>200.0</v>
      </c>
    </row>
    <row r="77">
      <c r="A77" s="8" t="s">
        <v>123</v>
      </c>
      <c r="B77" s="8" t="s">
        <v>151</v>
      </c>
      <c r="C77" s="8" t="s">
        <v>30</v>
      </c>
      <c r="D77" s="8" t="s">
        <v>48</v>
      </c>
      <c r="E77" s="8" t="str">
        <f t="shared" si="1"/>
        <v>★★★★</v>
      </c>
      <c r="F77" s="9">
        <v>161055.0</v>
      </c>
      <c r="G77" s="8">
        <f t="shared" si="2"/>
        <v>1160000</v>
      </c>
      <c r="H77" s="8">
        <f t="shared" si="3"/>
        <v>998945</v>
      </c>
      <c r="I77" s="10">
        <f t="shared" si="5"/>
        <v>13.88405172</v>
      </c>
      <c r="J77" s="11" t="str">
        <f>IFERROR(__xludf.DUMMYFUNCTION("SPARKLINE(F77/G77, {""charttype"",""bar"";""max"",1;""min"",0;""color1"",""green""})"),"")</f>
        <v/>
      </c>
      <c r="K77" s="8">
        <v>50.0</v>
      </c>
      <c r="L77" s="11" t="str">
        <f>IFERROR(__xludf.DUMMYFUNCTION("SPARKLINE(K77, {""charttype"",""bar"";""max"",100;""min"",0;""color1"",""green""})"),"")</f>
        <v/>
      </c>
      <c r="M77" s="8" t="s">
        <v>27</v>
      </c>
      <c r="N77" s="8" t="s">
        <v>28</v>
      </c>
      <c r="O77" s="9"/>
      <c r="P77" s="8">
        <v>47.0</v>
      </c>
      <c r="Q77" s="9" t="str">
        <f>IFERROR(__xludf.DUMMYFUNCTION("SPARKLINE(P77, {""charttype"",""bar"";""max"",100;""min"",0;""color1"",""grey""})"),"")</f>
        <v/>
      </c>
      <c r="R77" s="9"/>
      <c r="S77" s="8">
        <v>60.0</v>
      </c>
      <c r="T77" s="9" t="str">
        <f>IFERROR(__xludf.DUMMYFUNCTION("SPARKLINE(S77, {""charttype"",""bar"";""max"",100;""min"",0;""color1"",""grey""})"),"")</f>
        <v/>
      </c>
      <c r="U77" s="9"/>
      <c r="V77" s="9"/>
      <c r="W77" s="9"/>
      <c r="X77" s="8">
        <v>190.0</v>
      </c>
    </row>
    <row r="78">
      <c r="A78" s="8" t="s">
        <v>152</v>
      </c>
      <c r="B78" s="8" t="s">
        <v>153</v>
      </c>
      <c r="C78" s="8" t="s">
        <v>60</v>
      </c>
      <c r="D78" s="8" t="s">
        <v>78</v>
      </c>
      <c r="E78" s="8" t="str">
        <f t="shared" si="1"/>
        <v>★★★★★</v>
      </c>
      <c r="F78" s="8">
        <v>1160000.0</v>
      </c>
      <c r="G78" s="8">
        <f t="shared" si="2"/>
        <v>1160000</v>
      </c>
      <c r="H78" s="8">
        <f t="shared" si="3"/>
        <v>0</v>
      </c>
      <c r="I78" s="12" t="s">
        <v>146</v>
      </c>
      <c r="J78" s="11"/>
      <c r="K78" s="8">
        <v>85.0</v>
      </c>
      <c r="L78" s="11" t="str">
        <f>IFERROR(__xludf.DUMMYFUNCTION("SPARKLINE(K78, {""charttype"",""bar"";""max"",100;""min"",0;""color1"",""green""})"),"")</f>
        <v/>
      </c>
      <c r="M78" s="8" t="s">
        <v>55</v>
      </c>
      <c r="N78" s="8" t="s">
        <v>28</v>
      </c>
      <c r="O78" s="9"/>
      <c r="P78" s="8">
        <v>29.0</v>
      </c>
      <c r="Q78" s="9" t="str">
        <f>IFERROR(__xludf.DUMMYFUNCTION("SPARKLINE(P78, {""charttype"",""bar"";""max"",100;""min"",0;""color1"",""grey""})"),"")</f>
        <v/>
      </c>
      <c r="R78" s="9"/>
      <c r="S78" s="9"/>
      <c r="T78" s="9"/>
      <c r="U78" s="8">
        <v>50.0</v>
      </c>
      <c r="V78" s="9" t="str">
        <f>IFERROR(__xludf.DUMMYFUNCTION("SPARKLINE(U78, {""charttype"",""bar"";""max"",100;""min"",0;""color1"",""grey""})"),"")</f>
        <v/>
      </c>
      <c r="W78" s="9"/>
      <c r="X78" s="8">
        <v>190.0</v>
      </c>
    </row>
    <row r="79">
      <c r="A79" s="8" t="s">
        <v>152</v>
      </c>
      <c r="B79" s="8" t="s">
        <v>154</v>
      </c>
      <c r="C79" s="8" t="s">
        <v>57</v>
      </c>
      <c r="D79" s="8" t="s">
        <v>121</v>
      </c>
      <c r="E79" s="8" t="str">
        <f t="shared" si="1"/>
        <v>★★★★</v>
      </c>
      <c r="F79" s="8">
        <v>161885.0</v>
      </c>
      <c r="G79" s="8">
        <f t="shared" si="2"/>
        <v>1160000</v>
      </c>
      <c r="H79" s="8">
        <f t="shared" si="3"/>
        <v>998115</v>
      </c>
      <c r="I79" s="10">
        <f t="shared" ref="I79:I83" si="6">F79*100/G79</f>
        <v>13.95560345</v>
      </c>
      <c r="J79" s="11" t="str">
        <f>IFERROR(__xludf.DUMMYFUNCTION("SPARKLINE(F79/G79, {""charttype"",""bar"";""max"",1;""min"",0;""color1"",""green""})"),"")</f>
        <v/>
      </c>
      <c r="K79" s="8">
        <v>85.0</v>
      </c>
      <c r="L79" s="11" t="str">
        <f>IFERROR(__xludf.DUMMYFUNCTION("SPARKLINE(K79, {""charttype"",""bar"";""max"",100;""min"",0;""color1"",""green""})"),"")</f>
        <v/>
      </c>
      <c r="M79" s="8" t="s">
        <v>55</v>
      </c>
      <c r="N79" s="8" t="s">
        <v>28</v>
      </c>
      <c r="O79" s="9"/>
      <c r="P79" s="8">
        <v>29.0</v>
      </c>
      <c r="Q79" s="9" t="str">
        <f>IFERROR(__xludf.DUMMYFUNCTION("SPARKLINE(P79, {""charttype"",""bar"";""max"",100;""min"",0;""color1"",""grey""})"),"")</f>
        <v/>
      </c>
      <c r="R79" s="9"/>
      <c r="S79" s="9"/>
      <c r="T79" s="9"/>
      <c r="U79" s="8">
        <v>50.0</v>
      </c>
      <c r="V79" s="9" t="str">
        <f>IFERROR(__xludf.DUMMYFUNCTION("SPARKLINE(U79, {""charttype"",""bar"";""max"",100;""min"",0;""color1"",""grey""})"),"")</f>
        <v/>
      </c>
      <c r="W79" s="9"/>
      <c r="X79" s="8">
        <v>200.0</v>
      </c>
    </row>
    <row r="80">
      <c r="A80" s="8" t="s">
        <v>152</v>
      </c>
      <c r="B80" s="8" t="s">
        <v>155</v>
      </c>
      <c r="C80" s="8" t="s">
        <v>44</v>
      </c>
      <c r="D80" s="8" t="s">
        <v>61</v>
      </c>
      <c r="E80" s="8" t="str">
        <f t="shared" si="1"/>
        <v>★</v>
      </c>
      <c r="F80" s="8">
        <v>10000.0</v>
      </c>
      <c r="G80" s="8">
        <f t="shared" si="2"/>
        <v>25000</v>
      </c>
      <c r="H80" s="8">
        <f t="shared" si="3"/>
        <v>15000</v>
      </c>
      <c r="I80" s="10">
        <f t="shared" si="6"/>
        <v>40</v>
      </c>
      <c r="J80" s="11" t="str">
        <f>IFERROR(__xludf.DUMMYFUNCTION("SPARKLINE(F80/G80, {""charttype"",""bar"";""max"",1;""min"",0;""color1"",""green""})"),"")</f>
        <v/>
      </c>
      <c r="K80" s="8">
        <v>60.0</v>
      </c>
      <c r="L80" s="11" t="str">
        <f>IFERROR(__xludf.DUMMYFUNCTION("SPARKLINE(K80, {""charttype"",""bar"";""max"",100;""min"",0;""color1"",""green""})"),"")</f>
        <v/>
      </c>
      <c r="M80" s="8" t="s">
        <v>64</v>
      </c>
      <c r="N80" s="8" t="s">
        <v>28</v>
      </c>
      <c r="O80" s="9"/>
      <c r="P80" s="8">
        <v>55.0</v>
      </c>
      <c r="Q80" s="9" t="str">
        <f>IFERROR(__xludf.DUMMYFUNCTION("SPARKLINE(P80, {""charttype"",""bar"";""max"",100;""min"",0;""color1"",""grey""})"),"")</f>
        <v/>
      </c>
      <c r="R80" s="9"/>
      <c r="S80" s="9"/>
      <c r="T80" s="9"/>
      <c r="U80" s="8">
        <v>35.0</v>
      </c>
      <c r="V80" s="9" t="str">
        <f>IFERROR(__xludf.DUMMYFUNCTION("SPARKLINE(U80, {""charttype"",""bar"";""max"",100;""min"",0;""color1"",""grey""})"),"")</f>
        <v/>
      </c>
      <c r="W80" s="9"/>
      <c r="X80" s="8">
        <v>190.0</v>
      </c>
    </row>
    <row r="81">
      <c r="A81" s="8" t="s">
        <v>152</v>
      </c>
      <c r="B81" s="8" t="s">
        <v>156</v>
      </c>
      <c r="C81" s="8" t="s">
        <v>85</v>
      </c>
      <c r="D81" s="8" t="s">
        <v>78</v>
      </c>
      <c r="E81" s="8" t="str">
        <f t="shared" si="1"/>
        <v>★</v>
      </c>
      <c r="F81" s="9">
        <v>13185.0</v>
      </c>
      <c r="G81" s="8">
        <f t="shared" si="2"/>
        <v>25000</v>
      </c>
      <c r="H81" s="8">
        <f t="shared" si="3"/>
        <v>11815</v>
      </c>
      <c r="I81" s="10">
        <f t="shared" si="6"/>
        <v>52.74</v>
      </c>
      <c r="J81" s="11" t="str">
        <f>IFERROR(__xludf.DUMMYFUNCTION("SPARKLINE(F81/G81, {""charttype"",""bar"";""max"",1;""min"",0;""color1"",""green""})"),"")</f>
        <v/>
      </c>
      <c r="K81" s="8">
        <v>77.0</v>
      </c>
      <c r="L81" s="11" t="str">
        <f>IFERROR(__xludf.DUMMYFUNCTION("SPARKLINE(K81, {""charttype"",""bar"";""max"",100;""min"",0;""color1"",""green""})"),"")</f>
        <v/>
      </c>
      <c r="M81" s="8" t="s">
        <v>157</v>
      </c>
      <c r="N81" s="8" t="s">
        <v>69</v>
      </c>
      <c r="O81" s="9"/>
      <c r="P81" s="8">
        <v>65.0</v>
      </c>
      <c r="Q81" s="9" t="str">
        <f>IFERROR(__xludf.DUMMYFUNCTION("SPARKLINE(P81, {""charttype"",""bar"";""max"",100;""min"",0;""color1"",""grey""})"),"")</f>
        <v/>
      </c>
      <c r="R81" s="9"/>
      <c r="S81" s="9"/>
      <c r="T81" s="9"/>
      <c r="U81" s="8">
        <v>20.0</v>
      </c>
      <c r="V81" s="9" t="str">
        <f>IFERROR(__xludf.DUMMYFUNCTION("SPARKLINE(U81, {""charttype"",""bar"";""max"",100;""min"",0;""color1"",""grey""})"),"")</f>
        <v/>
      </c>
      <c r="W81" s="9"/>
      <c r="X81" s="8">
        <v>200.0</v>
      </c>
    </row>
    <row r="82">
      <c r="A82" s="8" t="s">
        <v>152</v>
      </c>
      <c r="B82" s="8" t="s">
        <v>152</v>
      </c>
      <c r="C82" s="8" t="s">
        <v>30</v>
      </c>
      <c r="D82" s="8" t="s">
        <v>48</v>
      </c>
      <c r="E82" s="8" t="str">
        <f t="shared" si="1"/>
        <v>★</v>
      </c>
      <c r="F82" s="9">
        <v>11575.0</v>
      </c>
      <c r="G82" s="8">
        <f t="shared" si="2"/>
        <v>25000</v>
      </c>
      <c r="H82" s="8">
        <f t="shared" si="3"/>
        <v>13425</v>
      </c>
      <c r="I82" s="10">
        <f t="shared" si="6"/>
        <v>46.3</v>
      </c>
      <c r="J82" s="11" t="str">
        <f>IFERROR(__xludf.DUMMYFUNCTION("SPARKLINE(F82/G82, {""charttype"",""bar"";""max"",1;""min"",0;""color1"",""green""})"),"")</f>
        <v/>
      </c>
      <c r="K82" s="8">
        <v>58.0</v>
      </c>
      <c r="L82" s="11" t="str">
        <f>IFERROR(__xludf.DUMMYFUNCTION("SPARKLINE(K82, {""charttype"",""bar"";""max"",100;""min"",0;""color1"",""green""})"),"")</f>
        <v/>
      </c>
      <c r="M82" s="8" t="s">
        <v>37</v>
      </c>
      <c r="N82" s="8" t="s">
        <v>28</v>
      </c>
      <c r="O82" s="9"/>
      <c r="P82" s="8">
        <v>85.0</v>
      </c>
      <c r="Q82" s="9" t="str">
        <f>IFERROR(__xludf.DUMMYFUNCTION("SPARKLINE(P82, {""charttype"",""bar"";""max"",100;""min"",0;""color1"",""grey""})"),"")</f>
        <v/>
      </c>
      <c r="R82" s="9"/>
      <c r="S82" s="9"/>
      <c r="T82" s="9"/>
      <c r="U82" s="8">
        <v>50.0</v>
      </c>
      <c r="V82" s="9" t="str">
        <f>IFERROR(__xludf.DUMMYFUNCTION("SPARKLINE(U82, {""charttype"",""bar"";""max"",100;""min"",0;""color1"",""grey""})"),"")</f>
        <v/>
      </c>
      <c r="W82" s="9"/>
      <c r="X82" s="8">
        <v>200.0</v>
      </c>
    </row>
    <row r="83">
      <c r="A83" s="8" t="s">
        <v>152</v>
      </c>
      <c r="B83" s="8" t="s">
        <v>158</v>
      </c>
      <c r="C83" s="8" t="s">
        <v>57</v>
      </c>
      <c r="D83" s="8" t="s">
        <v>39</v>
      </c>
      <c r="E83" s="8" t="str">
        <f t="shared" si="1"/>
        <v>★</v>
      </c>
      <c r="F83" s="9">
        <v>10200.0</v>
      </c>
      <c r="G83" s="8">
        <f t="shared" si="2"/>
        <v>25000</v>
      </c>
      <c r="H83" s="8">
        <f t="shared" si="3"/>
        <v>14800</v>
      </c>
      <c r="I83" s="10">
        <f t="shared" si="6"/>
        <v>40.8</v>
      </c>
      <c r="J83" s="11" t="str">
        <f>IFERROR(__xludf.DUMMYFUNCTION("SPARKLINE(F83/G83, {""charttype"",""bar"";""max"",1;""min"",0;""color1"",""green""})"),"")</f>
        <v/>
      </c>
      <c r="K83" s="8">
        <v>58.0</v>
      </c>
      <c r="L83" s="11" t="str">
        <f>IFERROR(__xludf.DUMMYFUNCTION("SPARKLINE(K83, {""charttype"",""bar"";""max"",100;""min"",0;""color1"",""green""})"),"")</f>
        <v/>
      </c>
      <c r="M83" s="8" t="s">
        <v>27</v>
      </c>
      <c r="N83" s="8" t="s">
        <v>28</v>
      </c>
      <c r="O83" s="9"/>
      <c r="P83" s="8">
        <v>85.0</v>
      </c>
      <c r="Q83" s="9" t="str">
        <f>IFERROR(__xludf.DUMMYFUNCTION("SPARKLINE(P83, {""charttype"",""bar"";""max"",100;""min"",0;""color1"",""grey""})"),"")</f>
        <v/>
      </c>
      <c r="R83" s="9"/>
      <c r="S83" s="9"/>
      <c r="T83" s="9"/>
      <c r="U83" s="8">
        <v>50.0</v>
      </c>
      <c r="V83" s="9" t="str">
        <f>IFERROR(__xludf.DUMMYFUNCTION("SPARKLINE(U83, {""charttype"",""bar"";""max"",100;""min"",0;""color1"",""grey""})"),"")</f>
        <v/>
      </c>
      <c r="W83" s="9"/>
      <c r="X83" s="8">
        <v>180.0</v>
      </c>
    </row>
    <row r="84">
      <c r="A84" s="8" t="s">
        <v>152</v>
      </c>
      <c r="B84" s="8" t="s">
        <v>159</v>
      </c>
      <c r="C84" s="8" t="s">
        <v>41</v>
      </c>
      <c r="D84" s="8" t="s">
        <v>107</v>
      </c>
      <c r="E84" s="8" t="str">
        <f t="shared" si="1"/>
        <v>★★★★★</v>
      </c>
      <c r="F84" s="8">
        <v>1160000.0</v>
      </c>
      <c r="G84" s="8">
        <f t="shared" si="2"/>
        <v>1160000</v>
      </c>
      <c r="H84" s="8">
        <f t="shared" si="3"/>
        <v>0</v>
      </c>
      <c r="I84" s="12" t="s">
        <v>146</v>
      </c>
      <c r="J84" s="11"/>
      <c r="K84" s="8">
        <v>60.0</v>
      </c>
      <c r="L84" s="11" t="str">
        <f>IFERROR(__xludf.DUMMYFUNCTION("SPARKLINE(K84, {""charttype"",""bar"";""max"",100;""min"",0;""color1"",""green""})"),"")</f>
        <v/>
      </c>
      <c r="M84" s="8" t="s">
        <v>32</v>
      </c>
      <c r="N84" s="8" t="s">
        <v>28</v>
      </c>
      <c r="O84" s="9"/>
      <c r="P84" s="8">
        <v>90.0</v>
      </c>
      <c r="Q84" s="9" t="str">
        <f>IFERROR(__xludf.DUMMYFUNCTION("SPARKLINE(P84, {""charttype"",""bar"";""max"",100;""min"",0;""color1"",""grey""})"),"")</f>
        <v/>
      </c>
      <c r="R84" s="9"/>
      <c r="S84" s="9"/>
      <c r="T84" s="9"/>
      <c r="U84" s="8">
        <v>40.0</v>
      </c>
      <c r="V84" s="9" t="str">
        <f>IFERROR(__xludf.DUMMYFUNCTION("SPARKLINE(U84, {""charttype"",""bar"";""max"",100;""min"",0;""color1"",""grey""})"),"")</f>
        <v/>
      </c>
      <c r="W84" s="9"/>
      <c r="X84" s="8">
        <v>220.0</v>
      </c>
    </row>
    <row r="85">
      <c r="A85" s="8" t="s">
        <v>152</v>
      </c>
      <c r="B85" s="8" t="s">
        <v>160</v>
      </c>
      <c r="C85" s="8" t="s">
        <v>85</v>
      </c>
      <c r="D85" s="8" t="s">
        <v>31</v>
      </c>
      <c r="E85" s="8" t="str">
        <f t="shared" si="1"/>
        <v>★</v>
      </c>
      <c r="F85" s="8">
        <v>10200.0</v>
      </c>
      <c r="G85" s="8">
        <f t="shared" si="2"/>
        <v>25000</v>
      </c>
      <c r="H85" s="8">
        <f t="shared" si="3"/>
        <v>14800</v>
      </c>
      <c r="I85" s="10">
        <f t="shared" ref="I85:I102" si="7">F85*100/G85</f>
        <v>40.8</v>
      </c>
      <c r="J85" s="11" t="str">
        <f>IFERROR(__xludf.DUMMYFUNCTION("SPARKLINE(F85/G85, {""charttype"",""bar"";""max"",1;""min"",0;""color1"",""green""})"),"")</f>
        <v/>
      </c>
      <c r="K85" s="8">
        <v>60.0</v>
      </c>
      <c r="L85" s="11" t="str">
        <f>IFERROR(__xludf.DUMMYFUNCTION("SPARKLINE(K85, {""charttype"",""bar"";""max"",100;""min"",0;""color1"",""green""})"),"")</f>
        <v/>
      </c>
      <c r="M85" s="8" t="s">
        <v>32</v>
      </c>
      <c r="N85" s="8" t="s">
        <v>28</v>
      </c>
      <c r="O85" s="9"/>
      <c r="P85" s="8">
        <v>90.0</v>
      </c>
      <c r="Q85" s="9" t="str">
        <f>IFERROR(__xludf.DUMMYFUNCTION("SPARKLINE(P85, {""charttype"",""bar"";""max"",100;""min"",0;""color1"",""grey""})"),"")</f>
        <v/>
      </c>
      <c r="R85" s="9"/>
      <c r="S85" s="9"/>
      <c r="T85" s="9"/>
      <c r="U85" s="8">
        <v>40.0</v>
      </c>
      <c r="V85" s="9" t="str">
        <f>IFERROR(__xludf.DUMMYFUNCTION("SPARKLINE(U85, {""charttype"",""bar"";""max"",100;""min"",0;""color1"",""grey""})"),"")</f>
        <v/>
      </c>
      <c r="W85" s="9"/>
      <c r="X85" s="8">
        <v>190.0</v>
      </c>
    </row>
    <row r="86">
      <c r="A86" s="8" t="s">
        <v>152</v>
      </c>
      <c r="B86" s="8" t="s">
        <v>161</v>
      </c>
      <c r="C86" s="8" t="s">
        <v>53</v>
      </c>
      <c r="D86" s="8" t="s">
        <v>51</v>
      </c>
      <c r="E86" s="8" t="str">
        <f t="shared" si="1"/>
        <v>★★★</v>
      </c>
      <c r="F86" s="8">
        <v>65105.0</v>
      </c>
      <c r="G86" s="8">
        <f t="shared" si="2"/>
        <v>160000</v>
      </c>
      <c r="H86" s="8">
        <f t="shared" si="3"/>
        <v>94895</v>
      </c>
      <c r="I86" s="10">
        <f t="shared" si="7"/>
        <v>40.690625</v>
      </c>
      <c r="J86" s="11" t="str">
        <f>IFERROR(__xludf.DUMMYFUNCTION("SPARKLINE(F86/G86, {""charttype"",""bar"";""max"",1;""min"",0;""color1"",""green""})"),"")</f>
        <v/>
      </c>
      <c r="K86" s="8">
        <v>31.0</v>
      </c>
      <c r="L86" s="11" t="str">
        <f>IFERROR(__xludf.DUMMYFUNCTION("SPARKLINE(K86, {""charttype"",""bar"";""max"",100;""min"",0;""color1"",""green""})"),"")</f>
        <v/>
      </c>
      <c r="M86" s="8" t="s">
        <v>27</v>
      </c>
      <c r="N86" s="8" t="s">
        <v>33</v>
      </c>
      <c r="O86" s="9"/>
      <c r="P86" s="8">
        <v>75.0</v>
      </c>
      <c r="Q86" s="9" t="str">
        <f>IFERROR(__xludf.DUMMYFUNCTION("SPARKLINE(P86, {""charttype"",""bar"";""max"",100;""min"",0;""color1"",""grey""})"),"")</f>
        <v/>
      </c>
      <c r="R86" s="9"/>
      <c r="S86" s="9"/>
      <c r="T86" s="9"/>
      <c r="U86" s="8">
        <v>70.0</v>
      </c>
      <c r="V86" s="9" t="str">
        <f>IFERROR(__xludf.DUMMYFUNCTION("SPARKLINE(U86, {""charttype"",""bar"";""max"",100;""min"",0;""color1"",""grey""})"),"")</f>
        <v/>
      </c>
      <c r="W86" s="9"/>
      <c r="X86" s="8">
        <v>180.0</v>
      </c>
    </row>
    <row r="87">
      <c r="A87" s="8" t="s">
        <v>152</v>
      </c>
      <c r="B87" s="8" t="s">
        <v>162</v>
      </c>
      <c r="C87" s="8" t="s">
        <v>41</v>
      </c>
      <c r="D87" s="8" t="s">
        <v>93</v>
      </c>
      <c r="E87" s="8" t="str">
        <f t="shared" si="1"/>
        <v>★</v>
      </c>
      <c r="F87" s="9">
        <v>10200.0</v>
      </c>
      <c r="G87" s="8">
        <f t="shared" si="2"/>
        <v>25000</v>
      </c>
      <c r="H87" s="8">
        <f t="shared" si="3"/>
        <v>14800</v>
      </c>
      <c r="I87" s="10">
        <f t="shared" si="7"/>
        <v>40.8</v>
      </c>
      <c r="J87" s="11" t="str">
        <f>IFERROR(__xludf.DUMMYFUNCTION("SPARKLINE(F87/G87, {""charttype"",""bar"";""max"",1;""min"",0;""color1"",""green""})"),"")</f>
        <v/>
      </c>
      <c r="K87" s="8">
        <v>31.0</v>
      </c>
      <c r="L87" s="11" t="str">
        <f>IFERROR(__xludf.DUMMYFUNCTION("SPARKLINE(K87, {""charttype"",""bar"";""max"",100;""min"",0;""color1"",""green""})"),"")</f>
        <v/>
      </c>
      <c r="M87" s="8" t="s">
        <v>37</v>
      </c>
      <c r="N87" s="8" t="s">
        <v>33</v>
      </c>
      <c r="O87" s="9"/>
      <c r="P87" s="8">
        <v>75.0</v>
      </c>
      <c r="Q87" s="9" t="str">
        <f>IFERROR(__xludf.DUMMYFUNCTION("SPARKLINE(P87, {""charttype"",""bar"";""max"",100;""min"",0;""color1"",""grey""})"),"")</f>
        <v/>
      </c>
      <c r="R87" s="9"/>
      <c r="S87" s="9"/>
      <c r="T87" s="9"/>
      <c r="U87" s="8">
        <v>70.0</v>
      </c>
      <c r="V87" s="9" t="str">
        <f>IFERROR(__xludf.DUMMYFUNCTION("SPARKLINE(U87, {""charttype"",""bar"";""max"",100;""min"",0;""color1"",""grey""})"),"")</f>
        <v/>
      </c>
      <c r="W87" s="9"/>
      <c r="X87" s="8">
        <v>180.0</v>
      </c>
    </row>
    <row r="88">
      <c r="A88" s="8" t="s">
        <v>163</v>
      </c>
      <c r="B88" s="8" t="s">
        <v>164</v>
      </c>
      <c r="C88" s="8" t="s">
        <v>116</v>
      </c>
      <c r="D88" s="8" t="s">
        <v>39</v>
      </c>
      <c r="E88" s="8" t="str">
        <f t="shared" si="1"/>
        <v>★★★★</v>
      </c>
      <c r="F88" s="9">
        <v>160825.0</v>
      </c>
      <c r="G88" s="8">
        <f t="shared" si="2"/>
        <v>1160000</v>
      </c>
      <c r="H88" s="8">
        <f t="shared" si="3"/>
        <v>999175</v>
      </c>
      <c r="I88" s="10">
        <f t="shared" si="7"/>
        <v>13.86422414</v>
      </c>
      <c r="J88" s="11" t="str">
        <f>IFERROR(__xludf.DUMMYFUNCTION("SPARKLINE(F88/G88, {""charttype"",""bar"";""max"",1;""min"",0;""color1"",""green""})"),"")</f>
        <v/>
      </c>
      <c r="K88" s="8">
        <v>75.0</v>
      </c>
      <c r="L88" s="11" t="str">
        <f>IFERROR(__xludf.DUMMYFUNCTION("SPARKLINE(K88, {""charttype"",""bar"";""max"",100;""min"",0;""color1"",""green""})"),"")</f>
        <v/>
      </c>
      <c r="M88" s="8" t="s">
        <v>27</v>
      </c>
      <c r="N88" s="8" t="s">
        <v>28</v>
      </c>
      <c r="O88" s="9"/>
      <c r="P88" s="8">
        <v>43.0</v>
      </c>
      <c r="Q88" s="9" t="str">
        <f>IFERROR(__xludf.DUMMYFUNCTION("SPARKLINE(P88, {""charttype"",""bar"";""max"",100;""min"",0;""color1"",""grey""})"),"")</f>
        <v/>
      </c>
      <c r="R88" s="9"/>
      <c r="S88" s="9"/>
      <c r="T88" s="9"/>
      <c r="U88" s="8">
        <v>60.0</v>
      </c>
      <c r="V88" s="9" t="str">
        <f>IFERROR(__xludf.DUMMYFUNCTION("SPARKLINE(U88, {""charttype"",""bar"";""max"",100;""min"",0;""color1"",""grey""})"),"")</f>
        <v/>
      </c>
      <c r="W88" s="9"/>
      <c r="X88" s="8">
        <v>200.0</v>
      </c>
    </row>
    <row r="89">
      <c r="A89" s="8" t="s">
        <v>163</v>
      </c>
      <c r="B89" s="8" t="s">
        <v>165</v>
      </c>
      <c r="C89" s="8" t="s">
        <v>50</v>
      </c>
      <c r="D89" s="8" t="s">
        <v>42</v>
      </c>
      <c r="E89" s="8" t="str">
        <f t="shared" si="1"/>
        <v>★★★</v>
      </c>
      <c r="F89" s="8">
        <v>74235.0</v>
      </c>
      <c r="G89" s="8">
        <f t="shared" si="2"/>
        <v>160000</v>
      </c>
      <c r="H89" s="8">
        <f t="shared" si="3"/>
        <v>85765</v>
      </c>
      <c r="I89" s="10">
        <f t="shared" si="7"/>
        <v>46.396875</v>
      </c>
      <c r="J89" s="11" t="str">
        <f>IFERROR(__xludf.DUMMYFUNCTION("SPARKLINE(F89/G89, {""charttype"",""bar"";""max"",1;""min"",0;""color1"",""green""})"),"")</f>
        <v/>
      </c>
      <c r="K89" s="8">
        <v>58.0</v>
      </c>
      <c r="L89" s="11" t="str">
        <f>IFERROR(__xludf.DUMMYFUNCTION("SPARKLINE(K89, {""charttype"",""bar"";""max"",100;""min"",0;""color1"",""green""})"),"")</f>
        <v/>
      </c>
      <c r="M89" s="8" t="s">
        <v>72</v>
      </c>
      <c r="N89" s="8" t="s">
        <v>33</v>
      </c>
      <c r="O89" s="9"/>
      <c r="P89" s="8">
        <v>29.0</v>
      </c>
      <c r="Q89" s="9" t="str">
        <f>IFERROR(__xludf.DUMMYFUNCTION("SPARKLINE(P89, {""charttype"",""bar"";""max"",100;""min"",0;""color1"",""grey""})"),"")</f>
        <v/>
      </c>
      <c r="R89" s="9"/>
      <c r="S89" s="9"/>
      <c r="T89" s="9"/>
      <c r="U89" s="8">
        <v>75.0</v>
      </c>
      <c r="V89" s="9" t="str">
        <f>IFERROR(__xludf.DUMMYFUNCTION("SPARKLINE(U89, {""charttype"",""bar"";""max"",100;""min"",0;""color1"",""grey""})"),"")</f>
        <v/>
      </c>
      <c r="W89" s="9"/>
      <c r="X89" s="8">
        <v>190.0</v>
      </c>
    </row>
    <row r="90">
      <c r="A90" s="8" t="s">
        <v>163</v>
      </c>
      <c r="B90" s="8" t="s">
        <v>166</v>
      </c>
      <c r="C90" s="8" t="s">
        <v>68</v>
      </c>
      <c r="D90" s="8" t="s">
        <v>91</v>
      </c>
      <c r="E90" s="8" t="str">
        <f t="shared" si="1"/>
        <v>★</v>
      </c>
      <c r="F90" s="9">
        <v>10400.0</v>
      </c>
      <c r="G90" s="8">
        <f t="shared" si="2"/>
        <v>25000</v>
      </c>
      <c r="H90" s="8">
        <f t="shared" si="3"/>
        <v>14600</v>
      </c>
      <c r="I90" s="10">
        <f t="shared" si="7"/>
        <v>41.6</v>
      </c>
      <c r="J90" s="11" t="str">
        <f>IFERROR(__xludf.DUMMYFUNCTION("SPARKLINE(F90/G90, {""charttype"",""bar"";""max"",1;""min"",0;""color1"",""green""})"),"")</f>
        <v/>
      </c>
      <c r="K90" s="8">
        <v>58.0</v>
      </c>
      <c r="L90" s="11" t="str">
        <f>IFERROR(__xludf.DUMMYFUNCTION("SPARKLINE(K90, {""charttype"",""bar"";""max"",100;""min"",0;""color1"",""green""})"),"")</f>
        <v/>
      </c>
      <c r="M90" s="8" t="s">
        <v>72</v>
      </c>
      <c r="N90" s="8" t="s">
        <v>33</v>
      </c>
      <c r="O90" s="9"/>
      <c r="P90" s="8">
        <v>29.0</v>
      </c>
      <c r="Q90" s="9" t="str">
        <f>IFERROR(__xludf.DUMMYFUNCTION("SPARKLINE(P90, {""charttype"",""bar"";""max"",100;""min"",0;""color1"",""grey""})"),"")</f>
        <v/>
      </c>
      <c r="R90" s="9"/>
      <c r="S90" s="9"/>
      <c r="T90" s="9"/>
      <c r="U90" s="8">
        <v>75.0</v>
      </c>
      <c r="V90" s="9" t="str">
        <f>IFERROR(__xludf.DUMMYFUNCTION("SPARKLINE(U90, {""charttype"",""bar"";""max"",100;""min"",0;""color1"",""grey""})"),"")</f>
        <v/>
      </c>
      <c r="W90" s="9"/>
      <c r="X90" s="8">
        <v>190.0</v>
      </c>
    </row>
    <row r="91">
      <c r="A91" s="8" t="s">
        <v>167</v>
      </c>
      <c r="B91" s="8" t="s">
        <v>168</v>
      </c>
      <c r="C91" s="8" t="s">
        <v>41</v>
      </c>
      <c r="D91" s="8" t="s">
        <v>51</v>
      </c>
      <c r="E91" s="8" t="str">
        <f t="shared" si="1"/>
        <v>★</v>
      </c>
      <c r="F91" s="9">
        <v>10130.0</v>
      </c>
      <c r="G91" s="8">
        <f t="shared" si="2"/>
        <v>25000</v>
      </c>
      <c r="H91" s="8">
        <f t="shared" si="3"/>
        <v>14870</v>
      </c>
      <c r="I91" s="10">
        <f t="shared" si="7"/>
        <v>40.52</v>
      </c>
      <c r="J91" s="11" t="str">
        <f>IFERROR(__xludf.DUMMYFUNCTION("SPARKLINE(F91/G91, {""charttype"",""bar"";""max"",1;""min"",0;""color1"",""green""})"),"")</f>
        <v/>
      </c>
      <c r="K91" s="8">
        <v>84.0</v>
      </c>
      <c r="L91" s="11" t="str">
        <f>IFERROR(__xludf.DUMMYFUNCTION("SPARKLINE(K91, {""charttype"",""bar"";""max"",100;""min"",0;""color1"",""green""})"),"")</f>
        <v/>
      </c>
      <c r="M91" s="8" t="s">
        <v>86</v>
      </c>
      <c r="N91" s="8" t="s">
        <v>28</v>
      </c>
      <c r="O91" s="9"/>
      <c r="P91" s="9"/>
      <c r="Q91" s="9"/>
      <c r="R91" s="8">
        <v>18.0</v>
      </c>
      <c r="S91" s="9" t="str">
        <f>IFERROR(__xludf.DUMMYFUNCTION("SPARKLINE(R91, {""charttype"",""bar"";""max"",100;""min"",0;""color1"",""grey""})"),"")</f>
        <v/>
      </c>
      <c r="T91" s="9"/>
      <c r="U91" s="9"/>
      <c r="V91" s="8">
        <v>60.0</v>
      </c>
      <c r="W91" s="9" t="str">
        <f>IFERROR(__xludf.DUMMYFUNCTION("SPARKLINE(V91, {""charttype"",""bar"";""max"",100;""min"",0;""color1"",""grey""})"),"")</f>
        <v/>
      </c>
      <c r="X91" s="8">
        <v>200.0</v>
      </c>
    </row>
    <row r="92">
      <c r="A92" s="8" t="s">
        <v>167</v>
      </c>
      <c r="B92" s="8" t="s">
        <v>169</v>
      </c>
      <c r="C92" s="8" t="s">
        <v>47</v>
      </c>
      <c r="D92" s="8" t="s">
        <v>54</v>
      </c>
      <c r="E92" s="8" t="str">
        <f t="shared" si="1"/>
        <v>★</v>
      </c>
      <c r="F92" s="8">
        <v>10600.0</v>
      </c>
      <c r="G92" s="8">
        <f t="shared" si="2"/>
        <v>25000</v>
      </c>
      <c r="H92" s="8">
        <f t="shared" si="3"/>
        <v>14400</v>
      </c>
      <c r="I92" s="10">
        <f t="shared" si="7"/>
        <v>42.4</v>
      </c>
      <c r="J92" s="11" t="str">
        <f>IFERROR(__xludf.DUMMYFUNCTION("SPARKLINE(F92/G92, {""charttype"",""bar"";""max"",1;""min"",0;""color1"",""green""})"),"")</f>
        <v/>
      </c>
      <c r="K92" s="8">
        <v>84.0</v>
      </c>
      <c r="L92" s="11" t="str">
        <f>IFERROR(__xludf.DUMMYFUNCTION("SPARKLINE(K92, {""charttype"",""bar"";""max"",100;""min"",0;""color1"",""green""})"),"")</f>
        <v/>
      </c>
      <c r="M92" s="8" t="s">
        <v>55</v>
      </c>
      <c r="N92" s="8" t="s">
        <v>28</v>
      </c>
      <c r="O92" s="9"/>
      <c r="P92" s="9"/>
      <c r="Q92" s="9"/>
      <c r="R92" s="8">
        <v>18.0</v>
      </c>
      <c r="S92" s="9" t="str">
        <f>IFERROR(__xludf.DUMMYFUNCTION("SPARKLINE(R92, {""charttype"",""bar"";""max"",100;""min"",0;""color1"",""grey""})"),"")</f>
        <v/>
      </c>
      <c r="T92" s="9"/>
      <c r="U92" s="9"/>
      <c r="V92" s="8">
        <v>60.0</v>
      </c>
      <c r="W92" s="9" t="str">
        <f>IFERROR(__xludf.DUMMYFUNCTION("SPARKLINE(V92, {""charttype"",""bar"";""max"",100;""min"",0;""color1"",""grey""})"),"")</f>
        <v/>
      </c>
      <c r="X92" s="8">
        <v>200.0</v>
      </c>
    </row>
    <row r="93">
      <c r="A93" s="8" t="s">
        <v>167</v>
      </c>
      <c r="B93" s="8" t="s">
        <v>170</v>
      </c>
      <c r="C93" s="8" t="s">
        <v>35</v>
      </c>
      <c r="D93" s="8" t="s">
        <v>93</v>
      </c>
      <c r="E93" s="8" t="str">
        <f t="shared" si="1"/>
        <v>★</v>
      </c>
      <c r="F93" s="8">
        <v>10200.0</v>
      </c>
      <c r="G93" s="8">
        <f t="shared" si="2"/>
        <v>25000</v>
      </c>
      <c r="H93" s="8">
        <f t="shared" si="3"/>
        <v>14800</v>
      </c>
      <c r="I93" s="10">
        <f t="shared" si="7"/>
        <v>40.8</v>
      </c>
      <c r="J93" s="11" t="str">
        <f>IFERROR(__xludf.DUMMYFUNCTION("SPARKLINE(F93/G93, {""charttype"",""bar"";""max"",1;""min"",0;""color1"",""green""})"),"")</f>
        <v/>
      </c>
      <c r="K93" s="8">
        <v>70.0</v>
      </c>
      <c r="L93" s="11" t="str">
        <f>IFERROR(__xludf.DUMMYFUNCTION("SPARKLINE(K93, {""charttype"",""bar"";""max"",100;""min"",0;""color1"",""green""})"),"")</f>
        <v/>
      </c>
      <c r="M93" s="8" t="s">
        <v>55</v>
      </c>
      <c r="N93" s="8" t="s">
        <v>28</v>
      </c>
      <c r="O93" s="9"/>
      <c r="P93" s="9"/>
      <c r="Q93" s="9"/>
      <c r="R93" s="8">
        <v>14.0</v>
      </c>
      <c r="S93" s="9" t="str">
        <f>IFERROR(__xludf.DUMMYFUNCTION("SPARKLINE(R93, {""charttype"",""bar"";""max"",100;""min"",0;""color1"",""grey""})"),"")</f>
        <v/>
      </c>
      <c r="T93" s="9"/>
      <c r="U93" s="9"/>
      <c r="V93" s="8">
        <v>90.0</v>
      </c>
      <c r="W93" s="9" t="str">
        <f>IFERROR(__xludf.DUMMYFUNCTION("SPARKLINE(V93, {""charttype"",""bar"";""max"",100;""min"",0;""color1"",""grey""})"),"")</f>
        <v/>
      </c>
      <c r="X93" s="8">
        <v>190.0</v>
      </c>
    </row>
    <row r="94">
      <c r="A94" s="8" t="s">
        <v>167</v>
      </c>
      <c r="B94" s="8" t="s">
        <v>171</v>
      </c>
      <c r="C94" s="8" t="s">
        <v>60</v>
      </c>
      <c r="D94" s="8" t="s">
        <v>45</v>
      </c>
      <c r="E94" s="8" t="str">
        <f t="shared" si="1"/>
        <v>★</v>
      </c>
      <c r="F94" s="9">
        <v>10710.0</v>
      </c>
      <c r="G94" s="8">
        <f t="shared" si="2"/>
        <v>25000</v>
      </c>
      <c r="H94" s="8">
        <f t="shared" si="3"/>
        <v>14290</v>
      </c>
      <c r="I94" s="10">
        <f t="shared" si="7"/>
        <v>42.84</v>
      </c>
      <c r="J94" s="11" t="str">
        <f>IFERROR(__xludf.DUMMYFUNCTION("SPARKLINE(F94/G94, {""charttype"",""bar"";""max"",1;""min"",0;""color1"",""green""})"),"")</f>
        <v/>
      </c>
      <c r="K94" s="8">
        <v>78.0</v>
      </c>
      <c r="L94" s="11" t="str">
        <f>IFERROR(__xludf.DUMMYFUNCTION("SPARKLINE(K94, {""charttype"",""bar"";""max"",100;""min"",0;""color1"",""green""})"),"")</f>
        <v/>
      </c>
      <c r="M94" s="8" t="s">
        <v>83</v>
      </c>
      <c r="N94" s="8" t="s">
        <v>28</v>
      </c>
      <c r="O94" s="9"/>
      <c r="P94" s="9"/>
      <c r="Q94" s="9"/>
      <c r="R94" s="8">
        <v>38.0</v>
      </c>
      <c r="S94" s="9" t="str">
        <f>IFERROR(__xludf.DUMMYFUNCTION("SPARKLINE(R94, {""charttype"",""bar"";""max"",100;""min"",0;""color1"",""grey""})"),"")</f>
        <v/>
      </c>
      <c r="T94" s="9"/>
      <c r="U94" s="9"/>
      <c r="V94" s="8">
        <v>55.0</v>
      </c>
      <c r="W94" s="9" t="str">
        <f>IFERROR(__xludf.DUMMYFUNCTION("SPARKLINE(V94, {""charttype"",""bar"";""max"",100;""min"",0;""color1"",""grey""})"),"")</f>
        <v/>
      </c>
      <c r="X94" s="8">
        <v>200.0</v>
      </c>
    </row>
    <row r="95">
      <c r="A95" s="8" t="s">
        <v>167</v>
      </c>
      <c r="B95" s="8" t="s">
        <v>172</v>
      </c>
      <c r="C95" s="8" t="s">
        <v>85</v>
      </c>
      <c r="D95" s="8" t="s">
        <v>121</v>
      </c>
      <c r="E95" s="8" t="str">
        <f t="shared" si="1"/>
        <v>★</v>
      </c>
      <c r="F95" s="9">
        <v>11000.0</v>
      </c>
      <c r="G95" s="8">
        <f t="shared" si="2"/>
        <v>25000</v>
      </c>
      <c r="H95" s="8">
        <f t="shared" si="3"/>
        <v>14000</v>
      </c>
      <c r="I95" s="10">
        <f t="shared" si="7"/>
        <v>44</v>
      </c>
      <c r="J95" s="11" t="str">
        <f>IFERROR(__xludf.DUMMYFUNCTION("SPARKLINE(F95/G95, {""charttype"",""bar"";""max"",1;""min"",0;""color1"",""green""})"),"")</f>
        <v/>
      </c>
      <c r="K95" s="8">
        <v>78.0</v>
      </c>
      <c r="L95" s="11" t="str">
        <f>IFERROR(__xludf.DUMMYFUNCTION("SPARKLINE(K95, {""charttype"",""bar"";""max"",100;""min"",0;""color1"",""green""})"),"")</f>
        <v/>
      </c>
      <c r="M95" s="8" t="s">
        <v>83</v>
      </c>
      <c r="N95" s="8" t="s">
        <v>28</v>
      </c>
      <c r="O95" s="9"/>
      <c r="P95" s="9"/>
      <c r="Q95" s="9"/>
      <c r="R95" s="8">
        <v>38.0</v>
      </c>
      <c r="S95" s="9" t="str">
        <f>IFERROR(__xludf.DUMMYFUNCTION("SPARKLINE(R95, {""charttype"",""bar"";""max"",100;""min"",0;""color1"",""grey""})"),"")</f>
        <v/>
      </c>
      <c r="T95" s="9"/>
      <c r="U95" s="9"/>
      <c r="V95" s="8">
        <v>55.0</v>
      </c>
      <c r="W95" s="9" t="str">
        <f>IFERROR(__xludf.DUMMYFUNCTION("SPARKLINE(V95, {""charttype"",""bar"";""max"",100;""min"",0;""color1"",""grey""})"),"")</f>
        <v/>
      </c>
      <c r="X95" s="8">
        <v>200.0</v>
      </c>
    </row>
    <row r="96">
      <c r="A96" s="8" t="s">
        <v>167</v>
      </c>
      <c r="B96" s="8" t="s">
        <v>173</v>
      </c>
      <c r="C96" s="8" t="s">
        <v>25</v>
      </c>
      <c r="D96" s="8" t="s">
        <v>107</v>
      </c>
      <c r="E96" s="8" t="str">
        <f t="shared" si="1"/>
        <v>★</v>
      </c>
      <c r="F96" s="9">
        <v>10605.0</v>
      </c>
      <c r="G96" s="8">
        <f t="shared" si="2"/>
        <v>25000</v>
      </c>
      <c r="H96" s="8">
        <f t="shared" si="3"/>
        <v>14395</v>
      </c>
      <c r="I96" s="10">
        <f t="shared" si="7"/>
        <v>42.42</v>
      </c>
      <c r="J96" s="11" t="str">
        <f>IFERROR(__xludf.DUMMYFUNCTION("SPARKLINE(F96/G96, {""charttype"",""bar"";""max"",1;""min"",0;""color1"",""green""})"),"")</f>
        <v/>
      </c>
      <c r="K96" s="8">
        <v>85.0</v>
      </c>
      <c r="L96" s="11" t="str">
        <f>IFERROR(__xludf.DUMMYFUNCTION("SPARKLINE(K96, {""charttype"",""bar"";""max"",100;""min"",0;""color1"",""green""})"),"")</f>
        <v/>
      </c>
      <c r="M96" s="8" t="s">
        <v>83</v>
      </c>
      <c r="N96" s="8" t="s">
        <v>69</v>
      </c>
      <c r="O96" s="9"/>
      <c r="P96" s="9"/>
      <c r="Q96" s="9"/>
      <c r="R96" s="8">
        <v>10.0</v>
      </c>
      <c r="S96" s="9" t="str">
        <f>IFERROR(__xludf.DUMMYFUNCTION("SPARKLINE(R96, {""charttype"",""bar"";""max"",100;""min"",0;""color1"",""grey""})"),"")</f>
        <v/>
      </c>
      <c r="T96" s="9"/>
      <c r="U96" s="9"/>
      <c r="V96" s="8">
        <v>20.0</v>
      </c>
      <c r="W96" s="9" t="str">
        <f>IFERROR(__xludf.DUMMYFUNCTION("SPARKLINE(V96, {""charttype"",""bar"";""max"",100;""min"",0;""color1"",""grey""})"),"")</f>
        <v/>
      </c>
      <c r="X96" s="8">
        <v>190.0</v>
      </c>
    </row>
    <row r="97">
      <c r="A97" s="8" t="s">
        <v>167</v>
      </c>
      <c r="B97" s="8" t="s">
        <v>174</v>
      </c>
      <c r="C97" s="8" t="s">
        <v>116</v>
      </c>
      <c r="D97" s="8" t="s">
        <v>42</v>
      </c>
      <c r="E97" s="8" t="str">
        <f t="shared" si="1"/>
        <v>★</v>
      </c>
      <c r="F97" s="9">
        <v>10700.0</v>
      </c>
      <c r="G97" s="8">
        <f t="shared" si="2"/>
        <v>25000</v>
      </c>
      <c r="H97" s="8">
        <f t="shared" si="3"/>
        <v>14300</v>
      </c>
      <c r="I97" s="10">
        <f t="shared" si="7"/>
        <v>42.8</v>
      </c>
      <c r="J97" s="11" t="str">
        <f>IFERROR(__xludf.DUMMYFUNCTION("SPARKLINE(F97/G97, {""charttype"",""bar"";""max"",1;""min"",0;""color1"",""green""})"),"")</f>
        <v/>
      </c>
      <c r="K97" s="8">
        <v>62.0</v>
      </c>
      <c r="L97" s="11" t="str">
        <f>IFERROR(__xludf.DUMMYFUNCTION("SPARKLINE(K97, {""charttype"",""bar"";""max"",100;""min"",0;""color1"",""green""})"),"")</f>
        <v/>
      </c>
      <c r="M97" s="8" t="s">
        <v>66</v>
      </c>
      <c r="N97" s="8" t="s">
        <v>28</v>
      </c>
      <c r="O97" s="9"/>
      <c r="P97" s="9"/>
      <c r="Q97" s="9"/>
      <c r="R97" s="8">
        <v>80.0</v>
      </c>
      <c r="S97" s="9" t="str">
        <f>IFERROR(__xludf.DUMMYFUNCTION("SPARKLINE(R97, {""charttype"",""bar"";""max"",100;""min"",0;""color1"",""grey""})"),"")</f>
        <v/>
      </c>
      <c r="T97" s="9"/>
      <c r="U97" s="9"/>
      <c r="V97" s="8">
        <v>90.0</v>
      </c>
      <c r="W97" s="9" t="str">
        <f>IFERROR(__xludf.DUMMYFUNCTION("SPARKLINE(V97, {""charttype"",""bar"";""max"",100;""min"",0;""color1"",""grey""})"),"")</f>
        <v/>
      </c>
      <c r="X97" s="8">
        <v>180.0</v>
      </c>
    </row>
    <row r="98">
      <c r="A98" s="8" t="s">
        <v>167</v>
      </c>
      <c r="B98" s="8" t="s">
        <v>175</v>
      </c>
      <c r="C98" s="8" t="s">
        <v>85</v>
      </c>
      <c r="D98" s="8" t="s">
        <v>78</v>
      </c>
      <c r="E98" s="8" t="str">
        <f t="shared" si="1"/>
        <v>★★★★</v>
      </c>
      <c r="F98" s="8">
        <v>259260.0</v>
      </c>
      <c r="G98" s="8">
        <f t="shared" si="2"/>
        <v>1160000</v>
      </c>
      <c r="H98" s="8">
        <f t="shared" si="3"/>
        <v>900740</v>
      </c>
      <c r="I98" s="10">
        <f t="shared" si="7"/>
        <v>22.35</v>
      </c>
      <c r="J98" s="11" t="str">
        <f>IFERROR(__xludf.DUMMYFUNCTION("SPARKLINE(F98/G98, {""charttype"",""bar"";""max"",1;""min"",0;""color1"",""green""})"),"")</f>
        <v/>
      </c>
      <c r="K98" s="8">
        <v>74.0</v>
      </c>
      <c r="L98" s="11" t="str">
        <f>IFERROR(__xludf.DUMMYFUNCTION("SPARKLINE(K98, {""charttype"",""bar"";""max"",100;""min"",0;""color1"",""green""})"),"")</f>
        <v/>
      </c>
      <c r="M98" s="8" t="s">
        <v>86</v>
      </c>
      <c r="N98" s="8" t="s">
        <v>28</v>
      </c>
      <c r="O98" s="9"/>
      <c r="P98" s="9"/>
      <c r="Q98" s="9"/>
      <c r="R98" s="8">
        <v>37.0</v>
      </c>
      <c r="S98" s="9" t="str">
        <f>IFERROR(__xludf.DUMMYFUNCTION("SPARKLINE(R98, {""charttype"",""bar"";""max"",100;""min"",0;""color1"",""grey""})"),"")</f>
        <v/>
      </c>
      <c r="T98" s="9"/>
      <c r="U98" s="9"/>
      <c r="V98" s="8">
        <v>70.0</v>
      </c>
      <c r="W98" s="9" t="str">
        <f>IFERROR(__xludf.DUMMYFUNCTION("SPARKLINE(V98, {""charttype"",""bar"";""max"",100;""min"",0;""color1"",""grey""})"),"")</f>
        <v/>
      </c>
      <c r="X98" s="8">
        <v>190.0</v>
      </c>
    </row>
    <row r="99">
      <c r="A99" s="8" t="s">
        <v>167</v>
      </c>
      <c r="B99" s="8" t="s">
        <v>176</v>
      </c>
      <c r="C99" s="8" t="s">
        <v>53</v>
      </c>
      <c r="D99" s="8" t="s">
        <v>26</v>
      </c>
      <c r="E99" s="8" t="str">
        <f t="shared" si="1"/>
        <v>★</v>
      </c>
      <c r="F99" s="9">
        <v>10400.0</v>
      </c>
      <c r="G99" s="8">
        <f t="shared" si="2"/>
        <v>25000</v>
      </c>
      <c r="H99" s="8">
        <f t="shared" si="3"/>
        <v>14600</v>
      </c>
      <c r="I99" s="10">
        <f t="shared" si="7"/>
        <v>41.6</v>
      </c>
      <c r="J99" s="11" t="str">
        <f>IFERROR(__xludf.DUMMYFUNCTION("SPARKLINE(F99/G99, {""charttype"",""bar"";""max"",1;""min"",0;""color1"",""green""})"),"")</f>
        <v/>
      </c>
      <c r="K99" s="8">
        <v>62.0</v>
      </c>
      <c r="L99" s="11" t="str">
        <f>IFERROR(__xludf.DUMMYFUNCTION("SPARKLINE(K99, {""charttype"",""bar"";""max"",100;""min"",0;""color1"",""green""})"),"")</f>
        <v/>
      </c>
      <c r="M99" s="8" t="s">
        <v>66</v>
      </c>
      <c r="N99" s="8" t="s">
        <v>28</v>
      </c>
      <c r="O99" s="9"/>
      <c r="P99" s="9"/>
      <c r="Q99" s="9"/>
      <c r="R99" s="8">
        <v>80.0</v>
      </c>
      <c r="S99" s="9" t="str">
        <f>IFERROR(__xludf.DUMMYFUNCTION("SPARKLINE(R99, {""charttype"",""bar"";""max"",100;""min"",0;""color1"",""grey""})"),"")</f>
        <v/>
      </c>
      <c r="T99" s="9"/>
      <c r="U99" s="9"/>
      <c r="V99" s="8">
        <v>90.0</v>
      </c>
      <c r="W99" s="9" t="str">
        <f>IFERROR(__xludf.DUMMYFUNCTION("SPARKLINE(V99, {""charttype"",""bar"";""max"",100;""min"",0;""color1"",""grey""})"),"")</f>
        <v/>
      </c>
      <c r="X99" s="8">
        <v>200.0</v>
      </c>
    </row>
    <row r="100">
      <c r="A100" s="8" t="s">
        <v>177</v>
      </c>
      <c r="B100" s="8" t="s">
        <v>178</v>
      </c>
      <c r="C100" s="8" t="s">
        <v>60</v>
      </c>
      <c r="D100" s="8" t="s">
        <v>36</v>
      </c>
      <c r="E100" s="8" t="str">
        <f t="shared" si="1"/>
        <v>★</v>
      </c>
      <c r="F100" s="8">
        <v>10200.0</v>
      </c>
      <c r="G100" s="8">
        <f t="shared" si="2"/>
        <v>25000</v>
      </c>
      <c r="H100" s="8">
        <f t="shared" si="3"/>
        <v>14800</v>
      </c>
      <c r="I100" s="10">
        <f t="shared" si="7"/>
        <v>40.8</v>
      </c>
      <c r="J100" s="11" t="str">
        <f>IFERROR(__xludf.DUMMYFUNCTION("SPARKLINE(F100/G100, {""charttype"",""bar"";""max"",1;""min"",0;""color1"",""green""})"),"")</f>
        <v/>
      </c>
      <c r="K100" s="8">
        <v>88.0</v>
      </c>
      <c r="L100" s="11" t="str">
        <f>IFERROR(__xludf.DUMMYFUNCTION("SPARKLINE(K100, {""charttype"",""bar"";""max"",100;""min"",0;""color1"",""green""})"),"")</f>
        <v/>
      </c>
      <c r="M100" s="8" t="s">
        <v>55</v>
      </c>
      <c r="N100" s="8" t="s">
        <v>28</v>
      </c>
      <c r="O100" s="9"/>
      <c r="P100" s="9"/>
      <c r="Q100" s="9"/>
      <c r="R100" s="8">
        <v>40.0</v>
      </c>
      <c r="S100" s="9" t="str">
        <f>IFERROR(__xludf.DUMMYFUNCTION("SPARKLINE(R100, {""charttype"",""bar"";""max"",100;""min"",0;""color1"",""grey""})"),"")</f>
        <v/>
      </c>
      <c r="T100" s="9"/>
      <c r="U100" s="9"/>
      <c r="V100" s="8">
        <v>40.0</v>
      </c>
      <c r="W100" s="9" t="str">
        <f>IFERROR(__xludf.DUMMYFUNCTION("SPARKLINE(V100, {""charttype"",""bar"";""max"",100;""min"",0;""color1"",""grey""})"),"")</f>
        <v/>
      </c>
      <c r="X100" s="8">
        <v>190.0</v>
      </c>
    </row>
    <row r="101">
      <c r="A101" s="8" t="s">
        <v>177</v>
      </c>
      <c r="B101" s="8" t="s">
        <v>179</v>
      </c>
      <c r="C101" s="8" t="s">
        <v>35</v>
      </c>
      <c r="D101" s="8" t="s">
        <v>91</v>
      </c>
      <c r="E101" s="8" t="str">
        <f t="shared" si="1"/>
        <v>★</v>
      </c>
      <c r="F101" s="9">
        <v>16810.0</v>
      </c>
      <c r="G101" s="8">
        <f t="shared" si="2"/>
        <v>25000</v>
      </c>
      <c r="H101" s="8">
        <f t="shared" si="3"/>
        <v>8190</v>
      </c>
      <c r="I101" s="10">
        <f t="shared" si="7"/>
        <v>67.24</v>
      </c>
      <c r="J101" s="11" t="str">
        <f>IFERROR(__xludf.DUMMYFUNCTION("SPARKLINE(F101/G101, {""charttype"",""bar"";""max"",1;""min"",0;""color1"",""green""})"),"")</f>
        <v/>
      </c>
      <c r="K101" s="8">
        <v>60.0</v>
      </c>
      <c r="L101" s="11" t="str">
        <f>IFERROR(__xludf.DUMMYFUNCTION("SPARKLINE(K101, {""charttype"",""bar"";""max"",100;""min"",0;""color1"",""green""})"),"")</f>
        <v/>
      </c>
      <c r="M101" s="8" t="s">
        <v>37</v>
      </c>
      <c r="N101" s="8" t="s">
        <v>33</v>
      </c>
      <c r="O101" s="9"/>
      <c r="P101" s="9"/>
      <c r="Q101" s="9"/>
      <c r="R101" s="8">
        <v>75.0</v>
      </c>
      <c r="S101" s="9" t="str">
        <f>IFERROR(__xludf.DUMMYFUNCTION("SPARKLINE(R101, {""charttype"",""bar"";""max"",100;""min"",0;""color1"",""grey""})"),"")</f>
        <v/>
      </c>
      <c r="T101" s="9"/>
      <c r="U101" s="9"/>
      <c r="V101" s="8">
        <v>60.0</v>
      </c>
      <c r="W101" s="9" t="str">
        <f>IFERROR(__xludf.DUMMYFUNCTION("SPARKLINE(V101, {""charttype"",""bar"";""max"",100;""min"",0;""color1"",""grey""})"),"")</f>
        <v/>
      </c>
      <c r="X101" s="8">
        <v>210.0</v>
      </c>
    </row>
    <row r="102">
      <c r="A102" s="8" t="s">
        <v>177</v>
      </c>
      <c r="B102" s="8" t="s">
        <v>180</v>
      </c>
      <c r="C102" s="8" t="s">
        <v>53</v>
      </c>
      <c r="D102" s="8" t="s">
        <v>58</v>
      </c>
      <c r="E102" s="8" t="str">
        <f t="shared" si="1"/>
        <v>★</v>
      </c>
      <c r="F102" s="9">
        <v>14900.0</v>
      </c>
      <c r="G102" s="8">
        <f t="shared" si="2"/>
        <v>25000</v>
      </c>
      <c r="H102" s="8">
        <f t="shared" si="3"/>
        <v>10100</v>
      </c>
      <c r="I102" s="10">
        <f t="shared" si="7"/>
        <v>59.6</v>
      </c>
      <c r="J102" s="11" t="str">
        <f>IFERROR(__xludf.DUMMYFUNCTION("SPARKLINE(F102/G102, {""charttype"",""bar"";""max"",1;""min"",0;""color1"",""green""})"),"")</f>
        <v/>
      </c>
      <c r="K102" s="8">
        <v>88.0</v>
      </c>
      <c r="L102" s="11" t="str">
        <f>IFERROR(__xludf.DUMMYFUNCTION("SPARKLINE(K102, {""charttype"",""bar"";""max"",100;""min"",0;""color1"",""green""})"),"")</f>
        <v/>
      </c>
      <c r="M102" s="8" t="s">
        <v>55</v>
      </c>
      <c r="N102" s="8" t="s">
        <v>28</v>
      </c>
      <c r="O102" s="9"/>
      <c r="P102" s="9"/>
      <c r="Q102" s="9"/>
      <c r="R102" s="8">
        <v>40.0</v>
      </c>
      <c r="S102" s="9" t="str">
        <f>IFERROR(__xludf.DUMMYFUNCTION("SPARKLINE(R102, {""charttype"",""bar"";""max"",100;""min"",0;""color1"",""grey""})"),"")</f>
        <v/>
      </c>
      <c r="T102" s="9"/>
      <c r="U102" s="9"/>
      <c r="V102" s="8">
        <v>40.0</v>
      </c>
      <c r="W102" s="9" t="str">
        <f>IFERROR(__xludf.DUMMYFUNCTION("SPARKLINE(V102, {""charttype"",""bar"";""max"",100;""min"",0;""color1"",""grey""})"),"")</f>
        <v/>
      </c>
      <c r="X102" s="8">
        <v>180.0</v>
      </c>
    </row>
    <row r="103">
      <c r="I103" s="13"/>
      <c r="K103" s="14"/>
    </row>
    <row r="104">
      <c r="I104" s="13"/>
      <c r="K104" s="14"/>
    </row>
    <row r="105">
      <c r="I105" s="13"/>
      <c r="K105" s="14"/>
    </row>
    <row r="106">
      <c r="I106" s="13"/>
      <c r="K106" s="14"/>
    </row>
    <row r="107">
      <c r="I107" s="13"/>
      <c r="K107" s="14"/>
    </row>
    <row r="108">
      <c r="I108" s="13"/>
      <c r="K108" s="14"/>
    </row>
    <row r="109">
      <c r="D109" s="15"/>
      <c r="F109" s="13"/>
      <c r="G109" s="15"/>
      <c r="I109" s="13"/>
      <c r="K109" s="14"/>
    </row>
    <row r="110">
      <c r="D110" s="15"/>
      <c r="F110" s="13"/>
      <c r="G110" s="13"/>
      <c r="I110" s="13"/>
      <c r="K110" s="14"/>
    </row>
    <row r="111">
      <c r="D111" s="15"/>
      <c r="F111" s="13"/>
      <c r="G111" s="13"/>
      <c r="K111" s="14"/>
    </row>
    <row r="112">
      <c r="D112" s="15"/>
      <c r="F112" s="13"/>
      <c r="G112" s="13"/>
      <c r="K112" s="14"/>
    </row>
    <row r="113">
      <c r="D113" s="15"/>
      <c r="F113" s="13"/>
      <c r="G113" s="13"/>
      <c r="K113" s="14"/>
    </row>
    <row r="114">
      <c r="D114" s="15"/>
      <c r="F114" s="13"/>
      <c r="G114" s="13"/>
      <c r="K114" s="14"/>
    </row>
    <row r="115">
      <c r="D115" s="15"/>
      <c r="F115" s="13"/>
      <c r="G115" s="13"/>
      <c r="K115" s="14"/>
    </row>
    <row r="116">
      <c r="D116" s="15"/>
      <c r="F116" s="13"/>
      <c r="G116" s="13"/>
      <c r="K116" s="14"/>
    </row>
    <row r="117">
      <c r="D117" s="15"/>
      <c r="F117" s="13"/>
      <c r="G117" s="13"/>
      <c r="K117" s="14"/>
    </row>
    <row r="118">
      <c r="D118" s="15"/>
      <c r="F118" s="13"/>
      <c r="G118" s="13"/>
      <c r="K118" s="14"/>
    </row>
    <row r="119">
      <c r="D119" s="15"/>
      <c r="F119" s="13"/>
      <c r="G119" s="13"/>
      <c r="K119" s="14"/>
    </row>
    <row r="120">
      <c r="I120" s="13"/>
      <c r="K120" s="14"/>
    </row>
    <row r="121">
      <c r="I121" s="13"/>
      <c r="K121" s="14"/>
    </row>
    <row r="122">
      <c r="I122" s="13"/>
      <c r="K122" s="14"/>
    </row>
    <row r="123">
      <c r="I123" s="13"/>
      <c r="K123" s="14"/>
    </row>
    <row r="124">
      <c r="I124" s="13"/>
      <c r="K124" s="14"/>
    </row>
    <row r="125">
      <c r="I125" s="13"/>
      <c r="K125" s="14"/>
    </row>
    <row r="126">
      <c r="I126" s="13"/>
      <c r="K126" s="14"/>
    </row>
    <row r="127">
      <c r="I127" s="13"/>
      <c r="K127" s="14"/>
    </row>
    <row r="128">
      <c r="I128" s="13"/>
      <c r="K128" s="14"/>
    </row>
    <row r="129">
      <c r="I129" s="13"/>
      <c r="K129" s="14"/>
    </row>
    <row r="130">
      <c r="I130" s="13"/>
      <c r="K130" s="14"/>
    </row>
    <row r="131">
      <c r="I131" s="13"/>
      <c r="K131" s="14"/>
    </row>
    <row r="132">
      <c r="I132" s="13"/>
      <c r="K132" s="14"/>
    </row>
    <row r="133">
      <c r="I133" s="13"/>
      <c r="K133" s="14"/>
    </row>
    <row r="134">
      <c r="I134" s="13"/>
      <c r="K134" s="14"/>
    </row>
    <row r="135">
      <c r="I135" s="13"/>
      <c r="K135" s="14"/>
    </row>
    <row r="136">
      <c r="I136" s="13"/>
      <c r="K136" s="14"/>
    </row>
    <row r="137">
      <c r="I137" s="13"/>
      <c r="K137" s="14"/>
    </row>
    <row r="138">
      <c r="I138" s="13"/>
      <c r="K138" s="14"/>
    </row>
    <row r="139">
      <c r="I139" s="13"/>
      <c r="K139" s="14"/>
    </row>
    <row r="140">
      <c r="I140" s="13"/>
      <c r="K140" s="14"/>
    </row>
    <row r="141">
      <c r="I141" s="13"/>
      <c r="K141" s="14"/>
    </row>
    <row r="142">
      <c r="I142" s="13"/>
      <c r="K142" s="14"/>
    </row>
    <row r="143">
      <c r="I143" s="13"/>
      <c r="K143" s="14"/>
    </row>
    <row r="144">
      <c r="I144" s="13"/>
      <c r="K144" s="14"/>
    </row>
    <row r="145">
      <c r="I145" s="13"/>
      <c r="K145" s="14"/>
    </row>
    <row r="146">
      <c r="I146" s="13"/>
      <c r="K146" s="14"/>
    </row>
    <row r="147">
      <c r="I147" s="13"/>
      <c r="K147" s="14"/>
    </row>
    <row r="148">
      <c r="I148" s="13"/>
      <c r="K148" s="14"/>
    </row>
    <row r="149">
      <c r="I149" s="13"/>
      <c r="K149" s="14"/>
    </row>
    <row r="150">
      <c r="I150" s="13"/>
      <c r="K150" s="14"/>
    </row>
    <row r="151">
      <c r="I151" s="13"/>
      <c r="K151" s="14"/>
    </row>
    <row r="152">
      <c r="I152" s="13"/>
      <c r="K152" s="14"/>
    </row>
    <row r="153">
      <c r="I153" s="13"/>
      <c r="K153" s="14"/>
    </row>
    <row r="154">
      <c r="I154" s="13"/>
      <c r="K154" s="14"/>
    </row>
    <row r="155">
      <c r="I155" s="13"/>
      <c r="K155" s="14"/>
    </row>
    <row r="156">
      <c r="I156" s="13"/>
      <c r="K156" s="14"/>
    </row>
    <row r="157">
      <c r="I157" s="13"/>
      <c r="K157" s="14"/>
    </row>
    <row r="158">
      <c r="I158" s="13"/>
      <c r="K158" s="14"/>
    </row>
    <row r="159">
      <c r="I159" s="13"/>
      <c r="K159" s="14"/>
    </row>
    <row r="160">
      <c r="I160" s="13"/>
      <c r="K160" s="14"/>
    </row>
    <row r="161">
      <c r="I161" s="13"/>
      <c r="K161" s="14"/>
    </row>
    <row r="162">
      <c r="I162" s="13"/>
      <c r="K162" s="14"/>
    </row>
    <row r="163">
      <c r="I163" s="13"/>
      <c r="K163" s="14"/>
    </row>
    <row r="164">
      <c r="I164" s="13"/>
      <c r="K164" s="14"/>
    </row>
    <row r="165">
      <c r="I165" s="13"/>
      <c r="K165" s="14"/>
    </row>
    <row r="166">
      <c r="I166" s="13"/>
      <c r="K166" s="14"/>
    </row>
    <row r="167">
      <c r="I167" s="13"/>
      <c r="K167" s="14"/>
    </row>
    <row r="168">
      <c r="I168" s="13"/>
      <c r="K168" s="14"/>
    </row>
    <row r="169">
      <c r="I169" s="13"/>
      <c r="K169" s="14"/>
    </row>
    <row r="170">
      <c r="I170" s="13"/>
      <c r="K170" s="14"/>
    </row>
    <row r="171">
      <c r="I171" s="13"/>
      <c r="K171" s="14"/>
    </row>
    <row r="172">
      <c r="I172" s="13"/>
      <c r="K172" s="14"/>
    </row>
    <row r="173">
      <c r="I173" s="13"/>
      <c r="K173" s="14"/>
    </row>
    <row r="174">
      <c r="I174" s="13"/>
      <c r="K174" s="14"/>
    </row>
    <row r="175">
      <c r="I175" s="13"/>
      <c r="K175" s="14"/>
    </row>
    <row r="176">
      <c r="I176" s="13"/>
      <c r="K176" s="14"/>
    </row>
    <row r="177">
      <c r="I177" s="13"/>
      <c r="K177" s="14"/>
    </row>
    <row r="178">
      <c r="I178" s="13"/>
      <c r="K178" s="14"/>
    </row>
    <row r="179">
      <c r="I179" s="13"/>
      <c r="K179" s="14"/>
    </row>
    <row r="180">
      <c r="I180" s="13"/>
      <c r="K180" s="14"/>
    </row>
    <row r="181">
      <c r="I181" s="13"/>
      <c r="K181" s="14"/>
    </row>
    <row r="182">
      <c r="I182" s="13"/>
      <c r="K182" s="14"/>
    </row>
    <row r="183">
      <c r="I183" s="13"/>
      <c r="K183" s="14"/>
    </row>
    <row r="184">
      <c r="I184" s="13"/>
      <c r="K184" s="14"/>
    </row>
    <row r="185">
      <c r="I185" s="13"/>
      <c r="K185" s="14"/>
    </row>
    <row r="186">
      <c r="I186" s="13"/>
      <c r="K186" s="14"/>
    </row>
    <row r="187">
      <c r="I187" s="13"/>
      <c r="K187" s="14"/>
    </row>
    <row r="188">
      <c r="I188" s="13"/>
      <c r="K188" s="14"/>
    </row>
    <row r="189">
      <c r="I189" s="13"/>
      <c r="K189" s="14"/>
    </row>
    <row r="190">
      <c r="I190" s="13"/>
      <c r="K190" s="14"/>
    </row>
    <row r="191">
      <c r="I191" s="13"/>
      <c r="K191" s="14"/>
    </row>
    <row r="192">
      <c r="I192" s="13"/>
      <c r="K192" s="14"/>
    </row>
    <row r="193">
      <c r="I193" s="13"/>
      <c r="K193" s="14"/>
    </row>
    <row r="194">
      <c r="I194" s="13"/>
      <c r="K194" s="14"/>
    </row>
    <row r="195">
      <c r="I195" s="13"/>
      <c r="K195" s="14"/>
    </row>
    <row r="196">
      <c r="I196" s="13"/>
      <c r="K196" s="14"/>
    </row>
    <row r="197">
      <c r="I197" s="13"/>
      <c r="K197" s="14"/>
    </row>
    <row r="198">
      <c r="I198" s="13"/>
      <c r="K198" s="14"/>
    </row>
    <row r="199">
      <c r="I199" s="13"/>
      <c r="K199" s="14"/>
    </row>
    <row r="200">
      <c r="I200" s="13"/>
      <c r="K200" s="14"/>
    </row>
    <row r="201">
      <c r="I201" s="13"/>
      <c r="K201" s="14"/>
    </row>
    <row r="202">
      <c r="I202" s="13"/>
      <c r="K202" s="14"/>
    </row>
    <row r="203">
      <c r="I203" s="13"/>
      <c r="K203" s="14"/>
    </row>
    <row r="204">
      <c r="I204" s="13"/>
      <c r="K204" s="14"/>
    </row>
    <row r="205">
      <c r="I205" s="13"/>
      <c r="K205" s="14"/>
    </row>
    <row r="206">
      <c r="I206" s="13"/>
      <c r="K206" s="14"/>
    </row>
    <row r="207">
      <c r="I207" s="13"/>
      <c r="K207" s="14"/>
    </row>
    <row r="208">
      <c r="I208" s="13"/>
      <c r="K208" s="14"/>
    </row>
    <row r="209">
      <c r="I209" s="13"/>
      <c r="K209" s="14"/>
    </row>
    <row r="210">
      <c r="I210" s="13"/>
      <c r="K210" s="14"/>
    </row>
    <row r="211">
      <c r="I211" s="13"/>
      <c r="K211" s="14"/>
    </row>
    <row r="212">
      <c r="I212" s="13"/>
      <c r="K212" s="14"/>
    </row>
    <row r="213">
      <c r="I213" s="13"/>
      <c r="K213" s="14"/>
    </row>
    <row r="214">
      <c r="I214" s="13"/>
      <c r="K214" s="14"/>
    </row>
    <row r="215">
      <c r="I215" s="13"/>
      <c r="K215" s="14"/>
    </row>
    <row r="216">
      <c r="I216" s="13"/>
      <c r="K216" s="14"/>
    </row>
    <row r="217">
      <c r="I217" s="13"/>
      <c r="K217" s="14"/>
    </row>
    <row r="218">
      <c r="I218" s="13"/>
      <c r="K218" s="14"/>
    </row>
    <row r="219">
      <c r="I219" s="13"/>
      <c r="K219" s="14"/>
    </row>
    <row r="220">
      <c r="I220" s="13"/>
      <c r="K220" s="14"/>
    </row>
    <row r="221">
      <c r="I221" s="13"/>
      <c r="K221" s="14"/>
    </row>
    <row r="222">
      <c r="I222" s="13"/>
      <c r="K222" s="14"/>
    </row>
    <row r="223">
      <c r="I223" s="13"/>
      <c r="K223" s="14"/>
    </row>
    <row r="224">
      <c r="I224" s="13"/>
      <c r="K224" s="14"/>
    </row>
    <row r="225">
      <c r="I225" s="13"/>
      <c r="K225" s="14"/>
    </row>
    <row r="226">
      <c r="I226" s="13"/>
      <c r="K226" s="14"/>
    </row>
    <row r="227">
      <c r="I227" s="13"/>
      <c r="K227" s="14"/>
    </row>
    <row r="228">
      <c r="I228" s="13"/>
      <c r="K228" s="14"/>
    </row>
    <row r="229">
      <c r="I229" s="13"/>
      <c r="K229" s="14"/>
    </row>
    <row r="230">
      <c r="I230" s="13"/>
      <c r="K230" s="14"/>
    </row>
    <row r="231">
      <c r="I231" s="13"/>
      <c r="K231" s="14"/>
    </row>
    <row r="232">
      <c r="I232" s="13"/>
      <c r="K232" s="14"/>
    </row>
    <row r="233">
      <c r="I233" s="13"/>
      <c r="K233" s="14"/>
    </row>
    <row r="234">
      <c r="I234" s="13"/>
      <c r="K234" s="14"/>
    </row>
    <row r="235">
      <c r="I235" s="13"/>
      <c r="K235" s="14"/>
    </row>
    <row r="236">
      <c r="I236" s="13"/>
      <c r="K236" s="14"/>
    </row>
    <row r="237">
      <c r="I237" s="13"/>
      <c r="K237" s="14"/>
    </row>
    <row r="238">
      <c r="I238" s="13"/>
      <c r="K238" s="14"/>
    </row>
    <row r="239">
      <c r="I239" s="13"/>
      <c r="K239" s="14"/>
    </row>
    <row r="240">
      <c r="I240" s="13"/>
      <c r="K240" s="14"/>
    </row>
    <row r="241">
      <c r="I241" s="13"/>
      <c r="K241" s="14"/>
    </row>
    <row r="242">
      <c r="I242" s="13"/>
      <c r="K242" s="14"/>
    </row>
    <row r="243">
      <c r="I243" s="13"/>
      <c r="K243" s="14"/>
    </row>
    <row r="244">
      <c r="I244" s="13"/>
      <c r="K244" s="14"/>
    </row>
    <row r="245">
      <c r="I245" s="13"/>
      <c r="K245" s="14"/>
    </row>
    <row r="246">
      <c r="I246" s="13"/>
      <c r="K246" s="14"/>
    </row>
    <row r="247">
      <c r="I247" s="13"/>
      <c r="K247" s="14"/>
    </row>
    <row r="248">
      <c r="I248" s="13"/>
      <c r="K248" s="14"/>
    </row>
    <row r="249">
      <c r="I249" s="13"/>
      <c r="K249" s="14"/>
    </row>
    <row r="250">
      <c r="I250" s="13"/>
      <c r="K250" s="14"/>
    </row>
    <row r="251">
      <c r="I251" s="13"/>
      <c r="K251" s="14"/>
    </row>
    <row r="252">
      <c r="I252" s="13"/>
      <c r="K252" s="14"/>
    </row>
    <row r="253">
      <c r="I253" s="13"/>
      <c r="K253" s="14"/>
    </row>
    <row r="254">
      <c r="I254" s="13"/>
      <c r="K254" s="14"/>
    </row>
    <row r="255">
      <c r="I255" s="13"/>
      <c r="K255" s="14"/>
    </row>
    <row r="256">
      <c r="I256" s="13"/>
      <c r="K256" s="14"/>
    </row>
    <row r="257">
      <c r="I257" s="13"/>
      <c r="K257" s="14"/>
    </row>
    <row r="258">
      <c r="I258" s="13"/>
      <c r="K258" s="14"/>
    </row>
    <row r="259">
      <c r="I259" s="13"/>
      <c r="K259" s="14"/>
    </row>
    <row r="260">
      <c r="I260" s="13"/>
      <c r="K260" s="14"/>
    </row>
    <row r="261">
      <c r="I261" s="13"/>
      <c r="K261" s="14"/>
    </row>
    <row r="262">
      <c r="I262" s="13"/>
      <c r="K262" s="14"/>
    </row>
    <row r="263">
      <c r="I263" s="13"/>
      <c r="K263" s="14"/>
    </row>
    <row r="264">
      <c r="I264" s="13"/>
      <c r="K264" s="14"/>
    </row>
    <row r="265">
      <c r="I265" s="13"/>
      <c r="K265" s="14"/>
    </row>
    <row r="266">
      <c r="I266" s="13"/>
      <c r="K266" s="14"/>
    </row>
    <row r="267">
      <c r="I267" s="13"/>
      <c r="K267" s="14"/>
    </row>
    <row r="268">
      <c r="I268" s="13"/>
      <c r="K268" s="14"/>
    </row>
    <row r="269">
      <c r="I269" s="13"/>
      <c r="K269" s="14"/>
    </row>
    <row r="270">
      <c r="I270" s="13"/>
      <c r="K270" s="14"/>
    </row>
    <row r="271">
      <c r="I271" s="13"/>
      <c r="K271" s="14"/>
    </row>
    <row r="272">
      <c r="I272" s="13"/>
      <c r="K272" s="14"/>
    </row>
    <row r="273">
      <c r="I273" s="13"/>
      <c r="K273" s="14"/>
    </row>
    <row r="274">
      <c r="I274" s="13"/>
      <c r="K274" s="14"/>
    </row>
    <row r="275">
      <c r="I275" s="13"/>
      <c r="K275" s="14"/>
    </row>
    <row r="276">
      <c r="I276" s="13"/>
      <c r="K276" s="14"/>
    </row>
    <row r="277">
      <c r="I277" s="13"/>
      <c r="K277" s="14"/>
    </row>
    <row r="278">
      <c r="I278" s="13"/>
      <c r="K278" s="14"/>
    </row>
    <row r="279">
      <c r="I279" s="13"/>
      <c r="K279" s="14"/>
    </row>
    <row r="280">
      <c r="I280" s="13"/>
      <c r="K280" s="14"/>
    </row>
    <row r="281">
      <c r="I281" s="13"/>
      <c r="K281" s="14"/>
    </row>
    <row r="282">
      <c r="I282" s="13"/>
      <c r="K282" s="14"/>
    </row>
    <row r="283">
      <c r="I283" s="13"/>
      <c r="K283" s="14"/>
    </row>
    <row r="284">
      <c r="I284" s="13"/>
      <c r="K284" s="14"/>
    </row>
    <row r="285">
      <c r="I285" s="13"/>
      <c r="K285" s="14"/>
    </row>
    <row r="286">
      <c r="I286" s="13"/>
      <c r="K286" s="14"/>
    </row>
    <row r="287">
      <c r="I287" s="13"/>
      <c r="K287" s="14"/>
    </row>
    <row r="288">
      <c r="I288" s="13"/>
      <c r="K288" s="14"/>
    </row>
    <row r="289">
      <c r="I289" s="13"/>
      <c r="K289" s="14"/>
    </row>
    <row r="290">
      <c r="I290" s="13"/>
      <c r="K290" s="14"/>
    </row>
    <row r="291">
      <c r="I291" s="13"/>
      <c r="K291" s="14"/>
    </row>
    <row r="292">
      <c r="I292" s="13"/>
      <c r="K292" s="14"/>
    </row>
    <row r="293">
      <c r="I293" s="13"/>
      <c r="K293" s="14"/>
    </row>
    <row r="294">
      <c r="I294" s="13"/>
      <c r="K294" s="14"/>
    </row>
    <row r="295">
      <c r="I295" s="13"/>
      <c r="K295" s="14"/>
    </row>
    <row r="296">
      <c r="I296" s="13"/>
      <c r="K296" s="14"/>
    </row>
    <row r="297">
      <c r="I297" s="13"/>
      <c r="K297" s="14"/>
    </row>
    <row r="298">
      <c r="I298" s="13"/>
      <c r="K298" s="14"/>
    </row>
    <row r="299">
      <c r="I299" s="13"/>
      <c r="K299" s="14"/>
    </row>
    <row r="300">
      <c r="I300" s="13"/>
      <c r="K300" s="14"/>
    </row>
    <row r="301">
      <c r="I301" s="13"/>
      <c r="K301" s="14"/>
    </row>
    <row r="302">
      <c r="I302" s="13"/>
      <c r="K302" s="14"/>
    </row>
    <row r="303">
      <c r="I303" s="13"/>
      <c r="K303" s="14"/>
    </row>
    <row r="304">
      <c r="I304" s="13"/>
      <c r="K304" s="14"/>
    </row>
    <row r="305">
      <c r="I305" s="13"/>
      <c r="K305" s="14"/>
    </row>
    <row r="306">
      <c r="I306" s="13"/>
      <c r="K306" s="14"/>
    </row>
    <row r="307">
      <c r="I307" s="13"/>
      <c r="K307" s="14"/>
    </row>
    <row r="308">
      <c r="I308" s="13"/>
      <c r="K308" s="14"/>
    </row>
    <row r="309">
      <c r="I309" s="13"/>
      <c r="K309" s="14"/>
    </row>
    <row r="310">
      <c r="I310" s="13"/>
      <c r="K310" s="14"/>
    </row>
    <row r="311">
      <c r="I311" s="13"/>
      <c r="K311" s="14"/>
    </row>
    <row r="312">
      <c r="I312" s="13"/>
      <c r="K312" s="14"/>
    </row>
    <row r="313">
      <c r="I313" s="13"/>
      <c r="K313" s="14"/>
    </row>
    <row r="314">
      <c r="I314" s="13"/>
      <c r="K314" s="14"/>
    </row>
    <row r="315">
      <c r="I315" s="13"/>
      <c r="K315" s="14"/>
    </row>
    <row r="316">
      <c r="I316" s="13"/>
      <c r="K316" s="14"/>
    </row>
    <row r="317">
      <c r="I317" s="13"/>
      <c r="K317" s="14"/>
    </row>
    <row r="318">
      <c r="I318" s="13"/>
      <c r="K318" s="14"/>
    </row>
    <row r="319">
      <c r="I319" s="13"/>
      <c r="K319" s="14"/>
    </row>
    <row r="320">
      <c r="I320" s="13"/>
      <c r="K320" s="14"/>
    </row>
    <row r="321">
      <c r="I321" s="13"/>
      <c r="K321" s="14"/>
    </row>
    <row r="322">
      <c r="I322" s="13"/>
      <c r="K322" s="14"/>
    </row>
    <row r="323">
      <c r="I323" s="13"/>
      <c r="K323" s="14"/>
    </row>
    <row r="324">
      <c r="I324" s="13"/>
      <c r="K324" s="14"/>
    </row>
    <row r="325">
      <c r="I325" s="13"/>
      <c r="K325" s="14"/>
    </row>
    <row r="326">
      <c r="I326" s="13"/>
      <c r="K326" s="14"/>
    </row>
    <row r="327">
      <c r="I327" s="13"/>
      <c r="K327" s="14"/>
    </row>
    <row r="328">
      <c r="I328" s="13"/>
      <c r="K328" s="14"/>
    </row>
    <row r="329">
      <c r="I329" s="13"/>
      <c r="K329" s="14"/>
    </row>
    <row r="330">
      <c r="I330" s="13"/>
      <c r="K330" s="14"/>
    </row>
    <row r="331">
      <c r="I331" s="13"/>
      <c r="K331" s="14"/>
    </row>
    <row r="332">
      <c r="I332" s="13"/>
      <c r="K332" s="14"/>
    </row>
    <row r="333">
      <c r="I333" s="13"/>
      <c r="K333" s="14"/>
    </row>
    <row r="334">
      <c r="I334" s="13"/>
      <c r="K334" s="14"/>
    </row>
    <row r="335">
      <c r="I335" s="13"/>
      <c r="K335" s="14"/>
    </row>
    <row r="336">
      <c r="I336" s="13"/>
      <c r="K336" s="14"/>
    </row>
    <row r="337">
      <c r="I337" s="13"/>
      <c r="K337" s="14"/>
    </row>
    <row r="338">
      <c r="I338" s="13"/>
      <c r="K338" s="14"/>
    </row>
    <row r="339">
      <c r="I339" s="13"/>
      <c r="K339" s="14"/>
    </row>
    <row r="340">
      <c r="I340" s="13"/>
      <c r="K340" s="14"/>
    </row>
    <row r="341">
      <c r="I341" s="13"/>
      <c r="K341" s="14"/>
    </row>
    <row r="342">
      <c r="I342" s="13"/>
      <c r="K342" s="14"/>
    </row>
    <row r="343">
      <c r="I343" s="13"/>
      <c r="K343" s="14"/>
    </row>
    <row r="344">
      <c r="I344" s="13"/>
      <c r="K344" s="14"/>
    </row>
    <row r="345">
      <c r="I345" s="13"/>
      <c r="K345" s="14"/>
    </row>
    <row r="346">
      <c r="I346" s="13"/>
      <c r="K346" s="14"/>
    </row>
    <row r="347">
      <c r="I347" s="13"/>
      <c r="K347" s="14"/>
    </row>
    <row r="348">
      <c r="I348" s="13"/>
      <c r="K348" s="14"/>
    </row>
    <row r="349">
      <c r="I349" s="13"/>
      <c r="K349" s="14"/>
    </row>
    <row r="350">
      <c r="I350" s="13"/>
      <c r="K350" s="14"/>
    </row>
    <row r="351">
      <c r="I351" s="13"/>
      <c r="K351" s="14"/>
    </row>
    <row r="352">
      <c r="I352" s="13"/>
      <c r="K352" s="14"/>
    </row>
    <row r="353">
      <c r="I353" s="13"/>
      <c r="K353" s="14"/>
    </row>
    <row r="354">
      <c r="I354" s="13"/>
      <c r="K354" s="14"/>
    </row>
    <row r="355">
      <c r="I355" s="13"/>
      <c r="K355" s="14"/>
    </row>
    <row r="356">
      <c r="I356" s="13"/>
      <c r="K356" s="14"/>
    </row>
    <row r="357">
      <c r="I357" s="13"/>
      <c r="K357" s="14"/>
    </row>
    <row r="358">
      <c r="I358" s="13"/>
      <c r="K358" s="14"/>
    </row>
    <row r="359">
      <c r="I359" s="13"/>
      <c r="K359" s="14"/>
    </row>
    <row r="360">
      <c r="I360" s="13"/>
      <c r="K360" s="14"/>
    </row>
    <row r="361">
      <c r="I361" s="13"/>
      <c r="K361" s="14"/>
    </row>
    <row r="362">
      <c r="I362" s="13"/>
      <c r="K362" s="14"/>
    </row>
    <row r="363">
      <c r="I363" s="13"/>
      <c r="K363" s="14"/>
    </row>
    <row r="364">
      <c r="I364" s="13"/>
      <c r="K364" s="14"/>
    </row>
    <row r="365">
      <c r="I365" s="13"/>
      <c r="K365" s="14"/>
    </row>
    <row r="366">
      <c r="I366" s="13"/>
      <c r="K366" s="14"/>
    </row>
    <row r="367">
      <c r="I367" s="13"/>
      <c r="K367" s="14"/>
    </row>
    <row r="368">
      <c r="I368" s="13"/>
      <c r="K368" s="14"/>
    </row>
    <row r="369">
      <c r="I369" s="13"/>
      <c r="K369" s="14"/>
    </row>
    <row r="370">
      <c r="I370" s="13"/>
      <c r="K370" s="14"/>
    </row>
    <row r="371">
      <c r="I371" s="13"/>
      <c r="K371" s="14"/>
    </row>
    <row r="372">
      <c r="I372" s="13"/>
      <c r="K372" s="14"/>
    </row>
    <row r="373">
      <c r="I373" s="13"/>
      <c r="K373" s="14"/>
    </row>
    <row r="374">
      <c r="I374" s="13"/>
      <c r="K374" s="14"/>
    </row>
    <row r="375">
      <c r="I375" s="13"/>
      <c r="K375" s="14"/>
    </row>
    <row r="376">
      <c r="I376" s="13"/>
      <c r="K376" s="14"/>
    </row>
    <row r="377">
      <c r="I377" s="13"/>
      <c r="K377" s="14"/>
    </row>
    <row r="378">
      <c r="I378" s="13"/>
      <c r="K378" s="14"/>
    </row>
    <row r="379">
      <c r="I379" s="13"/>
      <c r="K379" s="14"/>
    </row>
    <row r="380">
      <c r="I380" s="13"/>
      <c r="K380" s="14"/>
    </row>
    <row r="381">
      <c r="I381" s="13"/>
      <c r="K381" s="14"/>
    </row>
    <row r="382">
      <c r="I382" s="13"/>
      <c r="K382" s="14"/>
    </row>
    <row r="383">
      <c r="I383" s="13"/>
      <c r="K383" s="14"/>
    </row>
    <row r="384">
      <c r="I384" s="13"/>
      <c r="K384" s="14"/>
    </row>
    <row r="385">
      <c r="I385" s="13"/>
      <c r="K385" s="14"/>
    </row>
    <row r="386">
      <c r="I386" s="13"/>
      <c r="K386" s="14"/>
    </row>
    <row r="387">
      <c r="I387" s="13"/>
      <c r="K387" s="14"/>
    </row>
    <row r="388">
      <c r="I388" s="13"/>
      <c r="K388" s="14"/>
    </row>
    <row r="389">
      <c r="I389" s="13"/>
      <c r="K389" s="14"/>
    </row>
    <row r="390">
      <c r="I390" s="13"/>
      <c r="K390" s="14"/>
    </row>
    <row r="391">
      <c r="I391" s="13"/>
      <c r="K391" s="14"/>
    </row>
    <row r="392">
      <c r="I392" s="13"/>
      <c r="K392" s="14"/>
    </row>
    <row r="393">
      <c r="I393" s="13"/>
      <c r="K393" s="14"/>
    </row>
    <row r="394">
      <c r="I394" s="13"/>
      <c r="K394" s="14"/>
    </row>
    <row r="395">
      <c r="I395" s="13"/>
      <c r="K395" s="14"/>
    </row>
    <row r="396">
      <c r="I396" s="13"/>
      <c r="K396" s="14"/>
    </row>
    <row r="397">
      <c r="I397" s="13"/>
      <c r="K397" s="14"/>
    </row>
    <row r="398">
      <c r="I398" s="13"/>
      <c r="K398" s="14"/>
    </row>
    <row r="399">
      <c r="I399" s="13"/>
      <c r="K399" s="14"/>
    </row>
    <row r="400">
      <c r="I400" s="13"/>
      <c r="K400" s="14"/>
    </row>
    <row r="401">
      <c r="I401" s="13"/>
      <c r="K401" s="14"/>
    </row>
    <row r="402">
      <c r="I402" s="13"/>
      <c r="K402" s="14"/>
    </row>
    <row r="403">
      <c r="I403" s="13"/>
      <c r="K403" s="14"/>
    </row>
    <row r="404">
      <c r="I404" s="13"/>
      <c r="K404" s="14"/>
    </row>
    <row r="405">
      <c r="I405" s="13"/>
      <c r="K405" s="14"/>
    </row>
    <row r="406">
      <c r="I406" s="13"/>
      <c r="K406" s="14"/>
    </row>
    <row r="407">
      <c r="I407" s="13"/>
      <c r="K407" s="14"/>
    </row>
    <row r="408">
      <c r="I408" s="13"/>
      <c r="K408" s="14"/>
    </row>
    <row r="409">
      <c r="I409" s="13"/>
      <c r="K409" s="14"/>
    </row>
    <row r="410">
      <c r="I410" s="13"/>
      <c r="K410" s="14"/>
    </row>
    <row r="411">
      <c r="I411" s="13"/>
      <c r="K411" s="14"/>
    </row>
    <row r="412">
      <c r="I412" s="13"/>
      <c r="K412" s="14"/>
    </row>
    <row r="413">
      <c r="I413" s="13"/>
      <c r="K413" s="14"/>
    </row>
    <row r="414">
      <c r="I414" s="13"/>
      <c r="K414" s="14"/>
    </row>
    <row r="415">
      <c r="I415" s="13"/>
      <c r="K415" s="14"/>
    </row>
    <row r="416">
      <c r="I416" s="13"/>
      <c r="K416" s="14"/>
    </row>
    <row r="417">
      <c r="I417" s="13"/>
      <c r="K417" s="14"/>
    </row>
    <row r="418">
      <c r="I418" s="13"/>
      <c r="K418" s="14"/>
    </row>
    <row r="419">
      <c r="I419" s="13"/>
      <c r="K419" s="14"/>
    </row>
    <row r="420">
      <c r="I420" s="13"/>
      <c r="K420" s="14"/>
    </row>
    <row r="421">
      <c r="I421" s="13"/>
      <c r="K421" s="14"/>
    </row>
    <row r="422">
      <c r="I422" s="13"/>
      <c r="K422" s="14"/>
    </row>
    <row r="423">
      <c r="I423" s="13"/>
      <c r="K423" s="14"/>
    </row>
    <row r="424">
      <c r="I424" s="13"/>
      <c r="K424" s="14"/>
    </row>
    <row r="425">
      <c r="I425" s="13"/>
      <c r="K425" s="14"/>
    </row>
    <row r="426">
      <c r="I426" s="13"/>
      <c r="K426" s="14"/>
    </row>
    <row r="427">
      <c r="I427" s="13"/>
      <c r="K427" s="14"/>
    </row>
    <row r="428">
      <c r="I428" s="13"/>
      <c r="K428" s="14"/>
    </row>
    <row r="429">
      <c r="I429" s="13"/>
      <c r="K429" s="14"/>
    </row>
    <row r="430">
      <c r="I430" s="13"/>
      <c r="K430" s="14"/>
    </row>
    <row r="431">
      <c r="I431" s="13"/>
      <c r="K431" s="14"/>
    </row>
    <row r="432">
      <c r="I432" s="13"/>
      <c r="K432" s="14"/>
    </row>
    <row r="433">
      <c r="I433" s="13"/>
      <c r="K433" s="14"/>
    </row>
    <row r="434">
      <c r="I434" s="13"/>
      <c r="K434" s="14"/>
    </row>
    <row r="435">
      <c r="I435" s="13"/>
      <c r="K435" s="14"/>
    </row>
    <row r="436">
      <c r="I436" s="13"/>
      <c r="K436" s="14"/>
    </row>
    <row r="437">
      <c r="I437" s="13"/>
      <c r="K437" s="14"/>
    </row>
    <row r="438">
      <c r="I438" s="13"/>
      <c r="K438" s="14"/>
    </row>
    <row r="439">
      <c r="I439" s="13"/>
      <c r="K439" s="14"/>
    </row>
    <row r="440">
      <c r="I440" s="13"/>
      <c r="K440" s="14"/>
    </row>
    <row r="441">
      <c r="I441" s="13"/>
      <c r="K441" s="14"/>
    </row>
    <row r="442">
      <c r="I442" s="13"/>
      <c r="K442" s="14"/>
    </row>
    <row r="443">
      <c r="I443" s="13"/>
      <c r="K443" s="14"/>
    </row>
    <row r="444">
      <c r="I444" s="13"/>
      <c r="K444" s="14"/>
    </row>
    <row r="445">
      <c r="I445" s="13"/>
      <c r="K445" s="14"/>
    </row>
    <row r="446">
      <c r="I446" s="13"/>
      <c r="K446" s="14"/>
    </row>
    <row r="447">
      <c r="I447" s="13"/>
      <c r="K447" s="14"/>
    </row>
    <row r="448">
      <c r="I448" s="13"/>
      <c r="K448" s="14"/>
    </row>
    <row r="449">
      <c r="I449" s="13"/>
      <c r="K449" s="14"/>
    </row>
    <row r="450">
      <c r="I450" s="13"/>
      <c r="K450" s="14"/>
    </row>
    <row r="451">
      <c r="I451" s="13"/>
      <c r="K451" s="14"/>
    </row>
    <row r="452">
      <c r="I452" s="13"/>
      <c r="K452" s="14"/>
    </row>
    <row r="453">
      <c r="I453" s="13"/>
      <c r="K453" s="14"/>
    </row>
    <row r="454">
      <c r="I454" s="13"/>
      <c r="K454" s="14"/>
    </row>
    <row r="455">
      <c r="I455" s="13"/>
      <c r="K455" s="14"/>
    </row>
    <row r="456">
      <c r="I456" s="13"/>
      <c r="K456" s="14"/>
    </row>
    <row r="457">
      <c r="I457" s="13"/>
      <c r="K457" s="14"/>
    </row>
    <row r="458">
      <c r="I458" s="13"/>
      <c r="K458" s="14"/>
    </row>
    <row r="459">
      <c r="I459" s="13"/>
      <c r="K459" s="14"/>
    </row>
    <row r="460">
      <c r="I460" s="13"/>
      <c r="K460" s="14"/>
    </row>
    <row r="461">
      <c r="I461" s="13"/>
      <c r="K461" s="14"/>
    </row>
    <row r="462">
      <c r="I462" s="13"/>
      <c r="K462" s="14"/>
    </row>
    <row r="463">
      <c r="I463" s="13"/>
      <c r="K463" s="14"/>
    </row>
    <row r="464">
      <c r="I464" s="13"/>
      <c r="K464" s="14"/>
    </row>
    <row r="465">
      <c r="I465" s="13"/>
      <c r="K465" s="14"/>
    </row>
    <row r="466">
      <c r="I466" s="13"/>
      <c r="K466" s="14"/>
    </row>
    <row r="467">
      <c r="I467" s="13"/>
      <c r="K467" s="14"/>
    </row>
    <row r="468">
      <c r="I468" s="13"/>
      <c r="K468" s="14"/>
    </row>
    <row r="469">
      <c r="I469" s="13"/>
      <c r="K469" s="14"/>
    </row>
    <row r="470">
      <c r="I470" s="13"/>
      <c r="K470" s="14"/>
    </row>
    <row r="471">
      <c r="I471" s="13"/>
      <c r="K471" s="14"/>
    </row>
    <row r="472">
      <c r="I472" s="13"/>
      <c r="K472" s="14"/>
    </row>
    <row r="473">
      <c r="I473" s="13"/>
      <c r="K473" s="14"/>
    </row>
    <row r="474">
      <c r="I474" s="13"/>
      <c r="K474" s="14"/>
    </row>
    <row r="475">
      <c r="I475" s="13"/>
      <c r="K475" s="14"/>
    </row>
    <row r="476">
      <c r="I476" s="13"/>
      <c r="K476" s="14"/>
    </row>
    <row r="477">
      <c r="I477" s="13"/>
      <c r="K477" s="14"/>
    </row>
    <row r="478">
      <c r="I478" s="13"/>
      <c r="K478" s="14"/>
    </row>
    <row r="479">
      <c r="I479" s="13"/>
      <c r="K479" s="14"/>
    </row>
    <row r="480">
      <c r="I480" s="13"/>
      <c r="K480" s="14"/>
    </row>
    <row r="481">
      <c r="I481" s="13"/>
      <c r="K481" s="14"/>
    </row>
    <row r="482">
      <c r="I482" s="13"/>
      <c r="K482" s="14"/>
    </row>
    <row r="483">
      <c r="I483" s="13"/>
      <c r="K483" s="14"/>
    </row>
    <row r="484">
      <c r="I484" s="13"/>
      <c r="K484" s="14"/>
    </row>
    <row r="485">
      <c r="I485" s="13"/>
      <c r="K485" s="14"/>
    </row>
    <row r="486">
      <c r="I486" s="13"/>
      <c r="K486" s="14"/>
    </row>
    <row r="487">
      <c r="I487" s="13"/>
      <c r="K487" s="14"/>
    </row>
    <row r="488">
      <c r="I488" s="13"/>
      <c r="K488" s="14"/>
    </row>
    <row r="489">
      <c r="I489" s="13"/>
      <c r="K489" s="14"/>
    </row>
    <row r="490">
      <c r="I490" s="13"/>
      <c r="K490" s="14"/>
    </row>
    <row r="491">
      <c r="I491" s="13"/>
      <c r="K491" s="14"/>
    </row>
    <row r="492">
      <c r="I492" s="13"/>
      <c r="K492" s="14"/>
    </row>
    <row r="493">
      <c r="I493" s="13"/>
      <c r="K493" s="14"/>
    </row>
    <row r="494">
      <c r="I494" s="13"/>
      <c r="K494" s="14"/>
    </row>
    <row r="495">
      <c r="I495" s="13"/>
      <c r="K495" s="14"/>
    </row>
    <row r="496">
      <c r="I496" s="13"/>
      <c r="K496" s="14"/>
    </row>
    <row r="497">
      <c r="I497" s="13"/>
      <c r="K497" s="14"/>
    </row>
    <row r="498">
      <c r="I498" s="13"/>
      <c r="K498" s="14"/>
    </row>
    <row r="499">
      <c r="I499" s="13"/>
      <c r="K499" s="14"/>
    </row>
    <row r="500">
      <c r="I500" s="13"/>
      <c r="K500" s="14"/>
    </row>
    <row r="501">
      <c r="I501" s="13"/>
      <c r="K501" s="14"/>
    </row>
    <row r="502">
      <c r="I502" s="13"/>
      <c r="K502" s="14"/>
    </row>
    <row r="503">
      <c r="I503" s="13"/>
      <c r="K503" s="14"/>
    </row>
    <row r="504">
      <c r="I504" s="13"/>
      <c r="K504" s="14"/>
    </row>
    <row r="505">
      <c r="I505" s="13"/>
      <c r="K505" s="14"/>
    </row>
    <row r="506">
      <c r="I506" s="13"/>
      <c r="K506" s="14"/>
    </row>
    <row r="507">
      <c r="I507" s="13"/>
      <c r="K507" s="14"/>
    </row>
    <row r="508">
      <c r="I508" s="13"/>
      <c r="K508" s="14"/>
    </row>
    <row r="509">
      <c r="I509" s="13"/>
      <c r="K509" s="14"/>
    </row>
    <row r="510">
      <c r="I510" s="13"/>
      <c r="K510" s="14"/>
    </row>
    <row r="511">
      <c r="I511" s="13"/>
      <c r="K511" s="14"/>
    </row>
    <row r="512">
      <c r="I512" s="13"/>
      <c r="K512" s="14"/>
    </row>
    <row r="513">
      <c r="I513" s="13"/>
      <c r="K513" s="14"/>
    </row>
    <row r="514">
      <c r="I514" s="13"/>
      <c r="K514" s="14"/>
    </row>
    <row r="515">
      <c r="I515" s="13"/>
      <c r="K515" s="14"/>
    </row>
    <row r="516">
      <c r="I516" s="13"/>
      <c r="K516" s="14"/>
    </row>
    <row r="517">
      <c r="I517" s="13"/>
      <c r="K517" s="14"/>
    </row>
    <row r="518">
      <c r="I518" s="13"/>
      <c r="K518" s="14"/>
    </row>
    <row r="519">
      <c r="I519" s="13"/>
      <c r="K519" s="14"/>
    </row>
    <row r="520">
      <c r="I520" s="13"/>
      <c r="K520" s="14"/>
    </row>
    <row r="521">
      <c r="I521" s="13"/>
      <c r="K521" s="14"/>
    </row>
    <row r="522">
      <c r="I522" s="13"/>
      <c r="K522" s="14"/>
    </row>
    <row r="523">
      <c r="I523" s="13"/>
      <c r="K523" s="14"/>
    </row>
    <row r="524">
      <c r="I524" s="13"/>
      <c r="K524" s="14"/>
    </row>
    <row r="525">
      <c r="I525" s="13"/>
      <c r="K525" s="14"/>
    </row>
    <row r="526">
      <c r="I526" s="13"/>
      <c r="K526" s="14"/>
    </row>
    <row r="527">
      <c r="I527" s="13"/>
      <c r="K527" s="14"/>
    </row>
    <row r="528">
      <c r="I528" s="13"/>
      <c r="K528" s="14"/>
    </row>
    <row r="529">
      <c r="I529" s="13"/>
      <c r="K529" s="14"/>
    </row>
    <row r="530">
      <c r="I530" s="13"/>
      <c r="K530" s="14"/>
    </row>
    <row r="531">
      <c r="I531" s="13"/>
      <c r="K531" s="14"/>
    </row>
    <row r="532">
      <c r="I532" s="13"/>
      <c r="K532" s="14"/>
    </row>
    <row r="533">
      <c r="I533" s="13"/>
      <c r="K533" s="14"/>
    </row>
    <row r="534">
      <c r="I534" s="13"/>
      <c r="K534" s="14"/>
    </row>
    <row r="535">
      <c r="I535" s="13"/>
      <c r="K535" s="14"/>
    </row>
    <row r="536">
      <c r="I536" s="13"/>
      <c r="K536" s="14"/>
    </row>
    <row r="537">
      <c r="I537" s="13"/>
      <c r="K537" s="14"/>
    </row>
    <row r="538">
      <c r="I538" s="13"/>
      <c r="K538" s="14"/>
    </row>
    <row r="539">
      <c r="I539" s="13"/>
      <c r="K539" s="14"/>
    </row>
    <row r="540">
      <c r="I540" s="13"/>
      <c r="K540" s="14"/>
    </row>
    <row r="541">
      <c r="I541" s="13"/>
      <c r="K541" s="14"/>
    </row>
    <row r="542">
      <c r="I542" s="13"/>
      <c r="K542" s="14"/>
    </row>
    <row r="543">
      <c r="I543" s="13"/>
      <c r="K543" s="14"/>
    </row>
    <row r="544">
      <c r="I544" s="13"/>
      <c r="K544" s="14"/>
    </row>
    <row r="545">
      <c r="I545" s="13"/>
      <c r="K545" s="14"/>
    </row>
    <row r="546">
      <c r="I546" s="13"/>
      <c r="K546" s="14"/>
    </row>
    <row r="547">
      <c r="I547" s="13"/>
      <c r="K547" s="14"/>
    </row>
    <row r="548">
      <c r="I548" s="13"/>
      <c r="K548" s="14"/>
    </row>
    <row r="549">
      <c r="I549" s="13"/>
      <c r="K549" s="14"/>
    </row>
    <row r="550">
      <c r="I550" s="13"/>
      <c r="K550" s="14"/>
    </row>
    <row r="551">
      <c r="I551" s="13"/>
      <c r="K551" s="14"/>
    </row>
    <row r="552">
      <c r="I552" s="13"/>
      <c r="K552" s="14"/>
    </row>
    <row r="553">
      <c r="I553" s="13"/>
      <c r="K553" s="14"/>
    </row>
    <row r="554">
      <c r="I554" s="13"/>
      <c r="K554" s="14"/>
    </row>
    <row r="555">
      <c r="I555" s="13"/>
      <c r="K555" s="14"/>
    </row>
    <row r="556">
      <c r="I556" s="13"/>
      <c r="K556" s="14"/>
    </row>
    <row r="557">
      <c r="I557" s="13"/>
      <c r="K557" s="14"/>
    </row>
    <row r="558">
      <c r="I558" s="13"/>
      <c r="K558" s="14"/>
    </row>
    <row r="559">
      <c r="I559" s="13"/>
      <c r="K559" s="14"/>
    </row>
    <row r="560">
      <c r="I560" s="13"/>
      <c r="K560" s="14"/>
    </row>
    <row r="561">
      <c r="I561" s="13"/>
      <c r="K561" s="14"/>
    </row>
    <row r="562">
      <c r="I562" s="13"/>
      <c r="K562" s="14"/>
    </row>
    <row r="563">
      <c r="I563" s="13"/>
      <c r="K563" s="14"/>
    </row>
    <row r="564">
      <c r="I564" s="13"/>
      <c r="K564" s="14"/>
    </row>
    <row r="565">
      <c r="I565" s="13"/>
      <c r="K565" s="14"/>
    </row>
    <row r="566">
      <c r="I566" s="13"/>
      <c r="K566" s="14"/>
    </row>
    <row r="567">
      <c r="I567" s="13"/>
      <c r="K567" s="14"/>
    </row>
    <row r="568">
      <c r="I568" s="13"/>
      <c r="K568" s="14"/>
    </row>
    <row r="569">
      <c r="I569" s="13"/>
      <c r="K569" s="14"/>
    </row>
    <row r="570">
      <c r="I570" s="13"/>
      <c r="K570" s="14"/>
    </row>
    <row r="571">
      <c r="I571" s="13"/>
      <c r="K571" s="14"/>
    </row>
    <row r="572">
      <c r="I572" s="13"/>
      <c r="K572" s="14"/>
    </row>
    <row r="573">
      <c r="I573" s="13"/>
      <c r="K573" s="14"/>
    </row>
    <row r="574">
      <c r="I574" s="13"/>
      <c r="K574" s="14"/>
    </row>
    <row r="575">
      <c r="I575" s="13"/>
      <c r="K575" s="14"/>
    </row>
    <row r="576">
      <c r="I576" s="13"/>
      <c r="K576" s="14"/>
    </row>
    <row r="577">
      <c r="I577" s="13"/>
      <c r="K577" s="14"/>
    </row>
    <row r="578">
      <c r="I578" s="13"/>
      <c r="K578" s="14"/>
    </row>
    <row r="579">
      <c r="I579" s="13"/>
      <c r="K579" s="14"/>
    </row>
    <row r="580">
      <c r="I580" s="13"/>
      <c r="K580" s="14"/>
    </row>
    <row r="581">
      <c r="I581" s="13"/>
      <c r="K581" s="14"/>
    </row>
    <row r="582">
      <c r="I582" s="13"/>
      <c r="K582" s="14"/>
    </row>
    <row r="583">
      <c r="I583" s="13"/>
      <c r="K583" s="14"/>
    </row>
    <row r="584">
      <c r="I584" s="13"/>
      <c r="K584" s="14"/>
    </row>
    <row r="585">
      <c r="I585" s="13"/>
      <c r="K585" s="14"/>
    </row>
    <row r="586">
      <c r="I586" s="13"/>
      <c r="K586" s="14"/>
    </row>
    <row r="587">
      <c r="I587" s="13"/>
      <c r="K587" s="14"/>
    </row>
    <row r="588">
      <c r="I588" s="13"/>
      <c r="K588" s="14"/>
    </row>
    <row r="589">
      <c r="I589" s="13"/>
      <c r="K589" s="14"/>
    </row>
    <row r="590">
      <c r="I590" s="13"/>
      <c r="K590" s="14"/>
    </row>
    <row r="591">
      <c r="I591" s="13"/>
      <c r="K591" s="14"/>
    </row>
    <row r="592">
      <c r="I592" s="13"/>
      <c r="K592" s="14"/>
    </row>
    <row r="593">
      <c r="I593" s="13"/>
      <c r="K593" s="14"/>
    </row>
    <row r="594">
      <c r="I594" s="13"/>
      <c r="K594" s="14"/>
    </row>
    <row r="595">
      <c r="I595" s="13"/>
      <c r="K595" s="14"/>
    </row>
    <row r="596">
      <c r="I596" s="13"/>
      <c r="K596" s="14"/>
    </row>
    <row r="597">
      <c r="I597" s="13"/>
      <c r="K597" s="14"/>
    </row>
    <row r="598">
      <c r="I598" s="13"/>
      <c r="K598" s="14"/>
    </row>
    <row r="599">
      <c r="I599" s="13"/>
      <c r="K599" s="14"/>
    </row>
    <row r="600">
      <c r="I600" s="13"/>
      <c r="K600" s="14"/>
    </row>
    <row r="601">
      <c r="I601" s="13"/>
      <c r="K601" s="14"/>
    </row>
    <row r="602">
      <c r="I602" s="13"/>
      <c r="K602" s="14"/>
    </row>
    <row r="603">
      <c r="I603" s="13"/>
      <c r="K603" s="14"/>
    </row>
    <row r="604">
      <c r="I604" s="13"/>
      <c r="K604" s="14"/>
    </row>
    <row r="605">
      <c r="I605" s="13"/>
      <c r="K605" s="14"/>
    </row>
    <row r="606">
      <c r="I606" s="13"/>
      <c r="K606" s="14"/>
    </row>
    <row r="607">
      <c r="I607" s="13"/>
      <c r="K607" s="14"/>
    </row>
    <row r="608">
      <c r="I608" s="13"/>
      <c r="K608" s="14"/>
    </row>
    <row r="609">
      <c r="I609" s="13"/>
      <c r="K609" s="14"/>
    </row>
    <row r="610">
      <c r="I610" s="13"/>
      <c r="K610" s="14"/>
    </row>
    <row r="611">
      <c r="I611" s="13"/>
      <c r="K611" s="14"/>
    </row>
    <row r="612">
      <c r="I612" s="13"/>
      <c r="K612" s="14"/>
    </row>
    <row r="613">
      <c r="I613" s="13"/>
      <c r="K613" s="14"/>
    </row>
    <row r="614">
      <c r="I614" s="13"/>
      <c r="K614" s="14"/>
    </row>
    <row r="615">
      <c r="I615" s="13"/>
      <c r="K615" s="14"/>
    </row>
    <row r="616">
      <c r="I616" s="13"/>
      <c r="K616" s="14"/>
    </row>
    <row r="617">
      <c r="I617" s="13"/>
      <c r="K617" s="14"/>
    </row>
    <row r="618">
      <c r="I618" s="13"/>
      <c r="K618" s="14"/>
    </row>
    <row r="619">
      <c r="I619" s="13"/>
      <c r="K619" s="14"/>
    </row>
    <row r="620">
      <c r="I620" s="13"/>
      <c r="K620" s="14"/>
    </row>
    <row r="621">
      <c r="I621" s="13"/>
      <c r="K621" s="14"/>
    </row>
    <row r="622">
      <c r="I622" s="13"/>
      <c r="K622" s="14"/>
    </row>
    <row r="623">
      <c r="I623" s="13"/>
      <c r="K623" s="14"/>
    </row>
    <row r="624">
      <c r="I624" s="13"/>
      <c r="K624" s="14"/>
    </row>
    <row r="625">
      <c r="I625" s="13"/>
      <c r="K625" s="14"/>
    </row>
    <row r="626">
      <c r="I626" s="13"/>
      <c r="K626" s="14"/>
    </row>
    <row r="627">
      <c r="I627" s="13"/>
      <c r="K627" s="14"/>
    </row>
    <row r="628">
      <c r="I628" s="13"/>
      <c r="K628" s="14"/>
    </row>
    <row r="629">
      <c r="I629" s="13"/>
      <c r="K629" s="14"/>
    </row>
    <row r="630">
      <c r="I630" s="13"/>
      <c r="K630" s="14"/>
    </row>
    <row r="631">
      <c r="I631" s="13"/>
      <c r="K631" s="14"/>
    </row>
    <row r="632">
      <c r="I632" s="13"/>
      <c r="K632" s="14"/>
    </row>
    <row r="633">
      <c r="I633" s="13"/>
      <c r="K633" s="14"/>
    </row>
    <row r="634">
      <c r="I634" s="13"/>
      <c r="K634" s="14"/>
    </row>
    <row r="635">
      <c r="I635" s="13"/>
      <c r="K635" s="14"/>
    </row>
    <row r="636">
      <c r="I636" s="13"/>
      <c r="K636" s="14"/>
    </row>
    <row r="637">
      <c r="I637" s="13"/>
      <c r="K637" s="14"/>
    </row>
    <row r="638">
      <c r="I638" s="13"/>
      <c r="K638" s="14"/>
    </row>
    <row r="639">
      <c r="I639" s="13"/>
      <c r="K639" s="14"/>
    </row>
    <row r="640">
      <c r="I640" s="13"/>
      <c r="K640" s="14"/>
    </row>
    <row r="641">
      <c r="I641" s="13"/>
      <c r="K641" s="14"/>
    </row>
    <row r="642">
      <c r="I642" s="13"/>
      <c r="K642" s="14"/>
    </row>
    <row r="643">
      <c r="I643" s="13"/>
      <c r="K643" s="14"/>
    </row>
    <row r="644">
      <c r="I644" s="13"/>
      <c r="K644" s="14"/>
    </row>
    <row r="645">
      <c r="I645" s="13"/>
      <c r="K645" s="14"/>
    </row>
    <row r="646">
      <c r="I646" s="13"/>
      <c r="K646" s="14"/>
    </row>
    <row r="647">
      <c r="I647" s="13"/>
      <c r="K647" s="14"/>
    </row>
    <row r="648">
      <c r="I648" s="13"/>
      <c r="K648" s="14"/>
    </row>
    <row r="649">
      <c r="I649" s="13"/>
      <c r="K649" s="14"/>
    </row>
    <row r="650">
      <c r="I650" s="13"/>
      <c r="K650" s="14"/>
    </row>
    <row r="651">
      <c r="I651" s="13"/>
      <c r="K651" s="14"/>
    </row>
    <row r="652">
      <c r="I652" s="13"/>
      <c r="K652" s="14"/>
    </row>
    <row r="653">
      <c r="I653" s="13"/>
      <c r="K653" s="14"/>
    </row>
    <row r="654">
      <c r="I654" s="13"/>
      <c r="K654" s="14"/>
    </row>
    <row r="655">
      <c r="I655" s="13"/>
      <c r="K655" s="14"/>
    </row>
    <row r="656">
      <c r="I656" s="13"/>
      <c r="K656" s="14"/>
    </row>
    <row r="657">
      <c r="I657" s="13"/>
      <c r="K657" s="14"/>
    </row>
    <row r="658">
      <c r="I658" s="13"/>
      <c r="K658" s="14"/>
    </row>
    <row r="659">
      <c r="I659" s="13"/>
      <c r="K659" s="14"/>
    </row>
    <row r="660">
      <c r="I660" s="13"/>
      <c r="K660" s="14"/>
    </row>
    <row r="661">
      <c r="I661" s="13"/>
      <c r="K661" s="14"/>
    </row>
    <row r="662">
      <c r="I662" s="13"/>
      <c r="K662" s="14"/>
    </row>
    <row r="663">
      <c r="I663" s="13"/>
      <c r="K663" s="14"/>
    </row>
    <row r="664">
      <c r="I664" s="13"/>
      <c r="K664" s="14"/>
    </row>
    <row r="665">
      <c r="I665" s="13"/>
      <c r="K665" s="14"/>
    </row>
    <row r="666">
      <c r="I666" s="13"/>
      <c r="K666" s="14"/>
    </row>
    <row r="667">
      <c r="I667" s="13"/>
      <c r="K667" s="14"/>
    </row>
    <row r="668">
      <c r="I668" s="13"/>
      <c r="K668" s="14"/>
    </row>
    <row r="669">
      <c r="I669" s="13"/>
      <c r="K669" s="14"/>
    </row>
    <row r="670">
      <c r="I670" s="13"/>
      <c r="K670" s="14"/>
    </row>
    <row r="671">
      <c r="I671" s="13"/>
      <c r="K671" s="14"/>
    </row>
    <row r="672">
      <c r="I672" s="13"/>
      <c r="K672" s="14"/>
    </row>
    <row r="673">
      <c r="I673" s="13"/>
      <c r="K673" s="14"/>
    </row>
    <row r="674">
      <c r="I674" s="13"/>
      <c r="K674" s="14"/>
    </row>
    <row r="675">
      <c r="I675" s="13"/>
      <c r="K675" s="14"/>
    </row>
    <row r="676">
      <c r="I676" s="13"/>
      <c r="K676" s="14"/>
    </row>
    <row r="677">
      <c r="I677" s="13"/>
      <c r="K677" s="14"/>
    </row>
    <row r="678">
      <c r="I678" s="13"/>
      <c r="K678" s="14"/>
    </row>
    <row r="679">
      <c r="I679" s="13"/>
      <c r="K679" s="14"/>
    </row>
    <row r="680">
      <c r="I680" s="13"/>
      <c r="K680" s="14"/>
    </row>
    <row r="681">
      <c r="I681" s="13"/>
      <c r="K681" s="14"/>
    </row>
    <row r="682">
      <c r="I682" s="13"/>
      <c r="K682" s="14"/>
    </row>
    <row r="683">
      <c r="I683" s="13"/>
      <c r="K683" s="14"/>
    </row>
    <row r="684">
      <c r="I684" s="13"/>
      <c r="K684" s="14"/>
    </row>
    <row r="685">
      <c r="I685" s="13"/>
      <c r="K685" s="14"/>
    </row>
    <row r="686">
      <c r="I686" s="13"/>
      <c r="K686" s="14"/>
    </row>
    <row r="687">
      <c r="I687" s="13"/>
      <c r="K687" s="14"/>
    </row>
    <row r="688">
      <c r="I688" s="13"/>
      <c r="K688" s="14"/>
    </row>
    <row r="689">
      <c r="I689" s="13"/>
      <c r="K689" s="14"/>
    </row>
    <row r="690">
      <c r="I690" s="13"/>
      <c r="K690" s="14"/>
    </row>
    <row r="691">
      <c r="I691" s="13"/>
      <c r="K691" s="14"/>
    </row>
    <row r="692">
      <c r="I692" s="13"/>
      <c r="K692" s="14"/>
    </row>
    <row r="693">
      <c r="I693" s="13"/>
      <c r="K693" s="14"/>
    </row>
    <row r="694">
      <c r="I694" s="13"/>
      <c r="K694" s="14"/>
    </row>
    <row r="695">
      <c r="I695" s="13"/>
      <c r="K695" s="14"/>
    </row>
    <row r="696">
      <c r="I696" s="13"/>
      <c r="K696" s="14"/>
    </row>
    <row r="697">
      <c r="I697" s="13"/>
      <c r="K697" s="14"/>
    </row>
    <row r="698">
      <c r="I698" s="13"/>
      <c r="K698" s="14"/>
    </row>
    <row r="699">
      <c r="I699" s="13"/>
      <c r="K699" s="14"/>
    </row>
    <row r="700">
      <c r="I700" s="13"/>
      <c r="K700" s="14"/>
    </row>
    <row r="701">
      <c r="I701" s="13"/>
      <c r="K701" s="14"/>
    </row>
    <row r="702">
      <c r="I702" s="13"/>
      <c r="K702" s="14"/>
    </row>
    <row r="703">
      <c r="I703" s="13"/>
      <c r="K703" s="14"/>
    </row>
    <row r="704">
      <c r="I704" s="13"/>
      <c r="K704" s="14"/>
    </row>
    <row r="705">
      <c r="I705" s="13"/>
      <c r="K705" s="14"/>
    </row>
    <row r="706">
      <c r="I706" s="13"/>
      <c r="K706" s="14"/>
    </row>
    <row r="707">
      <c r="I707" s="13"/>
      <c r="K707" s="14"/>
    </row>
    <row r="708">
      <c r="I708" s="13"/>
      <c r="K708" s="14"/>
    </row>
    <row r="709">
      <c r="I709" s="13"/>
      <c r="K709" s="14"/>
    </row>
    <row r="710">
      <c r="I710" s="13"/>
      <c r="K710" s="14"/>
    </row>
    <row r="711">
      <c r="I711" s="13"/>
      <c r="K711" s="14"/>
    </row>
    <row r="712">
      <c r="I712" s="13"/>
      <c r="K712" s="14"/>
    </row>
    <row r="713">
      <c r="I713" s="13"/>
      <c r="K713" s="14"/>
    </row>
    <row r="714">
      <c r="I714" s="13"/>
      <c r="K714" s="14"/>
    </row>
    <row r="715">
      <c r="I715" s="13"/>
      <c r="K715" s="14"/>
    </row>
    <row r="716">
      <c r="I716" s="13"/>
      <c r="K716" s="14"/>
    </row>
    <row r="717">
      <c r="I717" s="13"/>
      <c r="K717" s="14"/>
    </row>
    <row r="718">
      <c r="I718" s="13"/>
      <c r="K718" s="14"/>
    </row>
    <row r="719">
      <c r="I719" s="13"/>
      <c r="K719" s="14"/>
    </row>
    <row r="720">
      <c r="I720" s="13"/>
      <c r="K720" s="14"/>
    </row>
    <row r="721">
      <c r="I721" s="13"/>
      <c r="K721" s="14"/>
    </row>
    <row r="722">
      <c r="I722" s="13"/>
      <c r="K722" s="14"/>
    </row>
    <row r="723">
      <c r="I723" s="13"/>
      <c r="K723" s="14"/>
    </row>
    <row r="724">
      <c r="I724" s="13"/>
      <c r="K724" s="14"/>
    </row>
    <row r="725">
      <c r="I725" s="13"/>
      <c r="K725" s="14"/>
    </row>
    <row r="726">
      <c r="I726" s="13"/>
      <c r="K726" s="14"/>
    </row>
    <row r="727">
      <c r="I727" s="13"/>
      <c r="K727" s="14"/>
    </row>
    <row r="728">
      <c r="I728" s="13"/>
      <c r="K728" s="14"/>
    </row>
    <row r="729">
      <c r="I729" s="13"/>
      <c r="K729" s="14"/>
    </row>
    <row r="730">
      <c r="I730" s="13"/>
      <c r="K730" s="14"/>
    </row>
    <row r="731">
      <c r="I731" s="13"/>
      <c r="K731" s="14"/>
    </row>
    <row r="732">
      <c r="I732" s="13"/>
      <c r="K732" s="14"/>
    </row>
    <row r="733">
      <c r="I733" s="13"/>
      <c r="K733" s="14"/>
    </row>
    <row r="734">
      <c r="I734" s="13"/>
      <c r="K734" s="14"/>
    </row>
    <row r="735">
      <c r="I735" s="13"/>
      <c r="K735" s="14"/>
    </row>
    <row r="736">
      <c r="I736" s="13"/>
      <c r="K736" s="14"/>
    </row>
    <row r="737">
      <c r="I737" s="13"/>
      <c r="K737" s="14"/>
    </row>
    <row r="738">
      <c r="I738" s="13"/>
      <c r="K738" s="14"/>
    </row>
    <row r="739">
      <c r="I739" s="13"/>
      <c r="K739" s="14"/>
    </row>
    <row r="740">
      <c r="I740" s="13"/>
      <c r="K740" s="14"/>
    </row>
    <row r="741">
      <c r="I741" s="13"/>
      <c r="K741" s="14"/>
    </row>
    <row r="742">
      <c r="I742" s="13"/>
      <c r="K742" s="14"/>
    </row>
    <row r="743">
      <c r="I743" s="13"/>
      <c r="K743" s="14"/>
    </row>
    <row r="744">
      <c r="I744" s="13"/>
      <c r="K744" s="14"/>
    </row>
    <row r="745">
      <c r="I745" s="13"/>
      <c r="K745" s="14"/>
    </row>
    <row r="746">
      <c r="I746" s="13"/>
      <c r="K746" s="14"/>
    </row>
    <row r="747">
      <c r="I747" s="13"/>
      <c r="K747" s="14"/>
    </row>
    <row r="748">
      <c r="I748" s="13"/>
      <c r="K748" s="14"/>
    </row>
    <row r="749">
      <c r="I749" s="13"/>
      <c r="K749" s="14"/>
    </row>
    <row r="750">
      <c r="I750" s="13"/>
      <c r="K750" s="14"/>
    </row>
    <row r="751">
      <c r="I751" s="13"/>
      <c r="K751" s="14"/>
    </row>
    <row r="752">
      <c r="I752" s="13"/>
      <c r="K752" s="14"/>
    </row>
    <row r="753">
      <c r="I753" s="13"/>
      <c r="K753" s="14"/>
    </row>
    <row r="754">
      <c r="I754" s="13"/>
      <c r="K754" s="14"/>
    </row>
    <row r="755">
      <c r="I755" s="13"/>
      <c r="K755" s="14"/>
    </row>
    <row r="756">
      <c r="I756" s="13"/>
      <c r="K756" s="14"/>
    </row>
    <row r="757">
      <c r="I757" s="13"/>
      <c r="K757" s="14"/>
    </row>
    <row r="758">
      <c r="I758" s="13"/>
      <c r="K758" s="14"/>
    </row>
    <row r="759">
      <c r="I759" s="13"/>
      <c r="K759" s="14"/>
    </row>
    <row r="760">
      <c r="I760" s="13"/>
      <c r="K760" s="14"/>
    </row>
    <row r="761">
      <c r="I761" s="13"/>
      <c r="K761" s="14"/>
    </row>
    <row r="762">
      <c r="I762" s="13"/>
      <c r="K762" s="14"/>
    </row>
    <row r="763">
      <c r="I763" s="13"/>
      <c r="K763" s="14"/>
    </row>
    <row r="764">
      <c r="I764" s="13"/>
      <c r="K764" s="14"/>
    </row>
    <row r="765">
      <c r="I765" s="13"/>
      <c r="K765" s="14"/>
    </row>
    <row r="766">
      <c r="I766" s="13"/>
      <c r="K766" s="14"/>
    </row>
    <row r="767">
      <c r="I767" s="13"/>
      <c r="K767" s="14"/>
    </row>
    <row r="768">
      <c r="I768" s="13"/>
      <c r="K768" s="14"/>
    </row>
    <row r="769">
      <c r="I769" s="13"/>
      <c r="K769" s="14"/>
    </row>
    <row r="770">
      <c r="I770" s="13"/>
      <c r="K770" s="14"/>
    </row>
    <row r="771">
      <c r="I771" s="13"/>
      <c r="K771" s="14"/>
    </row>
    <row r="772">
      <c r="I772" s="13"/>
      <c r="K772" s="14"/>
    </row>
    <row r="773">
      <c r="I773" s="13"/>
      <c r="K773" s="14"/>
    </row>
    <row r="774">
      <c r="I774" s="13"/>
      <c r="K774" s="14"/>
    </row>
    <row r="775">
      <c r="I775" s="13"/>
      <c r="K775" s="14"/>
    </row>
    <row r="776">
      <c r="I776" s="13"/>
      <c r="K776" s="14"/>
    </row>
    <row r="777">
      <c r="I777" s="13"/>
      <c r="K777" s="14"/>
    </row>
    <row r="778">
      <c r="I778" s="13"/>
      <c r="K778" s="14"/>
    </row>
    <row r="779">
      <c r="I779" s="13"/>
      <c r="K779" s="14"/>
    </row>
    <row r="780">
      <c r="I780" s="13"/>
      <c r="K780" s="14"/>
    </row>
    <row r="781">
      <c r="I781" s="13"/>
      <c r="K781" s="14"/>
    </row>
    <row r="782">
      <c r="I782" s="13"/>
      <c r="K782" s="14"/>
    </row>
    <row r="783">
      <c r="I783" s="13"/>
      <c r="K783" s="14"/>
    </row>
    <row r="784">
      <c r="I784" s="13"/>
      <c r="K784" s="14"/>
    </row>
    <row r="785">
      <c r="I785" s="13"/>
      <c r="K785" s="14"/>
    </row>
    <row r="786">
      <c r="I786" s="13"/>
      <c r="K786" s="14"/>
    </row>
    <row r="787">
      <c r="I787" s="13"/>
      <c r="K787" s="14"/>
    </row>
    <row r="788">
      <c r="I788" s="13"/>
      <c r="K788" s="14"/>
    </row>
    <row r="789">
      <c r="I789" s="13"/>
      <c r="K789" s="14"/>
    </row>
    <row r="790">
      <c r="I790" s="13"/>
      <c r="K790" s="14"/>
    </row>
    <row r="791">
      <c r="I791" s="13"/>
      <c r="K791" s="14"/>
    </row>
    <row r="792">
      <c r="I792" s="13"/>
      <c r="K792" s="14"/>
    </row>
    <row r="793">
      <c r="I793" s="13"/>
      <c r="K793" s="14"/>
    </row>
    <row r="794">
      <c r="I794" s="13"/>
      <c r="K794" s="14"/>
    </row>
    <row r="795">
      <c r="I795" s="13"/>
      <c r="K795" s="14"/>
    </row>
    <row r="796">
      <c r="I796" s="13"/>
      <c r="K796" s="14"/>
    </row>
    <row r="797">
      <c r="I797" s="13"/>
      <c r="K797" s="14"/>
    </row>
    <row r="798">
      <c r="I798" s="13"/>
      <c r="K798" s="14"/>
    </row>
    <row r="799">
      <c r="I799" s="13"/>
      <c r="K799" s="14"/>
    </row>
    <row r="800">
      <c r="I800" s="13"/>
      <c r="K800" s="14"/>
    </row>
    <row r="801">
      <c r="I801" s="13"/>
      <c r="K801" s="14"/>
    </row>
    <row r="802">
      <c r="I802" s="13"/>
      <c r="K802" s="14"/>
    </row>
    <row r="803">
      <c r="I803" s="13"/>
      <c r="K803" s="14"/>
    </row>
    <row r="804">
      <c r="I804" s="13"/>
      <c r="K804" s="14"/>
    </row>
    <row r="805">
      <c r="I805" s="13"/>
      <c r="K805" s="14"/>
    </row>
    <row r="806">
      <c r="I806" s="13"/>
      <c r="K806" s="14"/>
    </row>
    <row r="807">
      <c r="I807" s="13"/>
      <c r="K807" s="14"/>
    </row>
    <row r="808">
      <c r="I808" s="13"/>
      <c r="K808" s="14"/>
    </row>
    <row r="809">
      <c r="I809" s="13"/>
      <c r="K809" s="14"/>
    </row>
    <row r="810">
      <c r="I810" s="13"/>
      <c r="K810" s="14"/>
    </row>
    <row r="811">
      <c r="I811" s="13"/>
      <c r="K811" s="14"/>
    </row>
    <row r="812">
      <c r="I812" s="13"/>
      <c r="K812" s="14"/>
    </row>
    <row r="813">
      <c r="I813" s="13"/>
      <c r="K813" s="14"/>
    </row>
    <row r="814">
      <c r="I814" s="13"/>
      <c r="K814" s="14"/>
    </row>
    <row r="815">
      <c r="I815" s="13"/>
      <c r="K815" s="14"/>
    </row>
    <row r="816">
      <c r="I816" s="13"/>
      <c r="K816" s="14"/>
    </row>
    <row r="817">
      <c r="I817" s="13"/>
      <c r="K817" s="14"/>
    </row>
    <row r="818">
      <c r="I818" s="13"/>
      <c r="K818" s="14"/>
    </row>
    <row r="819">
      <c r="I819" s="13"/>
      <c r="K819" s="14"/>
    </row>
    <row r="820">
      <c r="I820" s="13"/>
      <c r="K820" s="14"/>
    </row>
    <row r="821">
      <c r="I821" s="13"/>
      <c r="K821" s="14"/>
    </row>
    <row r="822">
      <c r="I822" s="13"/>
      <c r="K822" s="14"/>
    </row>
    <row r="823">
      <c r="I823" s="13"/>
      <c r="K823" s="14"/>
    </row>
    <row r="824">
      <c r="I824" s="13"/>
      <c r="K824" s="14"/>
    </row>
    <row r="825">
      <c r="I825" s="13"/>
      <c r="K825" s="14"/>
    </row>
    <row r="826">
      <c r="I826" s="13"/>
      <c r="K826" s="14"/>
    </row>
    <row r="827">
      <c r="I827" s="13"/>
      <c r="K827" s="14"/>
    </row>
    <row r="828">
      <c r="I828" s="13"/>
      <c r="K828" s="14"/>
    </row>
    <row r="829">
      <c r="I829" s="13"/>
      <c r="K829" s="14"/>
    </row>
    <row r="830">
      <c r="I830" s="13"/>
      <c r="K830" s="14"/>
    </row>
    <row r="831">
      <c r="I831" s="13"/>
      <c r="K831" s="14"/>
    </row>
    <row r="832">
      <c r="I832" s="13"/>
      <c r="K832" s="14"/>
    </row>
    <row r="833">
      <c r="I833" s="13"/>
      <c r="K833" s="14"/>
    </row>
    <row r="834">
      <c r="I834" s="13"/>
      <c r="K834" s="14"/>
    </row>
    <row r="835">
      <c r="I835" s="13"/>
      <c r="K835" s="14"/>
    </row>
    <row r="836">
      <c r="I836" s="13"/>
      <c r="K836" s="14"/>
    </row>
    <row r="837">
      <c r="I837" s="13"/>
      <c r="K837" s="14"/>
    </row>
    <row r="838">
      <c r="I838" s="13"/>
      <c r="K838" s="14"/>
    </row>
    <row r="839">
      <c r="I839" s="13"/>
      <c r="K839" s="14"/>
    </row>
    <row r="840">
      <c r="I840" s="13"/>
      <c r="K840" s="14"/>
    </row>
    <row r="841">
      <c r="I841" s="13"/>
      <c r="K841" s="14"/>
    </row>
    <row r="842">
      <c r="I842" s="13"/>
      <c r="K842" s="14"/>
    </row>
    <row r="843">
      <c r="I843" s="13"/>
      <c r="K843" s="14"/>
    </row>
    <row r="844">
      <c r="I844" s="13"/>
      <c r="K844" s="14"/>
    </row>
    <row r="845">
      <c r="I845" s="13"/>
      <c r="K845" s="14"/>
    </row>
    <row r="846">
      <c r="I846" s="13"/>
      <c r="K846" s="14"/>
    </row>
    <row r="847">
      <c r="I847" s="13"/>
      <c r="K847" s="14"/>
    </row>
    <row r="848">
      <c r="I848" s="13"/>
      <c r="K848" s="14"/>
    </row>
    <row r="849">
      <c r="I849" s="13"/>
      <c r="K849" s="14"/>
    </row>
    <row r="850">
      <c r="I850" s="13"/>
      <c r="K850" s="14"/>
    </row>
    <row r="851">
      <c r="I851" s="13"/>
      <c r="K851" s="14"/>
    </row>
    <row r="852">
      <c r="I852" s="13"/>
      <c r="K852" s="14"/>
    </row>
    <row r="853">
      <c r="I853" s="13"/>
      <c r="K853" s="14"/>
    </row>
    <row r="854">
      <c r="I854" s="13"/>
      <c r="K854" s="14"/>
    </row>
    <row r="855">
      <c r="I855" s="13"/>
      <c r="K855" s="14"/>
    </row>
    <row r="856">
      <c r="I856" s="13"/>
      <c r="K856" s="14"/>
    </row>
    <row r="857">
      <c r="I857" s="13"/>
      <c r="K857" s="14"/>
    </row>
    <row r="858">
      <c r="I858" s="13"/>
      <c r="K858" s="14"/>
    </row>
    <row r="859">
      <c r="I859" s="13"/>
      <c r="K859" s="14"/>
    </row>
    <row r="860">
      <c r="I860" s="13"/>
      <c r="K860" s="14"/>
    </row>
    <row r="861">
      <c r="I861" s="13"/>
      <c r="K861" s="14"/>
    </row>
    <row r="862">
      <c r="I862" s="13"/>
      <c r="K862" s="14"/>
    </row>
    <row r="863">
      <c r="I863" s="13"/>
      <c r="K863" s="14"/>
    </row>
    <row r="864">
      <c r="I864" s="13"/>
      <c r="K864" s="14"/>
    </row>
    <row r="865">
      <c r="I865" s="13"/>
      <c r="K865" s="14"/>
    </row>
    <row r="866">
      <c r="I866" s="13"/>
      <c r="K866" s="14"/>
    </row>
    <row r="867">
      <c r="I867" s="13"/>
      <c r="K867" s="14"/>
    </row>
    <row r="868">
      <c r="I868" s="13"/>
      <c r="K868" s="14"/>
    </row>
    <row r="869">
      <c r="I869" s="13"/>
      <c r="K869" s="14"/>
    </row>
    <row r="870">
      <c r="I870" s="13"/>
      <c r="K870" s="14"/>
    </row>
    <row r="871">
      <c r="I871" s="13"/>
      <c r="K871" s="14"/>
    </row>
    <row r="872">
      <c r="I872" s="13"/>
      <c r="K872" s="14"/>
    </row>
    <row r="873">
      <c r="I873" s="13"/>
      <c r="K873" s="14"/>
    </row>
    <row r="874">
      <c r="I874" s="13"/>
      <c r="K874" s="14"/>
    </row>
    <row r="875">
      <c r="I875" s="13"/>
      <c r="K875" s="14"/>
    </row>
    <row r="876">
      <c r="I876" s="13"/>
      <c r="K876" s="14"/>
    </row>
    <row r="877">
      <c r="I877" s="13"/>
      <c r="K877" s="14"/>
    </row>
    <row r="878">
      <c r="I878" s="13"/>
      <c r="K878" s="14"/>
    </row>
    <row r="879">
      <c r="I879" s="13"/>
      <c r="K879" s="14"/>
    </row>
    <row r="880">
      <c r="I880" s="13"/>
      <c r="K880" s="14"/>
    </row>
    <row r="881">
      <c r="I881" s="13"/>
      <c r="K881" s="14"/>
    </row>
    <row r="882">
      <c r="I882" s="13"/>
      <c r="K882" s="14"/>
    </row>
    <row r="883">
      <c r="I883" s="13"/>
      <c r="K883" s="14"/>
    </row>
    <row r="884">
      <c r="I884" s="13"/>
      <c r="K884" s="14"/>
    </row>
    <row r="885">
      <c r="I885" s="13"/>
      <c r="K885" s="14"/>
    </row>
    <row r="886">
      <c r="I886" s="13"/>
      <c r="K886" s="14"/>
    </row>
    <row r="887">
      <c r="I887" s="13"/>
      <c r="K887" s="14"/>
    </row>
    <row r="888">
      <c r="I888" s="13"/>
      <c r="K888" s="14"/>
    </row>
    <row r="889">
      <c r="I889" s="13"/>
      <c r="K889" s="14"/>
    </row>
    <row r="890">
      <c r="I890" s="13"/>
      <c r="K890" s="14"/>
    </row>
    <row r="891">
      <c r="I891" s="13"/>
      <c r="K891" s="14"/>
    </row>
    <row r="892">
      <c r="I892" s="13"/>
      <c r="K892" s="14"/>
    </row>
    <row r="893">
      <c r="I893" s="13"/>
      <c r="K893" s="14"/>
    </row>
    <row r="894">
      <c r="I894" s="13"/>
      <c r="K894" s="14"/>
    </row>
    <row r="895">
      <c r="I895" s="13"/>
      <c r="K895" s="14"/>
    </row>
    <row r="896">
      <c r="I896" s="13"/>
      <c r="K896" s="14"/>
    </row>
    <row r="897">
      <c r="I897" s="13"/>
      <c r="K897" s="14"/>
    </row>
    <row r="898">
      <c r="I898" s="13"/>
      <c r="K898" s="14"/>
    </row>
    <row r="899">
      <c r="I899" s="13"/>
      <c r="K899" s="14"/>
    </row>
    <row r="900">
      <c r="I900" s="13"/>
      <c r="K900" s="14"/>
    </row>
    <row r="901">
      <c r="I901" s="13"/>
      <c r="K901" s="14"/>
    </row>
    <row r="902">
      <c r="I902" s="13"/>
      <c r="K902" s="14"/>
    </row>
    <row r="903">
      <c r="I903" s="13"/>
      <c r="K903" s="14"/>
    </row>
    <row r="904">
      <c r="I904" s="13"/>
      <c r="K904" s="14"/>
    </row>
    <row r="905">
      <c r="I905" s="13"/>
      <c r="K905" s="14"/>
    </row>
    <row r="906">
      <c r="I906" s="13"/>
      <c r="K906" s="14"/>
    </row>
    <row r="907">
      <c r="I907" s="13"/>
      <c r="K907" s="14"/>
    </row>
    <row r="908">
      <c r="I908" s="13"/>
      <c r="K908" s="14"/>
    </row>
    <row r="909">
      <c r="I909" s="13"/>
      <c r="K909" s="14"/>
    </row>
    <row r="910">
      <c r="I910" s="13"/>
      <c r="K910" s="14"/>
    </row>
    <row r="911">
      <c r="I911" s="13"/>
      <c r="K911" s="14"/>
    </row>
    <row r="912">
      <c r="I912" s="13"/>
      <c r="K912" s="14"/>
    </row>
    <row r="913">
      <c r="I913" s="13"/>
      <c r="K913" s="14"/>
    </row>
    <row r="914">
      <c r="I914" s="13"/>
      <c r="K914" s="14"/>
    </row>
    <row r="915">
      <c r="I915" s="13"/>
      <c r="K915" s="14"/>
    </row>
    <row r="916">
      <c r="I916" s="13"/>
      <c r="K916" s="14"/>
    </row>
    <row r="917">
      <c r="I917" s="13"/>
      <c r="K917" s="14"/>
    </row>
    <row r="918">
      <c r="I918" s="13"/>
      <c r="K918" s="14"/>
    </row>
    <row r="919">
      <c r="I919" s="13"/>
      <c r="K919" s="14"/>
    </row>
    <row r="920">
      <c r="I920" s="13"/>
      <c r="K920" s="14"/>
    </row>
    <row r="921">
      <c r="I921" s="13"/>
      <c r="K921" s="14"/>
    </row>
    <row r="922">
      <c r="I922" s="13"/>
      <c r="K922" s="14"/>
    </row>
    <row r="923">
      <c r="I923" s="13"/>
      <c r="K923" s="14"/>
    </row>
    <row r="924">
      <c r="I924" s="13"/>
      <c r="K924" s="14"/>
    </row>
    <row r="925">
      <c r="I925" s="13"/>
      <c r="K925" s="14"/>
    </row>
    <row r="926">
      <c r="I926" s="13"/>
      <c r="K926" s="14"/>
    </row>
    <row r="927">
      <c r="I927" s="13"/>
      <c r="K927" s="14"/>
    </row>
    <row r="928">
      <c r="I928" s="13"/>
      <c r="K928" s="14"/>
    </row>
    <row r="929">
      <c r="I929" s="13"/>
      <c r="K929" s="14"/>
    </row>
    <row r="930">
      <c r="I930" s="13"/>
      <c r="K930" s="14"/>
    </row>
    <row r="931">
      <c r="I931" s="13"/>
      <c r="K931" s="14"/>
    </row>
    <row r="932">
      <c r="I932" s="13"/>
      <c r="K932" s="14"/>
    </row>
    <row r="933">
      <c r="I933" s="13"/>
      <c r="K933" s="14"/>
    </row>
    <row r="934">
      <c r="I934" s="13"/>
      <c r="K934" s="14"/>
    </row>
    <row r="935">
      <c r="I935" s="13"/>
      <c r="K935" s="14"/>
    </row>
    <row r="936">
      <c r="I936" s="13"/>
      <c r="K936" s="14"/>
    </row>
    <row r="937">
      <c r="I937" s="13"/>
      <c r="K937" s="14"/>
    </row>
    <row r="938">
      <c r="I938" s="13"/>
      <c r="K938" s="14"/>
    </row>
    <row r="939">
      <c r="I939" s="13"/>
      <c r="K939" s="14"/>
    </row>
    <row r="940">
      <c r="I940" s="13"/>
      <c r="K940" s="14"/>
    </row>
    <row r="941">
      <c r="I941" s="13"/>
      <c r="K941" s="14"/>
    </row>
    <row r="942">
      <c r="I942" s="13"/>
      <c r="K942" s="14"/>
    </row>
    <row r="943">
      <c r="I943" s="13"/>
      <c r="K943" s="14"/>
    </row>
    <row r="944">
      <c r="I944" s="13"/>
      <c r="K944" s="14"/>
    </row>
    <row r="945">
      <c r="I945" s="13"/>
      <c r="K945" s="14"/>
    </row>
    <row r="946">
      <c r="I946" s="13"/>
      <c r="K946" s="14"/>
    </row>
    <row r="947">
      <c r="I947" s="13"/>
      <c r="K947" s="14"/>
    </row>
    <row r="948">
      <c r="I948" s="13"/>
      <c r="K948" s="14"/>
    </row>
    <row r="949">
      <c r="I949" s="13"/>
      <c r="K949" s="14"/>
    </row>
    <row r="950">
      <c r="I950" s="13"/>
      <c r="K950" s="14"/>
    </row>
    <row r="951">
      <c r="I951" s="13"/>
      <c r="K951" s="14"/>
    </row>
    <row r="952">
      <c r="I952" s="13"/>
      <c r="K952" s="14"/>
    </row>
    <row r="953">
      <c r="I953" s="13"/>
      <c r="K953" s="14"/>
    </row>
    <row r="954">
      <c r="I954" s="13"/>
      <c r="K954" s="14"/>
    </row>
    <row r="955">
      <c r="I955" s="13"/>
      <c r="K955" s="14"/>
    </row>
    <row r="956">
      <c r="I956" s="13"/>
      <c r="K956" s="14"/>
    </row>
    <row r="957">
      <c r="I957" s="13"/>
      <c r="K957" s="14"/>
    </row>
    <row r="958">
      <c r="I958" s="13"/>
      <c r="K958" s="14"/>
    </row>
    <row r="959">
      <c r="I959" s="13"/>
      <c r="K959" s="14"/>
    </row>
    <row r="960">
      <c r="I960" s="13"/>
      <c r="K960" s="14"/>
    </row>
    <row r="961">
      <c r="I961" s="13"/>
      <c r="K961" s="14"/>
    </row>
    <row r="962">
      <c r="I962" s="13"/>
      <c r="K962" s="14"/>
    </row>
    <row r="963">
      <c r="I963" s="13"/>
      <c r="K963" s="14"/>
    </row>
    <row r="964">
      <c r="I964" s="13"/>
      <c r="K964" s="14"/>
    </row>
    <row r="965">
      <c r="I965" s="13"/>
      <c r="K965" s="14"/>
    </row>
    <row r="966">
      <c r="I966" s="13"/>
      <c r="K966" s="14"/>
    </row>
    <row r="967">
      <c r="I967" s="13"/>
      <c r="K967" s="14"/>
    </row>
    <row r="968">
      <c r="I968" s="13"/>
      <c r="K968" s="14"/>
    </row>
    <row r="969">
      <c r="I969" s="13"/>
      <c r="K969" s="14"/>
    </row>
    <row r="970">
      <c r="I970" s="13"/>
      <c r="K970" s="14"/>
    </row>
    <row r="971">
      <c r="I971" s="13"/>
      <c r="K971" s="14"/>
    </row>
    <row r="972">
      <c r="I972" s="13"/>
      <c r="K972" s="14"/>
    </row>
    <row r="973">
      <c r="I973" s="13"/>
      <c r="K973" s="14"/>
    </row>
    <row r="974">
      <c r="I974" s="13"/>
      <c r="K974" s="14"/>
    </row>
    <row r="975">
      <c r="I975" s="13"/>
      <c r="K975" s="14"/>
    </row>
    <row r="976">
      <c r="I976" s="13"/>
      <c r="K976" s="14"/>
    </row>
    <row r="977">
      <c r="I977" s="13"/>
      <c r="K977" s="14"/>
    </row>
    <row r="978">
      <c r="I978" s="13"/>
      <c r="K978" s="14"/>
    </row>
    <row r="979">
      <c r="I979" s="13"/>
      <c r="K979" s="14"/>
    </row>
    <row r="980">
      <c r="I980" s="13"/>
      <c r="K980" s="14"/>
    </row>
    <row r="981">
      <c r="I981" s="13"/>
      <c r="K981" s="14"/>
    </row>
    <row r="982">
      <c r="I982" s="13"/>
      <c r="K982" s="14"/>
    </row>
    <row r="983">
      <c r="I983" s="13"/>
      <c r="K983" s="14"/>
    </row>
    <row r="984">
      <c r="I984" s="13"/>
      <c r="K984" s="14"/>
    </row>
    <row r="985">
      <c r="I985" s="13"/>
      <c r="K985" s="14"/>
    </row>
    <row r="986">
      <c r="I986" s="13"/>
      <c r="K986" s="14"/>
    </row>
    <row r="987">
      <c r="I987" s="13"/>
      <c r="K987" s="14"/>
    </row>
    <row r="988">
      <c r="I988" s="13"/>
      <c r="K988" s="14"/>
    </row>
    <row r="989">
      <c r="I989" s="13"/>
      <c r="K989" s="14"/>
    </row>
    <row r="990">
      <c r="I990" s="13"/>
      <c r="K990" s="14"/>
    </row>
    <row r="991">
      <c r="I991" s="13"/>
      <c r="K991" s="14"/>
    </row>
    <row r="992">
      <c r="I992" s="13"/>
      <c r="K992" s="14"/>
    </row>
    <row r="993">
      <c r="I993" s="13"/>
      <c r="K993" s="14"/>
    </row>
    <row r="994">
      <c r="I994" s="13"/>
      <c r="K994" s="14"/>
    </row>
    <row r="995">
      <c r="I995" s="13"/>
      <c r="K995" s="14"/>
    </row>
    <row r="996">
      <c r="I996" s="13"/>
      <c r="K996" s="14"/>
    </row>
    <row r="997">
      <c r="I997" s="13"/>
      <c r="K997" s="14"/>
    </row>
    <row r="998">
      <c r="I998" s="13"/>
      <c r="K998" s="14"/>
    </row>
    <row r="999">
      <c r="I999" s="13"/>
      <c r="K999" s="14"/>
    </row>
    <row r="1000">
      <c r="I1000" s="13"/>
      <c r="K1000" s="14"/>
    </row>
    <row r="1001">
      <c r="I1001" s="13"/>
      <c r="K1001" s="14"/>
    </row>
    <row r="1002">
      <c r="I1002" s="13"/>
      <c r="K1002" s="1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3" max="3" width="9.63"/>
    <col customWidth="1" min="5" max="5" width="13.63"/>
    <col customWidth="1" min="6" max="6" width="10.5"/>
    <col customWidth="1" min="7" max="7" width="8.88"/>
    <col customWidth="1" min="8" max="8" width="11.13"/>
    <col customWidth="1" min="9" max="9" width="10.88"/>
    <col customWidth="1" min="10" max="10" width="22.0"/>
    <col customWidth="1" min="11" max="11" width="15.25"/>
    <col customWidth="1" min="12" max="12" width="12.75"/>
    <col customWidth="1" min="13" max="13" width="16.88"/>
    <col customWidth="1" min="14" max="14" width="16.38"/>
  </cols>
  <sheetData>
    <row r="1">
      <c r="A1" s="1"/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7"/>
    </row>
    <row r="2">
      <c r="A2" s="1" t="s">
        <v>0</v>
      </c>
      <c r="B2" s="9"/>
      <c r="C2" s="9"/>
      <c r="D2" s="9"/>
      <c r="E2" s="9"/>
      <c r="F2" s="9"/>
      <c r="G2" s="9"/>
    </row>
    <row r="3">
      <c r="A3" s="8" t="s">
        <v>24</v>
      </c>
      <c r="B3" s="9">
        <f>SUMIFS(numbers!F:F, numbers!A:A, A3, numbers!F:F, "&lt;25000")</f>
        <v>104970</v>
      </c>
      <c r="C3" s="16">
        <f t="shared" ref="C3:C13" si="1">B3*100/SUM($B$3:$B$13)</f>
        <v>12.14972742</v>
      </c>
      <c r="D3" s="8">
        <f>COUNTIFS(numbers!A:A, A3, numbers!F:F, "&lt;25000")</f>
        <v>9</v>
      </c>
      <c r="E3" s="10">
        <f t="shared" ref="E3:E13" si="2">B3/D3</f>
        <v>11663.33333</v>
      </c>
      <c r="F3" s="10" t="str">
        <f t="shared" ref="F3:F13" si="3">IFS(E3&lt;10000, "", E3&lt;25000, "★", E3&lt;60000, "★★", E3&lt;160000, "★★★", E3&lt;1160000, "★★★★", E3&gt;=1160000, "★★★★★")</f>
        <v>★</v>
      </c>
      <c r="G3" s="16">
        <f t="shared" ref="G3:G13" si="4">E3*100/SUM($E$3:$E$13)</f>
        <v>9.219292229</v>
      </c>
      <c r="H3" s="25"/>
      <c r="I3" s="17"/>
      <c r="J3" s="17" t="s">
        <v>187</v>
      </c>
      <c r="K3" s="17" t="s">
        <v>188</v>
      </c>
      <c r="L3" s="17" t="s">
        <v>189</v>
      </c>
      <c r="M3" s="17" t="s">
        <v>190</v>
      </c>
    </row>
    <row r="4">
      <c r="A4" s="8" t="s">
        <v>62</v>
      </c>
      <c r="B4" s="9">
        <f>SUMIFS(numbers!F:F, numbers!A:A, A4, numbers!F:F, "&lt;25000")</f>
        <v>56080</v>
      </c>
      <c r="C4" s="16">
        <f t="shared" si="1"/>
        <v>6.490966122</v>
      </c>
      <c r="D4" s="8">
        <f>COUNTIFS(numbers!A:A, A4, numbers!F:F, "&lt;25000")</f>
        <v>5</v>
      </c>
      <c r="E4" s="10">
        <f t="shared" si="2"/>
        <v>11216</v>
      </c>
      <c r="F4" s="10" t="str">
        <f t="shared" si="3"/>
        <v>★</v>
      </c>
      <c r="G4" s="16">
        <f t="shared" si="4"/>
        <v>8.865697197</v>
      </c>
      <c r="H4" s="25"/>
      <c r="I4" s="18"/>
      <c r="J4" s="17" t="s">
        <v>191</v>
      </c>
      <c r="K4" s="18">
        <f>SUMIFS(numbers!F:F, numbers!K:K, "&lt;21", numbers!F:F, "&lt;25000")</f>
        <v>70420</v>
      </c>
      <c r="L4" s="18">
        <f>COUNTIFS(numbers!K:K, "&lt;20", numbers!F:F, "&lt;25000")</f>
        <v>4</v>
      </c>
      <c r="M4" s="13">
        <f t="shared" ref="M4:M12" si="5">K4/L4</f>
        <v>17605</v>
      </c>
    </row>
    <row r="5">
      <c r="A5" s="8" t="s">
        <v>73</v>
      </c>
      <c r="B5" s="9">
        <f>SUMIFS(numbers!F:F, numbers!A:A, A5, numbers!F:F, "&lt;25000")</f>
        <v>31135</v>
      </c>
      <c r="C5" s="16">
        <f t="shared" si="1"/>
        <v>3.603713092</v>
      </c>
      <c r="D5" s="8">
        <f>COUNTIFS(numbers!A:A, A5, numbers!F:F, "&lt;25000")</f>
        <v>3</v>
      </c>
      <c r="E5" s="10">
        <f t="shared" si="2"/>
        <v>10378.33333</v>
      </c>
      <c r="F5" s="10" t="str">
        <f t="shared" si="3"/>
        <v>★</v>
      </c>
      <c r="G5" s="16">
        <f t="shared" si="4"/>
        <v>8.203562833</v>
      </c>
      <c r="H5" s="25"/>
      <c r="J5" s="17" t="s">
        <v>192</v>
      </c>
      <c r="K5" s="18">
        <f>SUMIFS(numbers!F:F, numbers!K:K, "&gt;20", numbers!K:K, "&lt;31", numbers!F:F, "&lt;25000")</f>
        <v>73865</v>
      </c>
      <c r="L5" s="18">
        <f>COUNTIFS(numbers!K:K, "&gt;20", numbers!K:K, "&lt;31", numbers!F:F, "&lt;25000")</f>
        <v>6</v>
      </c>
      <c r="M5" s="13">
        <f t="shared" si="5"/>
        <v>12310.83333</v>
      </c>
    </row>
    <row r="6">
      <c r="A6" s="8" t="s">
        <v>81</v>
      </c>
      <c r="B6" s="9">
        <f>SUMIFS(numbers!F:F, numbers!A:A, A6, numbers!F:F, "&lt;25000")</f>
        <v>126435</v>
      </c>
      <c r="C6" s="16">
        <f t="shared" si="1"/>
        <v>14.63418869</v>
      </c>
      <c r="D6" s="8">
        <f>COUNTIFS(numbers!A:A, A6, numbers!F:F, "&lt;25000")</f>
        <v>11</v>
      </c>
      <c r="E6" s="10">
        <f t="shared" si="2"/>
        <v>11494.09091</v>
      </c>
      <c r="F6" s="10" t="str">
        <f t="shared" si="3"/>
        <v>★</v>
      </c>
      <c r="G6" s="16">
        <f t="shared" si="4"/>
        <v>9.085514404</v>
      </c>
      <c r="H6" s="25"/>
      <c r="J6" s="17" t="s">
        <v>193</v>
      </c>
      <c r="K6" s="18">
        <f>SUMIFS(numbers!F:F, numbers!K:K, "&gt;30", numbers!K:K, "&lt;41", numbers!F:F, "&lt;25000")</f>
        <v>38300</v>
      </c>
      <c r="L6" s="18">
        <f>COUNTIFS(numbers!K:K, "&gt;30", numbers!K:K, "&lt;41", numbers!F:F, "&lt;25000")</f>
        <v>3</v>
      </c>
      <c r="M6" s="13">
        <f t="shared" si="5"/>
        <v>12766.66667</v>
      </c>
    </row>
    <row r="7">
      <c r="A7" s="8" t="s">
        <v>99</v>
      </c>
      <c r="B7" s="9">
        <f>SUMIFS(numbers!F:F, numbers!A:A, A7, numbers!F:F, "&lt;25000")</f>
        <v>88370</v>
      </c>
      <c r="C7" s="16">
        <f t="shared" si="1"/>
        <v>10.22836441</v>
      </c>
      <c r="D7" s="8">
        <f>COUNTIFS(numbers!A:A, A7, numbers!F:F, "&lt;25000")</f>
        <v>7</v>
      </c>
      <c r="E7" s="10">
        <f t="shared" si="2"/>
        <v>12624.28571</v>
      </c>
      <c r="F7" s="10" t="str">
        <f t="shared" si="3"/>
        <v>★</v>
      </c>
      <c r="G7" s="16">
        <f t="shared" si="4"/>
        <v>9.978877895</v>
      </c>
      <c r="H7" s="25"/>
      <c r="J7" s="17" t="s">
        <v>194</v>
      </c>
      <c r="K7" s="18">
        <f>SUMIFS(numbers!F:F, numbers!K:K, "&gt;40", numbers!K:K, "&lt;51", numbers!F:F, "&lt;25000")</f>
        <v>90515</v>
      </c>
      <c r="L7" s="18">
        <f>COUNTIFS(numbers!K:K, "&gt;40", numbers!K:K, "&lt;51", numbers!F:F, "&lt;25000")</f>
        <v>8</v>
      </c>
      <c r="M7" s="13">
        <f t="shared" si="5"/>
        <v>11314.375</v>
      </c>
    </row>
    <row r="8">
      <c r="A8" s="8" t="s">
        <v>111</v>
      </c>
      <c r="B8" s="9">
        <f>SUMIFS(numbers!F:F, numbers!A:A, A8, numbers!F:F, "&lt;25000")</f>
        <v>83080</v>
      </c>
      <c r="C8" s="16">
        <f t="shared" si="1"/>
        <v>9.616074632</v>
      </c>
      <c r="D8" s="8">
        <f>COUNTIFS(numbers!A:A, A8, numbers!F:F, "&lt;25000")</f>
        <v>7</v>
      </c>
      <c r="E8" s="10">
        <f t="shared" si="2"/>
        <v>11868.57143</v>
      </c>
      <c r="F8" s="10" t="str">
        <f t="shared" si="3"/>
        <v>★</v>
      </c>
      <c r="G8" s="16">
        <f t="shared" si="4"/>
        <v>9.381522864</v>
      </c>
      <c r="H8" s="25"/>
      <c r="J8" s="17" t="s">
        <v>195</v>
      </c>
      <c r="K8" s="18">
        <f>SUMIFS(numbers!F:F, numbers!K:K, "&gt;50", numbers!K:K, "&lt;61", numbers!F:F, "&lt;25000")</f>
        <v>122980</v>
      </c>
      <c r="L8" s="18">
        <f>COUNTIFS(numbers!K:K, "&gt;50", numbers!K:K, "&lt;61", numbers!F:F, "&lt;25000")</f>
        <v>10</v>
      </c>
      <c r="M8" s="13">
        <f t="shared" si="5"/>
        <v>12298</v>
      </c>
    </row>
    <row r="9">
      <c r="A9" s="8" t="s">
        <v>123</v>
      </c>
      <c r="B9" s="9">
        <f>SUMIFS(numbers!F:F, numbers!A:A, A9, numbers!F:F, "&lt;25000")</f>
        <v>171885</v>
      </c>
      <c r="C9" s="16">
        <f t="shared" si="1"/>
        <v>19.89478801</v>
      </c>
      <c r="D9" s="8">
        <f>COUNTIFS(numbers!A:A, A9, numbers!F:F, "&lt;25000")</f>
        <v>15</v>
      </c>
      <c r="E9" s="10">
        <f t="shared" si="2"/>
        <v>11459</v>
      </c>
      <c r="F9" s="10" t="str">
        <f t="shared" si="3"/>
        <v>★</v>
      </c>
      <c r="G9" s="16">
        <f t="shared" si="4"/>
        <v>9.057776763</v>
      </c>
      <c r="H9" s="25"/>
      <c r="J9" s="17" t="s">
        <v>196</v>
      </c>
      <c r="K9" s="18">
        <f>SUMIFS(numbers!F:F, numbers!K:K, "&gt;60", numbers!K:K, "&lt;71", numbers!F:F, "&lt;25000")</f>
        <v>176295</v>
      </c>
      <c r="L9" s="18">
        <f>COUNTIFS(numbers!K:K, "&gt;60", numbers!K:K, "&lt;71", numbers!F:F, "&lt;25000")</f>
        <v>16</v>
      </c>
      <c r="M9" s="13">
        <f t="shared" si="5"/>
        <v>11018.4375</v>
      </c>
    </row>
    <row r="10">
      <c r="A10" s="8" t="s">
        <v>152</v>
      </c>
      <c r="B10" s="9">
        <f>SUMIFS(numbers!F:F, numbers!A:A, A10, numbers!F:F, "&lt;25000")</f>
        <v>65360</v>
      </c>
      <c r="C10" s="16">
        <f t="shared" si="1"/>
        <v>7.565077491</v>
      </c>
      <c r="D10" s="8">
        <f>COUNTIFS(numbers!A:A, A10, numbers!F:F, "&lt;25000")</f>
        <v>6</v>
      </c>
      <c r="E10" s="10">
        <f t="shared" si="2"/>
        <v>10893.33333</v>
      </c>
      <c r="F10" s="10" t="str">
        <f t="shared" si="3"/>
        <v>★</v>
      </c>
      <c r="G10" s="16">
        <f t="shared" si="4"/>
        <v>8.610645042</v>
      </c>
      <c r="H10" s="25"/>
      <c r="J10" s="17" t="s">
        <v>197</v>
      </c>
      <c r="K10" s="18">
        <f>SUMIFS(numbers!F:F, numbers!K:K, "&gt;70", numbers!K:K, "&lt;81", numbers!F:F, "&lt;25000")</f>
        <v>129960</v>
      </c>
      <c r="L10" s="18">
        <f>COUNTIFS(numbers!K:K, "&gt;70", numbers!K:K, "&lt;81", numbers!F:F, "&lt;25000")</f>
        <v>12</v>
      </c>
      <c r="M10" s="13">
        <f t="shared" si="5"/>
        <v>10830</v>
      </c>
    </row>
    <row r="11">
      <c r="A11" s="8" t="s">
        <v>163</v>
      </c>
      <c r="B11" s="9">
        <f>SUMIFS(numbers!F:F, numbers!A:A, A11, numbers!F:F, "&lt;25000")</f>
        <v>10400</v>
      </c>
      <c r="C11" s="16">
        <f t="shared" si="1"/>
        <v>1.2037455</v>
      </c>
      <c r="D11" s="8">
        <f>COUNTIFS(numbers!A:A, A11, numbers!F:F, "&lt;25000")</f>
        <v>1</v>
      </c>
      <c r="E11" s="10">
        <f t="shared" si="2"/>
        <v>10400</v>
      </c>
      <c r="F11" s="10" t="str">
        <f t="shared" si="3"/>
        <v>★</v>
      </c>
      <c r="G11" s="16">
        <f t="shared" si="4"/>
        <v>8.220689269</v>
      </c>
      <c r="H11" s="25"/>
      <c r="J11" s="17" t="s">
        <v>198</v>
      </c>
      <c r="K11" s="18">
        <f>SUMIFS(numbers!F:F, numbers!K:K, "&gt;80", numbers!K:K, "&lt;91", numbers!F:F, "&lt;25000")</f>
        <v>98635</v>
      </c>
      <c r="L11" s="18">
        <f>COUNTIFS(numbers!K:K, "&gt;80", numbers!K:K, "&lt;91", numbers!F:F, "&lt;25000")</f>
        <v>9</v>
      </c>
      <c r="M11" s="13">
        <f t="shared" si="5"/>
        <v>10959.44444</v>
      </c>
    </row>
    <row r="12">
      <c r="A12" s="8" t="s">
        <v>167</v>
      </c>
      <c r="B12" s="9">
        <f>SUMIFS(numbers!F:F, numbers!A:A, A12, numbers!F:F, "&lt;25000")</f>
        <v>84345</v>
      </c>
      <c r="C12" s="16">
        <f t="shared" si="1"/>
        <v>9.762491753</v>
      </c>
      <c r="D12" s="8">
        <f>COUNTIFS(numbers!A:A, A12, numbers!F:F, "&lt;25000")</f>
        <v>8</v>
      </c>
      <c r="E12" s="10">
        <f t="shared" si="2"/>
        <v>10543.125</v>
      </c>
      <c r="F12" s="10" t="str">
        <f t="shared" si="3"/>
        <v>★</v>
      </c>
      <c r="G12" s="16">
        <f t="shared" si="4"/>
        <v>8.333822553</v>
      </c>
      <c r="H12" s="25"/>
      <c r="J12" s="17" t="s">
        <v>199</v>
      </c>
      <c r="K12" s="18">
        <f>SUMIFS(numbers!F:F, numbers!K:K, "&gt;90", numbers!F:F, "&lt;25000")</f>
        <v>63000</v>
      </c>
      <c r="L12" s="18">
        <f>COUNTIFS(numbers!K:K, "&gt;90", numbers!F:F, "&lt;25000")</f>
        <v>5</v>
      </c>
      <c r="M12" s="13">
        <f t="shared" si="5"/>
        <v>12600</v>
      </c>
    </row>
    <row r="13">
      <c r="A13" s="8" t="s">
        <v>177</v>
      </c>
      <c r="B13" s="9">
        <f>SUMIFS(numbers!F:F, numbers!A:A, A13, numbers!F:F, "&lt;25000")</f>
        <v>41910</v>
      </c>
      <c r="C13" s="16">
        <f t="shared" si="1"/>
        <v>4.850862877</v>
      </c>
      <c r="D13" s="8">
        <f>COUNTIFS(numbers!A:A, A13, numbers!F:F, "&lt;25000")</f>
        <v>3</v>
      </c>
      <c r="E13" s="10">
        <f t="shared" si="2"/>
        <v>13970</v>
      </c>
      <c r="F13" s="10" t="str">
        <f t="shared" si="3"/>
        <v>★</v>
      </c>
      <c r="G13" s="16">
        <f t="shared" si="4"/>
        <v>11.04259895</v>
      </c>
      <c r="H13" s="25"/>
    </row>
    <row r="14">
      <c r="A14" s="19"/>
    </row>
    <row r="15">
      <c r="A15" s="19" t="s">
        <v>2</v>
      </c>
      <c r="J15" s="1" t="s">
        <v>200</v>
      </c>
      <c r="K15" s="1" t="s">
        <v>201</v>
      </c>
      <c r="L15" s="1" t="s">
        <v>202</v>
      </c>
      <c r="M15" s="1" t="s">
        <v>190</v>
      </c>
    </row>
    <row r="16">
      <c r="A16" s="20" t="s">
        <v>57</v>
      </c>
      <c r="B16" s="9">
        <f>SUMIFS(numbers!F:F, numbers!C:C, A16, numbers!F:F, "&lt;25000")</f>
        <v>51760</v>
      </c>
      <c r="C16" s="13">
        <f t="shared" ref="C16:C29" si="6">B16*100/SUM($B$16:$B$29)</f>
        <v>5.99094876</v>
      </c>
      <c r="D16" s="21">
        <f>COUNTIFS(numbers!C:C, A16, numbers!F:F, "&lt;25000")</f>
        <v>5</v>
      </c>
      <c r="E16" s="13">
        <f t="shared" ref="E16:E29" si="7">B16/D16</f>
        <v>10352</v>
      </c>
      <c r="F16" s="10" t="str">
        <f t="shared" ref="F16:F29" si="8">IFS(E16&lt;10000, "", E16&lt;25000, "★", E16&lt;60000, "★★", E16&lt;160000, "★★★", E16&lt;1160000, "★★★★", E16&gt;=1160000, "★★★★★")</f>
        <v>★</v>
      </c>
      <c r="G16" s="15">
        <f t="shared" ref="G16:G29" si="9">E16*100/SUM($E$16:$E$29)</f>
        <v>6.406490184</v>
      </c>
      <c r="J16" s="8" t="s">
        <v>33</v>
      </c>
      <c r="K16" s="9">
        <f>SUMIFS(numbers!F:F, numbers!N:N, J16, numbers!F:F, "&lt;25000")</f>
        <v>198335</v>
      </c>
      <c r="L16" s="9">
        <f>COUNTIFS(numbers!N:N, J16, numbers!F:F, "&lt;25000")</f>
        <v>16</v>
      </c>
      <c r="M16" s="10">
        <f t="shared" ref="M16:M18" si="10">K16/L16</f>
        <v>12395.9375</v>
      </c>
    </row>
    <row r="17">
      <c r="A17" s="20" t="s">
        <v>25</v>
      </c>
      <c r="B17" s="9">
        <f>SUMIFS(numbers!F:F, numbers!C:C, A17, numbers!F:F, "&lt;25000")</f>
        <v>73480</v>
      </c>
      <c r="C17" s="13">
        <f t="shared" si="6"/>
        <v>8.50492494</v>
      </c>
      <c r="D17" s="21">
        <f>COUNTIFS(numbers!C:C, A17, numbers!F:F, "&lt;25000")</f>
        <v>6</v>
      </c>
      <c r="E17" s="13">
        <f t="shared" si="7"/>
        <v>12246.66667</v>
      </c>
      <c r="F17" s="10" t="str">
        <f t="shared" si="8"/>
        <v>★</v>
      </c>
      <c r="G17" s="15">
        <f t="shared" si="9"/>
        <v>7.579033017</v>
      </c>
      <c r="J17" s="8" t="s">
        <v>28</v>
      </c>
      <c r="K17" s="9">
        <f>SUMIFS(numbers!F:F, numbers!N:N, J17, numbers!F:F, "&lt;25000")</f>
        <v>581000</v>
      </c>
      <c r="L17" s="9">
        <f>COUNTIFS(numbers!N:N, J17, numbers!F:F, "&lt;25000")</f>
        <v>52</v>
      </c>
      <c r="M17" s="10">
        <f t="shared" si="10"/>
        <v>11173.07692</v>
      </c>
    </row>
    <row r="18">
      <c r="A18" s="20" t="s">
        <v>116</v>
      </c>
      <c r="B18" s="9">
        <f>SUMIFS(numbers!F:F, numbers!C:C, A18, numbers!F:F, "&lt;25000")</f>
        <v>38100</v>
      </c>
      <c r="C18" s="13">
        <f t="shared" si="6"/>
        <v>4.409875343</v>
      </c>
      <c r="D18" s="21">
        <f>COUNTIFS(numbers!C:C, A18, numbers!F:F, "&lt;25000")</f>
        <v>3</v>
      </c>
      <c r="E18" s="13">
        <f t="shared" si="7"/>
        <v>12700</v>
      </c>
      <c r="F18" s="10" t="str">
        <f t="shared" si="8"/>
        <v>★</v>
      </c>
      <c r="G18" s="15">
        <f t="shared" si="9"/>
        <v>7.859585137</v>
      </c>
      <c r="J18" s="8" t="s">
        <v>69</v>
      </c>
      <c r="K18" s="9">
        <f>SUMIFS(numbers!F:F, numbers!N:N, J18, numbers!F:F, "&lt;25000")</f>
        <v>84635</v>
      </c>
      <c r="L18" s="9">
        <f>COUNTIFS(numbers!N:N, J18, numbers!F:F, "&lt;25000")</f>
        <v>7</v>
      </c>
      <c r="M18" s="10">
        <f t="shared" si="10"/>
        <v>12090.71429</v>
      </c>
    </row>
    <row r="19">
      <c r="A19" s="20" t="s">
        <v>35</v>
      </c>
      <c r="B19" s="9">
        <f>SUMIFS(numbers!F:F, numbers!C:C, A19, numbers!F:F, "&lt;25000")</f>
        <v>78330</v>
      </c>
      <c r="C19" s="13">
        <f t="shared" si="6"/>
        <v>9.066287024</v>
      </c>
      <c r="D19" s="21">
        <f>COUNTIFS(numbers!C:C, A19, numbers!F:F, "&lt;25000")</f>
        <v>7</v>
      </c>
      <c r="E19" s="13">
        <f t="shared" si="7"/>
        <v>11190</v>
      </c>
      <c r="F19" s="10" t="str">
        <f t="shared" si="8"/>
        <v>★</v>
      </c>
      <c r="G19" s="15">
        <f t="shared" si="9"/>
        <v>6.92509903</v>
      </c>
      <c r="K19" s="23"/>
      <c r="L19" s="23"/>
    </row>
    <row r="20">
      <c r="A20" s="20" t="s">
        <v>41</v>
      </c>
      <c r="B20" s="9">
        <f>SUMIFS(numbers!F:F, numbers!C:C, A20, numbers!F:F, "&lt;25000")</f>
        <v>48830</v>
      </c>
      <c r="C20" s="13">
        <f t="shared" si="6"/>
        <v>5.651816614</v>
      </c>
      <c r="D20" s="21">
        <f>COUNTIFS(numbers!C:C, A20, numbers!F:F, "&lt;25000")</f>
        <v>4</v>
      </c>
      <c r="E20" s="13">
        <f t="shared" si="7"/>
        <v>12207.5</v>
      </c>
      <c r="F20" s="10" t="str">
        <f t="shared" si="8"/>
        <v>★</v>
      </c>
      <c r="G20" s="15">
        <f t="shared" si="9"/>
        <v>7.554794139</v>
      </c>
      <c r="K20" s="23"/>
      <c r="L20" s="23"/>
    </row>
    <row r="21">
      <c r="A21" s="20" t="s">
        <v>47</v>
      </c>
      <c r="B21" s="9">
        <f>SUMIFS(numbers!F:F, numbers!C:C, A21, numbers!F:F, "&lt;25000")</f>
        <v>101795</v>
      </c>
      <c r="C21" s="13">
        <f t="shared" si="6"/>
        <v>11.78223781</v>
      </c>
      <c r="D21" s="21">
        <f>COUNTIFS(numbers!C:C, A21, numbers!F:F, "&lt;25000")</f>
        <v>8</v>
      </c>
      <c r="E21" s="13">
        <f t="shared" si="7"/>
        <v>12724.375</v>
      </c>
      <c r="F21" s="10" t="str">
        <f t="shared" si="8"/>
        <v>★</v>
      </c>
      <c r="G21" s="15">
        <f t="shared" si="9"/>
        <v>7.874669971</v>
      </c>
      <c r="J21" s="17" t="s">
        <v>203</v>
      </c>
      <c r="K21" s="24" t="s">
        <v>204</v>
      </c>
      <c r="L21" s="24" t="s">
        <v>205</v>
      </c>
      <c r="M21" s="17" t="s">
        <v>190</v>
      </c>
      <c r="N21" s="17"/>
    </row>
    <row r="22">
      <c r="A22" s="20" t="s">
        <v>85</v>
      </c>
      <c r="B22" s="9">
        <f>SUMIFS(numbers!F:F, numbers!C:C, A22, numbers!F:F, "&lt;25000")</f>
        <v>67595</v>
      </c>
      <c r="C22" s="13">
        <f t="shared" si="6"/>
        <v>7.823767029</v>
      </c>
      <c r="D22" s="21">
        <f>COUNTIFS(numbers!C:C, A22, numbers!F:F, "&lt;25000")</f>
        <v>6</v>
      </c>
      <c r="E22" s="13">
        <f t="shared" si="7"/>
        <v>11265.83333</v>
      </c>
      <c r="F22" s="10" t="str">
        <f t="shared" si="8"/>
        <v>★</v>
      </c>
      <c r="G22" s="15">
        <f t="shared" si="9"/>
        <v>6.972029624</v>
      </c>
      <c r="J22" s="18" t="s">
        <v>83</v>
      </c>
      <c r="K22" s="21">
        <f>SUMIFS(numbers!F:F, numbers!M:M, "*"&amp;J22&amp;"*", numbers!F:F, "&lt;25000")</f>
        <v>249560</v>
      </c>
      <c r="L22" s="21">
        <f>COUNTIFS(numbers!M:M, "*"&amp;J22&amp;"*", numbers!F:F, "&lt;25000")</f>
        <v>22</v>
      </c>
      <c r="M22" s="13">
        <f t="shared" ref="M22:M25" si="11">K22/L22</f>
        <v>11343.63636</v>
      </c>
    </row>
    <row r="23">
      <c r="A23" s="20" t="s">
        <v>97</v>
      </c>
      <c r="B23" s="9">
        <f>SUMIFS(numbers!F:F, numbers!C:C, A23, numbers!F:F, "&lt;25000")</f>
        <v>65115</v>
      </c>
      <c r="C23" s="13">
        <f t="shared" si="6"/>
        <v>7.536720025</v>
      </c>
      <c r="D23" s="21">
        <f>COUNTIFS(numbers!C:C, A23, numbers!F:F, "&lt;25000")</f>
        <v>6</v>
      </c>
      <c r="E23" s="13">
        <f t="shared" si="7"/>
        <v>10852.5</v>
      </c>
      <c r="F23" s="10" t="str">
        <f t="shared" si="8"/>
        <v>★</v>
      </c>
      <c r="G23" s="15">
        <f t="shared" si="9"/>
        <v>6.716232103</v>
      </c>
      <c r="J23" s="18" t="s">
        <v>72</v>
      </c>
      <c r="K23" s="21">
        <f>SUMIFS(numbers!F:F, numbers!M:M, "*"&amp;J23&amp;"*", numbers!F:F, "&lt;25000")</f>
        <v>167825</v>
      </c>
      <c r="L23" s="21">
        <f>COUNTIFS(numbers!M:M, "*"&amp;J23&amp;"*", numbers!F:F, "&lt;25000")</f>
        <v>14</v>
      </c>
      <c r="M23" s="13">
        <f t="shared" si="11"/>
        <v>11987.5</v>
      </c>
    </row>
    <row r="24">
      <c r="A24" s="20" t="s">
        <v>30</v>
      </c>
      <c r="B24" s="9">
        <f>SUMIFS(numbers!F:F, numbers!C:C, A24, numbers!F:F, "&lt;25000")</f>
        <v>72020</v>
      </c>
      <c r="C24" s="13">
        <f t="shared" si="6"/>
        <v>8.33593759</v>
      </c>
      <c r="D24" s="21">
        <f>COUNTIFS(numbers!C:C, A24, numbers!F:F, "&lt;25000")</f>
        <v>6</v>
      </c>
      <c r="E24" s="13">
        <f t="shared" si="7"/>
        <v>12003.33333</v>
      </c>
      <c r="F24" s="10" t="str">
        <f t="shared" si="8"/>
        <v>★</v>
      </c>
      <c r="G24" s="15">
        <f t="shared" si="9"/>
        <v>7.42844254</v>
      </c>
      <c r="J24" s="18" t="s">
        <v>27</v>
      </c>
      <c r="K24" s="21">
        <f>SUMIFS(numbers!F:F, numbers!M:M, "*"&amp;J24&amp;"*", numbers!F:F, "&lt;25000")</f>
        <v>477905</v>
      </c>
      <c r="L24" s="21">
        <f>COUNTIFS(numbers!M:M, "*"&amp;J24&amp;"*", numbers!F:F, "&lt;25000")</f>
        <v>42</v>
      </c>
      <c r="M24" s="13">
        <f t="shared" si="11"/>
        <v>11378.69048</v>
      </c>
    </row>
    <row r="25">
      <c r="A25" s="20" t="s">
        <v>60</v>
      </c>
      <c r="B25" s="9">
        <f>SUMIFS(numbers!F:F, numbers!C:C, A25, numbers!F:F, "&lt;25000")</f>
        <v>77130</v>
      </c>
      <c r="C25" s="13">
        <f t="shared" si="6"/>
        <v>8.927393312</v>
      </c>
      <c r="D25" s="21">
        <f>COUNTIFS(numbers!C:C, A25, numbers!F:F, "&lt;25000")</f>
        <v>7</v>
      </c>
      <c r="E25" s="13">
        <f t="shared" si="7"/>
        <v>11018.57143</v>
      </c>
      <c r="F25" s="10" t="str">
        <f t="shared" si="8"/>
        <v>★</v>
      </c>
      <c r="G25" s="15">
        <f t="shared" si="9"/>
        <v>6.819007892</v>
      </c>
      <c r="J25" s="18" t="s">
        <v>66</v>
      </c>
      <c r="K25" s="21">
        <f>SUMIFS(numbers!F:F, numbers!M:M, "*"&amp;J25&amp;"*", numbers!F:F, "&lt;25000")</f>
        <v>460705</v>
      </c>
      <c r="L25" s="21">
        <f>COUNTIFS(numbers!M:M, "*"&amp;J25&amp;"*", numbers!F:F, "&lt;25000")</f>
        <v>40</v>
      </c>
      <c r="M25" s="13">
        <f t="shared" si="11"/>
        <v>11517.625</v>
      </c>
    </row>
    <row r="26">
      <c r="A26" s="20" t="s">
        <v>68</v>
      </c>
      <c r="B26" s="9">
        <f>SUMIFS(numbers!F:F, numbers!C:C, A26, numbers!F:F, "&lt;25000")</f>
        <v>74955</v>
      </c>
      <c r="C26" s="13">
        <f t="shared" si="6"/>
        <v>8.67564846</v>
      </c>
      <c r="D26" s="21">
        <f>COUNTIFS(numbers!C:C, A26, numbers!F:F, "&lt;25000")</f>
        <v>7</v>
      </c>
      <c r="E26" s="13">
        <f t="shared" si="7"/>
        <v>10707.85714</v>
      </c>
      <c r="F26" s="10" t="str">
        <f t="shared" si="8"/>
        <v>★</v>
      </c>
      <c r="G26" s="15">
        <f t="shared" si="9"/>
        <v>6.626717705</v>
      </c>
      <c r="M26" s="13"/>
    </row>
    <row r="27">
      <c r="A27" s="20" t="s">
        <v>44</v>
      </c>
      <c r="B27" s="9">
        <f>SUMIFS(numbers!F:F, numbers!C:C, A27, numbers!F:F, "&lt;25000")</f>
        <v>36195</v>
      </c>
      <c r="C27" s="13">
        <f t="shared" si="6"/>
        <v>4.189381576</v>
      </c>
      <c r="D27" s="21">
        <f>COUNTIFS(numbers!C:C, A27, numbers!F:F, "&lt;25000")</f>
        <v>3</v>
      </c>
      <c r="E27" s="13">
        <f t="shared" si="7"/>
        <v>12065</v>
      </c>
      <c r="F27" s="10" t="str">
        <f t="shared" si="8"/>
        <v>★</v>
      </c>
      <c r="G27" s="15">
        <f t="shared" si="9"/>
        <v>7.46660588</v>
      </c>
    </row>
    <row r="28">
      <c r="A28" s="20" t="s">
        <v>50</v>
      </c>
      <c r="B28" s="9">
        <f>SUMIFS(numbers!F:F, numbers!C:C, A28, numbers!F:F, "&lt;25000")</f>
        <v>31035</v>
      </c>
      <c r="C28" s="13">
        <f t="shared" si="6"/>
        <v>3.592138616</v>
      </c>
      <c r="D28" s="21">
        <f>COUNTIFS(numbers!C:C, A28, numbers!F:F, "&lt;25000")</f>
        <v>3</v>
      </c>
      <c r="E28" s="13">
        <f t="shared" si="7"/>
        <v>10345</v>
      </c>
      <c r="F28" s="10" t="str">
        <f t="shared" si="8"/>
        <v>★</v>
      </c>
      <c r="G28" s="15">
        <f t="shared" si="9"/>
        <v>6.40215813</v>
      </c>
      <c r="J28" s="17" t="s">
        <v>206</v>
      </c>
      <c r="K28" s="17" t="s">
        <v>204</v>
      </c>
      <c r="L28" s="17" t="s">
        <v>205</v>
      </c>
      <c r="M28" s="17" t="s">
        <v>190</v>
      </c>
    </row>
    <row r="29">
      <c r="A29" s="20" t="s">
        <v>53</v>
      </c>
      <c r="B29" s="9">
        <f>SUMIFS(numbers!F:F, numbers!C:C, A29, numbers!F:F, "&lt;25000")</f>
        <v>47630</v>
      </c>
      <c r="C29" s="13">
        <f t="shared" si="6"/>
        <v>5.512922902</v>
      </c>
      <c r="D29" s="21">
        <f>COUNTIFS(numbers!C:C, A29, numbers!F:F, "&lt;25000")</f>
        <v>4</v>
      </c>
      <c r="E29" s="13">
        <f t="shared" si="7"/>
        <v>11907.5</v>
      </c>
      <c r="F29" s="10" t="str">
        <f t="shared" si="8"/>
        <v>★</v>
      </c>
      <c r="G29" s="15">
        <f t="shared" si="9"/>
        <v>7.369134647</v>
      </c>
      <c r="J29" s="20" t="s">
        <v>83</v>
      </c>
      <c r="K29" s="21">
        <f>SUMIFS(numbers!F:F, numbers!M:M, J29, numbers!F:F, "&lt;25000")</f>
        <v>80915</v>
      </c>
      <c r="L29" s="21">
        <f>COUNTIFS(numbers!M:M, J29, numbers!F:F, "&lt;25000")</f>
        <v>7</v>
      </c>
      <c r="M29" s="13">
        <f t="shared" ref="M29:M40" si="12">K29/L29</f>
        <v>11559.28571</v>
      </c>
    </row>
    <row r="30">
      <c r="J30" s="20" t="s">
        <v>157</v>
      </c>
      <c r="K30" s="21">
        <f>SUMIFS(numbers!F:F, numbers!M:M, J30, numbers!F:F, "&lt;25000")</f>
        <v>13185</v>
      </c>
      <c r="L30" s="21">
        <f>COUNTIFS(numbers!M:M, J30, numbers!F:F, "&lt;25000")</f>
        <v>1</v>
      </c>
      <c r="M30" s="13">
        <f t="shared" si="12"/>
        <v>13185</v>
      </c>
    </row>
    <row r="31">
      <c r="A31" s="1" t="s">
        <v>3</v>
      </c>
      <c r="B31" s="9"/>
      <c r="C31" s="9"/>
      <c r="J31" s="20" t="s">
        <v>86</v>
      </c>
      <c r="K31" s="21">
        <f>SUMIFS(numbers!F:F, numbers!M:M, J31, numbers!F:F, "&lt;25000")</f>
        <v>21330</v>
      </c>
      <c r="L31" s="21">
        <f>COUNTIFS(numbers!M:M, J31, numbers!F:F, "&lt;25000")</f>
        <v>2</v>
      </c>
      <c r="M31" s="13">
        <f t="shared" si="12"/>
        <v>10665</v>
      </c>
    </row>
    <row r="32">
      <c r="A32" s="8" t="s">
        <v>26</v>
      </c>
      <c r="B32" s="9">
        <f>SUMIFS(numbers!F:F, numbers!D:D, A32, numbers!F:F, "&lt;25000")</f>
        <v>54945</v>
      </c>
      <c r="C32" s="10">
        <f t="shared" ref="C32:C48" si="13">B32*100/SUM($B$32:$B$48)</f>
        <v>6.359595819</v>
      </c>
      <c r="D32" s="21">
        <f>COUNTIFS(numbers!D:D, A32, numbers!F:F, "&lt;25000")</f>
        <v>5</v>
      </c>
      <c r="E32" s="13">
        <f t="shared" ref="E32:E48" si="14">B32/D32</f>
        <v>10989</v>
      </c>
      <c r="F32" s="10" t="str">
        <f t="shared" ref="F32:F48" si="15">IFS(E32&lt;10000, "", E32&lt;25000, "★", E32&lt;60000, "★★", E32&lt;160000, "★★★", E32&lt;1160000, "★★★★", E32&gt;=1160000, "★★★★★")</f>
        <v>★</v>
      </c>
      <c r="G32" s="15">
        <f t="shared" ref="G32:G48" si="16">E32*100/SUM($E$32:$E$48)</f>
        <v>5.639532323</v>
      </c>
      <c r="J32" s="20" t="s">
        <v>80</v>
      </c>
      <c r="K32" s="21">
        <f>SUMIFS(numbers!F:F, numbers!M:M, J32, numbers!F:F, "&lt;25000")</f>
        <v>10200</v>
      </c>
      <c r="L32" s="21">
        <f>COUNTIFS(numbers!M:M, J32, numbers!F:F, "&lt;25000")</f>
        <v>1</v>
      </c>
      <c r="M32" s="13">
        <f t="shared" si="12"/>
        <v>10200</v>
      </c>
    </row>
    <row r="33">
      <c r="A33" s="8" t="s">
        <v>107</v>
      </c>
      <c r="B33" s="9">
        <f>SUMIFS(numbers!F:F, numbers!D:D, A33, numbers!F:F, "&lt;25000")</f>
        <v>20725</v>
      </c>
      <c r="C33" s="10">
        <f t="shared" si="13"/>
        <v>2.398810144</v>
      </c>
      <c r="D33" s="21">
        <f>COUNTIFS(numbers!D:D, A33, numbers!F:F, "&lt;25000")</f>
        <v>2</v>
      </c>
      <c r="E33" s="13">
        <f t="shared" si="14"/>
        <v>10362.5</v>
      </c>
      <c r="F33" s="10" t="str">
        <f t="shared" si="15"/>
        <v>★</v>
      </c>
      <c r="G33" s="15">
        <f t="shared" si="16"/>
        <v>5.318013804</v>
      </c>
      <c r="J33" s="20" t="s">
        <v>55</v>
      </c>
      <c r="K33" s="21">
        <f>SUMIFS(numbers!F:F, numbers!M:M, J33, numbers!F:F, "&lt;25000")</f>
        <v>123930</v>
      </c>
      <c r="L33" s="21">
        <f>COUNTIFS(numbers!M:M, J33, numbers!F:F, "&lt;25000")</f>
        <v>11</v>
      </c>
      <c r="M33" s="13">
        <f t="shared" si="12"/>
        <v>11266.36364</v>
      </c>
    </row>
    <row r="34">
      <c r="A34" s="8" t="s">
        <v>110</v>
      </c>
      <c r="B34" s="9">
        <f>SUMIFS(numbers!F:F, numbers!D:D, A34, numbers!F:F, "&lt;25000")</f>
        <v>36400</v>
      </c>
      <c r="C34" s="10">
        <f t="shared" si="13"/>
        <v>4.213109251</v>
      </c>
      <c r="D34" s="21">
        <f>COUNTIFS(numbers!D:D, A34, numbers!F:F, "&lt;25000")</f>
        <v>3</v>
      </c>
      <c r="E34" s="13">
        <f t="shared" si="14"/>
        <v>12133.33333</v>
      </c>
      <c r="F34" s="10" t="str">
        <f t="shared" si="15"/>
        <v>★</v>
      </c>
      <c r="G34" s="15">
        <f t="shared" si="16"/>
        <v>6.226801849</v>
      </c>
      <c r="J34" s="20" t="s">
        <v>72</v>
      </c>
      <c r="K34" s="21">
        <f>SUMIFS(numbers!F:F, numbers!M:M, J34, numbers!F:F, "&lt;25000")</f>
        <v>32735</v>
      </c>
      <c r="L34" s="21">
        <f>COUNTIFS(numbers!M:M, J34, numbers!F:F, "&lt;25000")</f>
        <v>3</v>
      </c>
      <c r="M34" s="13">
        <f t="shared" si="12"/>
        <v>10911.66667</v>
      </c>
    </row>
    <row r="35">
      <c r="A35" s="8" t="s">
        <v>78</v>
      </c>
      <c r="B35" s="9">
        <f>SUMIFS(numbers!F:F, numbers!D:D, A35, numbers!F:F, "&lt;25000")</f>
        <v>45685</v>
      </c>
      <c r="C35" s="10">
        <f t="shared" si="13"/>
        <v>5.287799345</v>
      </c>
      <c r="D35" s="21">
        <f>COUNTIFS(numbers!D:D, A35, numbers!F:F, "&lt;25000")</f>
        <v>4</v>
      </c>
      <c r="E35" s="13">
        <f t="shared" si="14"/>
        <v>11421.25</v>
      </c>
      <c r="F35" s="10" t="str">
        <f t="shared" si="15"/>
        <v>★</v>
      </c>
      <c r="G35" s="15">
        <f t="shared" si="16"/>
        <v>5.861362139</v>
      </c>
      <c r="J35" s="20" t="s">
        <v>32</v>
      </c>
      <c r="K35" s="21">
        <f>SUMIFS(numbers!F:F, numbers!M:M, J35, numbers!F:F, "&lt;25000")</f>
        <v>91005</v>
      </c>
      <c r="L35" s="21">
        <f>COUNTIFS(numbers!M:M, J35, numbers!F:F, "&lt;25000")</f>
        <v>7</v>
      </c>
      <c r="M35" s="13">
        <f t="shared" si="12"/>
        <v>13000.71429</v>
      </c>
    </row>
    <row r="36">
      <c r="A36" s="8" t="s">
        <v>54</v>
      </c>
      <c r="B36" s="9">
        <f>SUMIFS(numbers!F:F, numbers!D:D, A36, numbers!F:F, "&lt;25000")</f>
        <v>87770</v>
      </c>
      <c r="C36" s="10">
        <f t="shared" si="13"/>
        <v>10.15891756</v>
      </c>
      <c r="D36" s="21">
        <f>COUNTIFS(numbers!D:D, A36, numbers!F:F, "&lt;25000")</f>
        <v>8</v>
      </c>
      <c r="E36" s="13">
        <f t="shared" si="14"/>
        <v>10971.25</v>
      </c>
      <c r="F36" s="10" t="str">
        <f t="shared" si="15"/>
        <v>★</v>
      </c>
      <c r="G36" s="15">
        <f t="shared" si="16"/>
        <v>5.630423059</v>
      </c>
      <c r="J36" s="20" t="s">
        <v>101</v>
      </c>
      <c r="K36" s="21">
        <f>SUMIFS(numbers!F:F, numbers!M:M, J36, numbers!F:F, "&lt;25000")</f>
        <v>10500</v>
      </c>
      <c r="L36" s="21">
        <f>COUNTIFS(numbers!M:M, J36, numbers!F:F, "&lt;25000")</f>
        <v>1</v>
      </c>
      <c r="M36" s="13">
        <f t="shared" si="12"/>
        <v>10500</v>
      </c>
    </row>
    <row r="37">
      <c r="A37" s="8" t="s">
        <v>51</v>
      </c>
      <c r="B37" s="9">
        <f>SUMIFS(numbers!F:F, numbers!D:D, A37, numbers!F:F, "&lt;25000")</f>
        <v>49190</v>
      </c>
      <c r="C37" s="10">
        <f t="shared" si="13"/>
        <v>5.693484727</v>
      </c>
      <c r="D37" s="21">
        <f>COUNTIFS(numbers!D:D, A37, numbers!F:F, "&lt;25000")</f>
        <v>4</v>
      </c>
      <c r="E37" s="13">
        <f t="shared" si="14"/>
        <v>12297.5</v>
      </c>
      <c r="F37" s="10" t="str">
        <f t="shared" si="15"/>
        <v>★</v>
      </c>
      <c r="G37" s="15">
        <f t="shared" si="16"/>
        <v>6.311051846</v>
      </c>
      <c r="J37" s="20" t="s">
        <v>64</v>
      </c>
      <c r="K37" s="21">
        <f>SUMIFS(numbers!F:F, numbers!M:M, J37, numbers!F:F, "&lt;25000")</f>
        <v>20400</v>
      </c>
      <c r="L37" s="21">
        <f>COUNTIFS(numbers!M:M, J37, numbers!F:F, "&lt;25000")</f>
        <v>2</v>
      </c>
      <c r="M37" s="13">
        <f t="shared" si="12"/>
        <v>10200</v>
      </c>
    </row>
    <row r="38">
      <c r="A38" s="8" t="s">
        <v>58</v>
      </c>
      <c r="B38" s="9">
        <f>SUMIFS(numbers!F:F, numbers!D:D, A38, numbers!F:F, "&lt;25000")</f>
        <v>57310</v>
      </c>
      <c r="C38" s="10">
        <f t="shared" si="13"/>
        <v>6.633332176</v>
      </c>
      <c r="D38" s="21">
        <f>COUNTIFS(numbers!D:D, A38, numbers!F:F, "&lt;25000")</f>
        <v>5</v>
      </c>
      <c r="E38" s="13">
        <f t="shared" si="14"/>
        <v>11462</v>
      </c>
      <c r="F38" s="10" t="str">
        <f t="shared" si="15"/>
        <v>★</v>
      </c>
      <c r="G38" s="15">
        <f t="shared" si="16"/>
        <v>5.882274955</v>
      </c>
      <c r="J38" s="20" t="s">
        <v>27</v>
      </c>
      <c r="K38" s="21">
        <f>SUMIFS(numbers!F:F, numbers!M:M, J38, numbers!F:F, "&lt;25000")</f>
        <v>164095</v>
      </c>
      <c r="L38" s="21">
        <f>COUNTIFS(numbers!M:M, J38, numbers!F:F, "&lt;25000")</f>
        <v>15</v>
      </c>
      <c r="M38" s="13">
        <f t="shared" si="12"/>
        <v>10939.66667</v>
      </c>
    </row>
    <row r="39">
      <c r="A39" s="8" t="s">
        <v>121</v>
      </c>
      <c r="B39" s="9">
        <f>SUMIFS(numbers!F:F, numbers!D:D, A39, numbers!F:F, "&lt;25000")</f>
        <v>21200</v>
      </c>
      <c r="C39" s="10">
        <f t="shared" si="13"/>
        <v>2.453788905</v>
      </c>
      <c r="D39" s="21">
        <f>COUNTIFS(numbers!D:D, A39, numbers!F:F, "&lt;25000")</f>
        <v>2</v>
      </c>
      <c r="E39" s="13">
        <f t="shared" si="14"/>
        <v>10600</v>
      </c>
      <c r="F39" s="10" t="str">
        <f t="shared" si="15"/>
        <v>★</v>
      </c>
      <c r="G39" s="15">
        <f t="shared" si="16"/>
        <v>5.439898318</v>
      </c>
      <c r="J39" s="20" t="s">
        <v>37</v>
      </c>
      <c r="K39" s="21">
        <f>SUMIFS(numbers!F:F, numbers!M:M, J39, numbers!F:F, "&lt;25000")</f>
        <v>180775</v>
      </c>
      <c r="L39" s="21">
        <f>COUNTIFS(numbers!M:M, J39, numbers!F:F, "&lt;25000")</f>
        <v>16</v>
      </c>
      <c r="M39" s="13">
        <f t="shared" si="12"/>
        <v>11298.4375</v>
      </c>
    </row>
    <row r="40">
      <c r="A40" s="8" t="s">
        <v>61</v>
      </c>
      <c r="B40" s="9">
        <f>SUMIFS(numbers!F:F, numbers!D:D, A40, numbers!F:F, "&lt;25000")</f>
        <v>79315</v>
      </c>
      <c r="C40" s="10">
        <f t="shared" si="13"/>
        <v>9.180295612</v>
      </c>
      <c r="D40" s="21">
        <f>COUNTIFS(numbers!D:D, A40, numbers!F:F, "&lt;25000")</f>
        <v>6</v>
      </c>
      <c r="E40" s="13">
        <f t="shared" si="14"/>
        <v>13219.16667</v>
      </c>
      <c r="F40" s="10" t="str">
        <f t="shared" si="15"/>
        <v>★</v>
      </c>
      <c r="G40" s="15">
        <f t="shared" si="16"/>
        <v>6.784049294</v>
      </c>
      <c r="J40" s="20" t="s">
        <v>66</v>
      </c>
      <c r="K40" s="21">
        <f>SUMIFS(numbers!F:F, numbers!M:M, J40, numbers!F:F, "&lt;25000")</f>
        <v>114900</v>
      </c>
      <c r="L40" s="21">
        <f>COUNTIFS(numbers!M:M, J40, numbers!F:F, "&lt;25000")</f>
        <v>9</v>
      </c>
      <c r="M40" s="13">
        <f t="shared" si="12"/>
        <v>12766.66667</v>
      </c>
    </row>
    <row r="41">
      <c r="A41" s="8" t="s">
        <v>36</v>
      </c>
      <c r="B41" s="9">
        <f>SUMIFS(numbers!F:F, numbers!D:D, A41, numbers!F:F, "&lt;25000")</f>
        <v>40935</v>
      </c>
      <c r="C41" s="10">
        <f t="shared" si="13"/>
        <v>4.738011737</v>
      </c>
      <c r="D41" s="21">
        <f>COUNTIFS(numbers!D:D, A41, numbers!F:F, "&lt;25000")</f>
        <v>4</v>
      </c>
      <c r="E41" s="13">
        <f t="shared" si="14"/>
        <v>10233.75</v>
      </c>
      <c r="F41" s="10" t="str">
        <f t="shared" si="15"/>
        <v>★</v>
      </c>
      <c r="G41" s="15">
        <f t="shared" si="16"/>
        <v>5.251939568</v>
      </c>
    </row>
    <row r="42">
      <c r="A42" s="8" t="s">
        <v>93</v>
      </c>
      <c r="B42" s="9">
        <f>SUMIFS(numbers!F:F, numbers!D:D, A42, numbers!F:F, "&lt;25000")</f>
        <v>56410</v>
      </c>
      <c r="C42" s="10">
        <f t="shared" si="13"/>
        <v>6.529161892</v>
      </c>
      <c r="D42" s="21">
        <f>COUNTIFS(numbers!D:D, A42, numbers!F:F, "&lt;25000")</f>
        <v>5</v>
      </c>
      <c r="E42" s="13">
        <f t="shared" si="14"/>
        <v>11282</v>
      </c>
      <c r="F42" s="10" t="str">
        <f t="shared" si="15"/>
        <v>★</v>
      </c>
      <c r="G42" s="15">
        <f t="shared" si="16"/>
        <v>5.789899323</v>
      </c>
      <c r="J42" s="17"/>
    </row>
    <row r="43">
      <c r="A43" s="8" t="s">
        <v>91</v>
      </c>
      <c r="B43" s="9">
        <f>SUMIFS(numbers!F:F, numbers!D:D, A43, numbers!F:F, "&lt;25000")</f>
        <v>37645</v>
      </c>
      <c r="C43" s="10">
        <f t="shared" si="13"/>
        <v>4.357211477</v>
      </c>
      <c r="D43" s="21">
        <f>COUNTIFS(numbers!D:D, A43, numbers!F:F, "&lt;25000")</f>
        <v>3</v>
      </c>
      <c r="E43" s="13">
        <f t="shared" si="14"/>
        <v>12548.33333</v>
      </c>
      <c r="F43" s="10" t="str">
        <f t="shared" si="15"/>
        <v>★</v>
      </c>
      <c r="G43" s="15">
        <f t="shared" si="16"/>
        <v>6.439779</v>
      </c>
    </row>
    <row r="44">
      <c r="A44" s="8" t="s">
        <v>48</v>
      </c>
      <c r="B44" s="9">
        <f>SUMIFS(numbers!F:F, numbers!D:D, A44, numbers!F:F, "&lt;25000")</f>
        <v>53810</v>
      </c>
      <c r="C44" s="10">
        <f t="shared" si="13"/>
        <v>6.228225517</v>
      </c>
      <c r="D44" s="21">
        <f>COUNTIFS(numbers!D:D, A44, numbers!F:F, "&lt;25000")</f>
        <v>5</v>
      </c>
      <c r="E44" s="13">
        <f t="shared" si="14"/>
        <v>10762</v>
      </c>
      <c r="F44" s="10" t="str">
        <f t="shared" si="15"/>
        <v>★</v>
      </c>
      <c r="G44" s="15">
        <f t="shared" si="16"/>
        <v>5.523036387</v>
      </c>
    </row>
    <row r="45">
      <c r="A45" s="8" t="s">
        <v>31</v>
      </c>
      <c r="B45" s="9">
        <f>SUMIFS(numbers!F:F, numbers!D:D, A45, numbers!F:F, "&lt;25000")</f>
        <v>78015</v>
      </c>
      <c r="C45" s="10">
        <f t="shared" si="13"/>
        <v>9.029827425</v>
      </c>
      <c r="D45" s="21">
        <f>COUNTIFS(numbers!D:D, A45, numbers!F:F, "&lt;25000")</f>
        <v>6</v>
      </c>
      <c r="E45" s="13">
        <f t="shared" si="14"/>
        <v>13002.5</v>
      </c>
      <c r="F45" s="10" t="str">
        <f t="shared" si="15"/>
        <v>★</v>
      </c>
      <c r="G45" s="15">
        <f t="shared" si="16"/>
        <v>6.672856404</v>
      </c>
    </row>
    <row r="46">
      <c r="A46" s="8" t="s">
        <v>42</v>
      </c>
      <c r="B46" s="9">
        <f>SUMIFS(numbers!F:F, numbers!D:D, A46, numbers!F:F, "&lt;25000")</f>
        <v>51635</v>
      </c>
      <c r="C46" s="10">
        <f t="shared" si="13"/>
        <v>5.976480665</v>
      </c>
      <c r="D46" s="21">
        <f>COUNTIFS(numbers!D:D, A46, numbers!F:F, "&lt;25000")</f>
        <v>5</v>
      </c>
      <c r="E46" s="13">
        <f t="shared" si="14"/>
        <v>10327</v>
      </c>
      <c r="F46" s="10" t="str">
        <f t="shared" si="15"/>
        <v>★</v>
      </c>
      <c r="G46" s="15">
        <f t="shared" si="16"/>
        <v>5.299795277</v>
      </c>
    </row>
    <row r="47">
      <c r="A47" s="8" t="s">
        <v>45</v>
      </c>
      <c r="B47" s="9">
        <f>SUMIFS(numbers!F:F, numbers!D:D, A47, numbers!F:F, "&lt;25000")</f>
        <v>49510</v>
      </c>
      <c r="C47" s="10">
        <f t="shared" si="13"/>
        <v>5.730523051</v>
      </c>
      <c r="D47" s="21">
        <f>COUNTIFS(numbers!D:D, A47, numbers!F:F, "&lt;25000")</f>
        <v>4</v>
      </c>
      <c r="E47" s="13">
        <f t="shared" si="14"/>
        <v>12377.5</v>
      </c>
      <c r="F47" s="10" t="str">
        <f t="shared" si="15"/>
        <v>★</v>
      </c>
      <c r="G47" s="15">
        <f t="shared" si="16"/>
        <v>6.352107683</v>
      </c>
    </row>
    <row r="48">
      <c r="A48" s="8" t="s">
        <v>39</v>
      </c>
      <c r="B48" s="9">
        <f>SUMIFS(numbers!F:F, numbers!D:D, A48, numbers!F:F, "&lt;25000")</f>
        <v>43470</v>
      </c>
      <c r="C48" s="10">
        <f t="shared" si="13"/>
        <v>5.031424702</v>
      </c>
      <c r="D48" s="21">
        <f>COUNTIFS(numbers!D:D, A48, numbers!F:F, "&lt;25000")</f>
        <v>4</v>
      </c>
      <c r="E48" s="13">
        <f t="shared" si="14"/>
        <v>10867.5</v>
      </c>
      <c r="F48" s="10" t="str">
        <f t="shared" si="15"/>
        <v>★</v>
      </c>
      <c r="G48" s="15">
        <f t="shared" si="16"/>
        <v>5.577178771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7" max="7" width="15.13"/>
    <col customWidth="1" min="8" max="8" width="23.25"/>
  </cols>
  <sheetData>
    <row r="2">
      <c r="A2" s="18" t="s">
        <v>249</v>
      </c>
      <c r="H2" s="18" t="s">
        <v>250</v>
      </c>
    </row>
    <row r="22">
      <c r="A22" s="18" t="s">
        <v>251</v>
      </c>
      <c r="H22" s="18" t="s">
        <v>252</v>
      </c>
    </row>
    <row r="42">
      <c r="A42" s="18" t="s">
        <v>253</v>
      </c>
      <c r="H42" s="18" t="s">
        <v>254</v>
      </c>
    </row>
    <row r="64">
      <c r="A64" s="18" t="s">
        <v>255</v>
      </c>
      <c r="H64" s="18" t="s">
        <v>256</v>
      </c>
    </row>
    <row r="84">
      <c r="A84" s="18" t="s">
        <v>257</v>
      </c>
      <c r="H84" s="18" t="s">
        <v>258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63"/>
    <col customWidth="1" min="3" max="3" width="9.63"/>
    <col customWidth="1" min="5" max="5" width="13.63"/>
    <col customWidth="1" min="6" max="6" width="10.5"/>
    <col customWidth="1" min="7" max="7" width="8.88"/>
    <col customWidth="1" min="8" max="8" width="10.5"/>
    <col customWidth="1" min="9" max="9" width="11.88"/>
    <col customWidth="1" min="10" max="10" width="22.0"/>
    <col customWidth="1" min="11" max="11" width="15.25"/>
    <col customWidth="1" min="12" max="12" width="12.75"/>
    <col customWidth="1" min="13" max="13" width="16.88"/>
    <col customWidth="1" min="14" max="14" width="16.38"/>
  </cols>
  <sheetData>
    <row r="1">
      <c r="A1" s="1"/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</row>
    <row r="2">
      <c r="A2" s="1" t="s">
        <v>0</v>
      </c>
      <c r="B2" s="9"/>
      <c r="C2" s="9"/>
      <c r="D2" s="9"/>
      <c r="E2" s="9"/>
      <c r="F2" s="9"/>
      <c r="G2" s="9"/>
    </row>
    <row r="3">
      <c r="A3" s="8" t="s">
        <v>24</v>
      </c>
      <c r="B3" s="9">
        <f>SUMIF(numbers!A:A, A3, numbers!F:F)</f>
        <v>199115</v>
      </c>
      <c r="C3" s="16">
        <f t="shared" ref="C3:C13" si="1">B3*100/SUM($B$3:$B$13)</f>
        <v>2.915966165</v>
      </c>
      <c r="D3" s="8">
        <f>COUNTIF(numbers!A:A, A3)</f>
        <v>11</v>
      </c>
      <c r="E3" s="10">
        <f t="shared" ref="E3:E13" si="2">B3/D3</f>
        <v>18101.36364</v>
      </c>
      <c r="F3" s="10" t="str">
        <f t="shared" ref="F3:F13" si="3">IFS(E3&lt;25000, "★", E3&lt;60000, "★★", E3&lt;160000, "★★★", E3&lt;1160000, "★★★★", E3&gt;=1160000, "★★★★★")</f>
        <v>★</v>
      </c>
      <c r="G3" s="16">
        <f t="shared" ref="G3:G13" si="4">E3*100/SUM($E$3:$E$13)</f>
        <v>2.932579206</v>
      </c>
      <c r="H3" s="17"/>
      <c r="I3" s="17"/>
      <c r="J3" s="17" t="s">
        <v>187</v>
      </c>
      <c r="K3" s="17" t="s">
        <v>188</v>
      </c>
      <c r="L3" s="17" t="s">
        <v>189</v>
      </c>
      <c r="M3" s="17" t="s">
        <v>190</v>
      </c>
    </row>
    <row r="4">
      <c r="A4" s="8" t="s">
        <v>62</v>
      </c>
      <c r="B4" s="9">
        <f>SUMIF(numbers!A:A, A4, numbers!F:F)</f>
        <v>56080</v>
      </c>
      <c r="C4" s="16">
        <f t="shared" si="1"/>
        <v>0.821271037</v>
      </c>
      <c r="D4" s="8">
        <f>COUNTIF(numbers!A:A, A4)</f>
        <v>5</v>
      </c>
      <c r="E4" s="10">
        <f t="shared" si="2"/>
        <v>11216</v>
      </c>
      <c r="F4" s="10" t="str">
        <f t="shared" si="3"/>
        <v>★</v>
      </c>
      <c r="G4" s="16">
        <f t="shared" si="4"/>
        <v>1.817090084</v>
      </c>
      <c r="H4" s="18"/>
      <c r="I4" s="18"/>
      <c r="J4" s="17" t="s">
        <v>191</v>
      </c>
      <c r="K4" s="18">
        <f>SUMIF(numbers!K:K, "&lt;21", numbers!F:F)</f>
        <v>127010</v>
      </c>
      <c r="L4" s="18">
        <f>COUNTIF(numbers!K:K, "&lt;20")</f>
        <v>6</v>
      </c>
      <c r="M4" s="13">
        <f t="shared" ref="M4:M12" si="5">K4/L4</f>
        <v>21168.33333</v>
      </c>
    </row>
    <row r="5">
      <c r="A5" s="8" t="s">
        <v>73</v>
      </c>
      <c r="B5" s="9">
        <f>SUMIF(numbers!A:A, A5, numbers!F:F)</f>
        <v>218335</v>
      </c>
      <c r="C5" s="16">
        <f t="shared" si="1"/>
        <v>3.197436018</v>
      </c>
      <c r="D5" s="8">
        <f>COUNTIF(numbers!A:A, A5)</f>
        <v>5</v>
      </c>
      <c r="E5" s="10">
        <f t="shared" si="2"/>
        <v>43667</v>
      </c>
      <c r="F5" s="10" t="str">
        <f t="shared" si="3"/>
        <v>★★</v>
      </c>
      <c r="G5" s="16">
        <f t="shared" si="4"/>
        <v>7.074435868</v>
      </c>
      <c r="J5" s="17" t="s">
        <v>192</v>
      </c>
      <c r="K5" s="18">
        <f>SUMIFS(numbers!F:F, numbers!K:K, "&gt;20", numbers!K:K, "&lt;31")</f>
        <v>235695</v>
      </c>
      <c r="L5" s="18">
        <f>COUNTIFS(numbers!K:K, "&gt;20", numbers!K:K, "&lt;31")</f>
        <v>7</v>
      </c>
      <c r="M5" s="13">
        <f t="shared" si="5"/>
        <v>33670.71429</v>
      </c>
    </row>
    <row r="6">
      <c r="A6" s="8" t="s">
        <v>81</v>
      </c>
      <c r="B6" s="9">
        <f>SUMIF(numbers!A:A, A6, numbers!F:F)</f>
        <v>126435</v>
      </c>
      <c r="C6" s="16">
        <f t="shared" si="1"/>
        <v>1.851594215</v>
      </c>
      <c r="D6" s="8">
        <f>COUNTIF(numbers!A:A, A6)</f>
        <v>11</v>
      </c>
      <c r="E6" s="10">
        <f t="shared" si="2"/>
        <v>11494.09091</v>
      </c>
      <c r="F6" s="10" t="str">
        <f t="shared" si="3"/>
        <v>★</v>
      </c>
      <c r="G6" s="16">
        <f t="shared" si="4"/>
        <v>1.862143243</v>
      </c>
      <c r="J6" s="17" t="s">
        <v>193</v>
      </c>
      <c r="K6" s="18">
        <f>SUMIFS(numbers!F:F, numbers!K:K, "&gt;30", numbers!K:K, "&lt;41")</f>
        <v>1616300</v>
      </c>
      <c r="L6" s="18">
        <f>COUNTIFS(numbers!K:K, "&gt;30", numbers!K:K, "&lt;41")</f>
        <v>7</v>
      </c>
      <c r="M6" s="13">
        <f t="shared" si="5"/>
        <v>230900</v>
      </c>
    </row>
    <row r="7">
      <c r="A7" s="8" t="s">
        <v>99</v>
      </c>
      <c r="B7" s="9">
        <f>SUMIF(numbers!A:A, A7, numbers!F:F)</f>
        <v>150290</v>
      </c>
      <c r="C7" s="16">
        <f t="shared" si="1"/>
        <v>2.200941943</v>
      </c>
      <c r="D7" s="8">
        <f>COUNTIF(numbers!A:A, A7)</f>
        <v>8</v>
      </c>
      <c r="E7" s="10">
        <f t="shared" si="2"/>
        <v>18786.25</v>
      </c>
      <c r="F7" s="10" t="str">
        <f t="shared" si="3"/>
        <v>★</v>
      </c>
      <c r="G7" s="16">
        <f t="shared" si="4"/>
        <v>3.043536786</v>
      </c>
      <c r="J7" s="17" t="s">
        <v>194</v>
      </c>
      <c r="K7" s="18">
        <f>SUMIFS(numbers!F:F, numbers!K:K, "&gt;40", numbers!K:K, "&lt;51")</f>
        <v>893720</v>
      </c>
      <c r="L7" s="18">
        <f>COUNTIFS(numbers!K:K, "&gt;40", numbers!K:K, "&lt;51")</f>
        <v>14</v>
      </c>
      <c r="M7" s="13">
        <f t="shared" si="5"/>
        <v>63837.14286</v>
      </c>
    </row>
    <row r="8">
      <c r="A8" s="8" t="s">
        <v>111</v>
      </c>
      <c r="B8" s="9">
        <f>SUMIF(numbers!A:A, A8, numbers!F:F)</f>
        <v>186135</v>
      </c>
      <c r="C8" s="16">
        <f t="shared" si="1"/>
        <v>2.725878824</v>
      </c>
      <c r="D8" s="8">
        <f>COUNTIF(numbers!A:A, A8)</f>
        <v>9</v>
      </c>
      <c r="E8" s="10">
        <f t="shared" si="2"/>
        <v>20681.66667</v>
      </c>
      <c r="F8" s="10" t="str">
        <f t="shared" si="3"/>
        <v>★</v>
      </c>
      <c r="G8" s="16">
        <f t="shared" si="4"/>
        <v>3.350610861</v>
      </c>
      <c r="J8" s="17" t="s">
        <v>195</v>
      </c>
      <c r="K8" s="18">
        <f>SUMIFS(numbers!F:F, numbers!K:K, "&gt;50", numbers!K:K, "&lt;61")</f>
        <v>1517205</v>
      </c>
      <c r="L8" s="18">
        <f>COUNTIFS(numbers!K:K, "&gt;50", numbers!K:K, "&lt;61")</f>
        <v>15</v>
      </c>
      <c r="M8" s="13">
        <f t="shared" si="5"/>
        <v>101147</v>
      </c>
    </row>
    <row r="9">
      <c r="A9" s="8" t="s">
        <v>123</v>
      </c>
      <c r="B9" s="9">
        <f>SUMIF(numbers!A:A, A9, numbers!F:F)</f>
        <v>2648725</v>
      </c>
      <c r="C9" s="16">
        <f t="shared" si="1"/>
        <v>38.78960641</v>
      </c>
      <c r="D9" s="8">
        <f>COUNTIF(numbers!A:A, A9)</f>
        <v>27</v>
      </c>
      <c r="E9" s="10">
        <f t="shared" si="2"/>
        <v>98100.92593</v>
      </c>
      <c r="F9" s="10" t="str">
        <f t="shared" si="3"/>
        <v>★★★</v>
      </c>
      <c r="G9" s="16">
        <f t="shared" si="4"/>
        <v>15.89320789</v>
      </c>
      <c r="J9" s="17" t="s">
        <v>196</v>
      </c>
      <c r="K9" s="18">
        <f>SUMIFS(numbers!F:F, numbers!K:K, "&gt;60", numbers!K:K, "&lt;71")</f>
        <v>311925</v>
      </c>
      <c r="L9" s="18">
        <f>COUNTIFS(numbers!K:K, "&gt;60", numbers!K:K, "&lt;71")</f>
        <v>18</v>
      </c>
      <c r="M9" s="13">
        <f t="shared" si="5"/>
        <v>17329.16667</v>
      </c>
    </row>
    <row r="10">
      <c r="A10" s="8" t="s">
        <v>152</v>
      </c>
      <c r="B10" s="9">
        <f>SUMIF(numbers!A:A, A10, numbers!F:F)</f>
        <v>2612350</v>
      </c>
      <c r="C10" s="16">
        <f t="shared" si="1"/>
        <v>38.25690787</v>
      </c>
      <c r="D10" s="8">
        <f>COUNTIF(numbers!A:A, A10)</f>
        <v>10</v>
      </c>
      <c r="E10" s="10">
        <f t="shared" si="2"/>
        <v>261235</v>
      </c>
      <c r="F10" s="10" t="str">
        <f t="shared" si="3"/>
        <v>★★★★</v>
      </c>
      <c r="G10" s="16">
        <f t="shared" si="4"/>
        <v>42.3223545</v>
      </c>
      <c r="J10" s="17" t="s">
        <v>197</v>
      </c>
      <c r="K10" s="18">
        <f>SUMIFS(numbers!F:F, numbers!K:K, "&gt;70", numbers!K:K, "&lt;81")</f>
        <v>643065</v>
      </c>
      <c r="L10" s="18">
        <f>COUNTIFS(numbers!K:K, "&gt;70", numbers!K:K, "&lt;81")</f>
        <v>16</v>
      </c>
      <c r="M10" s="13">
        <f t="shared" si="5"/>
        <v>40191.5625</v>
      </c>
    </row>
    <row r="11">
      <c r="A11" s="8" t="s">
        <v>163</v>
      </c>
      <c r="B11" s="9">
        <f>SUMIF(numbers!A:A, A11, numbers!F:F)</f>
        <v>245460</v>
      </c>
      <c r="C11" s="16">
        <f t="shared" si="1"/>
        <v>3.594671697</v>
      </c>
      <c r="D11" s="8">
        <f>COUNTIF(numbers!A:A, A11)</f>
        <v>3</v>
      </c>
      <c r="E11" s="10">
        <f t="shared" si="2"/>
        <v>81820</v>
      </c>
      <c r="F11" s="10" t="str">
        <f t="shared" si="3"/>
        <v>★★★</v>
      </c>
      <c r="G11" s="16">
        <f t="shared" si="4"/>
        <v>13.25555552</v>
      </c>
      <c r="J11" s="17" t="s">
        <v>198</v>
      </c>
      <c r="K11" s="18">
        <f>SUMIFS(numbers!F:F, numbers!K:K, "&gt;80", numbers!K:K, "&lt;91")</f>
        <v>1420520</v>
      </c>
      <c r="L11" s="18">
        <f>COUNTIFS(numbers!K:K, "&gt;80", numbers!K:K, "&lt;91")</f>
        <v>11</v>
      </c>
      <c r="M11" s="13">
        <f t="shared" si="5"/>
        <v>129138.1818</v>
      </c>
    </row>
    <row r="12">
      <c r="A12" s="8" t="s">
        <v>167</v>
      </c>
      <c r="B12" s="9">
        <f>SUMIF(numbers!A:A, A12, numbers!F:F)</f>
        <v>343605</v>
      </c>
      <c r="C12" s="16">
        <f t="shared" si="1"/>
        <v>5.031969235</v>
      </c>
      <c r="D12" s="8">
        <f>COUNTIF(numbers!A:A, A12)</f>
        <v>9</v>
      </c>
      <c r="E12" s="10">
        <f t="shared" si="2"/>
        <v>38178.33333</v>
      </c>
      <c r="F12" s="10" t="str">
        <f t="shared" si="3"/>
        <v>★★</v>
      </c>
      <c r="G12" s="16">
        <f t="shared" si="4"/>
        <v>6.18522387</v>
      </c>
      <c r="J12" s="17" t="s">
        <v>199</v>
      </c>
      <c r="K12" s="18">
        <f>SUMIF(numbers!K:K, "&gt;90", numbers!F:F)</f>
        <v>63000</v>
      </c>
      <c r="L12" s="18">
        <f>COUNTIF(numbers!K:K, "&gt;90")</f>
        <v>5</v>
      </c>
      <c r="M12" s="13">
        <f t="shared" si="5"/>
        <v>12600</v>
      </c>
    </row>
    <row r="13">
      <c r="A13" s="8" t="s">
        <v>177</v>
      </c>
      <c r="B13" s="9">
        <f>SUMIF(numbers!A:A, A13, numbers!F:F)</f>
        <v>41910</v>
      </c>
      <c r="C13" s="16">
        <f t="shared" si="1"/>
        <v>0.6137565828</v>
      </c>
      <c r="D13" s="8">
        <f>COUNTIF(numbers!A:A, A13)</f>
        <v>3</v>
      </c>
      <c r="E13" s="10">
        <f t="shared" si="2"/>
        <v>13970</v>
      </c>
      <c r="F13" s="10" t="str">
        <f t="shared" si="3"/>
        <v>★</v>
      </c>
      <c r="G13" s="16">
        <f t="shared" si="4"/>
        <v>2.263262168</v>
      </c>
    </row>
    <row r="14">
      <c r="A14" s="19"/>
    </row>
    <row r="15">
      <c r="A15" s="19" t="s">
        <v>2</v>
      </c>
      <c r="J15" s="1" t="s">
        <v>200</v>
      </c>
      <c r="K15" s="1" t="s">
        <v>201</v>
      </c>
      <c r="L15" s="1" t="s">
        <v>202</v>
      </c>
      <c r="M15" s="1" t="s">
        <v>190</v>
      </c>
    </row>
    <row r="16">
      <c r="A16" s="20" t="s">
        <v>57</v>
      </c>
      <c r="B16" s="9">
        <f>SUMIF(numbers!C:C, A16, numbers!F:F)</f>
        <v>213645</v>
      </c>
      <c r="C16" s="13">
        <f t="shared" ref="C16:C29" si="6">B16*100/SUM($B$16:$B$29)</f>
        <v>3.128752687</v>
      </c>
      <c r="D16" s="21">
        <f>COUNTIF(numbers!C:C, A16)</f>
        <v>6</v>
      </c>
      <c r="E16" s="13">
        <f t="shared" ref="E16:E29" si="7">B16/D16</f>
        <v>35607.5</v>
      </c>
      <c r="F16" s="22" t="str">
        <f t="shared" ref="F16:F29" si="8">IFS(E16&lt;25000, "★", E16&lt;60000, "★★", E16&lt;160000, "★★★", E16&lt;1160000, "★★★★", E16&gt;=1160000, "★★★★★")</f>
        <v>★★</v>
      </c>
      <c r="G16" s="15">
        <f t="shared" ref="G16:G29" si="9">E16*100/SUM($E$16:$E$29)</f>
        <v>3.947243823</v>
      </c>
      <c r="J16" s="8" t="s">
        <v>33</v>
      </c>
      <c r="K16" s="9">
        <f>SUMIF(numbers!N:N, J16, numbers!F:F)</f>
        <v>2385900</v>
      </c>
      <c r="L16" s="9">
        <f>COUNTIF(numbers!N:N, J16)</f>
        <v>27</v>
      </c>
      <c r="M16" s="10">
        <f t="shared" ref="M16:M18" si="10">K16/L16</f>
        <v>88366.66667</v>
      </c>
    </row>
    <row r="17">
      <c r="A17" s="20" t="s">
        <v>25</v>
      </c>
      <c r="B17" s="9">
        <f>SUMIF(numbers!C:C, A17, numbers!F:F)</f>
        <v>133750</v>
      </c>
      <c r="C17" s="13">
        <f t="shared" si="6"/>
        <v>1.958719708</v>
      </c>
      <c r="D17" s="21">
        <f>COUNTIF(numbers!C:C, A17)</f>
        <v>7</v>
      </c>
      <c r="E17" s="13">
        <f t="shared" si="7"/>
        <v>19107.14286</v>
      </c>
      <c r="F17" s="22" t="str">
        <f t="shared" si="8"/>
        <v>★</v>
      </c>
      <c r="G17" s="15">
        <f t="shared" si="9"/>
        <v>2.11810859</v>
      </c>
      <c r="J17" s="8" t="s">
        <v>28</v>
      </c>
      <c r="K17" s="9">
        <f>SUMIF(numbers!N:N, J17, numbers!F:F)</f>
        <v>4290250</v>
      </c>
      <c r="L17" s="9">
        <f>COUNTIF(numbers!N:N, J17)</f>
        <v>66</v>
      </c>
      <c r="M17" s="10">
        <f t="shared" si="10"/>
        <v>65003.78788</v>
      </c>
    </row>
    <row r="18">
      <c r="A18" s="20" t="s">
        <v>116</v>
      </c>
      <c r="B18" s="9">
        <f>SUMIF(numbers!C:C, A18, numbers!F:F)</f>
        <v>306855</v>
      </c>
      <c r="C18" s="13">
        <f t="shared" si="6"/>
        <v>4.49377896</v>
      </c>
      <c r="D18" s="21">
        <f>COUNTIF(numbers!C:C, A18)</f>
        <v>5</v>
      </c>
      <c r="E18" s="13">
        <f t="shared" si="7"/>
        <v>61371</v>
      </c>
      <c r="F18" s="22" t="str">
        <f t="shared" si="8"/>
        <v>★★★</v>
      </c>
      <c r="G18" s="15">
        <f t="shared" si="9"/>
        <v>6.8032381</v>
      </c>
      <c r="J18" s="8" t="s">
        <v>69</v>
      </c>
      <c r="K18" s="9">
        <f>SUMIF(numbers!N:N, J18, numbers!F:F)</f>
        <v>152290</v>
      </c>
      <c r="L18" s="9">
        <f>COUNTIF(numbers!N:N, J18)</f>
        <v>8</v>
      </c>
      <c r="M18" s="10">
        <f t="shared" si="10"/>
        <v>19036.25</v>
      </c>
    </row>
    <row r="19">
      <c r="A19" s="20" t="s">
        <v>35</v>
      </c>
      <c r="B19" s="9">
        <f>SUMIF(numbers!C:C, A19, numbers!F:F)</f>
        <v>78330</v>
      </c>
      <c r="C19" s="13">
        <f t="shared" si="6"/>
        <v>1.147114129</v>
      </c>
      <c r="D19" s="21">
        <f>COUNTIF(numbers!C:C, A19)</f>
        <v>7</v>
      </c>
      <c r="E19" s="13">
        <f t="shared" si="7"/>
        <v>11190</v>
      </c>
      <c r="F19" s="22" t="str">
        <f t="shared" si="8"/>
        <v>★</v>
      </c>
      <c r="G19" s="15">
        <f t="shared" si="9"/>
        <v>1.240459408</v>
      </c>
      <c r="K19" s="23"/>
      <c r="L19" s="23"/>
    </row>
    <row r="20">
      <c r="A20" s="20" t="s">
        <v>41</v>
      </c>
      <c r="B20" s="9">
        <f>SUMIF(numbers!C:C, A20, numbers!F:F)</f>
        <v>1240050</v>
      </c>
      <c r="C20" s="13">
        <f t="shared" si="6"/>
        <v>18.16007756</v>
      </c>
      <c r="D20" s="21">
        <f>COUNTIF(numbers!C:C, A20)</f>
        <v>6</v>
      </c>
      <c r="E20" s="13">
        <f t="shared" si="7"/>
        <v>206675</v>
      </c>
      <c r="F20" s="22" t="str">
        <f t="shared" si="8"/>
        <v>★★★★</v>
      </c>
      <c r="G20" s="15">
        <f t="shared" si="9"/>
        <v>22.9108086</v>
      </c>
      <c r="K20" s="23"/>
      <c r="L20" s="23"/>
    </row>
    <row r="21">
      <c r="A21" s="20" t="s">
        <v>47</v>
      </c>
      <c r="B21" s="9">
        <f>SUMIF(numbers!C:C, A21, numbers!F:F)</f>
        <v>137195</v>
      </c>
      <c r="C21" s="13">
        <f t="shared" si="6"/>
        <v>2.009170469</v>
      </c>
      <c r="D21" s="21">
        <f>COUNTIF(numbers!C:C, A21)</f>
        <v>9</v>
      </c>
      <c r="E21" s="13">
        <f t="shared" si="7"/>
        <v>15243.88889</v>
      </c>
      <c r="F21" s="22" t="str">
        <f t="shared" si="8"/>
        <v>★</v>
      </c>
      <c r="G21" s="15">
        <f t="shared" si="9"/>
        <v>1.689850348</v>
      </c>
      <c r="J21" s="17" t="s">
        <v>203</v>
      </c>
      <c r="K21" s="24" t="s">
        <v>204</v>
      </c>
      <c r="L21" s="24" t="s">
        <v>205</v>
      </c>
      <c r="M21" s="17" t="s">
        <v>190</v>
      </c>
      <c r="N21" s="17"/>
    </row>
    <row r="22">
      <c r="A22" s="20" t="s">
        <v>85</v>
      </c>
      <c r="B22" s="9">
        <f>SUMIF(numbers!C:C, A22, numbers!F:F)</f>
        <v>326855</v>
      </c>
      <c r="C22" s="13">
        <f t="shared" si="6"/>
        <v>4.786671626</v>
      </c>
      <c r="D22" s="21">
        <f>COUNTIF(numbers!C:C, A22)</f>
        <v>7</v>
      </c>
      <c r="E22" s="13">
        <f t="shared" si="7"/>
        <v>46693.57143</v>
      </c>
      <c r="F22" s="22" t="str">
        <f t="shared" si="8"/>
        <v>★★</v>
      </c>
      <c r="G22" s="15">
        <f t="shared" si="9"/>
        <v>5.176182304</v>
      </c>
      <c r="J22" s="18" t="s">
        <v>83</v>
      </c>
      <c r="K22" s="21">
        <f>SUMIF(numbers!M:M, "*"&amp;J22&amp;"*", numbers!F:F)</f>
        <v>1898360</v>
      </c>
      <c r="L22" s="21">
        <f>COUNTIF(numbers!M:M, "*"&amp;J22&amp;"*")</f>
        <v>26</v>
      </c>
      <c r="M22" s="13">
        <f t="shared" ref="M22:M25" si="11">K22/L22</f>
        <v>73013.84615</v>
      </c>
    </row>
    <row r="23">
      <c r="A23" s="20" t="s">
        <v>97</v>
      </c>
      <c r="B23" s="9">
        <f>SUMIF(numbers!C:C, A23, numbers!F:F)</f>
        <v>152145</v>
      </c>
      <c r="C23" s="13">
        <f t="shared" si="6"/>
        <v>2.228107738</v>
      </c>
      <c r="D23" s="21">
        <f>COUNTIF(numbers!C:C, A23)</f>
        <v>8</v>
      </c>
      <c r="E23" s="13">
        <f t="shared" si="7"/>
        <v>19018.125</v>
      </c>
      <c r="F23" s="22" t="str">
        <f t="shared" si="8"/>
        <v>★</v>
      </c>
      <c r="G23" s="15">
        <f t="shared" si="9"/>
        <v>2.108240579</v>
      </c>
      <c r="J23" s="18" t="s">
        <v>72</v>
      </c>
      <c r="K23" s="21">
        <f>SUMIF(numbers!M:M, "*"&amp;J23&amp;"*", numbers!F:F)</f>
        <v>1452795</v>
      </c>
      <c r="L23" s="21">
        <f>COUNTIF(numbers!M:M, "*"&amp;J23&amp;"*")</f>
        <v>18</v>
      </c>
      <c r="M23" s="13">
        <f t="shared" si="11"/>
        <v>80710.83333</v>
      </c>
    </row>
    <row r="24">
      <c r="A24" s="20" t="s">
        <v>30</v>
      </c>
      <c r="B24" s="9">
        <f>SUMIF(numbers!C:C, A24, numbers!F:F)</f>
        <v>1480365</v>
      </c>
      <c r="C24" s="13">
        <f t="shared" si="6"/>
        <v>21.67940262</v>
      </c>
      <c r="D24" s="21">
        <f>COUNTIF(numbers!C:C, A24)</f>
        <v>10</v>
      </c>
      <c r="E24" s="13">
        <f t="shared" si="7"/>
        <v>148036.5</v>
      </c>
      <c r="F24" s="22" t="str">
        <f t="shared" si="8"/>
        <v>★★★</v>
      </c>
      <c r="G24" s="15">
        <f t="shared" si="9"/>
        <v>16.41047982</v>
      </c>
      <c r="J24" s="18" t="s">
        <v>27</v>
      </c>
      <c r="K24" s="21">
        <f>SUMIF(numbers!M:M, "*"&amp;J24&amp;"*", numbers!F:F)</f>
        <v>3317650</v>
      </c>
      <c r="L24" s="21">
        <f>COUNTIF(numbers!M:M, "*"&amp;J24&amp;"*")</f>
        <v>57</v>
      </c>
      <c r="M24" s="13">
        <f t="shared" si="11"/>
        <v>58204.38596</v>
      </c>
    </row>
    <row r="25">
      <c r="A25" s="20" t="s">
        <v>60</v>
      </c>
      <c r="B25" s="9">
        <f>SUMIF(numbers!C:C, A25, numbers!F:F)</f>
        <v>1365480</v>
      </c>
      <c r="C25" s="13">
        <f t="shared" si="6"/>
        <v>19.99695392</v>
      </c>
      <c r="D25" s="21">
        <f>COUNTIF(numbers!C:C, A25)</f>
        <v>10</v>
      </c>
      <c r="E25" s="13">
        <f t="shared" si="7"/>
        <v>136548</v>
      </c>
      <c r="F25" s="22" t="str">
        <f t="shared" si="8"/>
        <v>★★★</v>
      </c>
      <c r="G25" s="15">
        <f t="shared" si="9"/>
        <v>15.13693041</v>
      </c>
      <c r="J25" s="18" t="s">
        <v>66</v>
      </c>
      <c r="K25" s="21">
        <f>SUMIF(numbers!M:M, "*"&amp;J25&amp;"*", numbers!F:F)</f>
        <v>4195175</v>
      </c>
      <c r="L25" s="21">
        <f>COUNTIF(numbers!M:M, "*"&amp;J25&amp;"*")</f>
        <v>55</v>
      </c>
      <c r="M25" s="13">
        <f t="shared" si="11"/>
        <v>76275.90909</v>
      </c>
    </row>
    <row r="26">
      <c r="A26" s="20" t="s">
        <v>68</v>
      </c>
      <c r="B26" s="9">
        <f>SUMIF(numbers!C:C, A26, numbers!F:F)</f>
        <v>74955</v>
      </c>
      <c r="C26" s="13">
        <f t="shared" si="6"/>
        <v>1.097688491</v>
      </c>
      <c r="D26" s="21">
        <f>COUNTIF(numbers!C:C, A26)</f>
        <v>7</v>
      </c>
      <c r="E26" s="13">
        <f t="shared" si="7"/>
        <v>10707.85714</v>
      </c>
      <c r="F26" s="22" t="str">
        <f t="shared" si="8"/>
        <v>★</v>
      </c>
      <c r="G26" s="15">
        <f t="shared" si="9"/>
        <v>1.187011808</v>
      </c>
      <c r="M26" s="13"/>
    </row>
    <row r="27">
      <c r="A27" s="20" t="s">
        <v>44</v>
      </c>
      <c r="B27" s="9">
        <f>SUMIF(numbers!C:C, A27, numbers!F:F)</f>
        <v>808610</v>
      </c>
      <c r="C27" s="13">
        <f t="shared" si="6"/>
        <v>11.84179696</v>
      </c>
      <c r="D27" s="21">
        <f>COUNTIF(numbers!C:C, A27)</f>
        <v>9</v>
      </c>
      <c r="E27" s="13">
        <f t="shared" si="7"/>
        <v>89845.55556</v>
      </c>
      <c r="F27" s="22" t="str">
        <f t="shared" si="8"/>
        <v>★★★</v>
      </c>
      <c r="G27" s="15">
        <f t="shared" si="9"/>
        <v>9.959764493</v>
      </c>
    </row>
    <row r="28">
      <c r="A28" s="20" t="s">
        <v>50</v>
      </c>
      <c r="B28" s="9">
        <f>SUMIF(numbers!C:C, A28, numbers!F:F)</f>
        <v>397470</v>
      </c>
      <c r="C28" s="13">
        <f t="shared" si="6"/>
        <v>5.820802409</v>
      </c>
      <c r="D28" s="21">
        <f>COUNTIF(numbers!C:C, A28)</f>
        <v>5</v>
      </c>
      <c r="E28" s="13">
        <f t="shared" si="7"/>
        <v>79494</v>
      </c>
      <c r="F28" s="22" t="str">
        <f t="shared" si="8"/>
        <v>★★★</v>
      </c>
      <c r="G28" s="15">
        <f t="shared" si="9"/>
        <v>8.812250241</v>
      </c>
      <c r="J28" s="17" t="s">
        <v>206</v>
      </c>
      <c r="K28" s="17" t="s">
        <v>204</v>
      </c>
      <c r="L28" s="17" t="s">
        <v>205</v>
      </c>
      <c r="M28" s="17" t="s">
        <v>190</v>
      </c>
    </row>
    <row r="29">
      <c r="A29" s="20" t="s">
        <v>53</v>
      </c>
      <c r="B29" s="9">
        <f>SUMIF(numbers!C:C, A29, numbers!F:F)</f>
        <v>112735</v>
      </c>
      <c r="C29" s="13">
        <f t="shared" si="6"/>
        <v>1.650962738</v>
      </c>
      <c r="D29" s="21">
        <f>COUNTIF(numbers!C:C, A29)</f>
        <v>5</v>
      </c>
      <c r="E29" s="13">
        <f t="shared" si="7"/>
        <v>22547</v>
      </c>
      <c r="F29" s="22" t="str">
        <f t="shared" si="8"/>
        <v>★</v>
      </c>
      <c r="G29" s="15">
        <f t="shared" si="9"/>
        <v>2.499431481</v>
      </c>
      <c r="J29" s="20" t="s">
        <v>83</v>
      </c>
      <c r="K29" s="21">
        <f>SUMIF(numbers!M:M, J29, numbers!F:F)</f>
        <v>80915</v>
      </c>
      <c r="L29" s="21">
        <f>COUNTIF(numbers!M:M, J29)</f>
        <v>7</v>
      </c>
      <c r="M29" s="13">
        <f t="shared" ref="M29:M40" si="12">K29/L29</f>
        <v>11559.28571</v>
      </c>
    </row>
    <row r="30">
      <c r="J30" s="20" t="s">
        <v>157</v>
      </c>
      <c r="K30" s="21">
        <f>SUMIF(numbers!M:M, J30, numbers!F:F)</f>
        <v>13185</v>
      </c>
      <c r="L30" s="21">
        <f>COUNTIF(numbers!M:M, J30)</f>
        <v>1</v>
      </c>
      <c r="M30" s="13">
        <f t="shared" si="12"/>
        <v>13185</v>
      </c>
    </row>
    <row r="31">
      <c r="A31" s="1" t="s">
        <v>3</v>
      </c>
      <c r="B31" s="9"/>
      <c r="C31" s="9"/>
      <c r="J31" s="20" t="s">
        <v>86</v>
      </c>
      <c r="K31" s="21">
        <f>SUMIF(numbers!M:M, J31, numbers!F:F)</f>
        <v>280590</v>
      </c>
      <c r="L31" s="21">
        <f>COUNTIF(numbers!M:M, J31)</f>
        <v>3</v>
      </c>
      <c r="M31" s="13">
        <f t="shared" si="12"/>
        <v>93530</v>
      </c>
    </row>
    <row r="32">
      <c r="A32" s="8" t="s">
        <v>26</v>
      </c>
      <c r="B32" s="9">
        <f>SUMIF(numbers!D:D, A32, numbers!F:F)</f>
        <v>1214945</v>
      </c>
      <c r="C32" s="10">
        <f t="shared" ref="C32:C48" si="13">B32*100/SUM($B$32:$B$48)</f>
        <v>17.79242404</v>
      </c>
      <c r="D32" s="21">
        <f>COUNTIF(numbers!D:D, A32)</f>
        <v>6</v>
      </c>
      <c r="E32" s="13">
        <f t="shared" ref="E32:E48" si="14">B32/D32</f>
        <v>202490.8333</v>
      </c>
      <c r="F32" s="22" t="str">
        <f t="shared" ref="F32:F48" si="15">IFS(E32&lt;25000, "★", E32&lt;60000, "★★", E32&lt;160000, "★★★", E32&lt;1160000, "★★★★", E32&gt;=1160000, "★★★★★")</f>
        <v>★★★★</v>
      </c>
      <c r="G32" s="15">
        <f t="shared" ref="G32:G48" si="16">E32*100/SUM($E$32:$E$48)</f>
        <v>17.13953607</v>
      </c>
      <c r="J32" s="20" t="s">
        <v>80</v>
      </c>
      <c r="K32" s="21">
        <f>SUMIF(numbers!M:M, J32, numbers!F:F)</f>
        <v>10200</v>
      </c>
      <c r="L32" s="21">
        <f>COUNTIF(numbers!M:M, J32)</f>
        <v>1</v>
      </c>
      <c r="M32" s="13">
        <f t="shared" si="12"/>
        <v>10200</v>
      </c>
    </row>
    <row r="33">
      <c r="A33" s="8" t="s">
        <v>107</v>
      </c>
      <c r="B33" s="9">
        <f>SUMIF(numbers!D:D, A33, numbers!F:F)</f>
        <v>1315130</v>
      </c>
      <c r="C33" s="10">
        <f t="shared" si="13"/>
        <v>19.25959663</v>
      </c>
      <c r="D33" s="21">
        <f>COUNTIF(numbers!D:D, A33)</f>
        <v>5</v>
      </c>
      <c r="E33" s="13">
        <f t="shared" si="14"/>
        <v>263026</v>
      </c>
      <c r="F33" s="22" t="str">
        <f t="shared" si="15"/>
        <v>★★★★</v>
      </c>
      <c r="G33" s="15">
        <f t="shared" si="16"/>
        <v>22.26344541</v>
      </c>
      <c r="J33" s="20" t="s">
        <v>55</v>
      </c>
      <c r="K33" s="21">
        <f>SUMIF(numbers!M:M, J33, numbers!F:F)</f>
        <v>1513470</v>
      </c>
      <c r="L33" s="21">
        <f>COUNTIF(numbers!M:M, J33)</f>
        <v>14</v>
      </c>
      <c r="M33" s="13">
        <f t="shared" si="12"/>
        <v>108105</v>
      </c>
    </row>
    <row r="34">
      <c r="A34" s="8" t="s">
        <v>110</v>
      </c>
      <c r="B34" s="9">
        <f>SUMIF(numbers!D:D, A34, numbers!F:F)</f>
        <v>144330</v>
      </c>
      <c r="C34" s="10">
        <f t="shared" si="13"/>
        <v>2.113659928</v>
      </c>
      <c r="D34" s="21">
        <f>COUNTIF(numbers!D:D, A34)</f>
        <v>4</v>
      </c>
      <c r="E34" s="13">
        <f t="shared" si="14"/>
        <v>36082.5</v>
      </c>
      <c r="F34" s="22" t="str">
        <f t="shared" si="15"/>
        <v>★★</v>
      </c>
      <c r="G34" s="15">
        <f t="shared" si="16"/>
        <v>3.054149661</v>
      </c>
      <c r="J34" s="20" t="s">
        <v>72</v>
      </c>
      <c r="K34" s="21">
        <f>SUMIF(numbers!M:M, J34, numbers!F:F)</f>
        <v>157705</v>
      </c>
      <c r="L34" s="21">
        <f>COUNTIF(numbers!M:M, J34)</f>
        <v>6</v>
      </c>
      <c r="M34" s="13">
        <f t="shared" si="12"/>
        <v>26284.16667</v>
      </c>
    </row>
    <row r="35">
      <c r="A35" s="8" t="s">
        <v>78</v>
      </c>
      <c r="B35" s="9">
        <f>SUMIF(numbers!D:D, A35, numbers!F:F)</f>
        <v>1464945</v>
      </c>
      <c r="C35" s="10">
        <f t="shared" si="13"/>
        <v>21.45358237</v>
      </c>
      <c r="D35" s="21">
        <f>COUNTIF(numbers!D:D, A35)</f>
        <v>6</v>
      </c>
      <c r="E35" s="13">
        <f t="shared" si="14"/>
        <v>244157.5</v>
      </c>
      <c r="F35" s="22" t="str">
        <f t="shared" si="15"/>
        <v>★★★★</v>
      </c>
      <c r="G35" s="15">
        <f t="shared" si="16"/>
        <v>20.66634923</v>
      </c>
      <c r="J35" s="20" t="s">
        <v>32</v>
      </c>
      <c r="K35" s="21">
        <f>SUMIF(numbers!M:M, J35, numbers!F:F)</f>
        <v>1251005</v>
      </c>
      <c r="L35" s="21">
        <f>COUNTIF(numbers!M:M, J35)</f>
        <v>8</v>
      </c>
      <c r="M35" s="13">
        <f t="shared" si="12"/>
        <v>156375.625</v>
      </c>
    </row>
    <row r="36">
      <c r="A36" s="8" t="s">
        <v>54</v>
      </c>
      <c r="B36" s="9">
        <f>SUMIF(numbers!D:D, A36, numbers!F:F)</f>
        <v>87770</v>
      </c>
      <c r="C36" s="10">
        <f t="shared" si="13"/>
        <v>1.285359467</v>
      </c>
      <c r="D36" s="21">
        <f>COUNTIF(numbers!D:D, A36)</f>
        <v>8</v>
      </c>
      <c r="E36" s="13">
        <f t="shared" si="14"/>
        <v>10971.25</v>
      </c>
      <c r="F36" s="22" t="str">
        <f t="shared" si="15"/>
        <v>★</v>
      </c>
      <c r="G36" s="15">
        <f t="shared" si="16"/>
        <v>0.9286451735</v>
      </c>
      <c r="J36" s="20" t="s">
        <v>101</v>
      </c>
      <c r="K36" s="21">
        <f>SUMIF(numbers!M:M, J36, numbers!F:F)</f>
        <v>10500</v>
      </c>
      <c r="L36" s="21">
        <f>COUNTIF(numbers!M:M, J36)</f>
        <v>1</v>
      </c>
      <c r="M36" s="13">
        <f t="shared" si="12"/>
        <v>10500</v>
      </c>
    </row>
    <row r="37">
      <c r="A37" s="8" t="s">
        <v>51</v>
      </c>
      <c r="B37" s="9">
        <f>SUMIF(numbers!D:D, A37, numbers!F:F)</f>
        <v>114295</v>
      </c>
      <c r="C37" s="10">
        <f t="shared" si="13"/>
        <v>1.673808366</v>
      </c>
      <c r="D37" s="21">
        <f>COUNTIF(numbers!D:D, A37)</f>
        <v>5</v>
      </c>
      <c r="E37" s="13">
        <f t="shared" si="14"/>
        <v>22859</v>
      </c>
      <c r="F37" s="22" t="str">
        <f t="shared" si="15"/>
        <v>★</v>
      </c>
      <c r="G37" s="15">
        <f t="shared" si="16"/>
        <v>1.934866129</v>
      </c>
      <c r="J37" s="20" t="s">
        <v>64</v>
      </c>
      <c r="K37" s="21">
        <f>SUMIF(numbers!M:M, J37, numbers!F:F)</f>
        <v>20400</v>
      </c>
      <c r="L37" s="21">
        <f>COUNTIF(numbers!M:M, J37)</f>
        <v>2</v>
      </c>
      <c r="M37" s="13">
        <f t="shared" si="12"/>
        <v>10200</v>
      </c>
    </row>
    <row r="38">
      <c r="A38" s="8" t="s">
        <v>58</v>
      </c>
      <c r="B38" s="9">
        <f>SUMIF(numbers!D:D, A38, numbers!F:F)</f>
        <v>144345</v>
      </c>
      <c r="C38" s="10">
        <f t="shared" si="13"/>
        <v>2.113879598</v>
      </c>
      <c r="D38" s="21">
        <f>COUNTIF(numbers!D:D, A38)</f>
        <v>7</v>
      </c>
      <c r="E38" s="13">
        <f t="shared" si="14"/>
        <v>20620.71429</v>
      </c>
      <c r="F38" s="22" t="str">
        <f t="shared" si="15"/>
        <v>★</v>
      </c>
      <c r="G38" s="15">
        <f t="shared" si="16"/>
        <v>1.745409757</v>
      </c>
      <c r="J38" s="20" t="s">
        <v>27</v>
      </c>
      <c r="K38" s="21">
        <f>SUMIF(numbers!M:M, J38, numbers!F:F)</f>
        <v>849865</v>
      </c>
      <c r="L38" s="21">
        <f>COUNTIF(numbers!M:M, J38)</f>
        <v>21</v>
      </c>
      <c r="M38" s="13">
        <f t="shared" si="12"/>
        <v>40469.7619</v>
      </c>
    </row>
    <row r="39">
      <c r="A39" s="8" t="s">
        <v>121</v>
      </c>
      <c r="B39" s="9">
        <f>SUMIF(numbers!D:D, A39, numbers!F:F)</f>
        <v>208450</v>
      </c>
      <c r="C39" s="10">
        <f t="shared" si="13"/>
        <v>3.052673817</v>
      </c>
      <c r="D39" s="21">
        <f>COUNTIF(numbers!D:D, A39)</f>
        <v>4</v>
      </c>
      <c r="E39" s="13">
        <f t="shared" si="14"/>
        <v>52112.5</v>
      </c>
      <c r="F39" s="22" t="str">
        <f t="shared" si="15"/>
        <v>★★</v>
      </c>
      <c r="G39" s="15">
        <f t="shared" si="16"/>
        <v>4.410985221</v>
      </c>
      <c r="J39" s="20" t="s">
        <v>37</v>
      </c>
      <c r="K39" s="21">
        <f>SUMIF(numbers!M:M, J39, numbers!F:F)</f>
        <v>915490</v>
      </c>
      <c r="L39" s="21">
        <f>COUNTIF(numbers!M:M, J39)</f>
        <v>23</v>
      </c>
      <c r="M39" s="13">
        <f t="shared" si="12"/>
        <v>39803.91304</v>
      </c>
    </row>
    <row r="40">
      <c r="A40" s="8" t="s">
        <v>61</v>
      </c>
      <c r="B40" s="9">
        <f>SUMIF(numbers!D:D, A40, numbers!F:F)</f>
        <v>79315</v>
      </c>
      <c r="C40" s="10">
        <f t="shared" si="13"/>
        <v>1.161539092</v>
      </c>
      <c r="D40" s="21">
        <f>COUNTIF(numbers!D:D, A40)</f>
        <v>6</v>
      </c>
      <c r="E40" s="13">
        <f t="shared" si="14"/>
        <v>13219.16667</v>
      </c>
      <c r="F40" s="22" t="str">
        <f t="shared" si="15"/>
        <v>★</v>
      </c>
      <c r="G40" s="15">
        <f t="shared" si="16"/>
        <v>1.118916744</v>
      </c>
      <c r="J40" s="20" t="s">
        <v>66</v>
      </c>
      <c r="K40" s="21">
        <f>SUMIF(numbers!M:M, J40, numbers!F:F)</f>
        <v>1725115</v>
      </c>
      <c r="L40" s="21">
        <f>COUNTIF(numbers!M:M, J40)</f>
        <v>14</v>
      </c>
      <c r="M40" s="13">
        <f t="shared" si="12"/>
        <v>123222.5</v>
      </c>
    </row>
    <row r="41">
      <c r="A41" s="8" t="s">
        <v>36</v>
      </c>
      <c r="B41" s="9">
        <f>SUMIF(numbers!D:D, A41, numbers!F:F)</f>
        <v>101205</v>
      </c>
      <c r="C41" s="10">
        <f t="shared" si="13"/>
        <v>1.482110116</v>
      </c>
      <c r="D41" s="21">
        <f>COUNTIF(numbers!D:D, A41)</f>
        <v>5</v>
      </c>
      <c r="E41" s="13">
        <f t="shared" si="14"/>
        <v>20241</v>
      </c>
      <c r="F41" s="22" t="str">
        <f t="shared" si="15"/>
        <v>★</v>
      </c>
      <c r="G41" s="15">
        <f t="shared" si="16"/>
        <v>1.713269405</v>
      </c>
    </row>
    <row r="42">
      <c r="A42" s="8" t="s">
        <v>93</v>
      </c>
      <c r="B42" s="9">
        <f>SUMIF(numbers!D:D, A42, numbers!F:F)</f>
        <v>188385</v>
      </c>
      <c r="C42" s="10">
        <f t="shared" si="13"/>
        <v>2.758829249</v>
      </c>
      <c r="D42" s="21">
        <f>COUNTIF(numbers!D:D, A42)</f>
        <v>7</v>
      </c>
      <c r="E42" s="13">
        <f t="shared" si="14"/>
        <v>26912.14286</v>
      </c>
      <c r="F42" s="22" t="str">
        <f t="shared" si="15"/>
        <v>★★</v>
      </c>
      <c r="G42" s="15">
        <f t="shared" si="16"/>
        <v>2.277938391</v>
      </c>
    </row>
    <row r="43">
      <c r="A43" s="8" t="s">
        <v>91</v>
      </c>
      <c r="B43" s="9">
        <f>SUMIF(numbers!D:D, A43, numbers!F:F)</f>
        <v>73045</v>
      </c>
      <c r="C43" s="10">
        <f t="shared" si="13"/>
        <v>1.069717241</v>
      </c>
      <c r="D43" s="21">
        <f>COUNTIF(numbers!D:D, A43)</f>
        <v>4</v>
      </c>
      <c r="E43" s="13">
        <f t="shared" si="14"/>
        <v>18261.25</v>
      </c>
      <c r="F43" s="22" t="str">
        <f t="shared" si="15"/>
        <v>★</v>
      </c>
      <c r="G43" s="15">
        <f t="shared" si="16"/>
        <v>1.545696404</v>
      </c>
    </row>
    <row r="44">
      <c r="A44" s="8" t="s">
        <v>48</v>
      </c>
      <c r="B44" s="9">
        <f>SUMIF(numbers!D:D, A44, numbers!F:F)</f>
        <v>461085</v>
      </c>
      <c r="C44" s="10">
        <f t="shared" si="13"/>
        <v>6.752420758</v>
      </c>
      <c r="D44" s="21">
        <f>COUNTIF(numbers!D:D, A44)</f>
        <v>7</v>
      </c>
      <c r="E44" s="13">
        <f t="shared" si="14"/>
        <v>65869.28571</v>
      </c>
      <c r="F44" s="22" t="str">
        <f t="shared" si="15"/>
        <v>★★★</v>
      </c>
      <c r="G44" s="15">
        <f t="shared" si="16"/>
        <v>5.575407931</v>
      </c>
    </row>
    <row r="45">
      <c r="A45" s="8" t="s">
        <v>31</v>
      </c>
      <c r="B45" s="9">
        <f>SUMIF(numbers!D:D, A45, numbers!F:F)</f>
        <v>241425</v>
      </c>
      <c r="C45" s="10">
        <f t="shared" si="13"/>
        <v>3.535580601</v>
      </c>
      <c r="D45" s="21">
        <f>COUNTIF(numbers!D:D, A45)</f>
        <v>7</v>
      </c>
      <c r="E45" s="13">
        <f t="shared" si="14"/>
        <v>34489.28571</v>
      </c>
      <c r="F45" s="22" t="str">
        <f t="shared" si="15"/>
        <v>★★</v>
      </c>
      <c r="G45" s="15">
        <f t="shared" si="16"/>
        <v>2.919294403</v>
      </c>
    </row>
    <row r="46">
      <c r="A46" s="8" t="s">
        <v>42</v>
      </c>
      <c r="B46" s="9">
        <f>SUMIF(numbers!D:D, A46, numbers!F:F)</f>
        <v>157090</v>
      </c>
      <c r="C46" s="10">
        <f t="shared" si="13"/>
        <v>2.300525449</v>
      </c>
      <c r="D46" s="21">
        <f>COUNTIF(numbers!D:D, A46)</f>
        <v>7</v>
      </c>
      <c r="E46" s="13">
        <f t="shared" si="14"/>
        <v>22441.42857</v>
      </c>
      <c r="F46" s="22" t="str">
        <f t="shared" si="15"/>
        <v>★</v>
      </c>
      <c r="G46" s="15">
        <f t="shared" si="16"/>
        <v>1.899521415</v>
      </c>
      <c r="J46" s="18" t="s">
        <v>207</v>
      </c>
    </row>
    <row r="47">
      <c r="A47" s="8" t="s">
        <v>45</v>
      </c>
      <c r="B47" s="9">
        <f>SUMIF(numbers!D:D, A47, numbers!F:F)</f>
        <v>466555</v>
      </c>
      <c r="C47" s="10">
        <f t="shared" si="13"/>
        <v>6.832526902</v>
      </c>
      <c r="D47" s="21">
        <f>COUNTIF(numbers!D:D, A47)</f>
        <v>7</v>
      </c>
      <c r="E47" s="13">
        <f t="shared" si="14"/>
        <v>66650.71429</v>
      </c>
      <c r="F47" s="22" t="str">
        <f t="shared" si="15"/>
        <v>★★★</v>
      </c>
      <c r="G47" s="15">
        <f t="shared" si="16"/>
        <v>5.641550793</v>
      </c>
      <c r="J47" s="18" t="s">
        <v>208</v>
      </c>
    </row>
    <row r="48">
      <c r="A48" s="8" t="s">
        <v>39</v>
      </c>
      <c r="B48" s="9">
        <f>SUMIF(numbers!D:D, A48, numbers!F:F)</f>
        <v>366125</v>
      </c>
      <c r="C48" s="10">
        <f t="shared" si="13"/>
        <v>5.361766377</v>
      </c>
      <c r="D48" s="21">
        <f>COUNTIF(numbers!D:D, A48)</f>
        <v>6</v>
      </c>
      <c r="E48" s="13">
        <f t="shared" si="14"/>
        <v>61020.83333</v>
      </c>
      <c r="F48" s="22" t="str">
        <f t="shared" si="15"/>
        <v>★★★</v>
      </c>
      <c r="G48" s="15">
        <f t="shared" si="16"/>
        <v>5.165017875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7" max="7" width="15.38"/>
    <col customWidth="1" min="8" max="8" width="22.25"/>
  </cols>
  <sheetData>
    <row r="2">
      <c r="A2" s="18" t="s">
        <v>209</v>
      </c>
      <c r="H2" s="18" t="s">
        <v>210</v>
      </c>
    </row>
    <row r="22">
      <c r="A22" s="18" t="s">
        <v>211</v>
      </c>
      <c r="H22" s="18" t="s">
        <v>212</v>
      </c>
    </row>
    <row r="42">
      <c r="A42" s="18" t="s">
        <v>213</v>
      </c>
      <c r="H42" s="18" t="s">
        <v>214</v>
      </c>
    </row>
    <row r="64">
      <c r="A64" s="18" t="s">
        <v>215</v>
      </c>
      <c r="H64" s="18" t="s">
        <v>216</v>
      </c>
    </row>
    <row r="84">
      <c r="A84" s="18" t="s">
        <v>217</v>
      </c>
      <c r="H84" s="18" t="s">
        <v>218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3" max="3" width="9.63"/>
    <col customWidth="1" min="5" max="5" width="13.63"/>
    <col customWidth="1" min="6" max="6" width="10.5"/>
    <col customWidth="1" min="7" max="7" width="8.88"/>
    <col customWidth="1" min="8" max="8" width="12.0"/>
    <col customWidth="1" min="9" max="9" width="14.38"/>
    <col customWidth="1" min="10" max="10" width="22.0"/>
    <col customWidth="1" min="11" max="11" width="15.25"/>
    <col customWidth="1" min="12" max="12" width="12.75"/>
    <col customWidth="1" min="13" max="13" width="16.88"/>
    <col customWidth="1" min="14" max="14" width="16.38"/>
  </cols>
  <sheetData>
    <row r="1">
      <c r="A1" s="1"/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7"/>
    </row>
    <row r="2">
      <c r="A2" s="1" t="s">
        <v>0</v>
      </c>
      <c r="B2" s="9"/>
      <c r="C2" s="9"/>
      <c r="D2" s="9"/>
      <c r="E2" s="9"/>
      <c r="F2" s="9"/>
      <c r="G2" s="9"/>
    </row>
    <row r="3">
      <c r="A3" s="8" t="s">
        <v>24</v>
      </c>
      <c r="B3" s="9">
        <f>SUMIFS(numbers!F:F, numbers!A:A, A3, numbers!F:F, "&lt;1160000")</f>
        <v>199115</v>
      </c>
      <c r="C3" s="16">
        <f t="shared" ref="C3:C13" si="1">B3*100/SUM($B$3:$B$13)</f>
        <v>5.94650046</v>
      </c>
      <c r="D3" s="8">
        <f>COUNTIFS(numbers!A:A, A3, numbers!F:F, "&lt;1160000")</f>
        <v>11</v>
      </c>
      <c r="E3" s="10">
        <f t="shared" ref="E3:E13" si="2">B3/D3</f>
        <v>18101.36364</v>
      </c>
      <c r="F3" s="10" t="str">
        <f t="shared" ref="F3:F13" si="3">IFS(E3&lt;10000, "", E3&lt;25000, "★", E3&lt;60000, "★★", E3&lt;160000, "★★★", E3&lt;1160000, "★★★★", E3&gt;=1160000, "★★★★★")</f>
        <v>★</v>
      </c>
      <c r="G3" s="16">
        <f t="shared" ref="G3:G13" si="4">E3*100/SUM($E$3:$E$13)</f>
        <v>5.146568991</v>
      </c>
      <c r="H3" s="25"/>
      <c r="I3" s="17"/>
      <c r="J3" s="17" t="s">
        <v>187</v>
      </c>
      <c r="K3" s="17" t="s">
        <v>188</v>
      </c>
      <c r="L3" s="17" t="s">
        <v>189</v>
      </c>
      <c r="M3" s="17" t="s">
        <v>190</v>
      </c>
    </row>
    <row r="4">
      <c r="A4" s="8" t="s">
        <v>62</v>
      </c>
      <c r="B4" s="9">
        <f>SUMIFS(numbers!F:F, numbers!A:A, A4, numbers!F:F, "&lt;1160000")</f>
        <v>56080</v>
      </c>
      <c r="C4" s="16">
        <f t="shared" si="1"/>
        <v>1.674809762</v>
      </c>
      <c r="D4" s="8">
        <f>COUNTIFS(numbers!A:A, A4, numbers!F:F, "&lt;1160000")</f>
        <v>5</v>
      </c>
      <c r="E4" s="10">
        <f t="shared" si="2"/>
        <v>11216</v>
      </c>
      <c r="F4" s="10" t="str">
        <f t="shared" si="3"/>
        <v>★</v>
      </c>
      <c r="G4" s="16">
        <f t="shared" si="4"/>
        <v>3.188926479</v>
      </c>
      <c r="H4" s="25"/>
      <c r="I4" s="18"/>
      <c r="J4" s="17" t="s">
        <v>191</v>
      </c>
      <c r="K4" s="18">
        <f>SUMIFS(numbers!F:F, numbers!K:K, "&lt;21", numbers!F:F, "&lt;1160000")</f>
        <v>127010</v>
      </c>
      <c r="L4" s="18">
        <f>COUNTIFS(numbers!K:K, "&lt;20", numbers!F:F, "&lt;1160000")</f>
        <v>6</v>
      </c>
      <c r="M4" s="13">
        <f t="shared" ref="M4:M12" si="5">K4/L4</f>
        <v>21168.33333</v>
      </c>
    </row>
    <row r="5">
      <c r="A5" s="8" t="s">
        <v>73</v>
      </c>
      <c r="B5" s="9">
        <f>SUMIFS(numbers!F:F, numbers!A:A, A5, numbers!F:F, "&lt;1160000")</f>
        <v>218335</v>
      </c>
      <c r="C5" s="16">
        <f t="shared" si="1"/>
        <v>6.520499098</v>
      </c>
      <c r="D5" s="8">
        <f>COUNTIFS(numbers!A:A, A5, numbers!F:F, "&lt;1160000")</f>
        <v>5</v>
      </c>
      <c r="E5" s="10">
        <f t="shared" si="2"/>
        <v>43667</v>
      </c>
      <c r="F5" s="10" t="str">
        <f t="shared" si="3"/>
        <v>★★</v>
      </c>
      <c r="G5" s="16">
        <f t="shared" si="4"/>
        <v>12.41537558</v>
      </c>
      <c r="H5" s="25"/>
      <c r="J5" s="17" t="s">
        <v>192</v>
      </c>
      <c r="K5" s="18">
        <f>SUMIFS(numbers!F:F, numbers!K:K, "&gt;20", numbers!K:K, "&lt;31", numbers!F:F, "&lt;1160000")</f>
        <v>235695</v>
      </c>
      <c r="L5" s="18">
        <f>COUNTIFS(numbers!K:K, "&gt;20", numbers!K:K, "&lt;31", numbers!F:F, "&lt;1160000")</f>
        <v>7</v>
      </c>
      <c r="M5" s="13">
        <f t="shared" si="5"/>
        <v>33670.71429</v>
      </c>
    </row>
    <row r="6">
      <c r="A6" s="8" t="s">
        <v>81</v>
      </c>
      <c r="B6" s="9">
        <f>SUMIFS(numbers!F:F, numbers!A:A, A6, numbers!F:F, "&lt;1160000")</f>
        <v>126435</v>
      </c>
      <c r="C6" s="16">
        <f t="shared" si="1"/>
        <v>3.775937451</v>
      </c>
      <c r="D6" s="8">
        <f>COUNTIFS(numbers!A:A, A6, numbers!F:F, "&lt;1160000")</f>
        <v>11</v>
      </c>
      <c r="E6" s="10">
        <f t="shared" si="2"/>
        <v>11494.09091</v>
      </c>
      <c r="F6" s="10" t="str">
        <f t="shared" si="3"/>
        <v>★</v>
      </c>
      <c r="G6" s="16">
        <f t="shared" si="4"/>
        <v>3.267993121</v>
      </c>
      <c r="H6" s="25"/>
      <c r="J6" s="17" t="s">
        <v>193</v>
      </c>
      <c r="K6" s="18">
        <f>SUMIFS(numbers!F:F, numbers!K:K, "&gt;30", numbers!K:K, "&lt;41", numbers!F:F, "&lt;1160000")</f>
        <v>456300</v>
      </c>
      <c r="L6" s="18">
        <f>COUNTIFS(numbers!K:K, "&gt;30", numbers!K:K, "&lt;41", numbers!F:F, "&lt;1160000")</f>
        <v>6</v>
      </c>
      <c r="M6" s="13">
        <f t="shared" si="5"/>
        <v>76050</v>
      </c>
    </row>
    <row r="7">
      <c r="A7" s="8" t="s">
        <v>99</v>
      </c>
      <c r="B7" s="9">
        <f>SUMIFS(numbers!F:F, numbers!A:A, A7, numbers!F:F, "&lt;1160000")</f>
        <v>150290</v>
      </c>
      <c r="C7" s="16">
        <f t="shared" si="1"/>
        <v>4.488358758</v>
      </c>
      <c r="D7" s="8">
        <f>COUNTIFS(numbers!A:A, A7, numbers!F:F, "&lt;1160000")</f>
        <v>8</v>
      </c>
      <c r="E7" s="10">
        <f t="shared" si="2"/>
        <v>18786.25</v>
      </c>
      <c r="F7" s="10" t="str">
        <f t="shared" si="3"/>
        <v>★</v>
      </c>
      <c r="G7" s="16">
        <f t="shared" si="4"/>
        <v>5.341295476</v>
      </c>
      <c r="H7" s="25"/>
      <c r="J7" s="17" t="s">
        <v>194</v>
      </c>
      <c r="K7" s="18">
        <f>SUMIFS(numbers!F:F, numbers!K:K, "&gt;40", numbers!K:K, "&lt;51", numbers!F:F, "&lt;1160000")</f>
        <v>893720</v>
      </c>
      <c r="L7" s="18">
        <f>COUNTIFS(numbers!K:K, "&gt;40", numbers!K:K, "&lt;51", numbers!F:F, "&lt;1160000")</f>
        <v>14</v>
      </c>
      <c r="M7" s="13">
        <f t="shared" si="5"/>
        <v>63837.14286</v>
      </c>
    </row>
    <row r="8">
      <c r="A8" s="8" t="s">
        <v>111</v>
      </c>
      <c r="B8" s="9">
        <f>SUMIFS(numbers!F:F, numbers!A:A, A8, numbers!F:F, "&lt;1160000")</f>
        <v>186135</v>
      </c>
      <c r="C8" s="16">
        <f t="shared" si="1"/>
        <v>5.558857259</v>
      </c>
      <c r="D8" s="8">
        <f>COUNTIFS(numbers!A:A, A8, numbers!F:F, "&lt;1160000")</f>
        <v>9</v>
      </c>
      <c r="E8" s="10">
        <f t="shared" si="2"/>
        <v>20681.66667</v>
      </c>
      <c r="F8" s="10" t="str">
        <f t="shared" si="3"/>
        <v>★</v>
      </c>
      <c r="G8" s="16">
        <f t="shared" si="4"/>
        <v>5.880199221</v>
      </c>
      <c r="H8" s="25"/>
      <c r="J8" s="17" t="s">
        <v>195</v>
      </c>
      <c r="K8" s="18">
        <f>SUMIFS(numbers!F:F, numbers!K:K, "&gt;50", numbers!K:K, "&lt;61", numbers!F:F, "&lt;1160000")</f>
        <v>357205</v>
      </c>
      <c r="L8" s="18">
        <f>COUNTIFS(numbers!K:K, "&gt;50", numbers!K:K, "&lt;61", numbers!F:F, "&lt;1160000")</f>
        <v>14</v>
      </c>
      <c r="M8" s="13">
        <f t="shared" si="5"/>
        <v>25514.64286</v>
      </c>
    </row>
    <row r="9">
      <c r="A9" s="8" t="s">
        <v>123</v>
      </c>
      <c r="B9" s="9">
        <f>SUMIFS(numbers!F:F, numbers!A:A, A9, numbers!F:F, "&lt;1160000")</f>
        <v>1488725</v>
      </c>
      <c r="C9" s="16">
        <f t="shared" si="1"/>
        <v>44.46025612</v>
      </c>
      <c r="D9" s="8">
        <f>COUNTIFS(numbers!A:A, A9, numbers!F:F, "&lt;1160000")</f>
        <v>26</v>
      </c>
      <c r="E9" s="10">
        <f t="shared" si="2"/>
        <v>57258.65385</v>
      </c>
      <c r="F9" s="10" t="str">
        <f t="shared" si="3"/>
        <v>★★</v>
      </c>
      <c r="G9" s="16">
        <f t="shared" si="4"/>
        <v>16.27974656</v>
      </c>
      <c r="H9" s="25"/>
      <c r="J9" s="17" t="s">
        <v>196</v>
      </c>
      <c r="K9" s="18">
        <f>SUMIFS(numbers!F:F, numbers!K:K, "&gt;60", numbers!K:K, "&lt;71", numbers!F:F, "&lt;1160000")</f>
        <v>311925</v>
      </c>
      <c r="L9" s="18">
        <f>COUNTIFS(numbers!K:K, "&gt;60", numbers!K:K, "&lt;71", numbers!F:F, "&lt;1160000")</f>
        <v>18</v>
      </c>
      <c r="M9" s="13">
        <f t="shared" si="5"/>
        <v>17329.16667</v>
      </c>
    </row>
    <row r="10">
      <c r="A10" s="8" t="s">
        <v>152</v>
      </c>
      <c r="B10" s="9">
        <f>SUMIFS(numbers!F:F, numbers!A:A, A10, numbers!F:F, "&lt;1160000")</f>
        <v>292350</v>
      </c>
      <c r="C10" s="16">
        <f t="shared" si="1"/>
        <v>8.730931419</v>
      </c>
      <c r="D10" s="8">
        <f>COUNTIFS(numbers!A:A, A10, numbers!F:F, "&lt;1160000")</f>
        <v>8</v>
      </c>
      <c r="E10" s="10">
        <f t="shared" si="2"/>
        <v>36543.75</v>
      </c>
      <c r="F10" s="10" t="str">
        <f t="shared" si="3"/>
        <v>★★</v>
      </c>
      <c r="G10" s="16">
        <f t="shared" si="4"/>
        <v>10.39009736</v>
      </c>
      <c r="H10" s="25"/>
      <c r="J10" s="17" t="s">
        <v>197</v>
      </c>
      <c r="K10" s="18">
        <f>SUMIFS(numbers!F:F, numbers!K:K, "&gt;70", numbers!K:K, "&lt;81", numbers!F:F, "&lt;1160000")</f>
        <v>643065</v>
      </c>
      <c r="L10" s="18">
        <f>COUNTIFS(numbers!K:K, "&gt;70", numbers!K:K, "&lt;81", numbers!F:F, "&lt;1160000")</f>
        <v>16</v>
      </c>
      <c r="M10" s="13">
        <f t="shared" si="5"/>
        <v>40191.5625</v>
      </c>
    </row>
    <row r="11">
      <c r="A11" s="8" t="s">
        <v>163</v>
      </c>
      <c r="B11" s="9">
        <f>SUMIFS(numbers!F:F, numbers!A:A, A11, numbers!F:F, "&lt;1160000")</f>
        <v>245460</v>
      </c>
      <c r="C11" s="16">
        <f t="shared" si="1"/>
        <v>7.330577821</v>
      </c>
      <c r="D11" s="8">
        <f>COUNTIFS(numbers!A:A, A11, numbers!F:F, "&lt;1160000")</f>
        <v>3</v>
      </c>
      <c r="E11" s="10">
        <f t="shared" si="2"/>
        <v>81820</v>
      </c>
      <c r="F11" s="10" t="str">
        <f t="shared" si="3"/>
        <v>★★★</v>
      </c>
      <c r="G11" s="16">
        <f t="shared" si="4"/>
        <v>23.26301395</v>
      </c>
      <c r="H11" s="25"/>
      <c r="J11" s="17" t="s">
        <v>198</v>
      </c>
      <c r="K11" s="18">
        <f>SUMIFS(numbers!F:F, numbers!K:K, "&gt;80", numbers!K:K, "&lt;91", numbers!F:F, "&lt;1160000")</f>
        <v>260520</v>
      </c>
      <c r="L11" s="18">
        <f>COUNTIFS(numbers!K:K, "&gt;80", numbers!K:K, "&lt;91", numbers!F:F, "&lt;1160000")</f>
        <v>10</v>
      </c>
      <c r="M11" s="13">
        <f t="shared" si="5"/>
        <v>26052</v>
      </c>
    </row>
    <row r="12">
      <c r="A12" s="8" t="s">
        <v>167</v>
      </c>
      <c r="B12" s="9">
        <f>SUMIFS(numbers!F:F, numbers!A:A, A12, numbers!F:F, "&lt;1160000")</f>
        <v>343605</v>
      </c>
      <c r="C12" s="16">
        <f t="shared" si="1"/>
        <v>10.26164423</v>
      </c>
      <c r="D12" s="8">
        <f>COUNTIFS(numbers!A:A, A12, numbers!F:F, "&lt;1160000")</f>
        <v>9</v>
      </c>
      <c r="E12" s="10">
        <f t="shared" si="2"/>
        <v>38178.33333</v>
      </c>
      <c r="F12" s="10" t="str">
        <f t="shared" si="3"/>
        <v>★★</v>
      </c>
      <c r="G12" s="16">
        <f t="shared" si="4"/>
        <v>10.85484113</v>
      </c>
      <c r="H12" s="25"/>
      <c r="J12" s="17" t="s">
        <v>199</v>
      </c>
      <c r="K12" s="18">
        <f>SUMIFS(numbers!F:F, numbers!K:K, "&gt;90", numbers!F:F, "&lt;1160000")</f>
        <v>63000</v>
      </c>
      <c r="L12" s="18">
        <f>COUNTIFS(numbers!K:K, "&gt;90", numbers!F:F, "&lt;1160000")</f>
        <v>5</v>
      </c>
      <c r="M12" s="13">
        <f t="shared" si="5"/>
        <v>12600</v>
      </c>
    </row>
    <row r="13">
      <c r="A13" s="8" t="s">
        <v>177</v>
      </c>
      <c r="B13" s="9">
        <f>SUMIFS(numbers!F:F, numbers!A:A, A13, numbers!F:F, "&lt;1160000")</f>
        <v>41910</v>
      </c>
      <c r="C13" s="16">
        <f t="shared" si="1"/>
        <v>1.251627624</v>
      </c>
      <c r="D13" s="8">
        <f>COUNTIFS(numbers!A:A, A13, numbers!F:F, "&lt;1160000")</f>
        <v>3</v>
      </c>
      <c r="E13" s="10">
        <f t="shared" si="2"/>
        <v>13970</v>
      </c>
      <c r="F13" s="10" t="str">
        <f t="shared" si="3"/>
        <v>★</v>
      </c>
      <c r="G13" s="16">
        <f t="shared" si="4"/>
        <v>3.971942128</v>
      </c>
      <c r="H13" s="25"/>
    </row>
    <row r="14">
      <c r="A14" s="19"/>
    </row>
    <row r="15">
      <c r="A15" s="19" t="s">
        <v>2</v>
      </c>
      <c r="J15" s="1" t="s">
        <v>200</v>
      </c>
      <c r="K15" s="1" t="s">
        <v>201</v>
      </c>
      <c r="L15" s="1" t="s">
        <v>202</v>
      </c>
      <c r="M15" s="1" t="s">
        <v>190</v>
      </c>
    </row>
    <row r="16">
      <c r="A16" s="20" t="s">
        <v>57</v>
      </c>
      <c r="B16" s="9">
        <f>SUMIFS(numbers!F:F, numbers!C:C, A16, numbers!F:F, "&lt;1160000")</f>
        <v>213645</v>
      </c>
      <c r="C16" s="13">
        <f t="shared" ref="C16:C29" si="6">B16*100/SUM($B$16:$B$29)</f>
        <v>6.380433874</v>
      </c>
      <c r="D16" s="21">
        <f>COUNTIFS(numbers!C:C, A16, numbers!F:F, "&lt;1160000")</f>
        <v>6</v>
      </c>
      <c r="E16" s="13">
        <f t="shared" ref="E16:E29" si="7">B16/D16</f>
        <v>35607.5</v>
      </c>
      <c r="F16" s="10" t="str">
        <f t="shared" ref="F16:F29" si="8">IFS(E16&lt;10000, "", E16&lt;25000, "★", E16&lt;60000, "★★", E16&lt;160000, "★★★", E16&lt;1160000, "★★★★", E16&gt;=1160000, "★★★★★")</f>
        <v>★★</v>
      </c>
      <c r="G16" s="15">
        <f t="shared" ref="G16:G29" si="9">E16*100/SUM($E$16:$E$29)</f>
        <v>7.337775607</v>
      </c>
      <c r="J16" s="8" t="s">
        <v>33</v>
      </c>
      <c r="K16" s="9">
        <f>SUMIFS(numbers!F:F, numbers!N:N, J16, numbers!F:F, "&lt;1160000")</f>
        <v>1225900</v>
      </c>
      <c r="L16" s="9">
        <f>COUNTIFS(numbers!N:N, J16, numbers!F:F, "&lt;1160000")</f>
        <v>26</v>
      </c>
      <c r="M16" s="10">
        <f t="shared" ref="M16:M18" si="10">K16/L16</f>
        <v>47150</v>
      </c>
    </row>
    <row r="17">
      <c r="A17" s="20" t="s">
        <v>25</v>
      </c>
      <c r="B17" s="9">
        <f>SUMIFS(numbers!F:F, numbers!C:C, A17, numbers!F:F, "&lt;1160000")</f>
        <v>133750</v>
      </c>
      <c r="C17" s="13">
        <f t="shared" si="6"/>
        <v>3.994397391</v>
      </c>
      <c r="D17" s="21">
        <f>COUNTIFS(numbers!C:C, A17, numbers!F:F, "&lt;1160000")</f>
        <v>7</v>
      </c>
      <c r="E17" s="13">
        <f t="shared" si="7"/>
        <v>19107.14286</v>
      </c>
      <c r="F17" s="10" t="str">
        <f t="shared" si="8"/>
        <v>★</v>
      </c>
      <c r="G17" s="15">
        <f t="shared" si="9"/>
        <v>3.937483024</v>
      </c>
      <c r="J17" s="8" t="s">
        <v>28</v>
      </c>
      <c r="K17" s="9">
        <f>SUMIFS(numbers!F:F, numbers!N:N, J17, numbers!F:F, "&lt;1160000")</f>
        <v>1970250</v>
      </c>
      <c r="L17" s="9">
        <f>COUNTIFS(numbers!N:N, J17, numbers!F:F, "&lt;1160000")</f>
        <v>64</v>
      </c>
      <c r="M17" s="10">
        <f t="shared" si="10"/>
        <v>30785.15625</v>
      </c>
    </row>
    <row r="18">
      <c r="A18" s="20" t="s">
        <v>116</v>
      </c>
      <c r="B18" s="9">
        <f>SUMIFS(numbers!F:F, numbers!C:C, A18, numbers!F:F, "&lt;1160000")</f>
        <v>306855</v>
      </c>
      <c r="C18" s="13">
        <f t="shared" si="6"/>
        <v>9.164118216</v>
      </c>
      <c r="D18" s="21">
        <f>COUNTIFS(numbers!C:C, A18, numbers!F:F, "&lt;1160000")</f>
        <v>5</v>
      </c>
      <c r="E18" s="13">
        <f t="shared" si="7"/>
        <v>61371</v>
      </c>
      <c r="F18" s="10" t="str">
        <f t="shared" si="8"/>
        <v>★★★</v>
      </c>
      <c r="G18" s="15">
        <f t="shared" si="9"/>
        <v>12.64695996</v>
      </c>
      <c r="J18" s="8" t="s">
        <v>69</v>
      </c>
      <c r="K18" s="9">
        <f>SUMIFS(numbers!F:F, numbers!N:N, J18, numbers!F:F, "&lt;1160000")</f>
        <v>152290</v>
      </c>
      <c r="L18" s="9">
        <f>COUNTIFS(numbers!N:N, J18, numbers!F:F, "&lt;1160000")</f>
        <v>8</v>
      </c>
      <c r="M18" s="10">
        <f t="shared" si="10"/>
        <v>19036.25</v>
      </c>
    </row>
    <row r="19">
      <c r="A19" s="20" t="s">
        <v>35</v>
      </c>
      <c r="B19" s="9">
        <f>SUMIFS(numbers!F:F, numbers!C:C, A19, numbers!F:F, "&lt;1160000")</f>
        <v>78330</v>
      </c>
      <c r="C19" s="13">
        <f t="shared" si="6"/>
        <v>2.3392983</v>
      </c>
      <c r="D19" s="21">
        <f>COUNTIFS(numbers!C:C, A19, numbers!F:F, "&lt;1160000")</f>
        <v>7</v>
      </c>
      <c r="E19" s="13">
        <f t="shared" si="7"/>
        <v>11190</v>
      </c>
      <c r="F19" s="10" t="str">
        <f t="shared" si="8"/>
        <v>★</v>
      </c>
      <c r="G19" s="15">
        <f t="shared" si="9"/>
        <v>2.305966694</v>
      </c>
      <c r="K19" s="23"/>
      <c r="L19" s="23"/>
    </row>
    <row r="20">
      <c r="A20" s="20" t="s">
        <v>41</v>
      </c>
      <c r="B20" s="9">
        <f>SUMIFS(numbers!F:F, numbers!C:C, A20, numbers!F:F, "&lt;1160000")</f>
        <v>80050</v>
      </c>
      <c r="C20" s="13">
        <f t="shared" si="6"/>
        <v>2.390665504</v>
      </c>
      <c r="D20" s="21">
        <f>COUNTIFS(numbers!C:C, A20, numbers!F:F, "&lt;1160000")</f>
        <v>5</v>
      </c>
      <c r="E20" s="13">
        <f t="shared" si="7"/>
        <v>16010</v>
      </c>
      <c r="F20" s="10" t="str">
        <f t="shared" si="8"/>
        <v>★</v>
      </c>
      <c r="G20" s="15">
        <f t="shared" si="9"/>
        <v>3.299242785</v>
      </c>
      <c r="K20" s="23"/>
      <c r="L20" s="23"/>
    </row>
    <row r="21">
      <c r="A21" s="20" t="s">
        <v>47</v>
      </c>
      <c r="B21" s="9">
        <f>SUMIFS(numbers!F:F, numbers!C:C, A21, numbers!F:F, "&lt;1160000")</f>
        <v>137195</v>
      </c>
      <c r="C21" s="13">
        <f t="shared" si="6"/>
        <v>4.097281122</v>
      </c>
      <c r="D21" s="21">
        <f>COUNTIFS(numbers!C:C, A21, numbers!F:F, "&lt;1160000")</f>
        <v>9</v>
      </c>
      <c r="E21" s="13">
        <f t="shared" si="7"/>
        <v>15243.88889</v>
      </c>
      <c r="F21" s="10" t="str">
        <f t="shared" si="8"/>
        <v>★</v>
      </c>
      <c r="G21" s="15">
        <f t="shared" si="9"/>
        <v>3.141367298</v>
      </c>
      <c r="J21" s="17" t="s">
        <v>203</v>
      </c>
      <c r="K21" s="24" t="s">
        <v>204</v>
      </c>
      <c r="L21" s="24" t="s">
        <v>205</v>
      </c>
      <c r="M21" s="17" t="s">
        <v>190</v>
      </c>
      <c r="N21" s="17"/>
    </row>
    <row r="22">
      <c r="A22" s="20" t="s">
        <v>85</v>
      </c>
      <c r="B22" s="9">
        <f>SUMIFS(numbers!F:F, numbers!C:C, A22, numbers!F:F, "&lt;1160000")</f>
        <v>326855</v>
      </c>
      <c r="C22" s="13">
        <f t="shared" si="6"/>
        <v>9.761411284</v>
      </c>
      <c r="D22" s="21">
        <f>COUNTIFS(numbers!C:C, A22, numbers!F:F, "&lt;1160000")</f>
        <v>7</v>
      </c>
      <c r="E22" s="13">
        <f t="shared" si="7"/>
        <v>46693.57143</v>
      </c>
      <c r="F22" s="10" t="str">
        <f t="shared" si="8"/>
        <v>★★</v>
      </c>
      <c r="G22" s="15">
        <f t="shared" si="9"/>
        <v>9.622325337</v>
      </c>
      <c r="J22" s="18" t="s">
        <v>83</v>
      </c>
      <c r="K22" s="21">
        <f>SUMIFS(numbers!F:F, numbers!M:M, "*"&amp;J22&amp;"*", numbers!F:F, "&lt;1160000")</f>
        <v>738360</v>
      </c>
      <c r="L22" s="21">
        <f>COUNTIFS(numbers!M:M, "*"&amp;J22&amp;"*", numbers!F:F, "&lt;1160000")</f>
        <v>25</v>
      </c>
      <c r="M22" s="13">
        <f t="shared" ref="M22:M25" si="11">K22/L22</f>
        <v>29534.4</v>
      </c>
    </row>
    <row r="23">
      <c r="A23" s="20" t="s">
        <v>97</v>
      </c>
      <c r="B23" s="9">
        <f>SUMIFS(numbers!F:F, numbers!C:C, A23, numbers!F:F, "&lt;1160000")</f>
        <v>152145</v>
      </c>
      <c r="C23" s="13">
        <f t="shared" si="6"/>
        <v>4.54375769</v>
      </c>
      <c r="D23" s="21">
        <f>COUNTIFS(numbers!C:C, A23, numbers!F:F, "&lt;1160000")</f>
        <v>8</v>
      </c>
      <c r="E23" s="13">
        <f t="shared" si="7"/>
        <v>19018.125</v>
      </c>
      <c r="F23" s="10" t="str">
        <f t="shared" si="8"/>
        <v>★</v>
      </c>
      <c r="G23" s="15">
        <f t="shared" si="9"/>
        <v>3.919138769</v>
      </c>
      <c r="J23" s="18" t="s">
        <v>72</v>
      </c>
      <c r="K23" s="21">
        <f>SUMIFS(numbers!F:F, numbers!M:M, "*"&amp;J23&amp;"*", numbers!F:F, "&lt;1160000")</f>
        <v>292795</v>
      </c>
      <c r="L23" s="21">
        <f>COUNTIFS(numbers!M:M, "*"&amp;J23&amp;"*", numbers!F:F, "&lt;1160000")</f>
        <v>17</v>
      </c>
      <c r="M23" s="13">
        <f t="shared" si="11"/>
        <v>17223.23529</v>
      </c>
    </row>
    <row r="24">
      <c r="A24" s="20" t="s">
        <v>30</v>
      </c>
      <c r="B24" s="9">
        <f>SUMIFS(numbers!F:F, numbers!C:C, A24, numbers!F:F, "&lt;1160000")</f>
        <v>320365</v>
      </c>
      <c r="C24" s="13">
        <f t="shared" si="6"/>
        <v>9.567589684</v>
      </c>
      <c r="D24" s="21">
        <f>COUNTIFS(numbers!C:C, A24, numbers!F:F, "&lt;1160000")</f>
        <v>9</v>
      </c>
      <c r="E24" s="13">
        <f t="shared" si="7"/>
        <v>35596.11111</v>
      </c>
      <c r="F24" s="10" t="str">
        <f t="shared" si="8"/>
        <v>★★</v>
      </c>
      <c r="G24" s="15">
        <f t="shared" si="9"/>
        <v>7.335428655</v>
      </c>
      <c r="J24" s="18" t="s">
        <v>27</v>
      </c>
      <c r="K24" s="21">
        <f>SUMIFS(numbers!F:F, numbers!M:M, "*"&amp;J24&amp;"*", numbers!F:F, "&lt;1160000")</f>
        <v>2157650</v>
      </c>
      <c r="L24" s="21">
        <f>COUNTIFS(numbers!M:M, "*"&amp;J24&amp;"*", numbers!F:F, "&lt;1160000")</f>
        <v>56</v>
      </c>
      <c r="M24" s="13">
        <f t="shared" si="11"/>
        <v>38529.46429</v>
      </c>
    </row>
    <row r="25">
      <c r="A25" s="20" t="s">
        <v>60</v>
      </c>
      <c r="B25" s="9">
        <f>SUMIFS(numbers!F:F, numbers!C:C, A25, numbers!F:F, "&lt;1160000")</f>
        <v>205480</v>
      </c>
      <c r="C25" s="13">
        <f t="shared" si="6"/>
        <v>6.136588979</v>
      </c>
      <c r="D25" s="21">
        <f>COUNTIFS(numbers!C:C, A25, numbers!F:F, "&lt;1160000")</f>
        <v>9</v>
      </c>
      <c r="E25" s="13">
        <f t="shared" si="7"/>
        <v>22831.11111</v>
      </c>
      <c r="F25" s="10" t="str">
        <f t="shared" si="8"/>
        <v>★</v>
      </c>
      <c r="G25" s="15">
        <f t="shared" si="9"/>
        <v>4.704895603</v>
      </c>
      <c r="J25" s="18" t="s">
        <v>66</v>
      </c>
      <c r="K25" s="21">
        <f>SUMIFS(numbers!F:F, numbers!M:M, "*"&amp;J25&amp;"*", numbers!F:F, "&lt;1160000")</f>
        <v>1875175</v>
      </c>
      <c r="L25" s="21">
        <f>COUNTIFS(numbers!M:M, "*"&amp;J25&amp;"*", numbers!F:F, "&lt;1160000")</f>
        <v>53</v>
      </c>
      <c r="M25" s="13">
        <f t="shared" si="11"/>
        <v>35380.66038</v>
      </c>
    </row>
    <row r="26">
      <c r="A26" s="20" t="s">
        <v>68</v>
      </c>
      <c r="B26" s="9">
        <f>SUMIFS(numbers!F:F, numbers!C:C, A26, numbers!F:F, "&lt;1160000")</f>
        <v>74955</v>
      </c>
      <c r="C26" s="13">
        <f t="shared" si="6"/>
        <v>2.238505095</v>
      </c>
      <c r="D26" s="21">
        <f>COUNTIFS(numbers!C:C, A26, numbers!F:F, "&lt;1160000")</f>
        <v>7</v>
      </c>
      <c r="E26" s="13">
        <f t="shared" si="7"/>
        <v>10707.85714</v>
      </c>
      <c r="F26" s="10" t="str">
        <f t="shared" si="8"/>
        <v>★</v>
      </c>
      <c r="G26" s="15">
        <f t="shared" si="9"/>
        <v>2.206609645</v>
      </c>
      <c r="M26" s="13"/>
    </row>
    <row r="27">
      <c r="A27" s="20" t="s">
        <v>44</v>
      </c>
      <c r="B27" s="9">
        <f>SUMIFS(numbers!F:F, numbers!C:C, A27, numbers!F:F, "&lt;1160000")</f>
        <v>808610</v>
      </c>
      <c r="C27" s="13">
        <f t="shared" si="6"/>
        <v>24.14885738</v>
      </c>
      <c r="D27" s="21">
        <f>COUNTIFS(numbers!C:C, A27, numbers!F:F, "&lt;1160000")</f>
        <v>9</v>
      </c>
      <c r="E27" s="13">
        <f t="shared" si="7"/>
        <v>89845.55556</v>
      </c>
      <c r="F27" s="10" t="str">
        <f t="shared" si="8"/>
        <v>★★★</v>
      </c>
      <c r="G27" s="15">
        <f t="shared" si="9"/>
        <v>18.51482205</v>
      </c>
    </row>
    <row r="28">
      <c r="A28" s="20" t="s">
        <v>50</v>
      </c>
      <c r="B28" s="9">
        <f>SUMIFS(numbers!F:F, numbers!C:C, A28, numbers!F:F, "&lt;1160000")</f>
        <v>397470</v>
      </c>
      <c r="C28" s="13">
        <f t="shared" si="6"/>
        <v>11.87030378</v>
      </c>
      <c r="D28" s="21">
        <f>COUNTIFS(numbers!C:C, A28, numbers!F:F, "&lt;1160000")</f>
        <v>5</v>
      </c>
      <c r="E28" s="13">
        <f t="shared" si="7"/>
        <v>79494</v>
      </c>
      <c r="F28" s="10" t="str">
        <f t="shared" si="8"/>
        <v>★★★</v>
      </c>
      <c r="G28" s="15">
        <f t="shared" si="9"/>
        <v>16.38163685</v>
      </c>
      <c r="J28" s="17" t="s">
        <v>206</v>
      </c>
      <c r="K28" s="17" t="s">
        <v>204</v>
      </c>
      <c r="L28" s="17" t="s">
        <v>205</v>
      </c>
      <c r="M28" s="17" t="s">
        <v>190</v>
      </c>
    </row>
    <row r="29">
      <c r="A29" s="20" t="s">
        <v>53</v>
      </c>
      <c r="B29" s="9">
        <f>SUMIFS(numbers!F:F, numbers!C:C, A29, numbers!F:F, "&lt;1160000")</f>
        <v>112735</v>
      </c>
      <c r="C29" s="13">
        <f t="shared" si="6"/>
        <v>3.3667917</v>
      </c>
      <c r="D29" s="21">
        <f>COUNTIFS(numbers!C:C, A29, numbers!F:F, "&lt;1160000")</f>
        <v>5</v>
      </c>
      <c r="E29" s="13">
        <f t="shared" si="7"/>
        <v>22547</v>
      </c>
      <c r="F29" s="10" t="str">
        <f t="shared" si="8"/>
        <v>★</v>
      </c>
      <c r="G29" s="15">
        <f t="shared" si="9"/>
        <v>4.646347725</v>
      </c>
      <c r="J29" s="20" t="s">
        <v>83</v>
      </c>
      <c r="K29" s="21">
        <f>SUMIFS(numbers!F:F, numbers!M:M, J29, numbers!F:F, "&lt;1160000")</f>
        <v>80915</v>
      </c>
      <c r="L29" s="21">
        <f>COUNTIFS(numbers!M:M, J29, numbers!F:F, "&lt;1160000")</f>
        <v>7</v>
      </c>
      <c r="M29" s="13">
        <f t="shared" ref="M29:M40" si="12">K29/L29</f>
        <v>11559.28571</v>
      </c>
    </row>
    <row r="30">
      <c r="J30" s="20" t="s">
        <v>157</v>
      </c>
      <c r="K30" s="21">
        <f>SUMIFS(numbers!F:F, numbers!M:M, J30, numbers!F:F, "&lt;1160000")</f>
        <v>13185</v>
      </c>
      <c r="L30" s="21">
        <f>COUNTIFS(numbers!M:M, J30, numbers!F:F, "&lt;1160000")</f>
        <v>1</v>
      </c>
      <c r="M30" s="13">
        <f t="shared" si="12"/>
        <v>13185</v>
      </c>
    </row>
    <row r="31">
      <c r="A31" s="1" t="s">
        <v>3</v>
      </c>
      <c r="B31" s="9"/>
      <c r="C31" s="9"/>
      <c r="J31" s="20" t="s">
        <v>86</v>
      </c>
      <c r="K31" s="21">
        <f>SUMIFS(numbers!F:F, numbers!M:M, J31, numbers!F:F, "&lt;1160000")</f>
        <v>280590</v>
      </c>
      <c r="L31" s="21">
        <f>COUNTIFS(numbers!M:M, J31, numbers!F:F, "&lt;1160000")</f>
        <v>3</v>
      </c>
      <c r="M31" s="13">
        <f t="shared" si="12"/>
        <v>93530</v>
      </c>
    </row>
    <row r="32">
      <c r="A32" s="8" t="s">
        <v>26</v>
      </c>
      <c r="B32" s="9">
        <f>SUMIFS(numbers!F:F, numbers!D:D, A32, numbers!F:F, "&lt;1160000")</f>
        <v>54945</v>
      </c>
      <c r="C32" s="10">
        <f t="shared" ref="C32:C48" si="13">B32*100/SUM($B$32:$B$48)</f>
        <v>1.640913381</v>
      </c>
      <c r="D32" s="21">
        <f>COUNTIFS(numbers!D:D, A32, numbers!F:F, "&lt;1160000")</f>
        <v>5</v>
      </c>
      <c r="E32" s="13">
        <f t="shared" ref="E32:E48" si="14">B32/D32</f>
        <v>10989</v>
      </c>
      <c r="F32" s="10" t="str">
        <f t="shared" ref="F32:F48" si="15">IFS(E32&lt;10000, "", E32&lt;25000, "★", E32&lt;60000, "★★", E32&lt;160000, "★★★", E32&lt;1160000, "★★★★", E32&gt;=1160000, "★★★★★")</f>
        <v>★</v>
      </c>
      <c r="G32" s="15">
        <f t="shared" ref="G32:G48" si="16">E32*100/SUM($E$32:$E$48)</f>
        <v>1.88648613</v>
      </c>
      <c r="J32" s="20" t="s">
        <v>80</v>
      </c>
      <c r="K32" s="21">
        <f>SUMIFS(numbers!F:F, numbers!M:M, J32, numbers!F:F, "&lt;1160000")</f>
        <v>10200</v>
      </c>
      <c r="L32" s="21">
        <f>COUNTIFS(numbers!M:M, J32, numbers!F:F, "&lt;1160000")</f>
        <v>1</v>
      </c>
      <c r="M32" s="13">
        <f t="shared" si="12"/>
        <v>10200</v>
      </c>
    </row>
    <row r="33">
      <c r="A33" s="8" t="s">
        <v>107</v>
      </c>
      <c r="B33" s="9">
        <f>SUMIFS(numbers!F:F, numbers!D:D, A33, numbers!F:F, "&lt;1160000")</f>
        <v>155130</v>
      </c>
      <c r="C33" s="10">
        <f t="shared" si="13"/>
        <v>4.632903681</v>
      </c>
      <c r="D33" s="21">
        <f>COUNTIFS(numbers!D:D, A33, numbers!F:F, "&lt;1160000")</f>
        <v>4</v>
      </c>
      <c r="E33" s="13">
        <f t="shared" si="14"/>
        <v>38782.5</v>
      </c>
      <c r="F33" s="10" t="str">
        <f t="shared" si="15"/>
        <v>★★</v>
      </c>
      <c r="G33" s="15">
        <f t="shared" si="16"/>
        <v>6.657807656</v>
      </c>
      <c r="J33" s="20" t="s">
        <v>55</v>
      </c>
      <c r="K33" s="21">
        <f>SUMIFS(numbers!F:F, numbers!M:M, J33, numbers!F:F, "&lt;1160000")</f>
        <v>353470</v>
      </c>
      <c r="L33" s="21">
        <f>COUNTIFS(numbers!M:M, J33, numbers!F:F, "&lt;1160000")</f>
        <v>13</v>
      </c>
      <c r="M33" s="13">
        <f t="shared" si="12"/>
        <v>27190</v>
      </c>
    </row>
    <row r="34">
      <c r="A34" s="8" t="s">
        <v>110</v>
      </c>
      <c r="B34" s="9">
        <f>SUMIFS(numbers!F:F, numbers!D:D, A34, numbers!F:F, "&lt;1160000")</f>
        <v>144330</v>
      </c>
      <c r="C34" s="10">
        <f t="shared" si="13"/>
        <v>4.310365424</v>
      </c>
      <c r="D34" s="21">
        <f>COUNTIFS(numbers!D:D, A34, numbers!F:F, "&lt;1160000")</f>
        <v>4</v>
      </c>
      <c r="E34" s="13">
        <f t="shared" si="14"/>
        <v>36082.5</v>
      </c>
      <c r="F34" s="10" t="str">
        <f t="shared" si="15"/>
        <v>★★</v>
      </c>
      <c r="G34" s="15">
        <f t="shared" si="16"/>
        <v>6.19429755</v>
      </c>
      <c r="J34" s="20" t="s">
        <v>72</v>
      </c>
      <c r="K34" s="21">
        <f>SUMIFS(numbers!F:F, numbers!M:M, J34, numbers!F:F, "&lt;1160000")</f>
        <v>157705</v>
      </c>
      <c r="L34" s="21">
        <f>COUNTIFS(numbers!M:M, J34, numbers!F:F, "&lt;1160000")</f>
        <v>6</v>
      </c>
      <c r="M34" s="13">
        <f t="shared" si="12"/>
        <v>26284.16667</v>
      </c>
    </row>
    <row r="35">
      <c r="A35" s="8" t="s">
        <v>78</v>
      </c>
      <c r="B35" s="9">
        <f>SUMIFS(numbers!F:F, numbers!D:D, A35, numbers!F:F, "&lt;1160000")</f>
        <v>304945</v>
      </c>
      <c r="C35" s="10">
        <f t="shared" si="13"/>
        <v>9.107076728</v>
      </c>
      <c r="D35" s="21">
        <f>COUNTIFS(numbers!D:D, A35, numbers!F:F, "&lt;1160000")</f>
        <v>5</v>
      </c>
      <c r="E35" s="13">
        <f t="shared" si="14"/>
        <v>60989</v>
      </c>
      <c r="F35" s="10" t="str">
        <f t="shared" si="15"/>
        <v>★★★</v>
      </c>
      <c r="G35" s="15">
        <f t="shared" si="16"/>
        <v>10.4700066</v>
      </c>
      <c r="J35" s="20" t="s">
        <v>32</v>
      </c>
      <c r="K35" s="21">
        <f>SUMIFS(numbers!F:F, numbers!M:M, J35, numbers!F:F, "&lt;1160000")</f>
        <v>91005</v>
      </c>
      <c r="L35" s="21">
        <f>COUNTIFS(numbers!M:M, J35, numbers!F:F, "&lt;1160000")</f>
        <v>7</v>
      </c>
      <c r="M35" s="13">
        <f t="shared" si="12"/>
        <v>13000.71429</v>
      </c>
    </row>
    <row r="36">
      <c r="A36" s="8" t="s">
        <v>54</v>
      </c>
      <c r="B36" s="9">
        <f>SUMIFS(numbers!F:F, numbers!D:D, A36, numbers!F:F, "&lt;1160000")</f>
        <v>87770</v>
      </c>
      <c r="C36" s="10">
        <f t="shared" si="13"/>
        <v>2.621220628</v>
      </c>
      <c r="D36" s="21">
        <f>COUNTIFS(numbers!D:D, A36, numbers!F:F, "&lt;1160000")</f>
        <v>8</v>
      </c>
      <c r="E36" s="13">
        <f t="shared" si="14"/>
        <v>10971.25</v>
      </c>
      <c r="F36" s="10" t="str">
        <f t="shared" si="15"/>
        <v>★</v>
      </c>
      <c r="G36" s="15">
        <f t="shared" si="16"/>
        <v>1.88343898</v>
      </c>
      <c r="J36" s="20" t="s">
        <v>101</v>
      </c>
      <c r="K36" s="21">
        <f>SUMIFS(numbers!F:F, numbers!M:M, J36, numbers!F:F, "&lt;1160000")</f>
        <v>10500</v>
      </c>
      <c r="L36" s="21">
        <f>COUNTIFS(numbers!M:M, J36, numbers!F:F, "&lt;1160000")</f>
        <v>1</v>
      </c>
      <c r="M36" s="13">
        <f t="shared" si="12"/>
        <v>10500</v>
      </c>
    </row>
    <row r="37">
      <c r="A37" s="8" t="s">
        <v>51</v>
      </c>
      <c r="B37" s="9">
        <f>SUMIFS(numbers!F:F, numbers!D:D, A37, numbers!F:F, "&lt;1160000")</f>
        <v>114295</v>
      </c>
      <c r="C37" s="10">
        <f t="shared" si="13"/>
        <v>3.413380559</v>
      </c>
      <c r="D37" s="21">
        <f>COUNTIFS(numbers!D:D, A37, numbers!F:F, "&lt;1160000")</f>
        <v>5</v>
      </c>
      <c r="E37" s="13">
        <f t="shared" si="14"/>
        <v>22859</v>
      </c>
      <c r="F37" s="10" t="str">
        <f t="shared" si="15"/>
        <v>★</v>
      </c>
      <c r="G37" s="15">
        <f t="shared" si="16"/>
        <v>3.924213891</v>
      </c>
      <c r="J37" s="20" t="s">
        <v>64</v>
      </c>
      <c r="K37" s="21">
        <f>SUMIFS(numbers!F:F, numbers!M:M, J37, numbers!F:F, "&lt;1160000")</f>
        <v>20400</v>
      </c>
      <c r="L37" s="21">
        <f>COUNTIFS(numbers!M:M, J37, numbers!F:F, "&lt;1160000")</f>
        <v>2</v>
      </c>
      <c r="M37" s="13">
        <f t="shared" si="12"/>
        <v>10200</v>
      </c>
    </row>
    <row r="38">
      <c r="A38" s="8" t="s">
        <v>58</v>
      </c>
      <c r="B38" s="9">
        <f>SUMIFS(numbers!F:F, numbers!D:D, A38, numbers!F:F, "&lt;1160000")</f>
        <v>144345</v>
      </c>
      <c r="C38" s="10">
        <f t="shared" si="13"/>
        <v>4.310813394</v>
      </c>
      <c r="D38" s="21">
        <f>COUNTIFS(numbers!D:D, A38, numbers!F:F, "&lt;1160000")</f>
        <v>7</v>
      </c>
      <c r="E38" s="13">
        <f t="shared" si="14"/>
        <v>20620.71429</v>
      </c>
      <c r="F38" s="10" t="str">
        <f t="shared" si="15"/>
        <v>★</v>
      </c>
      <c r="G38" s="15">
        <f t="shared" si="16"/>
        <v>3.539966465</v>
      </c>
      <c r="J38" s="20" t="s">
        <v>27</v>
      </c>
      <c r="K38" s="21">
        <f>SUMIFS(numbers!F:F, numbers!M:M, J38, numbers!F:F, "&lt;1160000")</f>
        <v>849865</v>
      </c>
      <c r="L38" s="21">
        <f>COUNTIFS(numbers!M:M, J38, numbers!F:F, "&lt;1160000")</f>
        <v>21</v>
      </c>
      <c r="M38" s="13">
        <f t="shared" si="12"/>
        <v>40469.7619</v>
      </c>
    </row>
    <row r="39">
      <c r="A39" s="8" t="s">
        <v>121</v>
      </c>
      <c r="B39" s="9">
        <f>SUMIFS(numbers!F:F, numbers!D:D, A39, numbers!F:F, "&lt;1160000")</f>
        <v>208450</v>
      </c>
      <c r="C39" s="10">
        <f t="shared" si="13"/>
        <v>6.225286999</v>
      </c>
      <c r="D39" s="21">
        <f>COUNTIFS(numbers!D:D, A39, numbers!F:F, "&lt;1160000")</f>
        <v>4</v>
      </c>
      <c r="E39" s="13">
        <f t="shared" si="14"/>
        <v>52112.5</v>
      </c>
      <c r="F39" s="10" t="str">
        <f t="shared" si="15"/>
        <v>★★</v>
      </c>
      <c r="G39" s="15">
        <f t="shared" si="16"/>
        <v>8.946174215</v>
      </c>
      <c r="J39" s="20" t="s">
        <v>37</v>
      </c>
      <c r="K39" s="21">
        <f>SUMIFS(numbers!F:F, numbers!M:M, J39, numbers!F:F, "&lt;1160000")</f>
        <v>915490</v>
      </c>
      <c r="L39" s="21">
        <f>COUNTIFS(numbers!M:M, J39, numbers!F:F, "&lt;1160000")</f>
        <v>23</v>
      </c>
      <c r="M39" s="13">
        <f t="shared" si="12"/>
        <v>39803.91304</v>
      </c>
    </row>
    <row r="40">
      <c r="A40" s="8" t="s">
        <v>61</v>
      </c>
      <c r="B40" s="9">
        <f>SUMIFS(numbers!F:F, numbers!D:D, A40, numbers!F:F, "&lt;1160000")</f>
        <v>79315</v>
      </c>
      <c r="C40" s="10">
        <f t="shared" si="13"/>
        <v>2.368714984</v>
      </c>
      <c r="D40" s="21">
        <f>COUNTIFS(numbers!D:D, A40, numbers!F:F, "&lt;1160000")</f>
        <v>6</v>
      </c>
      <c r="E40" s="13">
        <f t="shared" si="14"/>
        <v>13219.16667</v>
      </c>
      <c r="F40" s="10" t="str">
        <f t="shared" si="15"/>
        <v>★</v>
      </c>
      <c r="G40" s="15">
        <f t="shared" si="16"/>
        <v>2.269339755</v>
      </c>
      <c r="J40" s="20" t="s">
        <v>66</v>
      </c>
      <c r="K40" s="21">
        <f>SUMIFS(numbers!F:F, numbers!M:M, J40, numbers!F:F, "&lt;1160000")</f>
        <v>565115</v>
      </c>
      <c r="L40" s="21">
        <f>COUNTIFS(numbers!M:M, J40, numbers!F:F, "&lt;1160000")</f>
        <v>13</v>
      </c>
      <c r="M40" s="13">
        <f t="shared" si="12"/>
        <v>43470.38462</v>
      </c>
    </row>
    <row r="41">
      <c r="A41" s="8" t="s">
        <v>36</v>
      </c>
      <c r="B41" s="9">
        <f>SUMIFS(numbers!F:F, numbers!D:D, A41, numbers!F:F, "&lt;1160000")</f>
        <v>101205</v>
      </c>
      <c r="C41" s="10">
        <f t="shared" si="13"/>
        <v>3.022452246</v>
      </c>
      <c r="D41" s="21">
        <f>COUNTIFS(numbers!D:D, A41, numbers!F:F, "&lt;1160000")</f>
        <v>5</v>
      </c>
      <c r="E41" s="13">
        <f t="shared" si="14"/>
        <v>20241</v>
      </c>
      <c r="F41" s="10" t="str">
        <f t="shared" si="15"/>
        <v>★</v>
      </c>
      <c r="G41" s="15">
        <f t="shared" si="16"/>
        <v>3.474780758</v>
      </c>
    </row>
    <row r="42">
      <c r="A42" s="8" t="s">
        <v>93</v>
      </c>
      <c r="B42" s="9">
        <f>SUMIFS(numbers!F:F, numbers!D:D, A42, numbers!F:F, "&lt;1160000")</f>
        <v>188385</v>
      </c>
      <c r="C42" s="10">
        <f t="shared" si="13"/>
        <v>5.626052729</v>
      </c>
      <c r="D42" s="21">
        <f>COUNTIFS(numbers!D:D, A42, numbers!F:F, "&lt;1160000")</f>
        <v>7</v>
      </c>
      <c r="E42" s="13">
        <f t="shared" si="14"/>
        <v>26912.14286</v>
      </c>
      <c r="F42" s="10" t="str">
        <f t="shared" si="15"/>
        <v>★★</v>
      </c>
      <c r="G42" s="15">
        <f t="shared" si="16"/>
        <v>4.620018585</v>
      </c>
      <c r="J42" s="17"/>
    </row>
    <row r="43">
      <c r="A43" s="8" t="s">
        <v>91</v>
      </c>
      <c r="B43" s="9">
        <f>SUMIFS(numbers!F:F, numbers!D:D, A43, numbers!F:F, "&lt;1160000")</f>
        <v>73045</v>
      </c>
      <c r="C43" s="10">
        <f t="shared" si="13"/>
        <v>2.181463607</v>
      </c>
      <c r="D43" s="21">
        <f>COUNTIFS(numbers!D:D, A43, numbers!F:F, "&lt;1160000")</f>
        <v>4</v>
      </c>
      <c r="E43" s="13">
        <f t="shared" si="14"/>
        <v>18261.25</v>
      </c>
      <c r="F43" s="10" t="str">
        <f t="shared" si="15"/>
        <v>★</v>
      </c>
      <c r="G43" s="15">
        <f t="shared" si="16"/>
        <v>3.134916265</v>
      </c>
    </row>
    <row r="44">
      <c r="A44" s="8" t="s">
        <v>48</v>
      </c>
      <c r="B44" s="9">
        <f>SUMIFS(numbers!F:F, numbers!D:D, A44, numbers!F:F, "&lt;1160000")</f>
        <v>461085</v>
      </c>
      <c r="C44" s="10">
        <f t="shared" si="13"/>
        <v>13.77014371</v>
      </c>
      <c r="D44" s="21">
        <f>COUNTIFS(numbers!D:D, A44, numbers!F:F, "&lt;1160000")</f>
        <v>7</v>
      </c>
      <c r="E44" s="13">
        <f t="shared" si="14"/>
        <v>65869.28571</v>
      </c>
      <c r="F44" s="10" t="str">
        <f t="shared" si="15"/>
        <v>★★★</v>
      </c>
      <c r="G44" s="15">
        <f t="shared" si="16"/>
        <v>11.30780725</v>
      </c>
    </row>
    <row r="45">
      <c r="A45" s="8" t="s">
        <v>31</v>
      </c>
      <c r="B45" s="9">
        <f>SUMIFS(numbers!F:F, numbers!D:D, A45, numbers!F:F, "&lt;1160000")</f>
        <v>241425</v>
      </c>
      <c r="C45" s="10">
        <f t="shared" si="13"/>
        <v>7.210073945</v>
      </c>
      <c r="D45" s="21">
        <f>COUNTIFS(numbers!D:D, A45, numbers!F:F, "&lt;1160000")</f>
        <v>7</v>
      </c>
      <c r="E45" s="13">
        <f t="shared" si="14"/>
        <v>34489.28571</v>
      </c>
      <c r="F45" s="10" t="str">
        <f t="shared" si="15"/>
        <v>★★</v>
      </c>
      <c r="G45" s="15">
        <f t="shared" si="16"/>
        <v>5.920789802</v>
      </c>
    </row>
    <row r="46">
      <c r="A46" s="8" t="s">
        <v>42</v>
      </c>
      <c r="B46" s="9">
        <f>SUMIFS(numbers!F:F, numbers!D:D, A46, numbers!F:F, "&lt;1160000")</f>
        <v>157090</v>
      </c>
      <c r="C46" s="10">
        <f t="shared" si="13"/>
        <v>4.691438401</v>
      </c>
      <c r="D46" s="21">
        <f>COUNTIFS(numbers!D:D, A46, numbers!F:F, "&lt;1160000")</f>
        <v>7</v>
      </c>
      <c r="E46" s="13">
        <f t="shared" si="14"/>
        <v>22441.42857</v>
      </c>
      <c r="F46" s="10" t="str">
        <f t="shared" si="15"/>
        <v>★</v>
      </c>
      <c r="G46" s="15">
        <f t="shared" si="16"/>
        <v>3.852529232</v>
      </c>
    </row>
    <row r="47">
      <c r="A47" s="8" t="s">
        <v>45</v>
      </c>
      <c r="B47" s="9">
        <f>SUMIFS(numbers!F:F, numbers!D:D, A47, numbers!F:F, "&lt;1160000")</f>
        <v>466555</v>
      </c>
      <c r="C47" s="10">
        <f t="shared" si="13"/>
        <v>13.93350336</v>
      </c>
      <c r="D47" s="21">
        <f>COUNTIFS(numbers!D:D, A47, numbers!F:F, "&lt;1160000")</f>
        <v>7</v>
      </c>
      <c r="E47" s="13">
        <f t="shared" si="14"/>
        <v>66650.71429</v>
      </c>
      <c r="F47" s="10" t="str">
        <f t="shared" si="15"/>
        <v>★★★</v>
      </c>
      <c r="G47" s="15">
        <f t="shared" si="16"/>
        <v>11.44195541</v>
      </c>
    </row>
    <row r="48">
      <c r="A48" s="8" t="s">
        <v>39</v>
      </c>
      <c r="B48" s="9">
        <f>SUMIFS(numbers!F:F, numbers!D:D, A48, numbers!F:F, "&lt;1160000")</f>
        <v>366125</v>
      </c>
      <c r="C48" s="10">
        <f t="shared" si="13"/>
        <v>10.93419622</v>
      </c>
      <c r="D48" s="21">
        <f>COUNTIFS(numbers!D:D, A48, numbers!F:F, "&lt;1160000")</f>
        <v>6</v>
      </c>
      <c r="E48" s="13">
        <f t="shared" si="14"/>
        <v>61020.83333</v>
      </c>
      <c r="F48" s="10" t="str">
        <f t="shared" si="15"/>
        <v>★★★</v>
      </c>
      <c r="G48" s="15">
        <f t="shared" si="16"/>
        <v>10.47547145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7" max="7" width="15.13"/>
    <col customWidth="1" min="8" max="8" width="23.25"/>
  </cols>
  <sheetData>
    <row r="2">
      <c r="A2" s="18" t="s">
        <v>219</v>
      </c>
      <c r="H2" s="18" t="s">
        <v>220</v>
      </c>
    </row>
    <row r="22">
      <c r="A22" s="18" t="s">
        <v>221</v>
      </c>
      <c r="H22" s="18" t="s">
        <v>222</v>
      </c>
    </row>
    <row r="42">
      <c r="A42" s="18" t="s">
        <v>223</v>
      </c>
      <c r="H42" s="18" t="s">
        <v>224</v>
      </c>
    </row>
    <row r="64">
      <c r="A64" s="18" t="s">
        <v>225</v>
      </c>
      <c r="H64" s="18" t="s">
        <v>226</v>
      </c>
    </row>
    <row r="84">
      <c r="A84" s="18" t="s">
        <v>227</v>
      </c>
      <c r="H84" s="18" t="s">
        <v>228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3" max="3" width="9.63"/>
    <col customWidth="1" min="5" max="5" width="13.63"/>
    <col customWidth="1" min="6" max="6" width="10.5"/>
    <col customWidth="1" min="7" max="7" width="8.88"/>
    <col customWidth="1" min="8" max="8" width="11.13"/>
    <col customWidth="1" min="9" max="9" width="10.88"/>
    <col customWidth="1" min="10" max="10" width="22.0"/>
    <col customWidth="1" min="11" max="11" width="15.25"/>
    <col customWidth="1" min="12" max="12" width="12.75"/>
    <col customWidth="1" min="13" max="13" width="16.88"/>
    <col customWidth="1" min="14" max="14" width="16.38"/>
  </cols>
  <sheetData>
    <row r="1">
      <c r="A1" s="1"/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7"/>
    </row>
    <row r="2">
      <c r="A2" s="1" t="s">
        <v>0</v>
      </c>
      <c r="B2" s="9"/>
      <c r="C2" s="9"/>
      <c r="D2" s="9"/>
      <c r="E2" s="9"/>
      <c r="F2" s="9"/>
      <c r="G2" s="9"/>
    </row>
    <row r="3">
      <c r="A3" s="8" t="s">
        <v>24</v>
      </c>
      <c r="B3" s="9">
        <f>SUMIFS(numbers!F:F, numbers!A:A, A3, numbers!F:F, "&lt;160000")</f>
        <v>199115</v>
      </c>
      <c r="C3" s="16">
        <f t="shared" ref="C3:C13" si="1">B3*100/SUM($B$3:$B$13)</f>
        <v>11.43186039</v>
      </c>
      <c r="D3" s="8">
        <f>COUNTIFS(numbers!A:A, A3, numbers!F:F, "&lt;160000")</f>
        <v>11</v>
      </c>
      <c r="E3" s="10">
        <f t="shared" ref="E3:E13" si="2">B3/D3</f>
        <v>18101.36364</v>
      </c>
      <c r="F3" s="10" t="str">
        <f t="shared" ref="F3:F13" si="3">IFS(E3&lt;10000, "", E3&lt;25000, "★", E3&lt;60000, "★★", E3&lt;160000, "★★★", E3&lt;1160000, "★★★★", E3&gt;=1160000, "★★★★★")</f>
        <v>★</v>
      </c>
      <c r="G3" s="16">
        <f t="shared" ref="G3:G13" si="4">E3*100/SUM($E$3:$E$13)</f>
        <v>8.689153258</v>
      </c>
      <c r="H3" s="25"/>
      <c r="I3" s="17"/>
      <c r="J3" s="17" t="s">
        <v>187</v>
      </c>
      <c r="K3" s="17" t="s">
        <v>188</v>
      </c>
      <c r="L3" s="17" t="s">
        <v>189</v>
      </c>
      <c r="M3" s="17" t="s">
        <v>190</v>
      </c>
    </row>
    <row r="4">
      <c r="A4" s="8" t="s">
        <v>62</v>
      </c>
      <c r="B4" s="9">
        <f>SUMIFS(numbers!F:F, numbers!A:A, A4, numbers!F:F, "&lt;160000")</f>
        <v>56080</v>
      </c>
      <c r="C4" s="16">
        <f t="shared" si="1"/>
        <v>3.219741008</v>
      </c>
      <c r="D4" s="8">
        <f>COUNTIFS(numbers!A:A, A4, numbers!F:F, "&lt;160000")</f>
        <v>5</v>
      </c>
      <c r="E4" s="10">
        <f t="shared" si="2"/>
        <v>11216</v>
      </c>
      <c r="F4" s="10" t="str">
        <f t="shared" si="3"/>
        <v>★</v>
      </c>
      <c r="G4" s="16">
        <f t="shared" si="4"/>
        <v>5.383989013</v>
      </c>
      <c r="H4" s="25"/>
      <c r="I4" s="18"/>
      <c r="J4" s="17" t="s">
        <v>191</v>
      </c>
      <c r="K4" s="18">
        <f>SUMIFS(numbers!F:F, numbers!K:K, "&lt;21", numbers!F:F, "&lt;160000")</f>
        <v>127010</v>
      </c>
      <c r="L4" s="18">
        <f>COUNTIFS(numbers!K:K, "&lt;20", numbers!F:F, "&lt;160000")</f>
        <v>6</v>
      </c>
      <c r="M4" s="13">
        <f t="shared" ref="M4:M12" si="5">K4/L4</f>
        <v>21168.33333</v>
      </c>
    </row>
    <row r="5">
      <c r="A5" s="8" t="s">
        <v>73</v>
      </c>
      <c r="B5" s="9">
        <f>SUMIFS(numbers!F:F, numbers!A:A, A5, numbers!F:F, "&lt;160000")</f>
        <v>56505</v>
      </c>
      <c r="C5" s="16">
        <f t="shared" si="1"/>
        <v>3.244141685</v>
      </c>
      <c r="D5" s="8">
        <f>COUNTIFS(numbers!A:A, A5, numbers!F:F, "&lt;160000")</f>
        <v>4</v>
      </c>
      <c r="E5" s="10">
        <f t="shared" si="2"/>
        <v>14126.25</v>
      </c>
      <c r="F5" s="10" t="str">
        <f t="shared" si="3"/>
        <v>★</v>
      </c>
      <c r="G5" s="16">
        <f t="shared" si="4"/>
        <v>6.780989194</v>
      </c>
      <c r="H5" s="25"/>
      <c r="J5" s="17" t="s">
        <v>192</v>
      </c>
      <c r="K5" s="18">
        <f>SUMIFS(numbers!F:F, numbers!K:K, "&gt;20", numbers!K:K, "&lt;31", numbers!F:F, "&lt;160000")</f>
        <v>73865</v>
      </c>
      <c r="L5" s="18">
        <f>COUNTIFS(numbers!K:K, "&gt;20", numbers!K:K, "&lt;31", numbers!F:F, "&lt;160000")</f>
        <v>6</v>
      </c>
      <c r="M5" s="13">
        <f t="shared" si="5"/>
        <v>12310.83333</v>
      </c>
    </row>
    <row r="6">
      <c r="A6" s="8" t="s">
        <v>81</v>
      </c>
      <c r="B6" s="9">
        <f>SUMIFS(numbers!F:F, numbers!A:A, A6, numbers!F:F, "&lt;160000")</f>
        <v>126435</v>
      </c>
      <c r="C6" s="16">
        <f t="shared" si="1"/>
        <v>7.259057675</v>
      </c>
      <c r="D6" s="8">
        <f>COUNTIFS(numbers!A:A, A6, numbers!F:F, "&lt;160000")</f>
        <v>11</v>
      </c>
      <c r="E6" s="10">
        <f t="shared" si="2"/>
        <v>11494.09091</v>
      </c>
      <c r="F6" s="10" t="str">
        <f t="shared" si="3"/>
        <v>★</v>
      </c>
      <c r="G6" s="16">
        <f t="shared" si="4"/>
        <v>5.517480311</v>
      </c>
      <c r="H6" s="25"/>
      <c r="J6" s="17" t="s">
        <v>193</v>
      </c>
      <c r="K6" s="18">
        <f>SUMIFS(numbers!F:F, numbers!K:K, "&gt;30", numbers!K:K, "&lt;41", numbers!F:F, "&lt;160000")</f>
        <v>164100</v>
      </c>
      <c r="L6" s="18">
        <f>COUNTIFS(numbers!K:K, "&gt;30", numbers!K:K, "&lt;41", numbers!F:F, "&lt;160000")</f>
        <v>5</v>
      </c>
      <c r="M6" s="13">
        <f t="shared" si="5"/>
        <v>32820</v>
      </c>
    </row>
    <row r="7">
      <c r="A7" s="8" t="s">
        <v>99</v>
      </c>
      <c r="B7" s="9">
        <f>SUMIFS(numbers!F:F, numbers!A:A, A7, numbers!F:F, "&lt;160000")</f>
        <v>150290</v>
      </c>
      <c r="C7" s="16">
        <f t="shared" si="1"/>
        <v>8.628653284</v>
      </c>
      <c r="D7" s="8">
        <f>COUNTIFS(numbers!A:A, A7, numbers!F:F, "&lt;160000")</f>
        <v>8</v>
      </c>
      <c r="E7" s="10">
        <f t="shared" si="2"/>
        <v>18786.25</v>
      </c>
      <c r="F7" s="10" t="str">
        <f t="shared" si="3"/>
        <v>★</v>
      </c>
      <c r="G7" s="16">
        <f t="shared" si="4"/>
        <v>9.017917582</v>
      </c>
      <c r="H7" s="25"/>
      <c r="J7" s="17" t="s">
        <v>194</v>
      </c>
      <c r="K7" s="18">
        <f>SUMIFS(numbers!F:F, numbers!K:K, "&gt;40", numbers!K:K, "&lt;51", numbers!F:F, "&lt;160000")</f>
        <v>323035</v>
      </c>
      <c r="L7" s="18">
        <f>COUNTIFS(numbers!K:K, "&gt;40", numbers!K:K, "&lt;51", numbers!F:F, "&lt;160000")</f>
        <v>11</v>
      </c>
      <c r="M7" s="13">
        <f t="shared" si="5"/>
        <v>29366.81818</v>
      </c>
    </row>
    <row r="8">
      <c r="A8" s="8" t="s">
        <v>111</v>
      </c>
      <c r="B8" s="9">
        <f>SUMIFS(numbers!F:F, numbers!A:A, A8, numbers!F:F, "&lt;160000")</f>
        <v>186135</v>
      </c>
      <c r="C8" s="16">
        <f t="shared" si="1"/>
        <v>10.68663503</v>
      </c>
      <c r="D8" s="8">
        <f>COUNTIFS(numbers!A:A, A8, numbers!F:F, "&lt;160000")</f>
        <v>9</v>
      </c>
      <c r="E8" s="10">
        <f t="shared" si="2"/>
        <v>20681.66667</v>
      </c>
      <c r="F8" s="10" t="str">
        <f t="shared" si="3"/>
        <v>★</v>
      </c>
      <c r="G8" s="16">
        <f t="shared" si="4"/>
        <v>9.927769802</v>
      </c>
      <c r="H8" s="25"/>
      <c r="J8" s="17" t="s">
        <v>195</v>
      </c>
      <c r="K8" s="18">
        <f>SUMIFS(numbers!F:F, numbers!K:K, "&gt;50", numbers!K:K, "&lt;61", numbers!F:F, "&lt;160000")</f>
        <v>357205</v>
      </c>
      <c r="L8" s="18">
        <f>COUNTIFS(numbers!K:K, "&gt;50", numbers!K:K, "&lt;61", numbers!F:F, "&lt;160000")</f>
        <v>14</v>
      </c>
      <c r="M8" s="13">
        <f t="shared" si="5"/>
        <v>25514.64286</v>
      </c>
    </row>
    <row r="9">
      <c r="A9" s="8" t="s">
        <v>123</v>
      </c>
      <c r="B9" s="9">
        <f>SUMIFS(numbers!F:F, numbers!A:A, A9, numbers!F:F, "&lt;160000")</f>
        <v>625840</v>
      </c>
      <c r="C9" s="16">
        <f t="shared" si="1"/>
        <v>35.93157476</v>
      </c>
      <c r="D9" s="8">
        <f>COUNTIFS(numbers!A:A, A9, numbers!F:F, "&lt;160000")</f>
        <v>22</v>
      </c>
      <c r="E9" s="10">
        <f t="shared" si="2"/>
        <v>28447.27273</v>
      </c>
      <c r="F9" s="10" t="str">
        <f t="shared" si="3"/>
        <v>★★</v>
      </c>
      <c r="G9" s="16">
        <f t="shared" si="4"/>
        <v>13.65547466</v>
      </c>
      <c r="H9" s="25"/>
      <c r="J9" s="17" t="s">
        <v>196</v>
      </c>
      <c r="K9" s="18">
        <f>SUMIFS(numbers!F:F, numbers!K:K, "&gt;60", numbers!K:K, "&lt;71", numbers!F:F, "&lt;160000")</f>
        <v>311925</v>
      </c>
      <c r="L9" s="18">
        <f>COUNTIFS(numbers!K:K, "&gt;60", numbers!K:K, "&lt;71", numbers!F:F, "&lt;160000")</f>
        <v>18</v>
      </c>
      <c r="M9" s="13">
        <f t="shared" si="5"/>
        <v>17329.16667</v>
      </c>
    </row>
    <row r="10">
      <c r="A10" s="8" t="s">
        <v>152</v>
      </c>
      <c r="B10" s="9">
        <f>SUMIFS(numbers!F:F, numbers!A:A, A10, numbers!F:F, "&lt;160000")</f>
        <v>130465</v>
      </c>
      <c r="C10" s="16">
        <f t="shared" si="1"/>
        <v>7.4904335</v>
      </c>
      <c r="D10" s="8">
        <f>COUNTIFS(numbers!A:A, A10, numbers!F:F, "&lt;160000")</f>
        <v>7</v>
      </c>
      <c r="E10" s="10">
        <f t="shared" si="2"/>
        <v>18637.85714</v>
      </c>
      <c r="F10" s="10" t="str">
        <f t="shared" si="3"/>
        <v>★</v>
      </c>
      <c r="G10" s="16">
        <f t="shared" si="4"/>
        <v>8.946684922</v>
      </c>
      <c r="H10" s="25"/>
      <c r="J10" s="17" t="s">
        <v>197</v>
      </c>
      <c r="K10" s="18">
        <f>SUMIFS(numbers!F:F, numbers!K:K, "&gt;70", numbers!K:K, "&lt;81", numbers!F:F, "&lt;160000")</f>
        <v>222980</v>
      </c>
      <c r="L10" s="18">
        <f>COUNTIFS(numbers!K:K, "&gt;70", numbers!K:K, "&lt;81", numbers!F:F, "&lt;160000")</f>
        <v>14</v>
      </c>
      <c r="M10" s="13">
        <f t="shared" si="5"/>
        <v>15927.14286</v>
      </c>
    </row>
    <row r="11">
      <c r="A11" s="8" t="s">
        <v>163</v>
      </c>
      <c r="B11" s="9">
        <f>SUMIFS(numbers!F:F, numbers!A:A, A11, numbers!F:F, "&lt;160000")</f>
        <v>84635</v>
      </c>
      <c r="C11" s="16">
        <f t="shared" si="1"/>
        <v>4.859179391</v>
      </c>
      <c r="D11" s="8">
        <f>COUNTIFS(numbers!A:A, A11, numbers!F:F, "&lt;160000")</f>
        <v>2</v>
      </c>
      <c r="E11" s="10">
        <f t="shared" si="2"/>
        <v>42317.5</v>
      </c>
      <c r="F11" s="10" t="str">
        <f t="shared" si="3"/>
        <v>★★</v>
      </c>
      <c r="G11" s="16">
        <f t="shared" si="4"/>
        <v>20.31356589</v>
      </c>
      <c r="H11" s="25"/>
      <c r="J11" s="17" t="s">
        <v>198</v>
      </c>
      <c r="K11" s="18">
        <f>SUMIFS(numbers!F:F, numbers!K:K, "&gt;80", numbers!K:K, "&lt;91", numbers!F:F, "&lt;160000")</f>
        <v>98635</v>
      </c>
      <c r="L11" s="18">
        <f>COUNTIFS(numbers!K:K, "&gt;80", numbers!K:K, "&lt;91", numbers!F:F, "&lt;160000")</f>
        <v>9</v>
      </c>
      <c r="M11" s="13">
        <f t="shared" si="5"/>
        <v>10959.44444</v>
      </c>
    </row>
    <row r="12">
      <c r="A12" s="8" t="s">
        <v>167</v>
      </c>
      <c r="B12" s="9">
        <f>SUMIFS(numbers!F:F, numbers!A:A, A12, numbers!F:F, "&lt;160000")</f>
        <v>84345</v>
      </c>
      <c r="C12" s="16">
        <f t="shared" si="1"/>
        <v>4.842529518</v>
      </c>
      <c r="D12" s="8">
        <f>COUNTIFS(numbers!A:A, A12, numbers!F:F, "&lt;160000")</f>
        <v>8</v>
      </c>
      <c r="E12" s="10">
        <f t="shared" si="2"/>
        <v>10543.125</v>
      </c>
      <c r="F12" s="10" t="str">
        <f t="shared" si="3"/>
        <v>★</v>
      </c>
      <c r="G12" s="16">
        <f t="shared" si="4"/>
        <v>5.060990475</v>
      </c>
      <c r="H12" s="25"/>
      <c r="J12" s="17" t="s">
        <v>199</v>
      </c>
      <c r="K12" s="18">
        <f>SUMIFS(numbers!F:F, numbers!K:K, "&gt;90", numbers!F:F, "&lt;160000")</f>
        <v>63000</v>
      </c>
      <c r="L12" s="18">
        <f>COUNTIFS(numbers!K:K, "&gt;90", numbers!F:F, "&lt;160000")</f>
        <v>5</v>
      </c>
      <c r="M12" s="13">
        <f t="shared" si="5"/>
        <v>12600</v>
      </c>
    </row>
    <row r="13">
      <c r="A13" s="8" t="s">
        <v>177</v>
      </c>
      <c r="B13" s="9">
        <f>SUMIFS(numbers!F:F, numbers!A:A, A13, numbers!F:F, "&lt;160000")</f>
        <v>41910</v>
      </c>
      <c r="C13" s="16">
        <f t="shared" si="1"/>
        <v>2.406193753</v>
      </c>
      <c r="D13" s="8">
        <f>COUNTIFS(numbers!A:A, A13, numbers!F:F, "&lt;160000")</f>
        <v>3</v>
      </c>
      <c r="E13" s="10">
        <f t="shared" si="2"/>
        <v>13970</v>
      </c>
      <c r="F13" s="10" t="str">
        <f t="shared" si="3"/>
        <v>★</v>
      </c>
      <c r="G13" s="16">
        <f t="shared" si="4"/>
        <v>6.705984889</v>
      </c>
      <c r="H13" s="25"/>
    </row>
    <row r="14">
      <c r="A14" s="19"/>
    </row>
    <row r="15">
      <c r="A15" s="19" t="s">
        <v>2</v>
      </c>
      <c r="J15" s="1" t="s">
        <v>200</v>
      </c>
      <c r="K15" s="1" t="s">
        <v>201</v>
      </c>
      <c r="L15" s="1" t="s">
        <v>202</v>
      </c>
      <c r="M15" s="1" t="s">
        <v>190</v>
      </c>
    </row>
    <row r="16">
      <c r="A16" s="20" t="s">
        <v>57</v>
      </c>
      <c r="B16" s="9">
        <f>SUMIFS(numbers!F:F, numbers!C:C, A16, numbers!F:F, "&lt;160000")</f>
        <v>51760</v>
      </c>
      <c r="C16" s="13">
        <f t="shared" ref="C16:C29" si="6">B16*100/SUM($B$16:$B$29)</f>
        <v>2.97171531</v>
      </c>
      <c r="D16" s="21">
        <f>COUNTIFS(numbers!C:C, A16, numbers!F:F, "&lt;160000")</f>
        <v>5</v>
      </c>
      <c r="E16" s="13">
        <f t="shared" ref="E16:E29" si="7">B16/D16</f>
        <v>10352</v>
      </c>
      <c r="F16" s="10" t="str">
        <f t="shared" ref="F16:F29" si="8">IFS(E16&lt;10000, "", E16&lt;25000, "★", E16&lt;60000, "★★", E16&lt;160000, "★★★", E16&lt;1160000, "★★★★", E16&gt;=1160000, "★★★★★")</f>
        <v>★</v>
      </c>
      <c r="G16" s="15">
        <f t="shared" ref="G16:G29" si="9">E16*100/SUM($E$16:$E$29)</f>
        <v>3.690069674</v>
      </c>
      <c r="J16" s="8" t="s">
        <v>33</v>
      </c>
      <c r="K16" s="9">
        <f>SUMIFS(numbers!F:F, numbers!N:N, J16, numbers!F:F, "&lt;160000")</f>
        <v>687480</v>
      </c>
      <c r="L16" s="9">
        <f>COUNTIFS(numbers!N:N, J16, numbers!F:F, "&lt;160000")</f>
        <v>24</v>
      </c>
      <c r="M16" s="10">
        <f t="shared" ref="M16:M18" si="10">K16/L16</f>
        <v>28645</v>
      </c>
    </row>
    <row r="17">
      <c r="A17" s="20" t="s">
        <v>25</v>
      </c>
      <c r="B17" s="9">
        <f>SUMIFS(numbers!F:F, numbers!C:C, A17, numbers!F:F, "&lt;160000")</f>
        <v>133750</v>
      </c>
      <c r="C17" s="13">
        <f t="shared" si="6"/>
        <v>7.679036374</v>
      </c>
      <c r="D17" s="21">
        <f>COUNTIFS(numbers!C:C, A17, numbers!F:F, "&lt;160000")</f>
        <v>7</v>
      </c>
      <c r="E17" s="13">
        <f t="shared" si="7"/>
        <v>19107.14286</v>
      </c>
      <c r="F17" s="10" t="str">
        <f t="shared" si="8"/>
        <v>★</v>
      </c>
      <c r="G17" s="15">
        <f t="shared" si="9"/>
        <v>6.810924307</v>
      </c>
      <c r="J17" s="8" t="s">
        <v>28</v>
      </c>
      <c r="K17" s="9">
        <f>SUMIFS(numbers!F:F, numbers!N:N, J17, numbers!F:F, "&lt;160000")</f>
        <v>901985</v>
      </c>
      <c r="L17" s="9">
        <f>COUNTIFS(numbers!N:N, J17, numbers!F:F, "&lt;160000")</f>
        <v>58</v>
      </c>
      <c r="M17" s="10">
        <f t="shared" si="10"/>
        <v>15551.46552</v>
      </c>
    </row>
    <row r="18">
      <c r="A18" s="20" t="s">
        <v>116</v>
      </c>
      <c r="B18" s="9">
        <f>SUMIFS(numbers!F:F, numbers!C:C, A18, numbers!F:F, "&lt;160000")</f>
        <v>146030</v>
      </c>
      <c r="C18" s="13">
        <f t="shared" si="6"/>
        <v>8.384072387</v>
      </c>
      <c r="D18" s="21">
        <f>COUNTIFS(numbers!C:C, A18, numbers!F:F, "&lt;160000")</f>
        <v>4</v>
      </c>
      <c r="E18" s="13">
        <f t="shared" si="7"/>
        <v>36507.5</v>
      </c>
      <c r="F18" s="10" t="str">
        <f t="shared" si="8"/>
        <v>★★</v>
      </c>
      <c r="G18" s="15">
        <f t="shared" si="9"/>
        <v>13.01344848</v>
      </c>
      <c r="J18" s="8" t="s">
        <v>69</v>
      </c>
      <c r="K18" s="9">
        <f>SUMIFS(numbers!F:F, numbers!N:N, J18, numbers!F:F, "&lt;160000")</f>
        <v>152290</v>
      </c>
      <c r="L18" s="9">
        <f>COUNTIFS(numbers!N:N, J18, numbers!F:F, "&lt;160000")</f>
        <v>8</v>
      </c>
      <c r="M18" s="10">
        <f t="shared" si="10"/>
        <v>19036.25</v>
      </c>
    </row>
    <row r="19">
      <c r="A19" s="20" t="s">
        <v>35</v>
      </c>
      <c r="B19" s="9">
        <f>SUMIFS(numbers!F:F, numbers!C:C, A19, numbers!F:F, "&lt;160000")</f>
        <v>78330</v>
      </c>
      <c r="C19" s="13">
        <f t="shared" si="6"/>
        <v>4.497188181</v>
      </c>
      <c r="D19" s="21">
        <f>COUNTIFS(numbers!C:C, A19, numbers!F:F, "&lt;160000")</f>
        <v>7</v>
      </c>
      <c r="E19" s="13">
        <f t="shared" si="7"/>
        <v>11190</v>
      </c>
      <c r="F19" s="10" t="str">
        <f t="shared" si="8"/>
        <v>★</v>
      </c>
      <c r="G19" s="15">
        <f t="shared" si="9"/>
        <v>3.988782811</v>
      </c>
      <c r="K19" s="23"/>
      <c r="L19" s="23"/>
    </row>
    <row r="20">
      <c r="A20" s="20" t="s">
        <v>41</v>
      </c>
      <c r="B20" s="9">
        <f>SUMIFS(numbers!F:F, numbers!C:C, A20, numbers!F:F, "&lt;160000")</f>
        <v>80050</v>
      </c>
      <c r="C20" s="13">
        <f t="shared" si="6"/>
        <v>4.595939153</v>
      </c>
      <c r="D20" s="21">
        <f>COUNTIFS(numbers!C:C, A20, numbers!F:F, "&lt;160000")</f>
        <v>5</v>
      </c>
      <c r="E20" s="13">
        <f t="shared" si="7"/>
        <v>16010</v>
      </c>
      <c r="F20" s="10" t="str">
        <f t="shared" si="8"/>
        <v>★</v>
      </c>
      <c r="G20" s="15">
        <f t="shared" si="9"/>
        <v>5.706918034</v>
      </c>
      <c r="K20" s="23"/>
      <c r="L20" s="23"/>
    </row>
    <row r="21">
      <c r="A21" s="20" t="s">
        <v>47</v>
      </c>
      <c r="B21" s="9">
        <f>SUMIFS(numbers!F:F, numbers!C:C, A21, numbers!F:F, "&lt;160000")</f>
        <v>137195</v>
      </c>
      <c r="C21" s="13">
        <f t="shared" si="6"/>
        <v>7.876825386</v>
      </c>
      <c r="D21" s="21">
        <f>COUNTIFS(numbers!C:C, A21, numbers!F:F, "&lt;160000")</f>
        <v>9</v>
      </c>
      <c r="E21" s="13">
        <f t="shared" si="7"/>
        <v>15243.88889</v>
      </c>
      <c r="F21" s="10" t="str">
        <f t="shared" si="8"/>
        <v>★</v>
      </c>
      <c r="G21" s="15">
        <f t="shared" si="9"/>
        <v>5.433830382</v>
      </c>
      <c r="J21" s="17" t="s">
        <v>203</v>
      </c>
      <c r="K21" s="24" t="s">
        <v>204</v>
      </c>
      <c r="L21" s="24" t="s">
        <v>205</v>
      </c>
      <c r="M21" s="17" t="s">
        <v>190</v>
      </c>
      <c r="N21" s="17"/>
    </row>
    <row r="22">
      <c r="A22" s="20" t="s">
        <v>85</v>
      </c>
      <c r="B22" s="9">
        <f>SUMIFS(numbers!F:F, numbers!C:C, A22, numbers!F:F, "&lt;160000")</f>
        <v>67595</v>
      </c>
      <c r="C22" s="13">
        <f t="shared" si="6"/>
        <v>3.880855803</v>
      </c>
      <c r="D22" s="21">
        <f>COUNTIFS(numbers!C:C, A22, numbers!F:F, "&lt;160000")</f>
        <v>6</v>
      </c>
      <c r="E22" s="13">
        <f t="shared" si="7"/>
        <v>11265.83333</v>
      </c>
      <c r="F22" s="10" t="str">
        <f t="shared" si="8"/>
        <v>★</v>
      </c>
      <c r="G22" s="15">
        <f t="shared" si="9"/>
        <v>4.01581433</v>
      </c>
      <c r="J22" s="18" t="s">
        <v>83</v>
      </c>
      <c r="K22" s="21">
        <f>SUMIFS(numbers!F:F, numbers!M:M, "*"&amp;J22&amp;"*", numbers!F:F, "&lt;160000")</f>
        <v>317215</v>
      </c>
      <c r="L22" s="21">
        <f>COUNTIFS(numbers!M:M, "*"&amp;J22&amp;"*", numbers!F:F, "&lt;160000")</f>
        <v>23</v>
      </c>
      <c r="M22" s="13">
        <f t="shared" ref="M22:M25" si="11">K22/L22</f>
        <v>13791.95652</v>
      </c>
    </row>
    <row r="23">
      <c r="A23" s="20" t="s">
        <v>97</v>
      </c>
      <c r="B23" s="9">
        <f>SUMIFS(numbers!F:F, numbers!C:C, A23, numbers!F:F, "&lt;160000")</f>
        <v>152145</v>
      </c>
      <c r="C23" s="13">
        <f t="shared" si="6"/>
        <v>8.735155059</v>
      </c>
      <c r="D23" s="21">
        <f>COUNTIFS(numbers!C:C, A23, numbers!F:F, "&lt;160000")</f>
        <v>8</v>
      </c>
      <c r="E23" s="13">
        <f t="shared" si="7"/>
        <v>19018.125</v>
      </c>
      <c r="F23" s="10" t="str">
        <f t="shared" si="8"/>
        <v>★</v>
      </c>
      <c r="G23" s="15">
        <f t="shared" si="9"/>
        <v>6.779193038</v>
      </c>
      <c r="J23" s="18" t="s">
        <v>72</v>
      </c>
      <c r="K23" s="21">
        <f>SUMIFS(numbers!F:F, numbers!M:M, "*"&amp;J23&amp;"*", numbers!F:F, "&lt;160000")</f>
        <v>292795</v>
      </c>
      <c r="L23" s="21">
        <f>COUNTIFS(numbers!M:M, "*"&amp;J23&amp;"*", numbers!F:F, "&lt;160000")</f>
        <v>17</v>
      </c>
      <c r="M23" s="13">
        <f t="shared" si="11"/>
        <v>17223.23529</v>
      </c>
    </row>
    <row r="24">
      <c r="A24" s="20" t="s">
        <v>30</v>
      </c>
      <c r="B24" s="9">
        <f>SUMIFS(numbers!F:F, numbers!C:C, A24, numbers!F:F, "&lt;160000")</f>
        <v>159310</v>
      </c>
      <c r="C24" s="13">
        <f t="shared" si="6"/>
        <v>9.146521755</v>
      </c>
      <c r="D24" s="21">
        <f>COUNTIFS(numbers!C:C, A24, numbers!F:F, "&lt;160000")</f>
        <v>8</v>
      </c>
      <c r="E24" s="13">
        <f t="shared" si="7"/>
        <v>19913.75</v>
      </c>
      <c r="F24" s="10" t="str">
        <f t="shared" si="8"/>
        <v>★</v>
      </c>
      <c r="G24" s="15">
        <f t="shared" si="9"/>
        <v>7.098447158</v>
      </c>
      <c r="J24" s="18" t="s">
        <v>27</v>
      </c>
      <c r="K24" s="21">
        <f>SUMIFS(numbers!F:F, numbers!M:M, "*"&amp;J24&amp;"*", numbers!F:F, "&lt;160000")</f>
        <v>1005050</v>
      </c>
      <c r="L24" s="21">
        <f>COUNTIFS(numbers!M:M, "*"&amp;J24&amp;"*", numbers!F:F, "&lt;160000")</f>
        <v>50</v>
      </c>
      <c r="M24" s="13">
        <f t="shared" si="11"/>
        <v>20101</v>
      </c>
    </row>
    <row r="25">
      <c r="A25" s="20" t="s">
        <v>60</v>
      </c>
      <c r="B25" s="9">
        <f>SUMIFS(numbers!F:F, numbers!C:C, A25, numbers!F:F, "&lt;160000")</f>
        <v>205480</v>
      </c>
      <c r="C25" s="13">
        <f t="shared" si="6"/>
        <v>11.79729641</v>
      </c>
      <c r="D25" s="21">
        <f>COUNTIFS(numbers!C:C, A25, numbers!F:F, "&lt;160000")</f>
        <v>9</v>
      </c>
      <c r="E25" s="13">
        <f t="shared" si="7"/>
        <v>22831.11111</v>
      </c>
      <c r="F25" s="10" t="str">
        <f t="shared" si="8"/>
        <v>★</v>
      </c>
      <c r="G25" s="15">
        <f t="shared" si="9"/>
        <v>8.138368503</v>
      </c>
      <c r="J25" s="18" t="s">
        <v>66</v>
      </c>
      <c r="K25" s="21">
        <f>SUMIFS(numbers!F:F, numbers!M:M, "*"&amp;J25&amp;"*", numbers!F:F, "&lt;160000")</f>
        <v>1013040</v>
      </c>
      <c r="L25" s="21">
        <f>COUNTIFS(numbers!M:M, "*"&amp;J25&amp;"*", numbers!F:F, "&lt;160000")</f>
        <v>49</v>
      </c>
      <c r="M25" s="13">
        <f t="shared" si="11"/>
        <v>20674.28571</v>
      </c>
    </row>
    <row r="26">
      <c r="A26" s="20" t="s">
        <v>68</v>
      </c>
      <c r="B26" s="9">
        <f>SUMIFS(numbers!F:F, numbers!C:C, A26, numbers!F:F, "&lt;160000")</f>
        <v>74955</v>
      </c>
      <c r="C26" s="13">
        <f t="shared" si="6"/>
        <v>4.303418104</v>
      </c>
      <c r="D26" s="21">
        <f>COUNTIFS(numbers!C:C, A26, numbers!F:F, "&lt;160000")</f>
        <v>7</v>
      </c>
      <c r="E26" s="13">
        <f t="shared" si="7"/>
        <v>10707.85714</v>
      </c>
      <c r="F26" s="10" t="str">
        <f t="shared" si="8"/>
        <v>★</v>
      </c>
      <c r="G26" s="15">
        <f t="shared" si="9"/>
        <v>3.816918366</v>
      </c>
      <c r="M26" s="13"/>
    </row>
    <row r="27">
      <c r="A27" s="20" t="s">
        <v>44</v>
      </c>
      <c r="B27" s="9">
        <f>SUMIFS(numbers!F:F, numbers!C:C, A27, numbers!F:F, "&lt;160000")</f>
        <v>237150</v>
      </c>
      <c r="C27" s="13">
        <f t="shared" si="6"/>
        <v>13.61557739</v>
      </c>
      <c r="D27" s="21">
        <f>COUNTIFS(numbers!C:C, A27, numbers!F:F, "&lt;160000")</f>
        <v>6</v>
      </c>
      <c r="E27" s="13">
        <f t="shared" si="7"/>
        <v>39525</v>
      </c>
      <c r="F27" s="10" t="str">
        <f t="shared" si="8"/>
        <v>★★</v>
      </c>
      <c r="G27" s="15">
        <f t="shared" si="9"/>
        <v>14.08906529</v>
      </c>
    </row>
    <row r="28">
      <c r="A28" s="20" t="s">
        <v>50</v>
      </c>
      <c r="B28" s="9">
        <f>SUMIFS(numbers!F:F, numbers!C:C, A28, numbers!F:F, "&lt;160000")</f>
        <v>105270</v>
      </c>
      <c r="C28" s="13">
        <f t="shared" si="6"/>
        <v>6.043903993</v>
      </c>
      <c r="D28" s="21">
        <f>COUNTIFS(numbers!C:C, A28, numbers!F:F, "&lt;160000")</f>
        <v>4</v>
      </c>
      <c r="E28" s="13">
        <f t="shared" si="7"/>
        <v>26317.5</v>
      </c>
      <c r="F28" s="10" t="str">
        <f t="shared" si="8"/>
        <v>★★</v>
      </c>
      <c r="G28" s="15">
        <f t="shared" si="9"/>
        <v>9.381125257</v>
      </c>
      <c r="J28" s="17" t="s">
        <v>206</v>
      </c>
      <c r="K28" s="17" t="s">
        <v>204</v>
      </c>
      <c r="L28" s="17" t="s">
        <v>205</v>
      </c>
      <c r="M28" s="17" t="s">
        <v>190</v>
      </c>
    </row>
    <row r="29">
      <c r="A29" s="20" t="s">
        <v>53</v>
      </c>
      <c r="B29" s="9">
        <f>SUMIFS(numbers!F:F, numbers!C:C, A29, numbers!F:F, "&lt;160000")</f>
        <v>112735</v>
      </c>
      <c r="C29" s="13">
        <f t="shared" si="6"/>
        <v>6.472494696</v>
      </c>
      <c r="D29" s="21">
        <f>COUNTIFS(numbers!C:C, A29, numbers!F:F, "&lt;160000")</f>
        <v>5</v>
      </c>
      <c r="E29" s="13">
        <f t="shared" si="7"/>
        <v>22547</v>
      </c>
      <c r="F29" s="10" t="str">
        <f t="shared" si="8"/>
        <v>★</v>
      </c>
      <c r="G29" s="15">
        <f t="shared" si="9"/>
        <v>8.037094373</v>
      </c>
      <c r="J29" s="20" t="s">
        <v>83</v>
      </c>
      <c r="K29" s="21">
        <f>SUMIFS(numbers!F:F, numbers!M:M, J29, numbers!F:F, "&lt;160000")</f>
        <v>80915</v>
      </c>
      <c r="L29" s="21">
        <f>COUNTIFS(numbers!M:M, J29, numbers!F:F, "&lt;160000")</f>
        <v>7</v>
      </c>
      <c r="M29" s="13">
        <f t="shared" ref="M29:M40" si="12">K29/L29</f>
        <v>11559.28571</v>
      </c>
    </row>
    <row r="30">
      <c r="J30" s="20" t="s">
        <v>157</v>
      </c>
      <c r="K30" s="21">
        <f>SUMIFS(numbers!F:F, numbers!M:M, J30, numbers!F:F, "&lt;160000")</f>
        <v>13185</v>
      </c>
      <c r="L30" s="21">
        <f>COUNTIFS(numbers!M:M, J30, numbers!F:F, "&lt;160000")</f>
        <v>1</v>
      </c>
      <c r="M30" s="13">
        <f t="shared" si="12"/>
        <v>13185</v>
      </c>
    </row>
    <row r="31">
      <c r="A31" s="1" t="s">
        <v>3</v>
      </c>
      <c r="B31" s="9"/>
      <c r="C31" s="9"/>
      <c r="J31" s="20" t="s">
        <v>86</v>
      </c>
      <c r="K31" s="21">
        <f>SUMIFS(numbers!F:F, numbers!M:M, J31, numbers!F:F, "&lt;160000")</f>
        <v>21330</v>
      </c>
      <c r="L31" s="21">
        <f>COUNTIFS(numbers!M:M, J31, numbers!F:F, "&lt;160000")</f>
        <v>2</v>
      </c>
      <c r="M31" s="13">
        <f t="shared" si="12"/>
        <v>10665</v>
      </c>
    </row>
    <row r="32">
      <c r="A32" s="8" t="s">
        <v>26</v>
      </c>
      <c r="B32" s="9">
        <f>SUMIFS(numbers!F:F, numbers!D:D, A32, numbers!F:F, "&lt;160000")</f>
        <v>54945</v>
      </c>
      <c r="C32" s="10">
        <f t="shared" ref="C32:C48" si="13">B32*100/SUM($B$32:$B$48)</f>
        <v>3.154576849</v>
      </c>
      <c r="D32" s="21">
        <f>COUNTIFS(numbers!D:D, A32, numbers!F:F, "&lt;160000")</f>
        <v>5</v>
      </c>
      <c r="E32" s="13">
        <f t="shared" ref="E32:E48" si="14">B32/D32</f>
        <v>10989</v>
      </c>
      <c r="F32" s="10" t="str">
        <f t="shared" ref="F32:F48" si="15">IFS(E32&lt;10000, "", E32&lt;25000, "★", E32&lt;60000, "★★", E32&lt;160000, "★★★", E32&lt;1160000, "★★★★", E32&gt;=1160000, "★★★★★")</f>
        <v>★</v>
      </c>
      <c r="G32" s="15">
        <f t="shared" ref="G32:G48" si="16">E32*100/SUM($E$32:$E$48)</f>
        <v>3.309799833</v>
      </c>
      <c r="J32" s="20" t="s">
        <v>80</v>
      </c>
      <c r="K32" s="21">
        <f>SUMIFS(numbers!F:F, numbers!M:M, J32, numbers!F:F, "&lt;160000")</f>
        <v>10200</v>
      </c>
      <c r="L32" s="21">
        <f>COUNTIFS(numbers!M:M, J32, numbers!F:F, "&lt;160000")</f>
        <v>1</v>
      </c>
      <c r="M32" s="13">
        <f t="shared" si="12"/>
        <v>10200</v>
      </c>
    </row>
    <row r="33">
      <c r="A33" s="8" t="s">
        <v>107</v>
      </c>
      <c r="B33" s="9">
        <f>SUMIFS(numbers!F:F, numbers!D:D, A33, numbers!F:F, "&lt;160000")</f>
        <v>155130</v>
      </c>
      <c r="C33" s="10">
        <f t="shared" si="13"/>
        <v>8.906533927</v>
      </c>
      <c r="D33" s="21">
        <f>COUNTIFS(numbers!D:D, A33, numbers!F:F, "&lt;160000")</f>
        <v>4</v>
      </c>
      <c r="E33" s="13">
        <f t="shared" si="14"/>
        <v>38782.5</v>
      </c>
      <c r="F33" s="10" t="str">
        <f t="shared" si="15"/>
        <v>★★</v>
      </c>
      <c r="G33" s="15">
        <f t="shared" si="16"/>
        <v>11.68098208</v>
      </c>
      <c r="J33" s="20" t="s">
        <v>55</v>
      </c>
      <c r="K33" s="21">
        <f>SUMIFS(numbers!F:F, numbers!M:M, J33, numbers!F:F, "&lt;160000")</f>
        <v>191585</v>
      </c>
      <c r="L33" s="21">
        <f>COUNTIFS(numbers!M:M, J33, numbers!F:F, "&lt;160000")</f>
        <v>12</v>
      </c>
      <c r="M33" s="13">
        <f t="shared" si="12"/>
        <v>15965.41667</v>
      </c>
    </row>
    <row r="34">
      <c r="A34" s="8" t="s">
        <v>110</v>
      </c>
      <c r="B34" s="9">
        <f>SUMIFS(numbers!F:F, numbers!D:D, A34, numbers!F:F, "&lt;160000")</f>
        <v>144330</v>
      </c>
      <c r="C34" s="10">
        <f t="shared" si="13"/>
        <v>8.286469681</v>
      </c>
      <c r="D34" s="21">
        <f>COUNTIFS(numbers!D:D, A34, numbers!F:F, "&lt;160000")</f>
        <v>4</v>
      </c>
      <c r="E34" s="13">
        <f t="shared" si="14"/>
        <v>36082.5</v>
      </c>
      <c r="F34" s="10" t="str">
        <f t="shared" si="15"/>
        <v>★★</v>
      </c>
      <c r="G34" s="15">
        <f t="shared" si="16"/>
        <v>10.86776344</v>
      </c>
      <c r="J34" s="20" t="s">
        <v>72</v>
      </c>
      <c r="K34" s="21">
        <f>SUMIFS(numbers!F:F, numbers!M:M, J34, numbers!F:F, "&lt;160000")</f>
        <v>157705</v>
      </c>
      <c r="L34" s="21">
        <f>COUNTIFS(numbers!M:M, J34, numbers!F:F, "&lt;160000")</f>
        <v>6</v>
      </c>
      <c r="M34" s="13">
        <f t="shared" si="12"/>
        <v>26284.16667</v>
      </c>
    </row>
    <row r="35">
      <c r="A35" s="8" t="s">
        <v>78</v>
      </c>
      <c r="B35" s="9">
        <f>SUMIFS(numbers!F:F, numbers!D:D, A35, numbers!F:F, "&lt;160000")</f>
        <v>45685</v>
      </c>
      <c r="C35" s="10">
        <f t="shared" si="13"/>
        <v>2.622929172</v>
      </c>
      <c r="D35" s="21">
        <f>COUNTIFS(numbers!D:D, A35, numbers!F:F, "&lt;160000")</f>
        <v>4</v>
      </c>
      <c r="E35" s="13">
        <f t="shared" si="14"/>
        <v>11421.25</v>
      </c>
      <c r="F35" s="10" t="str">
        <f t="shared" si="15"/>
        <v>★</v>
      </c>
      <c r="G35" s="15">
        <f t="shared" si="16"/>
        <v>3.439990112</v>
      </c>
      <c r="J35" s="20" t="s">
        <v>32</v>
      </c>
      <c r="K35" s="21">
        <f>SUMIFS(numbers!F:F, numbers!M:M, J35, numbers!F:F, "&lt;160000")</f>
        <v>91005</v>
      </c>
      <c r="L35" s="21">
        <f>COUNTIFS(numbers!M:M, J35, numbers!F:F, "&lt;160000")</f>
        <v>7</v>
      </c>
      <c r="M35" s="13">
        <f t="shared" si="12"/>
        <v>13000.71429</v>
      </c>
    </row>
    <row r="36">
      <c r="A36" s="8" t="s">
        <v>54</v>
      </c>
      <c r="B36" s="9">
        <f>SUMIFS(numbers!F:F, numbers!D:D, A36, numbers!F:F, "&lt;160000")</f>
        <v>87770</v>
      </c>
      <c r="C36" s="10">
        <f t="shared" si="13"/>
        <v>5.039170262</v>
      </c>
      <c r="D36" s="21">
        <f>COUNTIFS(numbers!D:D, A36, numbers!F:F, "&lt;160000")</f>
        <v>8</v>
      </c>
      <c r="E36" s="13">
        <f t="shared" si="14"/>
        <v>10971.25</v>
      </c>
      <c r="F36" s="10" t="str">
        <f t="shared" si="15"/>
        <v>★</v>
      </c>
      <c r="G36" s="15">
        <f t="shared" si="16"/>
        <v>3.304453674</v>
      </c>
      <c r="J36" s="20" t="s">
        <v>101</v>
      </c>
      <c r="K36" s="21">
        <f>SUMIFS(numbers!F:F, numbers!M:M, J36, numbers!F:F, "&lt;160000")</f>
        <v>10500</v>
      </c>
      <c r="L36" s="21">
        <f>COUNTIFS(numbers!M:M, J36, numbers!F:F, "&lt;160000")</f>
        <v>1</v>
      </c>
      <c r="M36" s="13">
        <f t="shared" si="12"/>
        <v>10500</v>
      </c>
    </row>
    <row r="37">
      <c r="A37" s="8" t="s">
        <v>51</v>
      </c>
      <c r="B37" s="9">
        <f>SUMIFS(numbers!F:F, numbers!D:D, A37, numbers!F:F, "&lt;160000")</f>
        <v>114295</v>
      </c>
      <c r="C37" s="10">
        <f t="shared" si="13"/>
        <v>6.562059532</v>
      </c>
      <c r="D37" s="21">
        <f>COUNTIFS(numbers!D:D, A37, numbers!F:F, "&lt;160000")</f>
        <v>5</v>
      </c>
      <c r="E37" s="13">
        <f t="shared" si="14"/>
        <v>22859</v>
      </c>
      <c r="F37" s="10" t="str">
        <f t="shared" si="15"/>
        <v>★</v>
      </c>
      <c r="G37" s="15">
        <f t="shared" si="16"/>
        <v>6.884949894</v>
      </c>
      <c r="J37" s="20" t="s">
        <v>64</v>
      </c>
      <c r="K37" s="21">
        <f>SUMIFS(numbers!F:F, numbers!M:M, J37, numbers!F:F, "&lt;160000")</f>
        <v>20400</v>
      </c>
      <c r="L37" s="21">
        <f>COUNTIFS(numbers!M:M, J37, numbers!F:F, "&lt;160000")</f>
        <v>2</v>
      </c>
      <c r="M37" s="13">
        <f t="shared" si="12"/>
        <v>10200</v>
      </c>
    </row>
    <row r="38">
      <c r="A38" s="8" t="s">
        <v>58</v>
      </c>
      <c r="B38" s="9">
        <f>SUMIFS(numbers!F:F, numbers!D:D, A38, numbers!F:F, "&lt;160000")</f>
        <v>144345</v>
      </c>
      <c r="C38" s="10">
        <f t="shared" si="13"/>
        <v>8.287330882</v>
      </c>
      <c r="D38" s="21">
        <f>COUNTIFS(numbers!D:D, A38, numbers!F:F, "&lt;160000")</f>
        <v>7</v>
      </c>
      <c r="E38" s="13">
        <f t="shared" si="14"/>
        <v>20620.71429</v>
      </c>
      <c r="F38" s="10" t="str">
        <f t="shared" si="15"/>
        <v>★</v>
      </c>
      <c r="G38" s="15">
        <f t="shared" si="16"/>
        <v>6.210795951</v>
      </c>
      <c r="J38" s="20" t="s">
        <v>27</v>
      </c>
      <c r="K38" s="21">
        <f>SUMIFS(numbers!F:F, numbers!M:M, J38, numbers!F:F, "&lt;160000")</f>
        <v>364575</v>
      </c>
      <c r="L38" s="21">
        <f>COUNTIFS(numbers!M:M, J38, numbers!F:F, "&lt;160000")</f>
        <v>18</v>
      </c>
      <c r="M38" s="13">
        <f t="shared" si="12"/>
        <v>20254.16667</v>
      </c>
    </row>
    <row r="39">
      <c r="A39" s="8" t="s">
        <v>121</v>
      </c>
      <c r="B39" s="9">
        <f>SUMIFS(numbers!F:F, numbers!D:D, A39, numbers!F:F, "&lt;160000")</f>
        <v>46565</v>
      </c>
      <c r="C39" s="10">
        <f t="shared" si="13"/>
        <v>2.673452925</v>
      </c>
      <c r="D39" s="21">
        <f>COUNTIFS(numbers!D:D, A39, numbers!F:F, "&lt;160000")</f>
        <v>3</v>
      </c>
      <c r="E39" s="13">
        <f t="shared" si="14"/>
        <v>15521.66667</v>
      </c>
      <c r="F39" s="10" t="str">
        <f t="shared" si="15"/>
        <v>★</v>
      </c>
      <c r="G39" s="15">
        <f t="shared" si="16"/>
        <v>4.675003162</v>
      </c>
      <c r="J39" s="20" t="s">
        <v>37</v>
      </c>
      <c r="K39" s="21">
        <f>SUMIFS(numbers!F:F, numbers!M:M, J39, numbers!F:F, "&lt;160000")</f>
        <v>507440</v>
      </c>
      <c r="L39" s="21">
        <f>COUNTIFS(numbers!M:M, J39, numbers!F:F, "&lt;160000")</f>
        <v>21</v>
      </c>
      <c r="M39" s="13">
        <f t="shared" si="12"/>
        <v>24163.80952</v>
      </c>
    </row>
    <row r="40">
      <c r="A40" s="8" t="s">
        <v>61</v>
      </c>
      <c r="B40" s="9">
        <f>SUMIFS(numbers!F:F, numbers!D:D, A40, numbers!F:F, "&lt;160000")</f>
        <v>79315</v>
      </c>
      <c r="C40" s="10">
        <f t="shared" si="13"/>
        <v>4.553740337</v>
      </c>
      <c r="D40" s="21">
        <f>COUNTIFS(numbers!D:D, A40, numbers!F:F, "&lt;160000")</f>
        <v>6</v>
      </c>
      <c r="E40" s="13">
        <f t="shared" si="14"/>
        <v>13219.16667</v>
      </c>
      <c r="F40" s="10" t="str">
        <f t="shared" si="15"/>
        <v>★</v>
      </c>
      <c r="G40" s="15">
        <f t="shared" si="16"/>
        <v>3.981508384</v>
      </c>
      <c r="J40" s="20" t="s">
        <v>66</v>
      </c>
      <c r="K40" s="21">
        <f>SUMIFS(numbers!F:F, numbers!M:M, J40, numbers!F:F, "&lt;160000")</f>
        <v>272915</v>
      </c>
      <c r="L40" s="21">
        <f>COUNTIFS(numbers!M:M, J40, numbers!F:F, "&lt;160000")</f>
        <v>12</v>
      </c>
      <c r="M40" s="13">
        <f t="shared" si="12"/>
        <v>22742.91667</v>
      </c>
    </row>
    <row r="41">
      <c r="A41" s="8" t="s">
        <v>36</v>
      </c>
      <c r="B41" s="9">
        <f>SUMIFS(numbers!F:F, numbers!D:D, A41, numbers!F:F, "&lt;160000")</f>
        <v>101205</v>
      </c>
      <c r="C41" s="10">
        <f t="shared" si="13"/>
        <v>5.810518701</v>
      </c>
      <c r="D41" s="21">
        <f>COUNTIFS(numbers!D:D, A41, numbers!F:F, "&lt;160000")</f>
        <v>5</v>
      </c>
      <c r="E41" s="13">
        <f t="shared" si="14"/>
        <v>20241</v>
      </c>
      <c r="F41" s="10" t="str">
        <f t="shared" si="15"/>
        <v>★</v>
      </c>
      <c r="G41" s="15">
        <f t="shared" si="16"/>
        <v>6.096429013</v>
      </c>
    </row>
    <row r="42">
      <c r="A42" s="8" t="s">
        <v>93</v>
      </c>
      <c r="B42" s="9">
        <f>SUMIFS(numbers!F:F, numbers!D:D, A42, numbers!F:F, "&lt;160000")</f>
        <v>188385</v>
      </c>
      <c r="C42" s="10">
        <f t="shared" si="13"/>
        <v>10.81581508</v>
      </c>
      <c r="D42" s="21">
        <f>COUNTIFS(numbers!D:D, A42, numbers!F:F, "&lt;160000")</f>
        <v>7</v>
      </c>
      <c r="E42" s="13">
        <f t="shared" si="14"/>
        <v>26912.14286</v>
      </c>
      <c r="F42" s="10" t="str">
        <f t="shared" si="15"/>
        <v>★★</v>
      </c>
      <c r="G42" s="15">
        <f t="shared" si="16"/>
        <v>8.105724446</v>
      </c>
      <c r="J42" s="17"/>
    </row>
    <row r="43">
      <c r="A43" s="8" t="s">
        <v>91</v>
      </c>
      <c r="B43" s="9">
        <f>SUMIFS(numbers!F:F, numbers!D:D, A43, numbers!F:F, "&lt;160000")</f>
        <v>73045</v>
      </c>
      <c r="C43" s="10">
        <f t="shared" si="13"/>
        <v>4.193758594</v>
      </c>
      <c r="D43" s="21">
        <f>COUNTIFS(numbers!D:D, A43, numbers!F:F, "&lt;160000")</f>
        <v>4</v>
      </c>
      <c r="E43" s="13">
        <f t="shared" si="14"/>
        <v>18261.25</v>
      </c>
      <c r="F43" s="10" t="str">
        <f t="shared" si="15"/>
        <v>★</v>
      </c>
      <c r="G43" s="15">
        <f t="shared" si="16"/>
        <v>5.500143981</v>
      </c>
    </row>
    <row r="44">
      <c r="A44" s="8" t="s">
        <v>48</v>
      </c>
      <c r="B44" s="9">
        <f>SUMIFS(numbers!F:F, numbers!D:D, A44, numbers!F:F, "&lt;160000")</f>
        <v>53810</v>
      </c>
      <c r="C44" s="10">
        <f t="shared" si="13"/>
        <v>3.08941269</v>
      </c>
      <c r="D44" s="21">
        <f>COUNTIFS(numbers!D:D, A44, numbers!F:F, "&lt;160000")</f>
        <v>5</v>
      </c>
      <c r="E44" s="13">
        <f t="shared" si="14"/>
        <v>10762</v>
      </c>
      <c r="F44" s="10" t="str">
        <f t="shared" si="15"/>
        <v>★</v>
      </c>
      <c r="G44" s="15">
        <f t="shared" si="16"/>
        <v>3.24142923</v>
      </c>
    </row>
    <row r="45">
      <c r="A45" s="8" t="s">
        <v>31</v>
      </c>
      <c r="B45" s="9">
        <f>SUMIFS(numbers!F:F, numbers!D:D, A45, numbers!F:F, "&lt;160000")</f>
        <v>78015</v>
      </c>
      <c r="C45" s="10">
        <f t="shared" si="13"/>
        <v>4.479102974</v>
      </c>
      <c r="D45" s="21">
        <f>COUNTIFS(numbers!D:D, A45, numbers!F:F, "&lt;160000")</f>
        <v>6</v>
      </c>
      <c r="E45" s="13">
        <f t="shared" si="14"/>
        <v>13002.5</v>
      </c>
      <c r="F45" s="10" t="str">
        <f t="shared" si="15"/>
        <v>★</v>
      </c>
      <c r="G45" s="15">
        <f t="shared" si="16"/>
        <v>3.916250098</v>
      </c>
    </row>
    <row r="46">
      <c r="A46" s="8" t="s">
        <v>42</v>
      </c>
      <c r="B46" s="9">
        <f>SUMIFS(numbers!F:F, numbers!D:D, A46, numbers!F:F, "&lt;160000")</f>
        <v>157090</v>
      </c>
      <c r="C46" s="10">
        <f t="shared" si="13"/>
        <v>9.019064105</v>
      </c>
      <c r="D46" s="21">
        <f>COUNTIFS(numbers!D:D, A46, numbers!F:F, "&lt;160000")</f>
        <v>7</v>
      </c>
      <c r="E46" s="13">
        <f t="shared" si="14"/>
        <v>22441.42857</v>
      </c>
      <c r="F46" s="10" t="str">
        <f t="shared" si="15"/>
        <v>★</v>
      </c>
      <c r="G46" s="15">
        <f t="shared" si="16"/>
        <v>6.759180684</v>
      </c>
    </row>
    <row r="47">
      <c r="A47" s="8" t="s">
        <v>45</v>
      </c>
      <c r="B47" s="9">
        <f>SUMIFS(numbers!F:F, numbers!D:D, A47, numbers!F:F, "&lt;160000")</f>
        <v>174355</v>
      </c>
      <c r="C47" s="10">
        <f t="shared" si="13"/>
        <v>10.0103057</v>
      </c>
      <c r="D47" s="21">
        <f>COUNTIFS(numbers!D:D, A47, numbers!F:F, "&lt;160000")</f>
        <v>6</v>
      </c>
      <c r="E47" s="13">
        <f t="shared" si="14"/>
        <v>29059.16667</v>
      </c>
      <c r="F47" s="10" t="str">
        <f t="shared" si="15"/>
        <v>★★</v>
      </c>
      <c r="G47" s="15">
        <f t="shared" si="16"/>
        <v>8.752391026</v>
      </c>
    </row>
    <row r="48">
      <c r="A48" s="8" t="s">
        <v>39</v>
      </c>
      <c r="B48" s="9">
        <f>SUMIFS(numbers!F:F, numbers!D:D, A48, numbers!F:F, "&lt;160000")</f>
        <v>43470</v>
      </c>
      <c r="C48" s="10">
        <f t="shared" si="13"/>
        <v>2.495758588</v>
      </c>
      <c r="D48" s="21">
        <f>COUNTIFS(numbers!D:D, A48, numbers!F:F, "&lt;160000")</f>
        <v>4</v>
      </c>
      <c r="E48" s="13">
        <f t="shared" si="14"/>
        <v>10867.5</v>
      </c>
      <c r="F48" s="10" t="str">
        <f t="shared" si="15"/>
        <v>★</v>
      </c>
      <c r="G48" s="15">
        <f t="shared" si="16"/>
        <v>3.273204995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7" max="7" width="15.13"/>
    <col customWidth="1" min="8" max="8" width="23.25"/>
  </cols>
  <sheetData>
    <row r="2">
      <c r="A2" s="18" t="s">
        <v>229</v>
      </c>
      <c r="H2" s="18" t="s">
        <v>230</v>
      </c>
    </row>
    <row r="22">
      <c r="A22" s="18" t="s">
        <v>231</v>
      </c>
      <c r="H22" s="18" t="s">
        <v>232</v>
      </c>
    </row>
    <row r="42">
      <c r="A42" s="18" t="s">
        <v>233</v>
      </c>
      <c r="H42" s="18" t="s">
        <v>234</v>
      </c>
    </row>
    <row r="64">
      <c r="A64" s="18" t="s">
        <v>235</v>
      </c>
      <c r="H64" s="18" t="s">
        <v>236</v>
      </c>
    </row>
    <row r="84">
      <c r="A84" s="18" t="s">
        <v>237</v>
      </c>
      <c r="H84" s="18" t="s">
        <v>238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3" max="3" width="9.63"/>
    <col customWidth="1" min="5" max="5" width="13.63"/>
    <col customWidth="1" min="6" max="6" width="10.5"/>
    <col customWidth="1" min="7" max="7" width="8.88"/>
    <col customWidth="1" min="8" max="8" width="11.13"/>
    <col customWidth="1" min="9" max="9" width="10.88"/>
    <col customWidth="1" min="10" max="10" width="22.0"/>
    <col customWidth="1" min="11" max="11" width="15.25"/>
    <col customWidth="1" min="12" max="12" width="12.75"/>
    <col customWidth="1" min="13" max="13" width="16.88"/>
    <col customWidth="1" min="14" max="14" width="16.38"/>
  </cols>
  <sheetData>
    <row r="1">
      <c r="A1" s="1"/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7"/>
    </row>
    <row r="2">
      <c r="A2" s="1" t="s">
        <v>0</v>
      </c>
      <c r="B2" s="9"/>
      <c r="C2" s="9"/>
      <c r="D2" s="9"/>
      <c r="E2" s="9"/>
      <c r="F2" s="9"/>
      <c r="G2" s="9"/>
    </row>
    <row r="3">
      <c r="A3" s="8" t="s">
        <v>24</v>
      </c>
      <c r="B3" s="9">
        <f>SUMIFS(numbers!F:F, numbers!A:A, A3, numbers!F:F, "&lt;60000")</f>
        <v>136190</v>
      </c>
      <c r="C3" s="16">
        <f t="shared" ref="C3:C13" si="1">B3*100/SUM($B$3:$B$13)</f>
        <v>13.87817492</v>
      </c>
      <c r="D3" s="8">
        <f>COUNTIFS(numbers!A:A, A3, numbers!F:F, "&lt;60000")</f>
        <v>10</v>
      </c>
      <c r="E3" s="10">
        <f t="shared" ref="E3:E13" si="2">B3/D3</f>
        <v>13619</v>
      </c>
      <c r="F3" s="10" t="str">
        <f t="shared" ref="F3:F13" si="3">IFS(E3&lt;10000, "", E3&lt;25000, "★", E3&lt;60000, "★★", E3&lt;160000, "★★★", E3&lt;1160000, "★★★★", E3&gt;=1160000, "★★★★★")</f>
        <v>★</v>
      </c>
      <c r="G3" s="16">
        <f t="shared" ref="G3:G13" si="4">E3*100/SUM($E$3:$E$13)</f>
        <v>10.01218827</v>
      </c>
      <c r="H3" s="25"/>
      <c r="I3" s="17"/>
      <c r="J3" s="17" t="s">
        <v>187</v>
      </c>
      <c r="K3" s="17" t="s">
        <v>188</v>
      </c>
      <c r="L3" s="17" t="s">
        <v>189</v>
      </c>
      <c r="M3" s="17" t="s">
        <v>190</v>
      </c>
    </row>
    <row r="4">
      <c r="A4" s="8" t="s">
        <v>62</v>
      </c>
      <c r="B4" s="9">
        <f>SUMIFS(numbers!F:F, numbers!A:A, A4, numbers!F:F, "&lt;60000")</f>
        <v>56080</v>
      </c>
      <c r="C4" s="16">
        <f t="shared" si="1"/>
        <v>5.714722442</v>
      </c>
      <c r="D4" s="8">
        <f>COUNTIFS(numbers!A:A, A4, numbers!F:F, "&lt;60000")</f>
        <v>5</v>
      </c>
      <c r="E4" s="10">
        <f t="shared" si="2"/>
        <v>11216</v>
      </c>
      <c r="F4" s="10" t="str">
        <f t="shared" si="3"/>
        <v>★</v>
      </c>
      <c r="G4" s="16">
        <f t="shared" si="4"/>
        <v>8.24559099</v>
      </c>
      <c r="H4" s="25"/>
      <c r="I4" s="18"/>
      <c r="J4" s="17" t="s">
        <v>191</v>
      </c>
      <c r="K4" s="18">
        <f>SUMIFS(numbers!F:F, numbers!K:K, "&lt;21", numbers!F:F, "&lt;60000")</f>
        <v>127010</v>
      </c>
      <c r="L4" s="18">
        <f>COUNTIFS(numbers!K:K, "&lt;20", numbers!F:F, "&lt;60000")</f>
        <v>6</v>
      </c>
      <c r="M4" s="13">
        <f t="shared" ref="M4:M12" si="5">K4/L4</f>
        <v>21168.33333</v>
      </c>
    </row>
    <row r="5">
      <c r="A5" s="8" t="s">
        <v>73</v>
      </c>
      <c r="B5" s="9">
        <f>SUMIFS(numbers!F:F, numbers!A:A, A5, numbers!F:F, "&lt;60000")</f>
        <v>56505</v>
      </c>
      <c r="C5" s="16">
        <f t="shared" si="1"/>
        <v>5.758031233</v>
      </c>
      <c r="D5" s="8">
        <f>COUNTIFS(numbers!A:A, A5, numbers!F:F, "&lt;60000")</f>
        <v>4</v>
      </c>
      <c r="E5" s="10">
        <f t="shared" si="2"/>
        <v>14126.25</v>
      </c>
      <c r="F5" s="10" t="str">
        <f t="shared" si="3"/>
        <v>★</v>
      </c>
      <c r="G5" s="16">
        <f t="shared" si="4"/>
        <v>10.38509983</v>
      </c>
      <c r="H5" s="25"/>
      <c r="J5" s="17" t="s">
        <v>192</v>
      </c>
      <c r="K5" s="18">
        <f>SUMIFS(numbers!F:F, numbers!K:K, "&gt;20", numbers!K:K, "&lt;31", numbers!F:F, "&lt;60000")</f>
        <v>73865</v>
      </c>
      <c r="L5" s="18">
        <f>COUNTIFS(numbers!K:K, "&gt;20", numbers!K:K, "&lt;31", numbers!F:F, "&lt;60000")</f>
        <v>6</v>
      </c>
      <c r="M5" s="13">
        <f t="shared" si="5"/>
        <v>12310.83333</v>
      </c>
    </row>
    <row r="6">
      <c r="A6" s="8" t="s">
        <v>81</v>
      </c>
      <c r="B6" s="9">
        <f>SUMIFS(numbers!F:F, numbers!A:A, A6, numbers!F:F, "&lt;60000")</f>
        <v>126435</v>
      </c>
      <c r="C6" s="16">
        <f t="shared" si="1"/>
        <v>12.88411077</v>
      </c>
      <c r="D6" s="8">
        <f>COUNTIFS(numbers!A:A, A6, numbers!F:F, "&lt;60000")</f>
        <v>11</v>
      </c>
      <c r="E6" s="10">
        <f t="shared" si="2"/>
        <v>11494.09091</v>
      </c>
      <c r="F6" s="10" t="str">
        <f t="shared" si="3"/>
        <v>★</v>
      </c>
      <c r="G6" s="16">
        <f t="shared" si="4"/>
        <v>8.450033206</v>
      </c>
      <c r="H6" s="25"/>
      <c r="J6" s="17" t="s">
        <v>193</v>
      </c>
      <c r="K6" s="18">
        <f>SUMIFS(numbers!F:F, numbers!K:K, "&gt;30", numbers!K:K, "&lt;41", numbers!F:F, "&lt;60000")</f>
        <v>38300</v>
      </c>
      <c r="L6" s="18">
        <f>COUNTIFS(numbers!K:K, "&gt;30", numbers!K:K, "&lt;41", numbers!F:F, "&lt;60000")</f>
        <v>3</v>
      </c>
      <c r="M6" s="13">
        <f t="shared" si="5"/>
        <v>12766.66667</v>
      </c>
    </row>
    <row r="7">
      <c r="A7" s="8" t="s">
        <v>99</v>
      </c>
      <c r="B7" s="9">
        <f>SUMIFS(numbers!F:F, numbers!A:A, A7, numbers!F:F, "&lt;60000")</f>
        <v>88370</v>
      </c>
      <c r="C7" s="16">
        <f t="shared" si="1"/>
        <v>9.005171579</v>
      </c>
      <c r="D7" s="8">
        <f>COUNTIFS(numbers!A:A, A7, numbers!F:F, "&lt;60000")</f>
        <v>7</v>
      </c>
      <c r="E7" s="10">
        <f t="shared" si="2"/>
        <v>12624.28571</v>
      </c>
      <c r="F7" s="10" t="str">
        <f t="shared" si="3"/>
        <v>★</v>
      </c>
      <c r="G7" s="16">
        <f t="shared" si="4"/>
        <v>9.28091089</v>
      </c>
      <c r="H7" s="25"/>
      <c r="J7" s="17" t="s">
        <v>194</v>
      </c>
      <c r="K7" s="18">
        <f>SUMIFS(numbers!F:F, numbers!K:K, "&gt;40", numbers!K:K, "&lt;51", numbers!F:F, "&lt;60000")</f>
        <v>90515</v>
      </c>
      <c r="L7" s="18">
        <f>COUNTIFS(numbers!K:K, "&gt;40", numbers!K:K, "&lt;51", numbers!F:F, "&lt;60000")</f>
        <v>8</v>
      </c>
      <c r="M7" s="13">
        <f t="shared" si="5"/>
        <v>11314.375</v>
      </c>
    </row>
    <row r="8">
      <c r="A8" s="8" t="s">
        <v>111</v>
      </c>
      <c r="B8" s="9">
        <f>SUMIFS(numbers!F:F, numbers!A:A, A8, numbers!F:F, "&lt;60000")</f>
        <v>118480</v>
      </c>
      <c r="C8" s="16">
        <f t="shared" si="1"/>
        <v>12.07347209</v>
      </c>
      <c r="D8" s="8">
        <f>COUNTIFS(numbers!A:A, A8, numbers!F:F, "&lt;60000")</f>
        <v>8</v>
      </c>
      <c r="E8" s="10">
        <f t="shared" si="2"/>
        <v>14810</v>
      </c>
      <c r="F8" s="10" t="str">
        <f t="shared" si="3"/>
        <v>★</v>
      </c>
      <c r="G8" s="16">
        <f t="shared" si="4"/>
        <v>10.8877677</v>
      </c>
      <c r="H8" s="25"/>
      <c r="J8" s="17" t="s">
        <v>195</v>
      </c>
      <c r="K8" s="18">
        <f>SUMIFS(numbers!F:F, numbers!K:K, "&gt;50", numbers!K:K, "&lt;61", numbers!F:F, "&lt;60000")</f>
        <v>158380</v>
      </c>
      <c r="L8" s="18">
        <f>COUNTIFS(numbers!K:K, "&gt;50", numbers!K:K, "&lt;61", numbers!F:F, "&lt;60000")</f>
        <v>11</v>
      </c>
      <c r="M8" s="13">
        <f t="shared" si="5"/>
        <v>14398.18182</v>
      </c>
    </row>
    <row r="9">
      <c r="A9" s="8" t="s">
        <v>123</v>
      </c>
      <c r="B9" s="9">
        <f>SUMIFS(numbers!F:F, numbers!A:A, A9, numbers!F:F, "&lt;60000")</f>
        <v>197250</v>
      </c>
      <c r="C9" s="16">
        <f t="shared" si="1"/>
        <v>20.10037449</v>
      </c>
      <c r="D9" s="8">
        <f>COUNTIFS(numbers!A:A, A9, numbers!F:F, "&lt;60000")</f>
        <v>16</v>
      </c>
      <c r="E9" s="10">
        <f t="shared" si="2"/>
        <v>12328.125</v>
      </c>
      <c r="F9" s="10" t="str">
        <f t="shared" si="3"/>
        <v>★</v>
      </c>
      <c r="G9" s="16">
        <f t="shared" si="4"/>
        <v>9.063184417</v>
      </c>
      <c r="H9" s="25"/>
      <c r="J9" s="17" t="s">
        <v>196</v>
      </c>
      <c r="K9" s="18">
        <f>SUMIFS(numbers!F:F, numbers!K:K, "&gt;60", numbers!K:K, "&lt;71", numbers!F:F, "&lt;60000")</f>
        <v>176295</v>
      </c>
      <c r="L9" s="18">
        <f>COUNTIFS(numbers!K:K, "&gt;60", numbers!K:K, "&lt;71", numbers!F:F, "&lt;60000")</f>
        <v>16</v>
      </c>
      <c r="M9" s="13">
        <f t="shared" si="5"/>
        <v>11018.4375</v>
      </c>
    </row>
    <row r="10">
      <c r="A10" s="8" t="s">
        <v>152</v>
      </c>
      <c r="B10" s="9">
        <f>SUMIFS(numbers!F:F, numbers!A:A, A10, numbers!F:F, "&lt;60000")</f>
        <v>65360</v>
      </c>
      <c r="C10" s="16">
        <f t="shared" si="1"/>
        <v>6.660382646</v>
      </c>
      <c r="D10" s="8">
        <f>COUNTIFS(numbers!A:A, A10, numbers!F:F, "&lt;60000")</f>
        <v>6</v>
      </c>
      <c r="E10" s="10">
        <f t="shared" si="2"/>
        <v>10893.33333</v>
      </c>
      <c r="F10" s="10" t="str">
        <f t="shared" si="3"/>
        <v>★</v>
      </c>
      <c r="G10" s="16">
        <f t="shared" si="4"/>
        <v>8.008378315</v>
      </c>
      <c r="H10" s="25"/>
      <c r="J10" s="17" t="s">
        <v>197</v>
      </c>
      <c r="K10" s="18">
        <f>SUMIFS(numbers!F:F, numbers!K:K, "&gt;70", numbers!K:K, "&lt;81", numbers!F:F, "&lt;60000")</f>
        <v>155325</v>
      </c>
      <c r="L10" s="18">
        <f>COUNTIFS(numbers!K:K, "&gt;70", numbers!K:K, "&lt;81", numbers!F:F, "&lt;60000")</f>
        <v>13</v>
      </c>
      <c r="M10" s="13">
        <f t="shared" si="5"/>
        <v>11948.07692</v>
      </c>
    </row>
    <row r="11">
      <c r="A11" s="8" t="s">
        <v>163</v>
      </c>
      <c r="B11" s="9">
        <f>SUMIFS(numbers!F:F, numbers!A:A, A11, numbers!F:F, "&lt;60000")</f>
        <v>10400</v>
      </c>
      <c r="C11" s="16">
        <f t="shared" si="1"/>
        <v>1.059791608</v>
      </c>
      <c r="D11" s="8">
        <f>COUNTIFS(numbers!A:A, A11, numbers!F:F, "&lt;60000")</f>
        <v>1</v>
      </c>
      <c r="E11" s="10">
        <f t="shared" si="2"/>
        <v>10400</v>
      </c>
      <c r="F11" s="10" t="str">
        <f t="shared" si="3"/>
        <v>★</v>
      </c>
      <c r="G11" s="16">
        <f t="shared" si="4"/>
        <v>7.645697779</v>
      </c>
      <c r="H11" s="25"/>
      <c r="J11" s="17" t="s">
        <v>198</v>
      </c>
      <c r="K11" s="18">
        <f>SUMIFS(numbers!F:F, numbers!K:K, "&gt;80", numbers!K:K, "&lt;91", numbers!F:F, "&lt;60000")</f>
        <v>98635</v>
      </c>
      <c r="L11" s="18">
        <f>COUNTIFS(numbers!K:K, "&gt;80", numbers!K:K, "&lt;91", numbers!F:F, "&lt;60000")</f>
        <v>9</v>
      </c>
      <c r="M11" s="13">
        <f t="shared" si="5"/>
        <v>10959.44444</v>
      </c>
    </row>
    <row r="12">
      <c r="A12" s="8" t="s">
        <v>167</v>
      </c>
      <c r="B12" s="9">
        <f>SUMIFS(numbers!F:F, numbers!A:A, A12, numbers!F:F, "&lt;60000")</f>
        <v>84345</v>
      </c>
      <c r="C12" s="16">
        <f t="shared" si="1"/>
        <v>8.595011846</v>
      </c>
      <c r="D12" s="8">
        <f>COUNTIFS(numbers!A:A, A12, numbers!F:F, "&lt;60000")</f>
        <v>8</v>
      </c>
      <c r="E12" s="10">
        <f t="shared" si="2"/>
        <v>10543.125</v>
      </c>
      <c r="F12" s="10" t="str">
        <f t="shared" si="3"/>
        <v>★</v>
      </c>
      <c r="G12" s="16">
        <f t="shared" si="4"/>
        <v>7.750918019</v>
      </c>
      <c r="H12" s="25"/>
      <c r="J12" s="17" t="s">
        <v>199</v>
      </c>
      <c r="K12" s="18">
        <f>SUMIFS(numbers!F:F, numbers!K:K, "&gt;90", numbers!F:F, "&lt;60000")</f>
        <v>63000</v>
      </c>
      <c r="L12" s="18">
        <f>COUNTIFS(numbers!K:K, "&gt;90", numbers!F:F, "&lt;60000")</f>
        <v>5</v>
      </c>
      <c r="M12" s="13">
        <f t="shared" si="5"/>
        <v>12600</v>
      </c>
    </row>
    <row r="13">
      <c r="A13" s="8" t="s">
        <v>177</v>
      </c>
      <c r="B13" s="9">
        <f>SUMIFS(numbers!F:F, numbers!A:A, A13, numbers!F:F, "&lt;60000")</f>
        <v>41910</v>
      </c>
      <c r="C13" s="16">
        <f t="shared" si="1"/>
        <v>4.270756375</v>
      </c>
      <c r="D13" s="8">
        <f>COUNTIFS(numbers!A:A, A13, numbers!F:F, "&lt;60000")</f>
        <v>3</v>
      </c>
      <c r="E13" s="10">
        <f t="shared" si="2"/>
        <v>13970</v>
      </c>
      <c r="F13" s="10" t="str">
        <f t="shared" si="3"/>
        <v>★</v>
      </c>
      <c r="G13" s="16">
        <f t="shared" si="4"/>
        <v>10.27023057</v>
      </c>
      <c r="H13" s="25"/>
    </row>
    <row r="14">
      <c r="A14" s="19"/>
    </row>
    <row r="15">
      <c r="A15" s="19" t="s">
        <v>2</v>
      </c>
      <c r="J15" s="1" t="s">
        <v>200</v>
      </c>
      <c r="K15" s="1" t="s">
        <v>201</v>
      </c>
      <c r="L15" s="1" t="s">
        <v>202</v>
      </c>
      <c r="M15" s="1" t="s">
        <v>190</v>
      </c>
    </row>
    <row r="16">
      <c r="A16" s="20" t="s">
        <v>57</v>
      </c>
      <c r="B16" s="9">
        <f>SUMIFS(numbers!F:F, numbers!C:C, A16, numbers!F:F, "&lt;60000")</f>
        <v>51760</v>
      </c>
      <c r="C16" s="13">
        <f t="shared" ref="C16:C29" si="6">B16*100/SUM($B$16:$B$29)</f>
        <v>5.274501312</v>
      </c>
      <c r="D16" s="21">
        <f>COUNTIFS(numbers!C:C, A16, numbers!F:F, "&lt;60000")</f>
        <v>5</v>
      </c>
      <c r="E16" s="13">
        <f t="shared" ref="E16:E29" si="7">B16/D16</f>
        <v>10352</v>
      </c>
      <c r="F16" s="10" t="str">
        <f t="shared" ref="F16:F29" si="8">IFS(E16&lt;10000, "", E16&lt;25000, "★", E16&lt;60000, "★★", E16&lt;160000, "★★★", E16&lt;1160000, "★★★★", E16&gt;=1160000, "★★★★★")</f>
        <v>★</v>
      </c>
      <c r="G16" s="15">
        <f t="shared" ref="G16:G29" si="9">E16*100/SUM($E$16:$E$29)</f>
        <v>6.022425078</v>
      </c>
      <c r="J16" s="8" t="s">
        <v>33</v>
      </c>
      <c r="K16" s="9">
        <f>SUMIFS(numbers!F:F, numbers!N:N, J16, numbers!F:F, "&lt;60000")</f>
        <v>254925</v>
      </c>
      <c r="L16" s="9">
        <f>COUNTIFS(numbers!N:N, J16, numbers!F:F, "&lt;60000")</f>
        <v>18</v>
      </c>
      <c r="M16" s="10">
        <f t="shared" ref="M16:M18" si="10">K16/L16</f>
        <v>14162.5</v>
      </c>
    </row>
    <row r="17">
      <c r="A17" s="20" t="s">
        <v>25</v>
      </c>
      <c r="B17" s="9">
        <f>SUMIFS(numbers!F:F, numbers!C:C, A17, numbers!F:F, "&lt;60000")</f>
        <v>73480</v>
      </c>
      <c r="C17" s="13">
        <f t="shared" si="6"/>
        <v>7.487835325</v>
      </c>
      <c r="D17" s="21">
        <f>COUNTIFS(numbers!C:C, A17, numbers!F:F, "&lt;60000")</f>
        <v>6</v>
      </c>
      <c r="E17" s="13">
        <f t="shared" si="7"/>
        <v>12246.66667</v>
      </c>
      <c r="F17" s="10" t="str">
        <f t="shared" si="8"/>
        <v>★</v>
      </c>
      <c r="G17" s="15">
        <f t="shared" si="9"/>
        <v>7.124674697</v>
      </c>
      <c r="J17" s="8" t="s">
        <v>28</v>
      </c>
      <c r="K17" s="9">
        <f>SUMIFS(numbers!F:F, numbers!N:N, J17, numbers!F:F, "&lt;60000")</f>
        <v>641765</v>
      </c>
      <c r="L17" s="9">
        <f>COUNTIFS(numbers!N:N, J17, numbers!F:F, "&lt;60000")</f>
        <v>54</v>
      </c>
      <c r="M17" s="10">
        <f t="shared" si="10"/>
        <v>11884.53704</v>
      </c>
    </row>
    <row r="18">
      <c r="A18" s="20" t="s">
        <v>116</v>
      </c>
      <c r="B18" s="9">
        <f>SUMIFS(numbers!F:F, numbers!C:C, A18, numbers!F:F, "&lt;60000")</f>
        <v>38100</v>
      </c>
      <c r="C18" s="13">
        <f t="shared" si="6"/>
        <v>3.882505796</v>
      </c>
      <c r="D18" s="21">
        <f>COUNTIFS(numbers!C:C, A18, numbers!F:F, "&lt;60000")</f>
        <v>3</v>
      </c>
      <c r="E18" s="13">
        <f t="shared" si="7"/>
        <v>12700</v>
      </c>
      <c r="F18" s="10" t="str">
        <f t="shared" si="8"/>
        <v>★</v>
      </c>
      <c r="G18" s="15">
        <f t="shared" si="9"/>
        <v>7.388407892</v>
      </c>
      <c r="J18" s="8" t="s">
        <v>69</v>
      </c>
      <c r="K18" s="9">
        <f>SUMIFS(numbers!F:F, numbers!N:N, J18, numbers!F:F, "&lt;60000")</f>
        <v>84635</v>
      </c>
      <c r="L18" s="9">
        <f>COUNTIFS(numbers!N:N, J18, numbers!F:F, "&lt;60000")</f>
        <v>7</v>
      </c>
      <c r="M18" s="10">
        <f t="shared" si="10"/>
        <v>12090.71429</v>
      </c>
    </row>
    <row r="19">
      <c r="A19" s="20" t="s">
        <v>35</v>
      </c>
      <c r="B19" s="9">
        <f>SUMIFS(numbers!F:F, numbers!C:C, A19, numbers!F:F, "&lt;60000")</f>
        <v>78330</v>
      </c>
      <c r="C19" s="13">
        <f t="shared" si="6"/>
        <v>7.982065065</v>
      </c>
      <c r="D19" s="21">
        <f>COUNTIFS(numbers!C:C, A19, numbers!F:F, "&lt;60000")</f>
        <v>7</v>
      </c>
      <c r="E19" s="13">
        <f t="shared" si="7"/>
        <v>11190</v>
      </c>
      <c r="F19" s="10" t="str">
        <f t="shared" si="8"/>
        <v>★</v>
      </c>
      <c r="G19" s="15">
        <f t="shared" si="9"/>
        <v>6.509943646</v>
      </c>
      <c r="K19" s="23"/>
      <c r="L19" s="23"/>
    </row>
    <row r="20">
      <c r="A20" s="20" t="s">
        <v>41</v>
      </c>
      <c r="B20" s="9">
        <f>SUMIFS(numbers!F:F, numbers!C:C, A20, numbers!F:F, "&lt;60000")</f>
        <v>80050</v>
      </c>
      <c r="C20" s="13">
        <f t="shared" si="6"/>
        <v>8.157338293</v>
      </c>
      <c r="D20" s="21">
        <f>COUNTIFS(numbers!C:C, A20, numbers!F:F, "&lt;60000")</f>
        <v>5</v>
      </c>
      <c r="E20" s="13">
        <f t="shared" si="7"/>
        <v>16010</v>
      </c>
      <c r="F20" s="10" t="str">
        <f t="shared" si="8"/>
        <v>★</v>
      </c>
      <c r="G20" s="15">
        <f t="shared" si="9"/>
        <v>9.314048059</v>
      </c>
      <c r="K20" s="23"/>
      <c r="L20" s="23"/>
    </row>
    <row r="21">
      <c r="A21" s="20" t="s">
        <v>47</v>
      </c>
      <c r="B21" s="9">
        <f>SUMIFS(numbers!F:F, numbers!C:C, A21, numbers!F:F, "&lt;60000")</f>
        <v>137195</v>
      </c>
      <c r="C21" s="13">
        <f t="shared" si="6"/>
        <v>13.98058747</v>
      </c>
      <c r="D21" s="21">
        <f>COUNTIFS(numbers!C:C, A21, numbers!F:F, "&lt;60000")</f>
        <v>9</v>
      </c>
      <c r="E21" s="13">
        <f t="shared" si="7"/>
        <v>15243.88889</v>
      </c>
      <c r="F21" s="10" t="str">
        <f t="shared" si="8"/>
        <v>★</v>
      </c>
      <c r="G21" s="15">
        <f t="shared" si="9"/>
        <v>8.868351887</v>
      </c>
      <c r="J21" s="17" t="s">
        <v>203</v>
      </c>
      <c r="K21" s="24" t="s">
        <v>204</v>
      </c>
      <c r="L21" s="24" t="s">
        <v>205</v>
      </c>
      <c r="M21" s="17" t="s">
        <v>190</v>
      </c>
      <c r="N21" s="17"/>
    </row>
    <row r="22">
      <c r="A22" s="20" t="s">
        <v>85</v>
      </c>
      <c r="B22" s="9">
        <f>SUMIFS(numbers!F:F, numbers!C:C, A22, numbers!F:F, "&lt;60000")</f>
        <v>67595</v>
      </c>
      <c r="C22" s="13">
        <f t="shared" si="6"/>
        <v>6.888135939</v>
      </c>
      <c r="D22" s="21">
        <f>COUNTIFS(numbers!C:C, A22, numbers!F:F, "&lt;60000")</f>
        <v>6</v>
      </c>
      <c r="E22" s="13">
        <f t="shared" si="7"/>
        <v>11265.83333</v>
      </c>
      <c r="F22" s="10" t="str">
        <f t="shared" si="8"/>
        <v>★</v>
      </c>
      <c r="G22" s="15">
        <f t="shared" si="9"/>
        <v>6.55406078</v>
      </c>
      <c r="J22" s="18" t="s">
        <v>83</v>
      </c>
      <c r="K22" s="21">
        <f>SUMIFS(numbers!F:F, numbers!M:M, "*"&amp;J22&amp;"*", numbers!F:F, "&lt;60000")</f>
        <v>249560</v>
      </c>
      <c r="L22" s="21">
        <f>COUNTIFS(numbers!M:M, "*"&amp;J22&amp;"*", numbers!F:F, "&lt;60000")</f>
        <v>22</v>
      </c>
      <c r="M22" s="13">
        <f t="shared" ref="M22:M25" si="11">K22/L22</f>
        <v>11343.63636</v>
      </c>
    </row>
    <row r="23">
      <c r="A23" s="20" t="s">
        <v>97</v>
      </c>
      <c r="B23" s="9">
        <f>SUMIFS(numbers!F:F, numbers!C:C, A23, numbers!F:F, "&lt;60000")</f>
        <v>90480</v>
      </c>
      <c r="C23" s="13">
        <f t="shared" si="6"/>
        <v>9.220186992</v>
      </c>
      <c r="D23" s="21">
        <f>COUNTIFS(numbers!C:C, A23, numbers!F:F, "&lt;60000")</f>
        <v>7</v>
      </c>
      <c r="E23" s="13">
        <f t="shared" si="7"/>
        <v>12925.71429</v>
      </c>
      <c r="F23" s="10" t="str">
        <f t="shared" si="8"/>
        <v>★</v>
      </c>
      <c r="G23" s="15">
        <f t="shared" si="9"/>
        <v>7.519720428</v>
      </c>
      <c r="J23" s="18" t="s">
        <v>72</v>
      </c>
      <c r="K23" s="21">
        <f>SUMIFS(numbers!F:F, numbers!M:M, "*"&amp;J23&amp;"*", numbers!F:F, "&lt;60000")</f>
        <v>218560</v>
      </c>
      <c r="L23" s="21">
        <f>COUNTIFS(numbers!M:M, "*"&amp;J23&amp;"*", numbers!F:F, "&lt;60000")</f>
        <v>16</v>
      </c>
      <c r="M23" s="13">
        <f t="shared" si="11"/>
        <v>13660</v>
      </c>
    </row>
    <row r="24">
      <c r="A24" s="20" t="s">
        <v>30</v>
      </c>
      <c r="B24" s="9">
        <f>SUMIFS(numbers!F:F, numbers!C:C, A24, numbers!F:F, "&lt;60000")</f>
        <v>97390</v>
      </c>
      <c r="C24" s="13">
        <f t="shared" si="6"/>
        <v>9.924336993</v>
      </c>
      <c r="D24" s="21">
        <f>COUNTIFS(numbers!C:C, A24, numbers!F:F, "&lt;60000")</f>
        <v>7</v>
      </c>
      <c r="E24" s="13">
        <f t="shared" si="7"/>
        <v>13912.85714</v>
      </c>
      <c r="F24" s="10" t="str">
        <f t="shared" si="8"/>
        <v>★</v>
      </c>
      <c r="G24" s="15">
        <f t="shared" si="9"/>
        <v>8.094005001</v>
      </c>
      <c r="J24" s="18" t="s">
        <v>27</v>
      </c>
      <c r="K24" s="21">
        <f>SUMIFS(numbers!F:F, numbers!M:M, "*"&amp;J24&amp;"*", numbers!F:F, "&lt;60000")</f>
        <v>509125</v>
      </c>
      <c r="L24" s="21">
        <f>COUNTIFS(numbers!M:M, "*"&amp;J24&amp;"*", numbers!F:F, "&lt;60000")</f>
        <v>43</v>
      </c>
      <c r="M24" s="13">
        <f t="shared" si="11"/>
        <v>11840.11628</v>
      </c>
    </row>
    <row r="25">
      <c r="A25" s="20" t="s">
        <v>60</v>
      </c>
      <c r="B25" s="9">
        <f>SUMIFS(numbers!F:F, numbers!C:C, A25, numbers!F:F, "&lt;60000")</f>
        <v>77130</v>
      </c>
      <c r="C25" s="13">
        <f t="shared" si="6"/>
        <v>7.859781418</v>
      </c>
      <c r="D25" s="21">
        <f>COUNTIFS(numbers!C:C, A25, numbers!F:F, "&lt;60000")</f>
        <v>7</v>
      </c>
      <c r="E25" s="13">
        <f t="shared" si="7"/>
        <v>11018.57143</v>
      </c>
      <c r="F25" s="10" t="str">
        <f t="shared" si="8"/>
        <v>★</v>
      </c>
      <c r="G25" s="15">
        <f t="shared" si="9"/>
        <v>6.410212606</v>
      </c>
      <c r="J25" s="18" t="s">
        <v>66</v>
      </c>
      <c r="K25" s="21">
        <f>SUMIFS(numbers!F:F, numbers!M:M, "*"&amp;J25&amp;"*", numbers!F:F, "&lt;60000")</f>
        <v>527325</v>
      </c>
      <c r="L25" s="21">
        <f>COUNTIFS(numbers!M:M, "*"&amp;J25&amp;"*", numbers!F:F, "&lt;60000")</f>
        <v>42</v>
      </c>
      <c r="M25" s="13">
        <f t="shared" si="11"/>
        <v>12555.35714</v>
      </c>
    </row>
    <row r="26">
      <c r="A26" s="20" t="s">
        <v>68</v>
      </c>
      <c r="B26" s="9">
        <f>SUMIFS(numbers!F:F, numbers!C:C, A26, numbers!F:F, "&lt;60000")</f>
        <v>74955</v>
      </c>
      <c r="C26" s="13">
        <f t="shared" si="6"/>
        <v>7.638142308</v>
      </c>
      <c r="D26" s="21">
        <f>COUNTIFS(numbers!C:C, A26, numbers!F:F, "&lt;60000")</f>
        <v>7</v>
      </c>
      <c r="E26" s="13">
        <f t="shared" si="7"/>
        <v>10707.85714</v>
      </c>
      <c r="F26" s="10" t="str">
        <f t="shared" si="8"/>
        <v>★</v>
      </c>
      <c r="G26" s="15">
        <f t="shared" si="9"/>
        <v>6.229450096</v>
      </c>
      <c r="M26" s="13"/>
    </row>
    <row r="27">
      <c r="A27" s="20" t="s">
        <v>44</v>
      </c>
      <c r="B27" s="9">
        <f>SUMIFS(numbers!F:F, numbers!C:C, A27, numbers!F:F, "&lt;60000")</f>
        <v>36195</v>
      </c>
      <c r="C27" s="13">
        <f t="shared" si="6"/>
        <v>3.688380506</v>
      </c>
      <c r="D27" s="21">
        <f>COUNTIFS(numbers!C:C, A27, numbers!F:F, "&lt;60000")</f>
        <v>3</v>
      </c>
      <c r="E27" s="13">
        <f t="shared" si="7"/>
        <v>12065</v>
      </c>
      <c r="F27" s="10" t="str">
        <f t="shared" si="8"/>
        <v>★</v>
      </c>
      <c r="G27" s="15">
        <f t="shared" si="9"/>
        <v>7.018987497</v>
      </c>
    </row>
    <row r="28">
      <c r="A28" s="20" t="s">
        <v>50</v>
      </c>
      <c r="B28" s="9">
        <f>SUMIFS(numbers!F:F, numbers!C:C, A28, numbers!F:F, "&lt;60000")</f>
        <v>31035</v>
      </c>
      <c r="C28" s="13">
        <f t="shared" si="6"/>
        <v>3.162560823</v>
      </c>
      <c r="D28" s="21">
        <f>COUNTIFS(numbers!C:C, A28, numbers!F:F, "&lt;60000")</f>
        <v>3</v>
      </c>
      <c r="E28" s="13">
        <f t="shared" si="7"/>
        <v>10345</v>
      </c>
      <c r="F28" s="10" t="str">
        <f t="shared" si="8"/>
        <v>★</v>
      </c>
      <c r="G28" s="15">
        <f t="shared" si="9"/>
        <v>6.018352728</v>
      </c>
      <c r="J28" s="17" t="s">
        <v>206</v>
      </c>
      <c r="K28" s="17" t="s">
        <v>204</v>
      </c>
      <c r="L28" s="17" t="s">
        <v>205</v>
      </c>
      <c r="M28" s="17" t="s">
        <v>190</v>
      </c>
    </row>
    <row r="29">
      <c r="A29" s="20" t="s">
        <v>53</v>
      </c>
      <c r="B29" s="9">
        <f>SUMIFS(numbers!F:F, numbers!C:C, A29, numbers!F:F, "&lt;60000")</f>
        <v>47630</v>
      </c>
      <c r="C29" s="13">
        <f t="shared" si="6"/>
        <v>4.85364176</v>
      </c>
      <c r="D29" s="21">
        <f>COUNTIFS(numbers!C:C, A29, numbers!F:F, "&lt;60000")</f>
        <v>4</v>
      </c>
      <c r="E29" s="13">
        <f t="shared" si="7"/>
        <v>11907.5</v>
      </c>
      <c r="F29" s="10" t="str">
        <f t="shared" si="8"/>
        <v>★</v>
      </c>
      <c r="G29" s="15">
        <f t="shared" si="9"/>
        <v>6.927359604</v>
      </c>
      <c r="J29" s="20" t="s">
        <v>83</v>
      </c>
      <c r="K29" s="21">
        <f>SUMIFS(numbers!F:F, numbers!M:M, J29, numbers!F:F, "&lt;60000")</f>
        <v>80915</v>
      </c>
      <c r="L29" s="21">
        <f>COUNTIFS(numbers!M:M, J29, numbers!F:F, "&lt;60000")</f>
        <v>7</v>
      </c>
      <c r="M29" s="13">
        <f t="shared" ref="M29:M40" si="12">K29/L29</f>
        <v>11559.28571</v>
      </c>
    </row>
    <row r="30">
      <c r="J30" s="20" t="s">
        <v>157</v>
      </c>
      <c r="K30" s="21">
        <f>SUMIFS(numbers!F:F, numbers!M:M, J30, numbers!F:F, "&lt;60000")</f>
        <v>13185</v>
      </c>
      <c r="L30" s="21">
        <f>COUNTIFS(numbers!M:M, J30, numbers!F:F, "&lt;60000")</f>
        <v>1</v>
      </c>
      <c r="M30" s="13">
        <f t="shared" si="12"/>
        <v>13185</v>
      </c>
    </row>
    <row r="31">
      <c r="A31" s="1" t="s">
        <v>3</v>
      </c>
      <c r="B31" s="9"/>
      <c r="C31" s="9"/>
      <c r="J31" s="20" t="s">
        <v>86</v>
      </c>
      <c r="K31" s="21">
        <f>SUMIFS(numbers!F:F, numbers!M:M, J31, numbers!F:F, "&lt;60000")</f>
        <v>21330</v>
      </c>
      <c r="L31" s="21">
        <f>COUNTIFS(numbers!M:M, J31, numbers!F:F, "&lt;60000")</f>
        <v>2</v>
      </c>
      <c r="M31" s="13">
        <f t="shared" si="12"/>
        <v>10665</v>
      </c>
    </row>
    <row r="32">
      <c r="A32" s="8" t="s">
        <v>26</v>
      </c>
      <c r="B32" s="9">
        <f>SUMIFS(numbers!F:F, numbers!D:D, A32, numbers!F:F, "&lt;60000")</f>
        <v>54945</v>
      </c>
      <c r="C32" s="10">
        <f t="shared" ref="C32:C48" si="13">B32*100/SUM($B$32:$B$48)</f>
        <v>5.599062492</v>
      </c>
      <c r="D32" s="21">
        <f>COUNTIFS(numbers!D:D, A32, numbers!F:F, "&lt;60000")</f>
        <v>5</v>
      </c>
      <c r="E32" s="13">
        <f t="shared" ref="E32:E48" si="14">B32/D32</f>
        <v>10989</v>
      </c>
      <c r="F32" s="10" t="str">
        <f t="shared" ref="F32:F48" si="15">IFS(E32&lt;10000, "", E32&lt;25000, "★", E32&lt;60000, "★★", E32&lt;160000, "★★★", E32&lt;1160000, "★★★★", E32&gt;=1160000, "★★★★★")</f>
        <v>★</v>
      </c>
      <c r="G32" s="15">
        <f t="shared" ref="G32:G48" si="16">E32*100/SUM($E$32:$E$48)</f>
        <v>5.200875884</v>
      </c>
      <c r="J32" s="20" t="s">
        <v>80</v>
      </c>
      <c r="K32" s="21">
        <f>SUMIFS(numbers!F:F, numbers!M:M, J32, numbers!F:F, "&lt;60000")</f>
        <v>10200</v>
      </c>
      <c r="L32" s="21">
        <f>COUNTIFS(numbers!M:M, J32, numbers!F:F, "&lt;60000")</f>
        <v>1</v>
      </c>
      <c r="M32" s="13">
        <f t="shared" si="12"/>
        <v>10200</v>
      </c>
    </row>
    <row r="33">
      <c r="A33" s="8" t="s">
        <v>107</v>
      </c>
      <c r="B33" s="9">
        <f>SUMIFS(numbers!F:F, numbers!D:D, A33, numbers!F:F, "&lt;60000")</f>
        <v>20725</v>
      </c>
      <c r="C33" s="10">
        <f t="shared" si="13"/>
        <v>2.111940489</v>
      </c>
      <c r="D33" s="21">
        <f>COUNTIFS(numbers!D:D, A33, numbers!F:F, "&lt;60000")</f>
        <v>2</v>
      </c>
      <c r="E33" s="13">
        <f t="shared" si="14"/>
        <v>10362.5</v>
      </c>
      <c r="F33" s="10" t="str">
        <f t="shared" si="15"/>
        <v>★</v>
      </c>
      <c r="G33" s="15">
        <f t="shared" si="16"/>
        <v>4.904365852</v>
      </c>
      <c r="J33" s="20" t="s">
        <v>55</v>
      </c>
      <c r="K33" s="21">
        <f>SUMIFS(numbers!F:F, numbers!M:M, J33, numbers!F:F, "&lt;60000")</f>
        <v>123930</v>
      </c>
      <c r="L33" s="21">
        <f>COUNTIFS(numbers!M:M, J33, numbers!F:F, "&lt;60000")</f>
        <v>11</v>
      </c>
      <c r="M33" s="13">
        <f t="shared" si="12"/>
        <v>11266.36364</v>
      </c>
    </row>
    <row r="34">
      <c r="A34" s="8" t="s">
        <v>110</v>
      </c>
      <c r="B34" s="9">
        <f>SUMIFS(numbers!F:F, numbers!D:D, A34, numbers!F:F, "&lt;60000")</f>
        <v>36400</v>
      </c>
      <c r="C34" s="10">
        <f t="shared" si="13"/>
        <v>3.709270629</v>
      </c>
      <c r="D34" s="21">
        <f>COUNTIFS(numbers!D:D, A34, numbers!F:F, "&lt;60000")</f>
        <v>3</v>
      </c>
      <c r="E34" s="13">
        <f t="shared" si="14"/>
        <v>12133.33333</v>
      </c>
      <c r="F34" s="10" t="str">
        <f t="shared" si="15"/>
        <v>★</v>
      </c>
      <c r="G34" s="15">
        <f t="shared" si="16"/>
        <v>5.742466168</v>
      </c>
      <c r="J34" s="20" t="s">
        <v>72</v>
      </c>
      <c r="K34" s="21">
        <f>SUMIFS(numbers!F:F, numbers!M:M, J34, numbers!F:F, "&lt;60000")</f>
        <v>83470</v>
      </c>
      <c r="L34" s="21">
        <f>COUNTIFS(numbers!M:M, J34, numbers!F:F, "&lt;60000")</f>
        <v>5</v>
      </c>
      <c r="M34" s="13">
        <f t="shared" si="12"/>
        <v>16694</v>
      </c>
    </row>
    <row r="35">
      <c r="A35" s="8" t="s">
        <v>78</v>
      </c>
      <c r="B35" s="9">
        <f>SUMIFS(numbers!F:F, numbers!D:D, A35, numbers!F:F, "&lt;60000")</f>
        <v>45685</v>
      </c>
      <c r="C35" s="10">
        <f t="shared" si="13"/>
        <v>4.655440349</v>
      </c>
      <c r="D35" s="21">
        <f>COUNTIFS(numbers!D:D, A35, numbers!F:F, "&lt;60000")</f>
        <v>4</v>
      </c>
      <c r="E35" s="13">
        <f t="shared" si="14"/>
        <v>11421.25</v>
      </c>
      <c r="F35" s="10" t="str">
        <f t="shared" si="15"/>
        <v>★</v>
      </c>
      <c r="G35" s="15">
        <f t="shared" si="16"/>
        <v>5.405451241</v>
      </c>
      <c r="J35" s="20" t="s">
        <v>32</v>
      </c>
      <c r="K35" s="21">
        <f>SUMIFS(numbers!F:F, numbers!M:M, J35, numbers!F:F, "&lt;60000")</f>
        <v>91005</v>
      </c>
      <c r="L35" s="21">
        <f>COUNTIFS(numbers!M:M, J35, numbers!F:F, "&lt;60000")</f>
        <v>7</v>
      </c>
      <c r="M35" s="13">
        <f t="shared" si="12"/>
        <v>13000.71429</v>
      </c>
    </row>
    <row r="36">
      <c r="A36" s="8" t="s">
        <v>54</v>
      </c>
      <c r="B36" s="9">
        <f>SUMIFS(numbers!F:F, numbers!D:D, A36, numbers!F:F, "&lt;60000")</f>
        <v>87770</v>
      </c>
      <c r="C36" s="10">
        <f t="shared" si="13"/>
        <v>8.944029756</v>
      </c>
      <c r="D36" s="21">
        <f>COUNTIFS(numbers!D:D, A36, numbers!F:F, "&lt;60000")</f>
        <v>8</v>
      </c>
      <c r="E36" s="13">
        <f t="shared" si="14"/>
        <v>10971.25</v>
      </c>
      <c r="F36" s="10" t="str">
        <f t="shared" si="15"/>
        <v>★</v>
      </c>
      <c r="G36" s="15">
        <f t="shared" si="16"/>
        <v>5.192475161</v>
      </c>
      <c r="J36" s="20" t="s">
        <v>101</v>
      </c>
      <c r="K36" s="21">
        <f>SUMIFS(numbers!F:F, numbers!M:M, J36, numbers!F:F, "&lt;60000")</f>
        <v>10500</v>
      </c>
      <c r="L36" s="21">
        <f>COUNTIFS(numbers!M:M, J36, numbers!F:F, "&lt;60000")</f>
        <v>1</v>
      </c>
      <c r="M36" s="13">
        <f t="shared" si="12"/>
        <v>10500</v>
      </c>
    </row>
    <row r="37">
      <c r="A37" s="8" t="s">
        <v>51</v>
      </c>
      <c r="B37" s="9">
        <f>SUMIFS(numbers!F:F, numbers!D:D, A37, numbers!F:F, "&lt;60000")</f>
        <v>49190</v>
      </c>
      <c r="C37" s="10">
        <f t="shared" si="13"/>
        <v>5.012610501</v>
      </c>
      <c r="D37" s="21">
        <f>COUNTIFS(numbers!D:D, A37, numbers!F:F, "&lt;60000")</f>
        <v>4</v>
      </c>
      <c r="E37" s="13">
        <f t="shared" si="14"/>
        <v>12297.5</v>
      </c>
      <c r="F37" s="10" t="str">
        <f t="shared" si="15"/>
        <v>★</v>
      </c>
      <c r="G37" s="15">
        <f t="shared" si="16"/>
        <v>5.820162998</v>
      </c>
      <c r="J37" s="20" t="s">
        <v>64</v>
      </c>
      <c r="K37" s="21">
        <f>SUMIFS(numbers!F:F, numbers!M:M, J37, numbers!F:F, "&lt;60000")</f>
        <v>20400</v>
      </c>
      <c r="L37" s="21">
        <f>COUNTIFS(numbers!M:M, J37, numbers!F:F, "&lt;60000")</f>
        <v>2</v>
      </c>
      <c r="M37" s="13">
        <f t="shared" si="12"/>
        <v>10200</v>
      </c>
    </row>
    <row r="38">
      <c r="A38" s="8" t="s">
        <v>58</v>
      </c>
      <c r="B38" s="9">
        <f>SUMIFS(numbers!F:F, numbers!D:D, A38, numbers!F:F, "&lt;60000")</f>
        <v>82680</v>
      </c>
      <c r="C38" s="10">
        <f t="shared" si="13"/>
        <v>8.425343286</v>
      </c>
      <c r="D38" s="21">
        <f>COUNTIFS(numbers!D:D, A38, numbers!F:F, "&lt;60000")</f>
        <v>6</v>
      </c>
      <c r="E38" s="13">
        <f t="shared" si="14"/>
        <v>13780</v>
      </c>
      <c r="F38" s="10" t="str">
        <f t="shared" si="15"/>
        <v>★</v>
      </c>
      <c r="G38" s="15">
        <f t="shared" si="16"/>
        <v>6.521800863</v>
      </c>
      <c r="J38" s="20" t="s">
        <v>27</v>
      </c>
      <c r="K38" s="21">
        <f>SUMIFS(numbers!F:F, numbers!M:M, J38, numbers!F:F, "&lt;60000")</f>
        <v>164095</v>
      </c>
      <c r="L38" s="21">
        <f>COUNTIFS(numbers!M:M, J38, numbers!F:F, "&lt;60000")</f>
        <v>15</v>
      </c>
      <c r="M38" s="13">
        <f t="shared" si="12"/>
        <v>10939.66667</v>
      </c>
    </row>
    <row r="39">
      <c r="A39" s="8" t="s">
        <v>121</v>
      </c>
      <c r="B39" s="9">
        <f>SUMIFS(numbers!F:F, numbers!D:D, A39, numbers!F:F, "&lt;60000")</f>
        <v>46565</v>
      </c>
      <c r="C39" s="10">
        <f t="shared" si="13"/>
        <v>4.745115023</v>
      </c>
      <c r="D39" s="21">
        <f>COUNTIFS(numbers!D:D, A39, numbers!F:F, "&lt;60000")</f>
        <v>3</v>
      </c>
      <c r="E39" s="13">
        <f t="shared" si="14"/>
        <v>15521.66667</v>
      </c>
      <c r="F39" s="10" t="str">
        <f t="shared" si="15"/>
        <v>★</v>
      </c>
      <c r="G39" s="15">
        <f t="shared" si="16"/>
        <v>7.346097174</v>
      </c>
      <c r="J39" s="20" t="s">
        <v>37</v>
      </c>
      <c r="K39" s="21">
        <f>SUMIFS(numbers!F:F, numbers!M:M, J39, numbers!F:F, "&lt;60000")</f>
        <v>211995</v>
      </c>
      <c r="L39" s="21">
        <f>COUNTIFS(numbers!M:M, J39, numbers!F:F, "&lt;60000")</f>
        <v>17</v>
      </c>
      <c r="M39" s="13">
        <f t="shared" si="12"/>
        <v>12470.29412</v>
      </c>
    </row>
    <row r="40">
      <c r="A40" s="8" t="s">
        <v>61</v>
      </c>
      <c r="B40" s="9">
        <f>SUMIFS(numbers!F:F, numbers!D:D, A40, numbers!F:F, "&lt;60000")</f>
        <v>79315</v>
      </c>
      <c r="C40" s="10">
        <f t="shared" si="13"/>
        <v>8.082439559</v>
      </c>
      <c r="D40" s="21">
        <f>COUNTIFS(numbers!D:D, A40, numbers!F:F, "&lt;60000")</f>
        <v>6</v>
      </c>
      <c r="E40" s="13">
        <f t="shared" si="14"/>
        <v>13219.16667</v>
      </c>
      <c r="F40" s="10" t="str">
        <f t="shared" si="15"/>
        <v>★</v>
      </c>
      <c r="G40" s="15">
        <f t="shared" si="16"/>
        <v>6.256369562</v>
      </c>
      <c r="J40" s="20" t="s">
        <v>66</v>
      </c>
      <c r="K40" s="21">
        <f>SUMIFS(numbers!F:F, numbers!M:M, J40, numbers!F:F, "&lt;60000")</f>
        <v>150300</v>
      </c>
      <c r="L40" s="21">
        <f>COUNTIFS(numbers!M:M, J40, numbers!F:F, "&lt;60000")</f>
        <v>10</v>
      </c>
      <c r="M40" s="13">
        <f t="shared" si="12"/>
        <v>15030</v>
      </c>
    </row>
    <row r="41">
      <c r="A41" s="8" t="s">
        <v>36</v>
      </c>
      <c r="B41" s="9">
        <f>SUMIFS(numbers!F:F, numbers!D:D, A41, numbers!F:F, "&lt;60000")</f>
        <v>40935</v>
      </c>
      <c r="C41" s="10">
        <f t="shared" si="13"/>
        <v>4.171400912</v>
      </c>
      <c r="D41" s="21">
        <f>COUNTIFS(numbers!D:D, A41, numbers!F:F, "&lt;60000")</f>
        <v>4</v>
      </c>
      <c r="E41" s="13">
        <f t="shared" si="14"/>
        <v>10233.75</v>
      </c>
      <c r="F41" s="10" t="str">
        <f t="shared" si="15"/>
        <v>★</v>
      </c>
      <c r="G41" s="15">
        <f t="shared" si="16"/>
        <v>4.843431029</v>
      </c>
    </row>
    <row r="42">
      <c r="A42" s="8" t="s">
        <v>93</v>
      </c>
      <c r="B42" s="9">
        <f>SUMIFS(numbers!F:F, numbers!D:D, A42, numbers!F:F, "&lt;60000")</f>
        <v>56410</v>
      </c>
      <c r="C42" s="10">
        <f t="shared" si="13"/>
        <v>5.748350445</v>
      </c>
      <c r="D42" s="21">
        <f>COUNTIFS(numbers!D:D, A42, numbers!F:F, "&lt;60000")</f>
        <v>5</v>
      </c>
      <c r="E42" s="13">
        <f t="shared" si="14"/>
        <v>11282</v>
      </c>
      <c r="F42" s="10" t="str">
        <f t="shared" si="15"/>
        <v>★</v>
      </c>
      <c r="G42" s="15">
        <f t="shared" si="16"/>
        <v>5.339546976</v>
      </c>
      <c r="J42" s="17"/>
    </row>
    <row r="43">
      <c r="A43" s="8" t="s">
        <v>91</v>
      </c>
      <c r="B43" s="9">
        <f>SUMIFS(numbers!F:F, numbers!D:D, A43, numbers!F:F, "&lt;60000")</f>
        <v>73045</v>
      </c>
      <c r="C43" s="10">
        <f t="shared" si="13"/>
        <v>7.443507503</v>
      </c>
      <c r="D43" s="21">
        <f>COUNTIFS(numbers!D:D, A43, numbers!F:F, "&lt;60000")</f>
        <v>4</v>
      </c>
      <c r="E43" s="13">
        <f t="shared" si="14"/>
        <v>18261.25</v>
      </c>
      <c r="F43" s="10" t="str">
        <f t="shared" si="15"/>
        <v>★</v>
      </c>
      <c r="G43" s="15">
        <f t="shared" si="16"/>
        <v>8.642687663</v>
      </c>
    </row>
    <row r="44">
      <c r="A44" s="8" t="s">
        <v>48</v>
      </c>
      <c r="B44" s="9">
        <f>SUMIFS(numbers!F:F, numbers!D:D, A44, numbers!F:F, "&lt;60000")</f>
        <v>53810</v>
      </c>
      <c r="C44" s="10">
        <f t="shared" si="13"/>
        <v>5.483402542</v>
      </c>
      <c r="D44" s="21">
        <f>COUNTIFS(numbers!D:D, A44, numbers!F:F, "&lt;60000")</f>
        <v>5</v>
      </c>
      <c r="E44" s="13">
        <f t="shared" si="14"/>
        <v>10762</v>
      </c>
      <c r="F44" s="10" t="str">
        <f t="shared" si="15"/>
        <v>★</v>
      </c>
      <c r="G44" s="15">
        <f t="shared" si="16"/>
        <v>5.093441283</v>
      </c>
    </row>
    <row r="45">
      <c r="A45" s="8" t="s">
        <v>31</v>
      </c>
      <c r="B45" s="9">
        <f>SUMIFS(numbers!F:F, numbers!D:D, A45, numbers!F:F, "&lt;60000")</f>
        <v>78015</v>
      </c>
      <c r="C45" s="10">
        <f t="shared" si="13"/>
        <v>7.949965608</v>
      </c>
      <c r="D45" s="21">
        <f>COUNTIFS(numbers!D:D, A45, numbers!F:F, "&lt;60000")</f>
        <v>6</v>
      </c>
      <c r="E45" s="13">
        <f t="shared" si="14"/>
        <v>13002.5</v>
      </c>
      <c r="F45" s="10" t="str">
        <f t="shared" si="15"/>
        <v>★</v>
      </c>
      <c r="G45" s="15">
        <f t="shared" si="16"/>
        <v>6.153825524</v>
      </c>
    </row>
    <row r="46">
      <c r="A46" s="8" t="s">
        <v>42</v>
      </c>
      <c r="B46" s="9">
        <f>SUMIFS(numbers!F:F, numbers!D:D, A46, numbers!F:F, "&lt;60000")</f>
        <v>82855</v>
      </c>
      <c r="C46" s="10">
        <f t="shared" si="13"/>
        <v>8.443176318</v>
      </c>
      <c r="D46" s="21">
        <f>COUNTIFS(numbers!D:D, A46, numbers!F:F, "&lt;60000")</f>
        <v>6</v>
      </c>
      <c r="E46" s="13">
        <f t="shared" si="14"/>
        <v>13809.16667</v>
      </c>
      <c r="F46" s="10" t="str">
        <f t="shared" si="15"/>
        <v>★</v>
      </c>
      <c r="G46" s="15">
        <f t="shared" si="16"/>
        <v>6.535604868</v>
      </c>
    </row>
    <row r="47">
      <c r="A47" s="8" t="s">
        <v>45</v>
      </c>
      <c r="B47" s="9">
        <f>SUMIFS(numbers!F:F, numbers!D:D, A47, numbers!F:F, "&lt;60000")</f>
        <v>49510</v>
      </c>
      <c r="C47" s="10">
        <f t="shared" si="13"/>
        <v>5.045219474</v>
      </c>
      <c r="D47" s="21">
        <f>COUNTIFS(numbers!D:D, A47, numbers!F:F, "&lt;60000")</f>
        <v>4</v>
      </c>
      <c r="E47" s="13">
        <f t="shared" si="14"/>
        <v>12377.5</v>
      </c>
      <c r="F47" s="10" t="str">
        <f t="shared" si="15"/>
        <v>★</v>
      </c>
      <c r="G47" s="15">
        <f t="shared" si="16"/>
        <v>5.858025412</v>
      </c>
    </row>
    <row r="48">
      <c r="A48" s="8" t="s">
        <v>39</v>
      </c>
      <c r="B48" s="9">
        <f>SUMIFS(numbers!F:F, numbers!D:D, A48, numbers!F:F, "&lt;60000")</f>
        <v>43470</v>
      </c>
      <c r="C48" s="10">
        <f t="shared" si="13"/>
        <v>4.429725117</v>
      </c>
      <c r="D48" s="21">
        <f>COUNTIFS(numbers!D:D, A48, numbers!F:F, "&lt;60000")</f>
        <v>4</v>
      </c>
      <c r="E48" s="13">
        <f t="shared" si="14"/>
        <v>10867.5</v>
      </c>
      <c r="F48" s="10" t="str">
        <f t="shared" si="15"/>
        <v>★</v>
      </c>
      <c r="G48" s="15">
        <f t="shared" si="16"/>
        <v>5.143372342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7" max="7" width="15.13"/>
    <col customWidth="1" min="8" max="8" width="23.25"/>
  </cols>
  <sheetData>
    <row r="2">
      <c r="A2" s="18" t="s">
        <v>239</v>
      </c>
      <c r="H2" s="18" t="s">
        <v>240</v>
      </c>
    </row>
    <row r="22">
      <c r="A22" s="18" t="s">
        <v>241</v>
      </c>
      <c r="H22" s="18" t="s">
        <v>242</v>
      </c>
    </row>
    <row r="42">
      <c r="A42" s="18" t="s">
        <v>243</v>
      </c>
      <c r="H42" s="18" t="s">
        <v>244</v>
      </c>
    </row>
    <row r="64">
      <c r="A64" s="18" t="s">
        <v>245</v>
      </c>
      <c r="H64" s="18" t="s">
        <v>246</v>
      </c>
    </row>
    <row r="84">
      <c r="A84" s="18" t="s">
        <v>247</v>
      </c>
      <c r="H84" s="18" t="s">
        <v>248</v>
      </c>
    </row>
  </sheetData>
  <drawing r:id="rId1"/>
</worksheet>
</file>