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ThiThanhNga\Desktop\"/>
    </mc:Choice>
  </mc:AlternateContent>
  <xr:revisionPtr revIDLastSave="0" documentId="13_ncr:1_{089F17FE-D973-4123-A608-9E2F82650018}" xr6:coauthVersionLast="47" xr6:coauthVersionMax="47" xr10:uidLastSave="{00000000-0000-0000-0000-000000000000}"/>
  <bookViews>
    <workbookView xWindow="-110" yWindow="-110" windowWidth="19420" windowHeight="10300" tabRatio="737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14" i="1" l="1"/>
  <c r="F3" i="2"/>
  <c r="F4" i="2"/>
  <c r="F9" i="2"/>
  <c r="F8" i="2"/>
  <c r="F10" i="2"/>
  <c r="F5" i="2"/>
  <c r="H4" i="2"/>
  <c r="H9" i="2"/>
  <c r="H8" i="2"/>
  <c r="H6" i="2"/>
  <c r="H10" i="2"/>
  <c r="H7" i="2"/>
  <c r="H5" i="2"/>
  <c r="H3" i="2"/>
  <c r="I6" i="12"/>
  <c r="J6" i="12" s="1"/>
  <c r="I11" i="12"/>
  <c r="J11" i="12" s="1"/>
  <c r="H7" i="12"/>
  <c r="H8" i="12"/>
  <c r="H6" i="12"/>
  <c r="H9" i="12"/>
  <c r="H4" i="12"/>
  <c r="H13" i="12"/>
  <c r="H11" i="12"/>
  <c r="H10" i="12"/>
  <c r="H12" i="12"/>
  <c r="H5" i="12"/>
  <c r="G7" i="12"/>
  <c r="G8" i="12"/>
  <c r="G6" i="12"/>
  <c r="G9" i="12"/>
  <c r="G4" i="12"/>
  <c r="G13" i="12"/>
  <c r="G11" i="12"/>
  <c r="G10" i="12"/>
  <c r="G12" i="12"/>
  <c r="G5" i="12"/>
  <c r="F7" i="12"/>
  <c r="F8" i="12"/>
  <c r="F6" i="12"/>
  <c r="F9" i="12"/>
  <c r="F4" i="12"/>
  <c r="F13" i="12"/>
  <c r="F11" i="12"/>
  <c r="F10" i="12"/>
  <c r="F12" i="12"/>
  <c r="F5" i="12"/>
  <c r="E7" i="12"/>
  <c r="E8" i="12"/>
  <c r="E6" i="12"/>
  <c r="E9" i="12"/>
  <c r="E4" i="12"/>
  <c r="E13" i="12"/>
  <c r="E11" i="12"/>
  <c r="E10" i="12"/>
  <c r="E12" i="12"/>
  <c r="E5" i="12"/>
  <c r="G5" i="2"/>
  <c r="G4" i="2"/>
  <c r="G9" i="2"/>
  <c r="G8" i="2"/>
  <c r="G6" i="2"/>
  <c r="G10" i="2"/>
  <c r="G7" i="2"/>
  <c r="G3" i="2"/>
  <c r="I15" i="1"/>
  <c r="I16" i="1"/>
  <c r="I4" i="2"/>
  <c r="D5" i="12"/>
  <c r="I5" i="12" s="1"/>
  <c r="D7" i="12"/>
  <c r="I7" i="12" s="1"/>
  <c r="D8" i="12"/>
  <c r="I8" i="12" s="1"/>
  <c r="D6" i="12"/>
  <c r="D9" i="12"/>
  <c r="I9" i="12" s="1"/>
  <c r="D4" i="12"/>
  <c r="D17" i="12" s="1"/>
  <c r="D13" i="12"/>
  <c r="I13" i="12" s="1"/>
  <c r="D11" i="12"/>
  <c r="D10" i="12"/>
  <c r="I10" i="12" s="1"/>
  <c r="D12" i="12"/>
  <c r="I12" i="12" s="1"/>
  <c r="J15" i="1"/>
  <c r="J16" i="1"/>
  <c r="J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C15" i="7"/>
  <c r="H4" i="7"/>
  <c r="H5" i="7"/>
  <c r="H6" i="7"/>
  <c r="H7" i="7"/>
  <c r="H3" i="7"/>
  <c r="I4" i="7"/>
  <c r="I5" i="7"/>
  <c r="I6" i="7"/>
  <c r="I7" i="7"/>
  <c r="I3" i="7"/>
  <c r="D15" i="7"/>
  <c r="B15" i="7"/>
  <c r="J4" i="2"/>
  <c r="J9" i="2"/>
  <c r="J8" i="2"/>
  <c r="J6" i="2"/>
  <c r="J10" i="2"/>
  <c r="J7" i="2"/>
  <c r="J5" i="2"/>
  <c r="J3" i="2"/>
  <c r="I9" i="2"/>
  <c r="I8" i="2"/>
  <c r="I6" i="2"/>
  <c r="I10" i="2"/>
  <c r="I7" i="2"/>
  <c r="I5" i="2"/>
  <c r="I3" i="2"/>
  <c r="C4" i="2"/>
  <c r="J14" i="2" s="1"/>
  <c r="C9" i="2"/>
  <c r="C8" i="2"/>
  <c r="C6" i="2"/>
  <c r="F6" i="2" s="1"/>
  <c r="C10" i="2"/>
  <c r="C7" i="2"/>
  <c r="F7" i="2" s="1"/>
  <c r="C5" i="2"/>
  <c r="C3" i="2"/>
  <c r="A15" i="7"/>
  <c r="G4" i="7"/>
  <c r="G5" i="7"/>
  <c r="G6" i="7"/>
  <c r="G7" i="7"/>
  <c r="G3" i="7"/>
  <c r="F4" i="7"/>
  <c r="F5" i="7"/>
  <c r="F6" i="7"/>
  <c r="F7" i="7"/>
  <c r="F3" i="7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3" i="13"/>
  <c r="I9" i="13"/>
  <c r="I12" i="13"/>
  <c r="I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H10" i="13" s="1"/>
  <c r="D11" i="13"/>
  <c r="H11" i="13" s="1"/>
  <c r="D7" i="13"/>
  <c r="H7" i="13" s="1"/>
  <c r="D5" i="13"/>
  <c r="H5" i="13" s="1"/>
  <c r="D8" i="13"/>
  <c r="H8" i="13" s="1"/>
  <c r="D13" i="13"/>
  <c r="H13" i="13" s="1"/>
  <c r="D9" i="13"/>
  <c r="H9" i="13" s="1"/>
  <c r="D12" i="13"/>
  <c r="H12" i="13" s="1"/>
  <c r="D6" i="13"/>
  <c r="H6" i="13" s="1"/>
  <c r="C12" i="13"/>
  <c r="E12" i="13" s="1"/>
  <c r="C10" i="13"/>
  <c r="C11" i="13"/>
  <c r="C7" i="13"/>
  <c r="E7" i="13" s="1"/>
  <c r="C5" i="13"/>
  <c r="E5" i="13" s="1"/>
  <c r="C8" i="13"/>
  <c r="E8" i="13" s="1"/>
  <c r="C13" i="13"/>
  <c r="C9" i="13"/>
  <c r="E9" i="13" s="1"/>
  <c r="C6" i="13"/>
  <c r="E6" i="13" s="1"/>
  <c r="J15" i="2" l="1"/>
  <c r="K14" i="2"/>
  <c r="K15" i="2"/>
  <c r="E10" i="13"/>
  <c r="I21" i="13"/>
  <c r="E13" i="13"/>
  <c r="E11" i="13"/>
  <c r="G21" i="13"/>
  <c r="H21" i="13"/>
  <c r="K9" i="12"/>
  <c r="J9" i="12"/>
  <c r="J13" i="12"/>
  <c r="K13" i="12"/>
  <c r="J8" i="12"/>
  <c r="K8" i="12"/>
  <c r="K10" i="12"/>
  <c r="J10" i="12"/>
  <c r="K5" i="12"/>
  <c r="J5" i="12"/>
  <c r="K12" i="12"/>
  <c r="J12" i="12"/>
  <c r="K7" i="12"/>
  <c r="J7" i="12"/>
  <c r="D14" i="12"/>
  <c r="D16" i="12"/>
  <c r="K11" i="12"/>
  <c r="K6" i="12"/>
  <c r="D15" i="12"/>
  <c r="I4" i="12"/>
  <c r="I17" i="12" l="1"/>
  <c r="K4" i="12"/>
  <c r="I16" i="12"/>
  <c r="J4" i="12"/>
  <c r="I15" i="12"/>
  <c r="I1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<sst xmlns="http://schemas.openxmlformats.org/spreadsheetml/2006/main" count="233" uniqueCount="190">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</sst>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  <xf numFmtId="1" fontId="43" fillId="0" borderId="1" xfId="0" applyNumberFormat="1" applyFont="1" applyBorder="1"/>
    <xf numFmtId="0" fontId="8" fillId="0" borderId="0" xfId="0" quotePrefix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abSelected="1" topLeftCell="A7" zoomScale="93" zoomScaleNormal="83" workbookViewId="0">
      <selection activeCell="A5" sqref="A5:I13"/>
    </sheetView>
  </sheetViews>
  <sheetFormatPr defaultColWidth="9.1796875" defaultRowHeight="20.149999999999999" customHeight="1" x14ac:dyDescent="0.25"/>
  <cols>
    <col min="1" max="1" width="11.54296875" style="1" customWidth="1"/>
    <col min="2" max="2" width="10.453125" style="1" customWidth="1"/>
    <col min="3" max="3" width="20.1796875" style="1" bestFit="1" customWidth="1"/>
    <col min="4" max="4" width="14.26953125" style="1" bestFit="1" customWidth="1"/>
    <col min="5" max="5" width="19.453125" style="1" bestFit="1" customWidth="1"/>
    <col min="6" max="6" width="12.1796875" style="1" customWidth="1"/>
    <col min="7" max="7" width="10.1796875" style="1" customWidth="1"/>
    <col min="8" max="8" width="15.1796875" style="1" customWidth="1"/>
    <col min="9" max="16384" width="9.1796875" style="1"/>
  </cols>
  <sheetData>
    <row r="1" spans="1:10" ht="34.5" customHeight="1" x14ac:dyDescent="0.5">
      <c r="A1" s="68" t="s">
        <v>81</v>
      </c>
      <c r="B1" s="68"/>
      <c r="C1" s="68"/>
      <c r="D1" s="68"/>
      <c r="E1" s="68"/>
      <c r="F1" s="68"/>
      <c r="G1" s="68"/>
      <c r="H1" s="68"/>
      <c r="I1" s="68"/>
    </row>
    <row r="2" spans="1:10" s="7" customFormat="1" ht="20.149999999999999" customHeight="1" x14ac:dyDescent="0.3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49999999999999" customHeight="1" x14ac:dyDescent="0.25">
      <c r="A3" s="71" t="s">
        <v>82</v>
      </c>
      <c r="B3" s="71" t="s">
        <v>83</v>
      </c>
      <c r="C3" s="64" t="s">
        <v>89</v>
      </c>
      <c r="D3" s="64" t="s">
        <v>90</v>
      </c>
      <c r="E3" s="64" t="s">
        <v>84</v>
      </c>
      <c r="F3" s="66" t="s">
        <v>85</v>
      </c>
      <c r="G3" s="67"/>
      <c r="H3" s="69" t="s">
        <v>86</v>
      </c>
      <c r="I3" s="36" t="s">
        <v>43</v>
      </c>
    </row>
    <row r="4" spans="1:10" ht="20.149999999999999" customHeight="1" x14ac:dyDescent="0.25">
      <c r="A4" s="71"/>
      <c r="B4" s="71"/>
      <c r="C4" s="65"/>
      <c r="D4" s="65"/>
      <c r="E4" s="65"/>
      <c r="F4" s="35" t="s">
        <v>87</v>
      </c>
      <c r="G4" s="35" t="s">
        <v>88</v>
      </c>
      <c r="H4" s="70"/>
      <c r="I4" s="37"/>
    </row>
    <row r="5" spans="1:10" ht="20.149999999999999" customHeight="1" x14ac:dyDescent="0.25">
      <c r="A5" s="2" t="s">
        <v>164</v>
      </c>
      <c r="B5" s="2">
        <v>25</v>
      </c>
      <c r="C5" s="2" t="str">
        <f>IF(LEFT(A5,2)=$A$17,$B$17,$B$18)</f>
        <v>Tin học A.1</v>
      </c>
      <c r="D5" s="2" t="str">
        <f>IF(MID(A5,3,1)=$E$16,$E$17,IF(MID(A5,3,1)=$F$16,$F$17,$G$17))</f>
        <v>Chiều</v>
      </c>
      <c r="E5" s="27" t="str">
        <f>C5&amp;" "&amp;D5</f>
        <v>Tin học A.1 Chiều</v>
      </c>
      <c r="F5" s="27" t="str">
        <f>IF(B5&lt;10,"","x")</f>
        <v>x</v>
      </c>
      <c r="G5" s="27" t="str">
        <f>IF(B5&gt;=20,"x","")</f>
        <v>x</v>
      </c>
      <c r="H5" s="48">
        <f>IF(D5="sáng",$D$2,IF(D5="chiều",$D$2,$D$2+2))</f>
        <v>44344</v>
      </c>
      <c r="I5" s="27" t="str">
        <f>IF(B5&lt;10,"hủy","")</f>
        <v/>
      </c>
    </row>
    <row r="6" spans="1:10" ht="20.149999999999999" customHeight="1" x14ac:dyDescent="0.3">
      <c r="A6" s="2" t="s">
        <v>156</v>
      </c>
      <c r="B6" s="2">
        <v>22</v>
      </c>
      <c r="C6" s="2" t="str">
        <f>IF(LEFT(A6,2)=$A$17,$B$17,$B$18)</f>
        <v>Tin học A.1</v>
      </c>
      <c r="D6" s="2" t="str">
        <f>IF(MID(A6,3,1)=$E$16,$E$17,IF(MID(A6,3,1)=$F$16,$F$17,$G$17))</f>
        <v>Sáng</v>
      </c>
      <c r="E6" s="27" t="str">
        <f>C6&amp;" "&amp;D6</f>
        <v>Tin học A.1 Sáng</v>
      </c>
      <c r="F6" s="27" t="str">
        <f>IF(B6&lt;10,"","x")</f>
        <v>x</v>
      </c>
      <c r="G6" s="27" t="str">
        <f>IF(B6&gt;=20,"x","")</f>
        <v>x</v>
      </c>
      <c r="H6" s="48">
        <f>IF(D6="sáng",$D$2,IF(D6="chiều",$D$2,$D$2+2))</f>
        <v>44344</v>
      </c>
      <c r="I6" s="27" t="str">
        <f>IF(B6&lt;10,"hủy","")</f>
        <v/>
      </c>
    </row>
    <row r="7" spans="1:10" ht="20.149999999999999" customHeight="1" x14ac:dyDescent="0.25">
      <c r="A7" s="2" t="s">
        <v>163</v>
      </c>
      <c r="B7" s="2">
        <v>18</v>
      </c>
      <c r="C7" s="2" t="str">
        <f>IF(LEFT(A7,2)=$A$17,$B$17,$B$18)</f>
        <v>Tin học A.1</v>
      </c>
      <c r="D7" s="2" t="str">
        <f>IF(MID(A7,3,1)=$E$16,$E$17,IF(MID(A7,3,1)=$F$16,$F$17,$G$17))</f>
        <v>Sáng</v>
      </c>
      <c r="E7" s="27" t="str">
        <f>C7&amp;" "&amp;D7</f>
        <v>Tin học A.1 Sáng</v>
      </c>
      <c r="F7" s="27" t="str">
        <f>IF(B7&lt;10,"","x")</f>
        <v>x</v>
      </c>
      <c r="G7" s="27" t="str">
        <f>IF(B7&gt;=20,"x","")</f>
        <v/>
      </c>
      <c r="H7" s="48">
        <f>IF(D7="sáng",$D$2,IF(D7="chiều",$D$2,$D$2+2))</f>
        <v>44344</v>
      </c>
      <c r="I7" s="27" t="str">
        <f>IF(B7&lt;10,"hủy","")</f>
        <v/>
      </c>
    </row>
    <row r="8" spans="1:10" ht="20.149999999999999" customHeight="1" x14ac:dyDescent="0.3">
      <c r="A8" s="2" t="s">
        <v>165</v>
      </c>
      <c r="B8" s="2">
        <v>7</v>
      </c>
      <c r="C8" s="2" t="str">
        <f>IF(LEFT(A8,2)=$A$17,$B$17,$B$18)</f>
        <v>Tin học A.1</v>
      </c>
      <c r="D8" s="2" t="str">
        <f>IF(MID(A8,3,1)=$E$16,$E$17,IF(MID(A8,3,1)=$F$16,$F$17,$G$17))</f>
        <v>Sáng</v>
      </c>
      <c r="E8" s="27" t="str">
        <f>C8&amp;" "&amp;D8</f>
        <v>Tin học A.1 Sáng</v>
      </c>
      <c r="F8" s="27" t="str">
        <f>IF(B8&lt;10,"","x")</f>
        <v/>
      </c>
      <c r="G8" s="27" t="str">
        <f>IF(B8&gt;=20,"x","")</f>
        <v/>
      </c>
      <c r="H8" s="48">
        <f>IF(D8="sáng",$D$2,IF(D8="chiều",$D$2,$D$2+2))</f>
        <v>44344</v>
      </c>
      <c r="I8" s="27" t="str">
        <f>IF(B8&lt;10,"hủy","")</f>
        <v>hủy</v>
      </c>
    </row>
    <row r="9" spans="1:10" ht="20.149999999999999" customHeight="1" x14ac:dyDescent="0.25">
      <c r="A9" s="2" t="s">
        <v>167</v>
      </c>
      <c r="B9" s="2">
        <v>28</v>
      </c>
      <c r="C9" s="2" t="str">
        <f>IF(LEFT(A9,2)=$A$17,$B$17,$B$18)</f>
        <v>Tin học A.1</v>
      </c>
      <c r="D9" s="2" t="str">
        <f>IF(MID(A9,3,1)=$E$16,$E$17,IF(MID(A9,3,1)=$F$16,$F$17,$G$17))</f>
        <v>Tối</v>
      </c>
      <c r="E9" s="27" t="str">
        <f>C9&amp;" "&amp;D9</f>
        <v>Tin học A.1 Tối</v>
      </c>
      <c r="F9" s="27" t="str">
        <f>IF(B9&lt;10,"","x")</f>
        <v>x</v>
      </c>
      <c r="G9" s="27" t="str">
        <f>IF(B9&gt;=20,"x","")</f>
        <v>x</v>
      </c>
      <c r="H9" s="48">
        <f>IF(D9="sáng",$D$2,IF(D9="chiều",$D$2,$D$2+2))</f>
        <v>44346</v>
      </c>
      <c r="I9" s="27" t="str">
        <f>IF(B9&lt;10,"hủy","")</f>
        <v/>
      </c>
    </row>
    <row r="10" spans="1:10" ht="20.149999999999999" customHeight="1" x14ac:dyDescent="0.25">
      <c r="A10" s="2" t="s">
        <v>161</v>
      </c>
      <c r="B10" s="2">
        <v>18</v>
      </c>
      <c r="C10" s="2" t="str">
        <f>IF(LEFT(A10,2)=$A$17,$B$17,$B$18)</f>
        <v>Tin học A.1</v>
      </c>
      <c r="D10" s="2" t="str">
        <f>IF(MID(A10,3,1)=$E$16,$E$17,IF(MID(A10,3,1)=$F$16,$F$17,$G$17))</f>
        <v>Tối</v>
      </c>
      <c r="E10" s="27" t="str">
        <f>C10&amp;" "&amp;D10</f>
        <v>Tin học A.1 Tối</v>
      </c>
      <c r="F10" s="27" t="str">
        <f>IF(B10&lt;10,"","x")</f>
        <v>x</v>
      </c>
      <c r="G10" s="27" t="str">
        <f>IF(B10&gt;=20,"x","")</f>
        <v/>
      </c>
      <c r="H10" s="48">
        <f>IF(D10="sáng",$D$2,IF(D10="chiều",$D$2,$D$2+2))</f>
        <v>44346</v>
      </c>
      <c r="I10" s="27" t="str">
        <f>IF(B10&lt;10,"hủy","")</f>
        <v/>
      </c>
    </row>
    <row r="11" spans="1:10" ht="20.149999999999999" customHeight="1" x14ac:dyDescent="0.25">
      <c r="A11" s="2" t="s">
        <v>162</v>
      </c>
      <c r="B11" s="2">
        <v>19</v>
      </c>
      <c r="C11" s="2" t="str">
        <f>IF(LEFT(A11,2)=$A$17,$B$17,$B$18)</f>
        <v>Tin học A.2</v>
      </c>
      <c r="D11" s="2" t="str">
        <f>IF(MID(A11,3,1)=$E$16,$E$17,IF(MID(A11,3,1)=$F$16,$F$17,$G$17))</f>
        <v>Chiều</v>
      </c>
      <c r="E11" s="27" t="str">
        <f>C11&amp;" "&amp;D11</f>
        <v>Tin học A.2 Chiều</v>
      </c>
      <c r="F11" s="27" t="str">
        <f>IF(B11&lt;10,"","x")</f>
        <v>x</v>
      </c>
      <c r="G11" s="27" t="str">
        <f>IF(B11&gt;=20,"x","")</f>
        <v/>
      </c>
      <c r="H11" s="48">
        <f>IF(D11="sáng",$D$2,IF(D11="chiều",$D$2,$D$2+2))</f>
        <v>44344</v>
      </c>
      <c r="I11" s="27" t="str">
        <f>IF(B11&lt;10,"hủy","")</f>
        <v/>
      </c>
    </row>
    <row r="12" spans="1:10" ht="20.149999999999999" customHeight="1" x14ac:dyDescent="0.25">
      <c r="A12" s="2" t="s">
        <v>168</v>
      </c>
      <c r="B12" s="2">
        <v>9</v>
      </c>
      <c r="C12" s="2" t="str">
        <f>IF(LEFT(A12,2)=$A$17,$B$17,$B$18)</f>
        <v>Tin học A.2</v>
      </c>
      <c r="D12" s="2" t="str">
        <f>IF(MID(A12,3,1)=$E$16,$E$17,IF(MID(A12,3,1)=$F$16,$F$17,$G$17))</f>
        <v>Sáng</v>
      </c>
      <c r="E12" s="27" t="str">
        <f>C12&amp;" "&amp;D12</f>
        <v>Tin học A.2 Sáng</v>
      </c>
      <c r="F12" s="27" t="str">
        <f>IF(B12&lt;10,"","x")</f>
        <v/>
      </c>
      <c r="G12" s="27" t="str">
        <f>IF(B12&gt;=20,"x","")</f>
        <v/>
      </c>
      <c r="H12" s="48">
        <f>IF(D12="sáng",$D$2,IF(D12="chiều",$D$2,$D$2+2))</f>
        <v>44344</v>
      </c>
      <c r="I12" s="27" t="str">
        <f>IF(B12&lt;10,"hủy","")</f>
        <v>hủy</v>
      </c>
    </row>
    <row r="13" spans="1:10" ht="20.149999999999999" customHeight="1" x14ac:dyDescent="0.25">
      <c r="A13" s="2" t="s">
        <v>166</v>
      </c>
      <c r="B13" s="2">
        <v>19</v>
      </c>
      <c r="C13" s="2" t="str">
        <f>IF(LEFT(A13,2)=$A$17,$B$17,$B$18)</f>
        <v>Tin học A.2</v>
      </c>
      <c r="D13" s="2" t="str">
        <f>IF(MID(A13,3,1)=$E$16,$E$17,IF(MID(A13,3,1)=$F$16,$F$17,$G$17))</f>
        <v>Tối</v>
      </c>
      <c r="E13" s="27" t="str">
        <f>C13&amp;" "&amp;D13</f>
        <v>Tin học A.2 Tối</v>
      </c>
      <c r="F13" s="27" t="str">
        <f>IF(B13&lt;10,"","x")</f>
        <v>x</v>
      </c>
      <c r="G13" s="27" t="str">
        <f>IF(B13&gt;=20,"x","")</f>
        <v/>
      </c>
      <c r="H13" s="48">
        <f>IF(D13="sáng",$D$2,IF(D13="chiều",$D$2,$D$2+2))</f>
        <v>44346</v>
      </c>
      <c r="I13" s="27" t="str">
        <f>IF(B13&lt;10,"hủy","")</f>
        <v/>
      </c>
    </row>
    <row r="14" spans="1:10" ht="20.149999999999999" customHeight="1" x14ac:dyDescent="0.3">
      <c r="J14" s="26"/>
    </row>
    <row r="15" spans="1:10" ht="20.149999999999999" customHeight="1" x14ac:dyDescent="0.3">
      <c r="A15" s="26" t="s">
        <v>18</v>
      </c>
      <c r="D15" s="26" t="s">
        <v>26</v>
      </c>
    </row>
    <row r="16" spans="1:10" ht="32.25" customHeight="1" x14ac:dyDescent="0.3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49999999999999" customHeight="1" x14ac:dyDescent="0.3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49999999999999" customHeight="1" x14ac:dyDescent="0.25">
      <c r="A18" s="5" t="s">
        <v>158</v>
      </c>
      <c r="B18" s="2" t="s">
        <v>160</v>
      </c>
    </row>
    <row r="19" spans="1:9" ht="20.149999999999999" customHeight="1" x14ac:dyDescent="0.35">
      <c r="A19"/>
      <c r="B19"/>
      <c r="F19" s="26" t="s">
        <v>136</v>
      </c>
    </row>
    <row r="20" spans="1:9" ht="20.149999999999999" customHeight="1" x14ac:dyDescent="0.3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49999999999999" customHeight="1" x14ac:dyDescent="0.3">
      <c r="A21" s="1" t="s">
        <v>148</v>
      </c>
      <c r="F21" s="8"/>
      <c r="G21" s="27">
        <f>COUNTIF(D5:D13,"sáng")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49999999999999" customHeight="1" x14ac:dyDescent="0.3">
      <c r="A22" s="1" t="s">
        <v>149</v>
      </c>
    </row>
    <row r="23" spans="1:9" ht="20.149999999999999" customHeight="1" x14ac:dyDescent="0.3">
      <c r="A23" s="1" t="s">
        <v>171</v>
      </c>
    </row>
    <row r="24" spans="1:9" ht="20.149999999999999" customHeight="1" x14ac:dyDescent="0.3">
      <c r="A24" s="1" t="s">
        <v>150</v>
      </c>
    </row>
    <row r="25" spans="1:9" ht="20.149999999999999" customHeight="1" x14ac:dyDescent="0.3">
      <c r="A25" s="1" t="s">
        <v>131</v>
      </c>
    </row>
    <row r="26" spans="1:9" ht="20.149999999999999" customHeight="1" x14ac:dyDescent="0.3">
      <c r="A26" s="9" t="s">
        <v>133</v>
      </c>
    </row>
    <row r="27" spans="1:9" ht="20.149999999999999" customHeight="1" x14ac:dyDescent="0.3">
      <c r="A27" s="1" t="s">
        <v>132</v>
      </c>
    </row>
  </sheetData>
  <sortState xmlns:xlrd2="http://schemas.microsoft.com/office/spreadsheetml/2017/richdata2" ref="A5:I13">
    <sortCondition ref="C5:C13"/>
    <sortCondition ref="D5:D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opLeftCell="A2" zoomScaleNormal="100" workbookViewId="0">
      <selection activeCell="I14" sqref="I14"/>
    </sheetView>
  </sheetViews>
  <sheetFormatPr defaultColWidth="9.1796875" defaultRowHeight="20.149999999999999" customHeight="1" x14ac:dyDescent="0.25"/>
  <cols>
    <col min="1" max="1" width="11.81640625" style="1" customWidth="1"/>
    <col min="2" max="2" width="12.81640625" style="1" customWidth="1"/>
    <col min="3" max="3" width="13.54296875" style="1" bestFit="1" customWidth="1"/>
    <col min="4" max="4" width="9.1796875" style="1" customWidth="1"/>
    <col min="5" max="5" width="10.81640625" style="1" bestFit="1" customWidth="1"/>
    <col min="6" max="8" width="6.7265625" style="1" customWidth="1"/>
    <col min="9" max="9" width="12.1796875" style="1" bestFit="1" customWidth="1"/>
    <col min="10" max="10" width="13.1796875" style="1" bestFit="1" customWidth="1"/>
    <col min="11" max="11" width="11" style="1" bestFit="1" customWidth="1"/>
    <col min="12" max="16384" width="9.1796875" style="1"/>
  </cols>
  <sheetData>
    <row r="1" spans="1:11" ht="29.25" customHeight="1" x14ac:dyDescent="0.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s="24" customFormat="1" ht="20.149999999999999" customHeight="1" x14ac:dyDescent="0.3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49999999999999" customHeight="1" x14ac:dyDescent="0.3">
      <c r="A3" s="3">
        <v>1</v>
      </c>
      <c r="B3" s="4" t="s">
        <v>32</v>
      </c>
      <c r="C3" s="34" t="str">
        <f>LEFT(B3,2)</f>
        <v>BD</v>
      </c>
      <c r="D3" s="32">
        <f>RIGHT(B3,1)+0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IF(E3="A",$F$14,IF(E3="B",$F$15,$F$16))</f>
        <v>26</v>
      </c>
      <c r="J3" s="27">
        <f>IF(D3="1","0",IF(D3="2","1","2"))+IF(C3="HS","0",IF(C3="BD","0.5","1"))</f>
        <v>2.5</v>
      </c>
      <c r="K3" s="27">
        <f>SUM(J3,F3:H3)</f>
        <v>19</v>
      </c>
    </row>
    <row r="4" spans="1:11" ht="20.149999999999999" customHeight="1" x14ac:dyDescent="0.25">
      <c r="A4" s="3">
        <v>2</v>
      </c>
      <c r="B4" s="2" t="s">
        <v>11</v>
      </c>
      <c r="C4" s="34" t="str">
        <f t="shared" ref="C4:C10" si="0">LEFT(B4,2)</f>
        <v>HS</v>
      </c>
      <c r="D4" s="32">
        <f t="shared" ref="D4:D10" si="1">RIGHT(B4,1)+0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IF(E4="A",$F$14,IF(E4="B",$F$15,$F$16))</f>
        <v>26</v>
      </c>
      <c r="J4" s="27">
        <f t="shared" ref="J4:J10" si="4">IF(D4="1","0",IF(D4="2","1","2"))+IF(C4="HS","0",IF(C4="BD","0.5","1"))</f>
        <v>2</v>
      </c>
      <c r="K4" s="27">
        <f t="shared" ref="K4:K10" si="5">SUM(J4,F4:H4)</f>
        <v>22</v>
      </c>
    </row>
    <row r="5" spans="1:11" ht="20.149999999999999" customHeight="1" x14ac:dyDescent="0.25">
      <c r="A5" s="3">
        <v>3</v>
      </c>
      <c r="B5" s="2" t="s">
        <v>12</v>
      </c>
      <c r="C5" s="34" t="str">
        <f t="shared" si="0"/>
        <v>CL</v>
      </c>
      <c r="D5" s="32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49999999999999" customHeight="1" x14ac:dyDescent="0.25">
      <c r="A6" s="3">
        <v>4</v>
      </c>
      <c r="B6" s="2" t="s">
        <v>13</v>
      </c>
      <c r="C6" s="34" t="str">
        <f t="shared" si="0"/>
        <v>HS</v>
      </c>
      <c r="D6" s="32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2</v>
      </c>
      <c r="K6" s="27">
        <f t="shared" si="5"/>
        <v>22</v>
      </c>
    </row>
    <row r="7" spans="1:11" ht="20.149999999999999" customHeight="1" x14ac:dyDescent="0.25">
      <c r="A7" s="3">
        <v>5</v>
      </c>
      <c r="B7" s="2" t="s">
        <v>14</v>
      </c>
      <c r="C7" s="34" t="str">
        <f t="shared" si="0"/>
        <v>CL</v>
      </c>
      <c r="D7" s="32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49999999999999" customHeight="1" x14ac:dyDescent="0.25">
      <c r="A8" s="3">
        <v>6</v>
      </c>
      <c r="B8" s="2" t="s">
        <v>15</v>
      </c>
      <c r="C8" s="34" t="str">
        <f t="shared" si="0"/>
        <v>BD</v>
      </c>
      <c r="D8" s="32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49999999999999" customHeight="1" x14ac:dyDescent="0.25">
      <c r="A9" s="3">
        <v>7</v>
      </c>
      <c r="B9" s="2" t="s">
        <v>16</v>
      </c>
      <c r="C9" s="34" t="str">
        <f t="shared" si="0"/>
        <v>HS</v>
      </c>
      <c r="D9" s="32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49999999999999" customHeight="1" x14ac:dyDescent="0.25">
      <c r="A10" s="3">
        <v>8</v>
      </c>
      <c r="B10" s="2" t="s">
        <v>17</v>
      </c>
      <c r="C10" s="34" t="str">
        <f t="shared" si="0"/>
        <v>CL</v>
      </c>
      <c r="D10" s="32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49999999999999" customHeight="1" x14ac:dyDescent="0.3">
      <c r="A12" s="26" t="s">
        <v>18</v>
      </c>
      <c r="D12" s="26" t="s">
        <v>26</v>
      </c>
      <c r="H12" s="26" t="s">
        <v>33</v>
      </c>
    </row>
    <row r="13" spans="1:11" ht="32.25" customHeight="1" x14ac:dyDescent="0.3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34</v>
      </c>
      <c r="J13" s="46" t="s">
        <v>35</v>
      </c>
    </row>
    <row r="14" spans="1:11" ht="20.149999999999999" customHeight="1" x14ac:dyDescent="0.25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COUNTIF(D3:D10,"1")</f>
        <v>2</v>
      </c>
      <c r="J14" s="27">
        <f>COUNTIF(D3:D10,"2")</f>
        <v>3</v>
      </c>
    </row>
    <row r="15" spans="1:11" ht="20.149999999999999" customHeight="1" x14ac:dyDescent="0.25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 t="shared" ref="I15:I16" si="6">COUNTIF(D4:D11,"1")</f>
        <v>1</v>
      </c>
      <c r="J15" s="27">
        <f t="shared" ref="J15:J16" si="7">COUNTIF(D4:D11,"2")</f>
        <v>3</v>
      </c>
    </row>
    <row r="16" spans="1:11" ht="20.149999999999999" customHeight="1" x14ac:dyDescent="0.25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 t="shared" si="6"/>
        <v>1</v>
      </c>
      <c r="J16" s="27">
        <f t="shared" si="7"/>
        <v>3</v>
      </c>
    </row>
    <row r="18" spans="1:10" ht="20.149999999999999" customHeight="1" x14ac:dyDescent="0.25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49999999999999" customHeight="1" x14ac:dyDescent="0.25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49999999999999" customHeight="1" x14ac:dyDescent="0.25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49999999999999" customHeight="1" x14ac:dyDescent="0.25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49999999999999" customHeight="1" x14ac:dyDescent="0.25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49999999999999" customHeight="1" x14ac:dyDescent="0.25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49999999999999" customHeight="1" x14ac:dyDescent="0.25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="72" zoomScaleNormal="100" workbookViewId="0">
      <selection activeCell="B15" sqref="B15"/>
    </sheetView>
  </sheetViews>
  <sheetFormatPr defaultColWidth="9.1796875" defaultRowHeight="14" x14ac:dyDescent="0.3"/>
  <cols>
    <col min="1" max="1" width="9.1796875" style="51"/>
    <col min="2" max="2" width="14.81640625" style="51" customWidth="1"/>
    <col min="3" max="3" width="12" style="51" customWidth="1"/>
    <col min="4" max="6" width="9.1796875" style="51"/>
    <col min="7" max="7" width="14" style="51" customWidth="1"/>
    <col min="8" max="8" width="17.453125" style="51" customWidth="1"/>
    <col min="9" max="16384" width="9.1796875" style="51"/>
  </cols>
  <sheetData>
    <row r="1" spans="1:9" ht="22" x14ac:dyDescent="0.4">
      <c r="A1" s="73" t="s">
        <v>188</v>
      </c>
      <c r="B1" s="73"/>
      <c r="C1" s="73"/>
      <c r="D1" s="73"/>
      <c r="E1" s="73"/>
      <c r="F1" s="73"/>
      <c r="G1" s="73"/>
      <c r="H1" s="73"/>
      <c r="I1" s="73"/>
    </row>
    <row r="2" spans="1:9" ht="60" customHeight="1" x14ac:dyDescent="0.3">
      <c r="A2" s="49" t="s">
        <v>179</v>
      </c>
      <c r="B2" s="49" t="s">
        <v>180</v>
      </c>
      <c r="C2" s="50" t="s">
        <v>183</v>
      </c>
      <c r="D2" s="50" t="s">
        <v>184</v>
      </c>
      <c r="E2" s="50" t="s">
        <v>185</v>
      </c>
      <c r="F2" s="50" t="s">
        <v>186</v>
      </c>
      <c r="G2" s="50" t="s">
        <v>187</v>
      </c>
      <c r="H2" s="50" t="s">
        <v>181</v>
      </c>
      <c r="I2" s="49" t="s">
        <v>182</v>
      </c>
    </row>
    <row r="3" spans="1:9" x14ac:dyDescent="0.3">
      <c r="A3" s="52">
        <v>1</v>
      </c>
      <c r="B3" s="53" t="s">
        <v>73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IF(F3:F7&gt;=9,IF(C3:C7="A","150000",""))*1</f>
        <v>150000</v>
      </c>
      <c r="I3" s="55">
        <f>RANK(F3,$F$3:$F$7,0)</f>
        <v>1</v>
      </c>
    </row>
    <row r="4" spans="1:9" x14ac:dyDescent="0.3">
      <c r="A4" s="52">
        <v>2</v>
      </c>
      <c r="B4" s="53" t="s">
        <v>74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>
        <f>IF(F4:F8&gt;=9,IF(C4:C8="A","150000",))*1</f>
        <v>0</v>
      </c>
      <c r="I4" s="55">
        <f t="shared" ref="I4:I7" si="2">RANK(F4,$F$3:$F$7,0)</f>
        <v>2</v>
      </c>
    </row>
    <row r="5" spans="1:9" x14ac:dyDescent="0.3">
      <c r="A5" s="52">
        <v>3</v>
      </c>
      <c r="B5" s="53" t="s">
        <v>189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>
        <f t="shared" ref="H5:H7" si="3">IF(F5:F9&gt;=9,IF(C5:C9="A","150000",))+0</f>
        <v>0</v>
      </c>
      <c r="I5" s="55">
        <f t="shared" si="2"/>
        <v>4</v>
      </c>
    </row>
    <row r="6" spans="1:9" x14ac:dyDescent="0.3">
      <c r="A6" s="52">
        <v>4</v>
      </c>
      <c r="B6" s="53" t="s">
        <v>75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>
        <f t="shared" si="3"/>
        <v>0</v>
      </c>
      <c r="I6" s="55">
        <f t="shared" si="2"/>
        <v>5</v>
      </c>
    </row>
    <row r="7" spans="1:9" x14ac:dyDescent="0.3">
      <c r="A7" s="52">
        <v>5</v>
      </c>
      <c r="B7" s="53" t="s">
        <v>76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>
        <f t="shared" si="3"/>
        <v>0</v>
      </c>
      <c r="I7" s="55">
        <f t="shared" si="2"/>
        <v>2</v>
      </c>
    </row>
    <row r="9" spans="1:9" x14ac:dyDescent="0.3">
      <c r="A9" s="56"/>
      <c r="B9" s="56"/>
      <c r="C9" s="56"/>
      <c r="D9" s="56"/>
      <c r="E9" s="56"/>
      <c r="F9" s="56"/>
      <c r="G9" s="56"/>
      <c r="H9" s="56"/>
    </row>
    <row r="10" spans="1:9" ht="15" x14ac:dyDescent="0.3">
      <c r="A10" s="57" t="s">
        <v>175</v>
      </c>
      <c r="B10" s="57"/>
      <c r="C10" s="56"/>
      <c r="D10" s="56"/>
      <c r="E10" s="56"/>
      <c r="F10" s="56"/>
      <c r="G10" s="56"/>
      <c r="H10" s="56"/>
    </row>
    <row r="11" spans="1:9" ht="15" x14ac:dyDescent="0.3">
      <c r="A11" s="57" t="s">
        <v>176</v>
      </c>
      <c r="B11" s="57"/>
      <c r="C11" s="56"/>
      <c r="D11" s="56"/>
      <c r="E11" s="56"/>
      <c r="F11" s="56"/>
      <c r="G11" s="56"/>
      <c r="H11" s="56"/>
    </row>
    <row r="12" spans="1:9" ht="15" x14ac:dyDescent="0.3">
      <c r="A12" s="57" t="s">
        <v>177</v>
      </c>
      <c r="B12" s="57"/>
      <c r="C12" s="56"/>
      <c r="D12" s="56"/>
      <c r="E12" s="56"/>
      <c r="F12" s="56"/>
      <c r="G12" s="56"/>
      <c r="H12" s="56"/>
    </row>
    <row r="13" spans="1:9" ht="15" x14ac:dyDescent="0.3">
      <c r="A13" s="58" t="s">
        <v>178</v>
      </c>
      <c r="B13" s="59"/>
    </row>
    <row r="14" spans="1:9" ht="47.25" customHeight="1" x14ac:dyDescent="0.3">
      <c r="A14" s="60" t="s">
        <v>144</v>
      </c>
      <c r="B14" s="61" t="s">
        <v>151</v>
      </c>
      <c r="C14" s="62" t="s">
        <v>145</v>
      </c>
      <c r="D14" s="74" t="s">
        <v>152</v>
      </c>
      <c r="E14" s="74"/>
    </row>
    <row r="15" spans="1:9" x14ac:dyDescent="0.3">
      <c r="A15" s="63">
        <f>A7-A3+1</f>
        <v>5</v>
      </c>
      <c r="B15" s="84">
        <f>MAX(F3:F7)</f>
        <v>9.6666666666666661</v>
      </c>
      <c r="C15" s="85">
        <f>SUM(H3:H7)</f>
        <v>150000</v>
      </c>
      <c r="D15" s="75">
        <f>COUNTIF(D3:D7,"&gt;=9")</f>
        <v>2</v>
      </c>
      <c r="E15" s="75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51"/>
  <sheetViews>
    <sheetView topLeftCell="A11" zoomScale="78" zoomScaleNormal="100" workbookViewId="0">
      <selection activeCell="A3" sqref="A3:J10"/>
    </sheetView>
  </sheetViews>
  <sheetFormatPr defaultColWidth="9.1796875" defaultRowHeight="20.149999999999999" customHeight="1" x14ac:dyDescent="0.25"/>
  <cols>
    <col min="1" max="1" width="9.1796875" style="1" customWidth="1"/>
    <col min="2" max="2" width="12.81640625" style="1" customWidth="1"/>
    <col min="3" max="3" width="12.7265625" style="1" customWidth="1"/>
    <col min="4" max="4" width="10.7265625" style="1" bestFit="1" customWidth="1"/>
    <col min="5" max="5" width="9.7265625" style="1" bestFit="1" customWidth="1"/>
    <col min="6" max="6" width="9.1796875" style="1" customWidth="1"/>
    <col min="7" max="7" width="10.81640625" style="1" bestFit="1" customWidth="1"/>
    <col min="8" max="8" width="13.26953125" style="1" customWidth="1"/>
    <col min="9" max="9" width="10.7265625" style="1" bestFit="1" customWidth="1"/>
    <col min="10" max="10" width="9.54296875" style="1" customWidth="1"/>
    <col min="11" max="16384" width="9.1796875" style="1"/>
  </cols>
  <sheetData>
    <row r="1" spans="1:11" ht="28.5" customHeight="1" x14ac:dyDescent="0.25">
      <c r="A1" s="77" t="s">
        <v>36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24" customHeight="1" x14ac:dyDescent="0.25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49999999999999" customHeight="1" x14ac:dyDescent="0.3">
      <c r="A3" s="5">
        <v>1</v>
      </c>
      <c r="B3" s="4" t="s">
        <v>72</v>
      </c>
      <c r="C3" s="2" t="str">
        <f>IF(LEFT(B3,2)=$A$15,$B$15,IF(LEFT(B3,2)=$A$16,$B$16,IF(LEFT(B3,2)=$A$17,$B$17,$B$18)))</f>
        <v>PEPSI</v>
      </c>
      <c r="D3" s="5">
        <v>20</v>
      </c>
      <c r="E3" s="2">
        <v>1400</v>
      </c>
      <c r="F3" s="27" t="b">
        <f>IF(AND(D3&gt;=50),IF(C3="PEPSI",IF(I3="CHAI","5%*D3*E3","")))</f>
        <v>0</v>
      </c>
      <c r="G3" s="32">
        <f>D3*E3</f>
        <v>28000</v>
      </c>
      <c r="H3" s="27" t="str">
        <f>IF(D3&gt;=50,"có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49999999999999" customHeight="1" x14ac:dyDescent="0.25">
      <c r="A4" s="5">
        <v>2</v>
      </c>
      <c r="B4" s="2" t="s">
        <v>44</v>
      </c>
      <c r="C4" s="2" t="str">
        <f>IF(LEFT(B4,2)=$A$15,$B$15,IF(LEFT(B4,2)=$A$16,$B$16,IF(LEFT(B4,2)=$A$17,$B$17,$B$18)))</f>
        <v>COCA COLA</v>
      </c>
      <c r="D4" s="5">
        <v>40</v>
      </c>
      <c r="E4" s="2">
        <v>1600</v>
      </c>
      <c r="F4" s="27" t="b">
        <f>IF(AND(D4&gt;=50),IF(C4="PEPSI",IF(I4="CHAI","5%*D3*E3","")))</f>
        <v>0</v>
      </c>
      <c r="G4" s="32">
        <f>D4*E4</f>
        <v>64000</v>
      </c>
      <c r="H4" s="27" t="str">
        <f>IF(D4&gt;=50,"có quà tặng","")</f>
        <v/>
      </c>
      <c r="I4" s="27" t="str">
        <f>IF(MID(B4,5,1)="C","chai","lon")</f>
        <v>chai</v>
      </c>
      <c r="J4" s="27" t="str">
        <f>IF(RIGHT(B4,1)="N","Nhập","xuất")</f>
        <v>Nhập</v>
      </c>
    </row>
    <row r="5" spans="1:11" ht="20.149999999999999" customHeight="1" x14ac:dyDescent="0.25">
      <c r="A5" s="5">
        <v>8</v>
      </c>
      <c r="B5" s="2" t="s">
        <v>50</v>
      </c>
      <c r="C5" s="2" t="str">
        <f>IF(LEFT(B5,2)=$A$15,$B$15,IF(LEFT(B5,2)=$A$16,$B$16,IF(LEFT(B5,2)=$A$17,$B$17,$B$18)))</f>
        <v>FANTA</v>
      </c>
      <c r="D5" s="5">
        <v>70</v>
      </c>
      <c r="E5" s="2">
        <v>2000</v>
      </c>
      <c r="F5" s="27" t="b">
        <f>IF(AND(D5&gt;=50),IF(C5="PEPSI",IF(I5="CHAI","5%*D3*E3","")))</f>
        <v>0</v>
      </c>
      <c r="G5" s="32">
        <f>D5*E5</f>
        <v>140000</v>
      </c>
      <c r="H5" s="27" t="str">
        <f>IF(D5&gt;=50,"có quà tặng","")</f>
        <v>có quà tặng</v>
      </c>
      <c r="I5" s="27" t="str">
        <f>IF(MID(B5,5,1)="C","chai","lon")</f>
        <v>chai</v>
      </c>
      <c r="J5" s="27" t="str">
        <f>IF(RIGHT(B5,1)="N","Nhập","xuất")</f>
        <v>Nhập</v>
      </c>
    </row>
    <row r="6" spans="1:11" ht="20.149999999999999" customHeight="1" x14ac:dyDescent="0.25">
      <c r="A6" s="5">
        <v>5</v>
      </c>
      <c r="B6" s="2" t="s">
        <v>47</v>
      </c>
      <c r="C6" s="2" t="str">
        <f>IF(LEFT(B6,2)=$A$15,$B$15,IF(LEFT(B6,2)=$A$16,$B$16,IF(LEFT(B6,2)=$A$17,$B$17,$B$18)))</f>
        <v>FANTA</v>
      </c>
      <c r="D6" s="5">
        <v>80</v>
      </c>
      <c r="E6" s="2">
        <v>2000</v>
      </c>
      <c r="F6" s="27" t="b">
        <f>IF(AND(D6&gt;=50),IF(C6="PEPSI",IF(I6="CHAI","5%*D3*E3","")))</f>
        <v>0</v>
      </c>
      <c r="G6" s="32">
        <f>D6*E6</f>
        <v>160000</v>
      </c>
      <c r="H6" s="27" t="str">
        <f>IF(D6&gt;=50,"có quà tặng","")</f>
        <v>có quà tặng</v>
      </c>
      <c r="I6" s="27" t="str">
        <f>IF(MID(B6,5,1)="C","chai","lon")</f>
        <v>lon</v>
      </c>
      <c r="J6" s="27" t="str">
        <f>IF(RIGHT(B6,1)="N","Nhập","xuất")</f>
        <v>Nhập</v>
      </c>
    </row>
    <row r="7" spans="1:11" ht="20.149999999999999" customHeight="1" x14ac:dyDescent="0.25">
      <c r="A7" s="5">
        <v>7</v>
      </c>
      <c r="B7" s="2" t="s">
        <v>49</v>
      </c>
      <c r="C7" s="2" t="str">
        <f>IF(LEFT(B7,2)=$A$15,$B$15,IF(LEFT(B7,2)=$A$16,$B$16,IF(LEFT(B7,2)=$A$17,$B$17,$B$18)))</f>
        <v>PEPSI</v>
      </c>
      <c r="D7" s="5">
        <v>50</v>
      </c>
      <c r="E7" s="2">
        <v>1800</v>
      </c>
      <c r="F7" s="27" t="str">
        <f>IF(AND(D7&gt;=50),IF(C7="PEPSI",IF(I7="CHAI","5%*D3*E3","")))</f>
        <v>5%*D3*E3</v>
      </c>
      <c r="G7" s="32">
        <f>D7*E7</f>
        <v>90000</v>
      </c>
      <c r="H7" s="27" t="str">
        <f>IF(D7&gt;=50,"có quà tặng","")</f>
        <v>có quà tặng</v>
      </c>
      <c r="I7" s="27" t="str">
        <f>IF(MID(B7,5,1)="C","chai","lon")</f>
        <v>chai</v>
      </c>
      <c r="J7" s="27" t="str">
        <f>IF(RIGHT(B7,1)="N","Nhập","xuất")</f>
        <v>xuất</v>
      </c>
    </row>
    <row r="8" spans="1:11" ht="20.149999999999999" customHeight="1" x14ac:dyDescent="0.25">
      <c r="A8" s="5">
        <v>4</v>
      </c>
      <c r="B8" s="2" t="s">
        <v>46</v>
      </c>
      <c r="C8" s="2" t="str">
        <f>IF(LEFT(B8,2)=$A$15,$B$15,IF(LEFT(B8,2)=$A$16,$B$16,IF(LEFT(B8,2)=$A$17,$B$17,$B$18)))</f>
        <v>PEPSI</v>
      </c>
      <c r="D8" s="5">
        <v>80</v>
      </c>
      <c r="E8" s="2">
        <v>1400</v>
      </c>
      <c r="F8" s="27" t="str">
        <f>IF(AND(D8&gt;=50),IF(C8="PEPSI",IF(I8="CHAI","5%*D3*E3","")))</f>
        <v>5%*D3*E3</v>
      </c>
      <c r="G8" s="32">
        <f>D8*E8</f>
        <v>112000</v>
      </c>
      <c r="H8" s="27" t="str">
        <f>IF(D8&gt;=50,"có quà tặng","")</f>
        <v>có quà tặng</v>
      </c>
      <c r="I8" s="27" t="str">
        <f>IF(MID(B8,5,1)="C","chai","lon")</f>
        <v>chai</v>
      </c>
      <c r="J8" s="27" t="str">
        <f>IF(RIGHT(B8,1)="N","Nhập","xuất")</f>
        <v>Nhập</v>
      </c>
    </row>
    <row r="9" spans="1:11" ht="20.149999999999999" customHeight="1" x14ac:dyDescent="0.25">
      <c r="A9" s="5">
        <v>3</v>
      </c>
      <c r="B9" s="2" t="s">
        <v>45</v>
      </c>
      <c r="C9" s="2" t="str">
        <f>IF(LEFT(B9,2)=$A$15,$B$15,IF(LEFT(B9,2)=$A$16,$B$16,IF(LEFT(B9,2)=$A$17,$B$17,$B$18)))</f>
        <v>SPRITE</v>
      </c>
      <c r="D9" s="5">
        <v>35</v>
      </c>
      <c r="E9" s="2">
        <v>1800</v>
      </c>
      <c r="F9" s="27" t="b">
        <f>IF(AND(D9&gt;=50),IF(C9="PEPSI",IF(I9="CHAI","5%*D3*E3","")))</f>
        <v>0</v>
      </c>
      <c r="G9" s="32">
        <f>D9*E9</f>
        <v>63000</v>
      </c>
      <c r="H9" s="27" t="str">
        <f>IF(D9&gt;=50,"có quà tặng","")</f>
        <v/>
      </c>
      <c r="I9" s="27" t="str">
        <f>IF(MID(B9,5,1)="C","chai","lon")</f>
        <v>lon</v>
      </c>
      <c r="J9" s="27" t="str">
        <f>IF(RIGHT(B9,1)="N","Nhập","xuất")</f>
        <v>Nhập</v>
      </c>
    </row>
    <row r="10" spans="1:11" ht="20.149999999999999" customHeight="1" x14ac:dyDescent="0.25">
      <c r="A10" s="5">
        <v>6</v>
      </c>
      <c r="B10" s="2" t="s">
        <v>48</v>
      </c>
      <c r="C10" s="2" t="str">
        <f>IF(LEFT(B10,2)=$A$15,$B$15,IF(LEFT(B10,2)=$A$16,$B$16,IF(LEFT(B10,2)=$A$17,$B$17,$B$18)))</f>
        <v>SPRITE</v>
      </c>
      <c r="D10" s="5">
        <v>35</v>
      </c>
      <c r="E10" s="2">
        <v>2300</v>
      </c>
      <c r="F10" s="27" t="b">
        <f>IF(AND(D10&gt;=50),IF(C10="PEPSI",IF(I10="CHAI","5%*D3*E3","")))</f>
        <v>0</v>
      </c>
      <c r="G10" s="32">
        <f>D10*E10</f>
        <v>80500</v>
      </c>
      <c r="H10" s="27" t="str">
        <f>IF(D10&gt;=50,"có quà tặng","")</f>
        <v/>
      </c>
      <c r="I10" s="27" t="str">
        <f>IF(MID(B10,5,1)="C","chai","lon")</f>
        <v>lon</v>
      </c>
      <c r="J10" s="27" t="str">
        <f>IF(RIGHT(B10,1)="N","Nhập","xuất")</f>
        <v>xuất</v>
      </c>
    </row>
    <row r="12" spans="1:11" ht="20.149999999999999" customHeight="1" x14ac:dyDescent="0.25">
      <c r="A12" s="1" t="s">
        <v>18</v>
      </c>
      <c r="F12" s="1" t="s">
        <v>26</v>
      </c>
      <c r="I12" s="1" t="s">
        <v>67</v>
      </c>
    </row>
    <row r="13" spans="1:11" ht="20.149999999999999" customHeight="1" x14ac:dyDescent="0.3">
      <c r="A13" s="76" t="s">
        <v>51</v>
      </c>
      <c r="B13" s="76" t="s">
        <v>38</v>
      </c>
      <c r="C13" s="76" t="s">
        <v>40</v>
      </c>
      <c r="D13" s="76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49999999999999" customHeight="1" x14ac:dyDescent="0.25">
      <c r="A14" s="76"/>
      <c r="B14" s="76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COUNTIFS($C$3:$C$10,"PEPSI",$J$3:$J$10,"nhập")</f>
        <v>2</v>
      </c>
      <c r="K14" s="27">
        <f>COUNTIFS($C$3:$C$10,"PEPSI",$J$3:$J$10,"XUẤT")</f>
        <v>1</v>
      </c>
    </row>
    <row r="15" spans="1:11" ht="20.149999999999999" customHeight="1" x14ac:dyDescent="0.25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COUNTIFS($C$3:$C$10,"COCA COLA",$J$3:$J$10,"nhập")</f>
        <v>1</v>
      </c>
      <c r="K15" s="27">
        <f>COUNTIFS($C$3:$C$10,"coca cola",$J$3:$J$10,"xuất")</f>
        <v>0</v>
      </c>
    </row>
    <row r="16" spans="1:11" ht="20.149999999999999" customHeight="1" x14ac:dyDescent="0.25">
      <c r="A16" s="5" t="s">
        <v>53</v>
      </c>
      <c r="B16" s="2" t="s">
        <v>57</v>
      </c>
      <c r="C16" s="2">
        <v>1600</v>
      </c>
      <c r="D16" s="2">
        <v>2000</v>
      </c>
    </row>
    <row r="17" spans="1:4" ht="20.149999999999999" customHeight="1" x14ac:dyDescent="0.25">
      <c r="A17" s="5" t="s">
        <v>54</v>
      </c>
      <c r="B17" s="2" t="s">
        <v>58</v>
      </c>
      <c r="C17" s="2">
        <v>1800</v>
      </c>
      <c r="D17" s="2">
        <v>2300</v>
      </c>
    </row>
    <row r="18" spans="1:4" ht="20.149999999999999" customHeight="1" x14ac:dyDescent="0.25">
      <c r="A18" s="5" t="s">
        <v>55</v>
      </c>
      <c r="B18" s="2" t="s">
        <v>59</v>
      </c>
      <c r="C18" s="2">
        <v>2000</v>
      </c>
      <c r="D18" s="2">
        <v>2500</v>
      </c>
    </row>
    <row r="20" spans="1:4" ht="20.149999999999999" customHeight="1" x14ac:dyDescent="0.25">
      <c r="A20" s="23" t="s">
        <v>129</v>
      </c>
    </row>
    <row r="21" spans="1:4" ht="20.149999999999999" customHeight="1" x14ac:dyDescent="0.3">
      <c r="A21" s="23"/>
      <c r="B21" s="1" t="s">
        <v>173</v>
      </c>
    </row>
    <row r="22" spans="1:4" ht="20.149999999999999" customHeight="1" x14ac:dyDescent="0.3">
      <c r="B22" s="1" t="s">
        <v>146</v>
      </c>
    </row>
    <row r="23" spans="1:4" ht="20.149999999999999" customHeight="1" x14ac:dyDescent="0.3">
      <c r="B23" s="1" t="s">
        <v>80</v>
      </c>
      <c r="C23" s="1" t="s">
        <v>147</v>
      </c>
    </row>
    <row r="24" spans="1:4" ht="20.149999999999999" customHeight="1" x14ac:dyDescent="0.25">
      <c r="A24" s="1" t="s">
        <v>77</v>
      </c>
    </row>
    <row r="25" spans="1:4" ht="20.149999999999999" customHeight="1" x14ac:dyDescent="0.3">
      <c r="A25" s="1" t="s">
        <v>141</v>
      </c>
    </row>
    <row r="26" spans="1:4" ht="20.149999999999999" customHeight="1" x14ac:dyDescent="0.3">
      <c r="A26" s="1" t="s">
        <v>143</v>
      </c>
    </row>
    <row r="27" spans="1:4" ht="20.149999999999999" customHeight="1" x14ac:dyDescent="0.3">
      <c r="A27" s="1" t="s">
        <v>142</v>
      </c>
    </row>
    <row r="28" spans="1:4" ht="20.149999999999999" customHeight="1" x14ac:dyDescent="0.3">
      <c r="A28" s="26" t="s">
        <v>135</v>
      </c>
    </row>
    <row r="29" spans="1:4" ht="20.149999999999999" customHeight="1" x14ac:dyDescent="0.3">
      <c r="A29" s="1" t="s">
        <v>130</v>
      </c>
    </row>
    <row r="137" spans="6:6" ht="20.149999999999999" customHeight="1" x14ac:dyDescent="0.25">
      <c r="F137" s="86"/>
    </row>
    <row r="151" spans="6:6" ht="20.149999999999999" customHeight="1" x14ac:dyDescent="0.25">
      <c r="F151" s="23"/>
    </row>
  </sheetData>
  <sortState xmlns:xlrd2="http://schemas.microsoft.com/office/spreadsheetml/2017/richdata2" ref="A4:J10">
    <sortCondition ref="B4:B10"/>
    <sortCondition descending="1" ref="D4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A4" sqref="A4:K13"/>
    </sheetView>
  </sheetViews>
  <sheetFormatPr defaultColWidth="9.1796875" defaultRowHeight="12.5" x14ac:dyDescent="0.25"/>
  <cols>
    <col min="1" max="1" width="9.1796875" style="1" customWidth="1"/>
    <col min="2" max="2" width="7.54296875" style="1" customWidth="1"/>
    <col min="3" max="3" width="8.1796875" style="1" customWidth="1"/>
    <col min="4" max="4" width="8.26953125" style="1" customWidth="1"/>
    <col min="5" max="16384" width="9.1796875" style="1"/>
  </cols>
  <sheetData>
    <row r="1" spans="1:11" ht="22.5" x14ac:dyDescent="0.45">
      <c r="A1" s="81" t="s">
        <v>117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3" x14ac:dyDescent="0.3">
      <c r="A2" s="79" t="s">
        <v>1</v>
      </c>
      <c r="B2" s="82" t="s">
        <v>97</v>
      </c>
      <c r="C2" s="83"/>
      <c r="D2" s="43" t="s">
        <v>98</v>
      </c>
      <c r="E2" s="78" t="s">
        <v>112</v>
      </c>
      <c r="F2" s="78"/>
      <c r="G2" s="78"/>
      <c r="H2" s="78"/>
      <c r="I2" s="43" t="s">
        <v>107</v>
      </c>
      <c r="J2" s="43" t="s">
        <v>108</v>
      </c>
      <c r="K2" s="43" t="s">
        <v>111</v>
      </c>
    </row>
    <row r="3" spans="1:11" ht="13" x14ac:dyDescent="0.3">
      <c r="A3" s="80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5">
      <c r="A4" s="5">
        <v>6</v>
      </c>
      <c r="B4" s="2">
        <v>35</v>
      </c>
      <c r="C4" s="2">
        <v>233</v>
      </c>
      <c r="D4" s="31">
        <f>C4-B4</f>
        <v>198</v>
      </c>
      <c r="E4" s="31">
        <f>IF($E$3="500đ","100","")+0</f>
        <v>100</v>
      </c>
      <c r="F4" s="31">
        <f>IF($F$3="650đ","50","")+0</f>
        <v>50</v>
      </c>
      <c r="G4" s="31">
        <f>IF($G$3="900đ","25","")+0</f>
        <v>25</v>
      </c>
      <c r="H4" s="31">
        <f>IF($H$3="1000đ","0","")+0</f>
        <v>0</v>
      </c>
      <c r="I4" s="31">
        <f>IF(D4:D13&gt;=350,"200000",IF(249&lt;=D4:D13&lt;=349,"100000","0"))+0</f>
        <v>0</v>
      </c>
      <c r="J4" s="27" t="str">
        <f>(500*$I$22+650*$J$22+900*$K$22+1000*L22)+I4&amp;"đ"</f>
        <v>105000đ</v>
      </c>
      <c r="K4" s="27" t="str">
        <f>IF(I4&gt;0,"phạt tiền","")</f>
        <v/>
      </c>
    </row>
    <row r="5" spans="1:11" x14ac:dyDescent="0.25">
      <c r="A5" s="5">
        <v>1</v>
      </c>
      <c r="B5" s="2">
        <v>50</v>
      </c>
      <c r="C5" s="2">
        <v>230</v>
      </c>
      <c r="D5" s="31">
        <f>C5-B5</f>
        <v>180</v>
      </c>
      <c r="E5" s="31">
        <f>IF($E$3="500đ","100","")+0</f>
        <v>100</v>
      </c>
      <c r="F5" s="31">
        <f>IF($F$3="650đ","50","")+0</f>
        <v>50</v>
      </c>
      <c r="G5" s="31">
        <f>IF($G$3="900đ","25","")+0</f>
        <v>25</v>
      </c>
      <c r="H5" s="31">
        <f>IF($H$3="1000đ","0","")+0</f>
        <v>0</v>
      </c>
      <c r="I5" s="31">
        <f>IF(D5:D14&gt;=350,"200000",IF(249&lt;=D5:D14&lt;=349,"100000","0"))+0</f>
        <v>0</v>
      </c>
      <c r="J5" s="27" t="str">
        <f>(500*$I$22+650*$J$22+900*$K$22+1000*L23)+I5&amp;"đ"</f>
        <v>105000đ</v>
      </c>
      <c r="K5" s="27" t="str">
        <f>IF(I5&gt;0,"phạt tiền","")</f>
        <v/>
      </c>
    </row>
    <row r="6" spans="1:11" x14ac:dyDescent="0.25">
      <c r="A6" s="5">
        <v>4</v>
      </c>
      <c r="B6" s="2">
        <v>60</v>
      </c>
      <c r="C6" s="2">
        <v>145</v>
      </c>
      <c r="D6" s="31">
        <f>C6-B6</f>
        <v>85</v>
      </c>
      <c r="E6" s="31">
        <f>IF($E$3="500đ","100","")+0</f>
        <v>100</v>
      </c>
      <c r="F6" s="31">
        <f>IF($F$3="650đ","50","")+0</f>
        <v>50</v>
      </c>
      <c r="G6" s="31">
        <f>IF($G$3="900đ","25","")+0</f>
        <v>25</v>
      </c>
      <c r="H6" s="31">
        <f>IF($H$3="1000đ","0","")+0</f>
        <v>0</v>
      </c>
      <c r="I6" s="31">
        <f>IF(D6:D15&gt;=350,"200000",IF(249&lt;=D6:D15&lt;=349,"100000","0"))+0</f>
        <v>0</v>
      </c>
      <c r="J6" s="27" t="str">
        <f>(500*$I$22+650*$J$22+900*$K$22+1000*L24)+I6&amp;"đ"</f>
        <v>105000đ</v>
      </c>
      <c r="K6" s="27" t="str">
        <f>IF(I6&gt;0,"phạt tiền","")</f>
        <v/>
      </c>
    </row>
    <row r="7" spans="1:11" x14ac:dyDescent="0.25">
      <c r="A7" s="5">
        <v>2</v>
      </c>
      <c r="B7" s="2">
        <v>76</v>
      </c>
      <c r="C7" s="2">
        <v>155</v>
      </c>
      <c r="D7" s="31">
        <f>C7-B7</f>
        <v>79</v>
      </c>
      <c r="E7" s="31">
        <f>IF($E$3="500đ","100","")+0</f>
        <v>100</v>
      </c>
      <c r="F7" s="31">
        <f>IF($F$3="650đ","50","")+0</f>
        <v>50</v>
      </c>
      <c r="G7" s="31">
        <f>IF($G$3="900đ","25","")+0</f>
        <v>25</v>
      </c>
      <c r="H7" s="31">
        <f>IF($H$3="1000đ","0","")+0</f>
        <v>0</v>
      </c>
      <c r="I7" s="31">
        <f>IF(D7:D16&gt;=350,"200000",IF(249&lt;=D7:D16&lt;=349,"100000","0"))+0</f>
        <v>0</v>
      </c>
      <c r="J7" s="27" t="str">
        <f>(500*$I$22+650*$J$22+900*$K$22+1000*L25)+I7&amp;"đ"</f>
        <v>105000đ</v>
      </c>
      <c r="K7" s="27" t="str">
        <f>IF(I7&gt;0,"phạt tiền","")</f>
        <v/>
      </c>
    </row>
    <row r="8" spans="1:11" x14ac:dyDescent="0.25">
      <c r="A8" s="5">
        <v>3</v>
      </c>
      <c r="B8" s="2">
        <v>85</v>
      </c>
      <c r="C8" s="2">
        <v>202</v>
      </c>
      <c r="D8" s="31">
        <f>C8-B8</f>
        <v>117</v>
      </c>
      <c r="E8" s="31">
        <f>IF($E$3="500đ","100","")+0</f>
        <v>100</v>
      </c>
      <c r="F8" s="31">
        <f>IF($F$3="650đ","50","")+0</f>
        <v>50</v>
      </c>
      <c r="G8" s="31">
        <f>IF($G$3="900đ","25","")+0</f>
        <v>25</v>
      </c>
      <c r="H8" s="31">
        <f>IF($H$3="1000đ","0","")+0</f>
        <v>0</v>
      </c>
      <c r="I8" s="31">
        <f>IF(D8:D17&gt;=350,"200000",IF(249&lt;=D8:D17&lt;=349,"100000","0"))+0</f>
        <v>0</v>
      </c>
      <c r="J8" s="27" t="str">
        <f>(500*$I$22+650*$J$22+900*$K$22+1000*L26)+I8&amp;"đ"</f>
        <v>105000đ</v>
      </c>
      <c r="K8" s="27" t="str">
        <f>IF(I8&gt;0,"phạt tiền","")</f>
        <v/>
      </c>
    </row>
    <row r="9" spans="1:11" x14ac:dyDescent="0.25">
      <c r="A9" s="5">
        <v>5</v>
      </c>
      <c r="B9" s="2">
        <v>105</v>
      </c>
      <c r="C9" s="2">
        <v>500</v>
      </c>
      <c r="D9" s="31">
        <f>C9-B9</f>
        <v>395</v>
      </c>
      <c r="E9" s="31">
        <f>IF($E$3="500đ","100","")+0</f>
        <v>100</v>
      </c>
      <c r="F9" s="31">
        <f>IF($F$3="650đ","50","")+0</f>
        <v>50</v>
      </c>
      <c r="G9" s="31">
        <f>IF($G$3="900đ","25","")+0</f>
        <v>25</v>
      </c>
      <c r="H9" s="31">
        <f>IF($H$3="1000đ","0","")+0</f>
        <v>0</v>
      </c>
      <c r="I9" s="31">
        <f>IF(D9:D18&gt;=350,"200000",IF(249&lt;=D9:D18&lt;=349,"100000","0"))+0</f>
        <v>200000</v>
      </c>
      <c r="J9" s="27" t="str">
        <f>(500*$I$22+650*$J$22+900*$K$22+1000*L27)+I9&amp;"đ"</f>
        <v>305000đ</v>
      </c>
      <c r="K9" s="27" t="str">
        <f>IF(I9&gt;0,"phạt tiền","")</f>
        <v>phạt tiền</v>
      </c>
    </row>
    <row r="10" spans="1:11" x14ac:dyDescent="0.25">
      <c r="A10" s="5">
        <v>9</v>
      </c>
      <c r="B10" s="2">
        <v>115</v>
      </c>
      <c r="C10" s="2">
        <v>207</v>
      </c>
      <c r="D10" s="31">
        <f>C10-B10</f>
        <v>92</v>
      </c>
      <c r="E10" s="31">
        <f>IF($E$3="500đ","100","")+0</f>
        <v>100</v>
      </c>
      <c r="F10" s="31">
        <f>IF($F$3="650đ","50","")+0</f>
        <v>50</v>
      </c>
      <c r="G10" s="31">
        <f>IF($G$3="900đ","25","")+0</f>
        <v>25</v>
      </c>
      <c r="H10" s="31">
        <f>IF($H$3="1000đ","0","")+0</f>
        <v>0</v>
      </c>
      <c r="I10" s="31">
        <f>IF(D10:D19&gt;=350,"200000",IF(249&lt;=D10:D19&lt;=349,"100000","0"))+0</f>
        <v>0</v>
      </c>
      <c r="J10" s="27" t="str">
        <f>(500*$I$22+650*$J$22+900*$K$22+1000*L28)+I10&amp;"đ"</f>
        <v>105000đ</v>
      </c>
      <c r="K10" s="27" t="str">
        <f>IF(I10&gt;0,"phạt tiền","")</f>
        <v/>
      </c>
    </row>
    <row r="11" spans="1:11" x14ac:dyDescent="0.25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IF($E$3="500đ","100","")+0</f>
        <v>100</v>
      </c>
      <c r="F11" s="31">
        <f>IF($F$3="650đ","50","")+0</f>
        <v>50</v>
      </c>
      <c r="G11" s="31">
        <f>IF($G$3="900đ","25","")+0</f>
        <v>25</v>
      </c>
      <c r="H11" s="31">
        <f>IF($H$3="1000đ","0","")+0</f>
        <v>0</v>
      </c>
      <c r="I11" s="31">
        <f>IF(D11:D20&gt;=350,"200000",IF(249&lt;=D11:D20&lt;=349,"100000","0"))+0</f>
        <v>200000</v>
      </c>
      <c r="J11" s="27" t="str">
        <f>(500*$I$22+650*$J$22+900*$K$22+1000*L29)+I11&amp;"đ"</f>
        <v>305000đ</v>
      </c>
      <c r="K11" s="27" t="str">
        <f>IF(I11&gt;0,"phạt tiền","")</f>
        <v>phạt tiền</v>
      </c>
    </row>
    <row r="12" spans="1:11" x14ac:dyDescent="0.25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IF($E$3="500đ","100","")+0</f>
        <v>100</v>
      </c>
      <c r="F12" s="31">
        <f>IF($F$3="650đ","50","")+0</f>
        <v>50</v>
      </c>
      <c r="G12" s="31">
        <f>IF($G$3="900đ","25","")+0</f>
        <v>25</v>
      </c>
      <c r="H12" s="31">
        <f>IF($H$3="1000đ","0","")+0</f>
        <v>0</v>
      </c>
      <c r="I12" s="31">
        <f>IF(D12:D21&gt;=350,"200000",IF(249&lt;=D12:D21&lt;=349,"100000","0"))+0</f>
        <v>0</v>
      </c>
      <c r="J12" s="27" t="str">
        <f>(500*$I$22+650*$J$22+900*$K$22+1000*L30)+I12&amp;"đ"</f>
        <v>105000đ</v>
      </c>
      <c r="K12" s="27" t="str">
        <f>IF(I12&gt;0,"phạt tiền","")</f>
        <v/>
      </c>
    </row>
    <row r="13" spans="1:11" x14ac:dyDescent="0.25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IF($E$3="500đ","100","")+0</f>
        <v>100</v>
      </c>
      <c r="F13" s="31">
        <f>IF($F$3="650đ","50","")+0</f>
        <v>50</v>
      </c>
      <c r="G13" s="31">
        <f>IF($G$3="900đ","25","")+0</f>
        <v>25</v>
      </c>
      <c r="H13" s="31">
        <f>IF($H$3="1000đ","0","")+0</f>
        <v>0</v>
      </c>
      <c r="I13" s="31">
        <f>IF(D13:D22&gt;=350,"200000",IF(249&lt;=D13:D22&lt;=349,"100000","0"))+0</f>
        <v>0</v>
      </c>
      <c r="J13" s="27" t="str">
        <f>(500*$I$22+650*$J$22+900*$K$22+1000*L31)+I13&amp;"đ"</f>
        <v>105000đ</v>
      </c>
      <c r="K13" s="27" t="str">
        <f>IF(I13&gt;0,"phạt tiền","")</f>
        <v/>
      </c>
    </row>
    <row r="14" spans="1:11" x14ac:dyDescent="0.25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28">
        <f>SUM(I4:I13)</f>
        <v>400000</v>
      </c>
      <c r="J14" s="14"/>
      <c r="K14" s="15"/>
    </row>
    <row r="15" spans="1:11" x14ac:dyDescent="0.25">
      <c r="A15" s="16"/>
      <c r="C15" s="1" t="s">
        <v>114</v>
      </c>
      <c r="D15" s="29">
        <f>MIN(D4:D13)</f>
        <v>79</v>
      </c>
      <c r="I15" s="29">
        <f>MIN(I4:I13)</f>
        <v>0</v>
      </c>
      <c r="K15" s="17"/>
    </row>
    <row r="16" spans="1:11" x14ac:dyDescent="0.25">
      <c r="A16" s="16"/>
      <c r="C16" s="1" t="s">
        <v>115</v>
      </c>
      <c r="D16" s="29">
        <f>AVERAGE(D4:D13)</f>
        <v>192.6</v>
      </c>
      <c r="I16" s="29">
        <f>AVERAGE(I4:I13)</f>
        <v>40000</v>
      </c>
      <c r="K16" s="17"/>
    </row>
    <row r="17" spans="1:12" x14ac:dyDescent="0.25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ht="13" x14ac:dyDescent="0.3">
      <c r="A19" s="21" t="s">
        <v>95</v>
      </c>
      <c r="H19" s="22" t="s">
        <v>128</v>
      </c>
    </row>
    <row r="20" spans="1:12" ht="13" x14ac:dyDescent="0.3">
      <c r="A20" s="1" t="s">
        <v>122</v>
      </c>
      <c r="H20" s="43" t="s">
        <v>98</v>
      </c>
      <c r="I20" s="78" t="s">
        <v>112</v>
      </c>
      <c r="J20" s="78"/>
      <c r="K20" s="78"/>
      <c r="L20" s="78"/>
    </row>
    <row r="21" spans="1:12" ht="13" x14ac:dyDescent="0.3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5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5">
      <c r="B23" s="1" t="s">
        <v>119</v>
      </c>
    </row>
    <row r="24" spans="1:12" x14ac:dyDescent="0.25">
      <c r="B24" s="1" t="s">
        <v>120</v>
      </c>
    </row>
    <row r="25" spans="1:12" x14ac:dyDescent="0.25">
      <c r="B25" s="1" t="s">
        <v>121</v>
      </c>
    </row>
    <row r="26" spans="1:12" ht="13" x14ac:dyDescent="0.3">
      <c r="A26" s="1" t="s">
        <v>124</v>
      </c>
    </row>
    <row r="27" spans="1:12" ht="13" x14ac:dyDescent="0.3">
      <c r="B27" s="1" t="s">
        <v>137</v>
      </c>
    </row>
    <row r="28" spans="1:12" ht="13" x14ac:dyDescent="0.3">
      <c r="B28" s="1" t="s">
        <v>138</v>
      </c>
    </row>
    <row r="29" spans="1:12" ht="13" x14ac:dyDescent="0.3">
      <c r="B29" s="1" t="s">
        <v>139</v>
      </c>
    </row>
    <row r="30" spans="1:12" ht="13" x14ac:dyDescent="0.3">
      <c r="A30" s="1" t="s">
        <v>125</v>
      </c>
    </row>
    <row r="31" spans="1:12" ht="13" x14ac:dyDescent="0.3">
      <c r="A31" s="1" t="s">
        <v>140</v>
      </c>
    </row>
    <row r="32" spans="1:12" ht="13" x14ac:dyDescent="0.3">
      <c r="A32" s="1" t="s">
        <v>126</v>
      </c>
    </row>
    <row r="33" spans="1:1" customFormat="1" ht="14.5" x14ac:dyDescent="0.35">
      <c r="A33" s="1" t="s">
        <v>127</v>
      </c>
    </row>
  </sheetData>
  <sortState xmlns:xlrd2="http://schemas.microsoft.com/office/spreadsheetml/2017/richdata2"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TranThiThanhNga</cp:lastModifiedBy>
  <dcterms:created xsi:type="dcterms:W3CDTF">2008-06-05T12:20:35Z</dcterms:created>
  <dcterms:modified xsi:type="dcterms:W3CDTF">2023-09-15T15:34:45Z</dcterms:modified>
</cp:coreProperties>
</file>