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0F34FD5-9165-426B-9304-A498B0CD33E8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4" i="12" l="1"/>
  <c r="H13" i="12"/>
  <c r="G6" i="12"/>
  <c r="G9" i="12"/>
  <c r="F7" i="12"/>
  <c r="F5" i="12"/>
  <c r="K14" i="2"/>
  <c r="H3" i="2"/>
  <c r="H9" i="2"/>
  <c r="H8" i="2"/>
  <c r="H5" i="2"/>
  <c r="H10" i="2"/>
  <c r="H7" i="2"/>
  <c r="H4" i="2"/>
  <c r="H6" i="2"/>
  <c r="F3" i="2"/>
  <c r="G3" i="2" s="1"/>
  <c r="F9" i="2"/>
  <c r="G9" i="2" s="1"/>
  <c r="F8" i="2"/>
  <c r="G8" i="2" s="1"/>
  <c r="F5" i="2"/>
  <c r="G5" i="2" s="1"/>
  <c r="F10" i="2"/>
  <c r="G10" i="2" s="1"/>
  <c r="F7" i="2"/>
  <c r="G7" i="2" s="1"/>
  <c r="F4" i="2"/>
  <c r="G4" i="2" s="1"/>
  <c r="F6" i="2"/>
  <c r="G6" i="2" s="1"/>
  <c r="C6" i="2"/>
  <c r="C3" i="2"/>
  <c r="K15" i="2" s="1"/>
  <c r="C9" i="2"/>
  <c r="C8" i="2"/>
  <c r="C5" i="2"/>
  <c r="C10" i="2"/>
  <c r="C7" i="2"/>
  <c r="C4" i="2"/>
  <c r="D12" i="12"/>
  <c r="E12" i="12" s="1"/>
  <c r="D7" i="12"/>
  <c r="E7" i="12" s="1"/>
  <c r="D8" i="12"/>
  <c r="E8" i="12" s="1"/>
  <c r="D6" i="12"/>
  <c r="F6" i="12" s="1"/>
  <c r="D9" i="12"/>
  <c r="F9" i="12" s="1"/>
  <c r="D4" i="12"/>
  <c r="D13" i="12"/>
  <c r="D11" i="12"/>
  <c r="D10" i="12"/>
  <c r="D14" i="12" s="1"/>
  <c r="D5" i="12"/>
  <c r="E5" i="12" s="1"/>
  <c r="J4" i="1"/>
  <c r="K4" i="1" s="1"/>
  <c r="J5" i="1"/>
  <c r="J6" i="1"/>
  <c r="J7" i="1"/>
  <c r="J8" i="1"/>
  <c r="K8" i="1" s="1"/>
  <c r="J9" i="1"/>
  <c r="K9" i="1" s="1"/>
  <c r="J10" i="1"/>
  <c r="K10" i="1" s="1"/>
  <c r="J3" i="1"/>
  <c r="K3" i="1" s="1"/>
  <c r="K5" i="1"/>
  <c r="H4" i="7"/>
  <c r="H5" i="7"/>
  <c r="H6" i="7"/>
  <c r="H7" i="7"/>
  <c r="H3" i="7"/>
  <c r="J3" i="2"/>
  <c r="J9" i="2"/>
  <c r="J8" i="2"/>
  <c r="J5" i="2"/>
  <c r="J10" i="2"/>
  <c r="J7" i="2"/>
  <c r="J4" i="2"/>
  <c r="J6" i="2"/>
  <c r="I3" i="2"/>
  <c r="I9" i="2"/>
  <c r="I8" i="2"/>
  <c r="I5" i="2"/>
  <c r="I10" i="2"/>
  <c r="I7" i="2"/>
  <c r="I4" i="2"/>
  <c r="D15" i="7"/>
  <c r="I6" i="2"/>
  <c r="I4" i="7"/>
  <c r="I5" i="7"/>
  <c r="I6" i="7"/>
  <c r="I7" i="7"/>
  <c r="I3" i="7"/>
  <c r="F4" i="7"/>
  <c r="G4" i="7" s="1"/>
  <c r="F5" i="7"/>
  <c r="G5" i="7" s="1"/>
  <c r="F6" i="7"/>
  <c r="F7" i="7"/>
  <c r="F3" i="7"/>
  <c r="I14" i="1"/>
  <c r="A15" i="7"/>
  <c r="J16" i="1"/>
  <c r="J14" i="1"/>
  <c r="J15" i="1"/>
  <c r="I16" i="1"/>
  <c r="I15" i="1"/>
  <c r="G6" i="7"/>
  <c r="G7" i="7"/>
  <c r="G3" i="7"/>
  <c r="K6" i="1"/>
  <c r="K7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5" i="13"/>
  <c r="D8" i="13"/>
  <c r="D13" i="13"/>
  <c r="D9" i="13"/>
  <c r="I21" i="13" s="1"/>
  <c r="D12" i="13"/>
  <c r="D6" i="13"/>
  <c r="C10" i="13"/>
  <c r="C11" i="13"/>
  <c r="E11" i="13" s="1"/>
  <c r="C7" i="13"/>
  <c r="C5" i="13"/>
  <c r="E5" i="13" s="1"/>
  <c r="C8" i="13"/>
  <c r="C13" i="13"/>
  <c r="E13" i="13" s="1"/>
  <c r="C9" i="13"/>
  <c r="C12" i="13"/>
  <c r="E12" i="13" s="1"/>
  <c r="C6" i="13"/>
  <c r="F8" i="12" l="1"/>
  <c r="I10" i="12"/>
  <c r="K10" i="12" s="1"/>
  <c r="E11" i="12"/>
  <c r="H11" i="12" s="1"/>
  <c r="D15" i="12"/>
  <c r="I13" i="12"/>
  <c r="K13" i="12" s="1"/>
  <c r="E13" i="12"/>
  <c r="G13" i="12" s="1"/>
  <c r="F10" i="12"/>
  <c r="G5" i="12"/>
  <c r="J5" i="12" s="1"/>
  <c r="H9" i="12"/>
  <c r="D17" i="12"/>
  <c r="I4" i="12"/>
  <c r="E4" i="12"/>
  <c r="F11" i="12"/>
  <c r="G12" i="12"/>
  <c r="G7" i="12"/>
  <c r="J7" i="12" s="1"/>
  <c r="H6" i="12"/>
  <c r="I11" i="12"/>
  <c r="K11" i="12" s="1"/>
  <c r="F12" i="12"/>
  <c r="D16" i="12"/>
  <c r="I9" i="12"/>
  <c r="K9" i="12" s="1"/>
  <c r="E9" i="12"/>
  <c r="F13" i="12"/>
  <c r="G10" i="12"/>
  <c r="H5" i="12"/>
  <c r="H8" i="12"/>
  <c r="I6" i="12"/>
  <c r="K6" i="12" s="1"/>
  <c r="E6" i="12"/>
  <c r="F4" i="12"/>
  <c r="G4" i="12" s="1"/>
  <c r="G11" i="12"/>
  <c r="H7" i="12"/>
  <c r="E10" i="12"/>
  <c r="I5" i="12"/>
  <c r="K5" i="12" s="1"/>
  <c r="I8" i="12"/>
  <c r="K8" i="12" s="1"/>
  <c r="H10" i="12"/>
  <c r="I12" i="12"/>
  <c r="K12" i="12" s="1"/>
  <c r="I7" i="12"/>
  <c r="K7" i="12" s="1"/>
  <c r="J14" i="2"/>
  <c r="J15" i="2"/>
  <c r="C15" i="7"/>
  <c r="B15" i="7"/>
  <c r="E6" i="13"/>
  <c r="E10" i="13"/>
  <c r="E8" i="13"/>
  <c r="E7" i="13"/>
  <c r="E9" i="13"/>
  <c r="G21" i="13"/>
  <c r="H21" i="13"/>
  <c r="J10" i="12" l="1"/>
  <c r="G8" i="12"/>
  <c r="J8" i="12" s="1"/>
  <c r="H12" i="12"/>
  <c r="J12" i="12" s="1"/>
  <c r="J9" i="12"/>
  <c r="J13" i="12"/>
  <c r="J4" i="12"/>
  <c r="J6" i="12"/>
  <c r="K4" i="12"/>
  <c r="I14" i="12"/>
  <c r="I17" i="12"/>
  <c r="I16" i="12"/>
  <c r="I15" i="12"/>
  <c r="J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<sst xmlns="http://schemas.openxmlformats.org/spreadsheetml/2006/main" count="233" uniqueCount="190">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</sst>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1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5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5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2" fontId="43" fillId="0" borderId="1" xfId="0" applyNumberFormat="1" applyFont="1" applyBorder="1" applyAlignment="1"/>
    <xf numFmtId="0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5" fillId="4" borderId="5" xfId="0" applyFont="1" applyFill="1" applyBorder="1"/>
    <xf numFmtId="0" fontId="8" fillId="0" borderId="5" xfId="0" applyFont="1" applyBorder="1"/>
    <xf numFmtId="0" fontId="10" fillId="0" borderId="0" xfId="0" applyFont="1" applyBorder="1" applyAlignment="1"/>
    <xf numFmtId="3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G21" sqref="G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81</v>
      </c>
      <c r="B1" s="71"/>
      <c r="C1" s="71"/>
      <c r="D1" s="71"/>
      <c r="E1" s="71"/>
      <c r="F1" s="71"/>
      <c r="G1" s="71"/>
      <c r="H1" s="71"/>
      <c r="I1" s="71"/>
    </row>
    <row r="2" spans="1:10" s="8" customFormat="1" ht="20.100000000000001" customHeight="1" x14ac:dyDescent="0.25">
      <c r="A2" s="11"/>
      <c r="B2" s="11"/>
      <c r="C2" s="13" t="s">
        <v>96</v>
      </c>
      <c r="D2" s="12">
        <v>44344</v>
      </c>
      <c r="E2" s="11"/>
      <c r="F2" s="11"/>
      <c r="G2" s="11"/>
    </row>
    <row r="3" spans="1:10" ht="20.100000000000001" customHeight="1" x14ac:dyDescent="0.2">
      <c r="A3" s="74" t="s">
        <v>82</v>
      </c>
      <c r="B3" s="74" t="s">
        <v>83</v>
      </c>
      <c r="C3" s="67" t="s">
        <v>89</v>
      </c>
      <c r="D3" s="67" t="s">
        <v>90</v>
      </c>
      <c r="E3" s="67" t="s">
        <v>84</v>
      </c>
      <c r="F3" s="69" t="s">
        <v>85</v>
      </c>
      <c r="G3" s="70"/>
      <c r="H3" s="72" t="s">
        <v>86</v>
      </c>
      <c r="I3" s="37" t="s">
        <v>43</v>
      </c>
    </row>
    <row r="4" spans="1:10" ht="20.100000000000001" customHeight="1" x14ac:dyDescent="0.2">
      <c r="A4" s="74"/>
      <c r="B4" s="74"/>
      <c r="C4" s="68"/>
      <c r="D4" s="68"/>
      <c r="E4" s="68"/>
      <c r="F4" s="36" t="s">
        <v>87</v>
      </c>
      <c r="G4" s="36" t="s">
        <v>88</v>
      </c>
      <c r="H4" s="73"/>
      <c r="I4" s="38"/>
    </row>
    <row r="5" spans="1:10" ht="20.100000000000001" customHeight="1" x14ac:dyDescent="0.2">
      <c r="A5" s="2" t="s">
        <v>164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IF(MID(A5,3,1)="S","Sáng",IF(MID(A5,3,1)="C","Chiều","Tối"))</f>
        <v>Chiều</v>
      </c>
      <c r="E5" s="28" t="str">
        <f t="shared" ref="E5:E13" si="2">C5&amp;" - "&amp;D5</f>
        <v>Tin học A.1 - Chiều</v>
      </c>
      <c r="F5" s="28" t="str">
        <f t="shared" ref="F5:F13" si="3">IF(B5&lt;10,"","X")</f>
        <v>X</v>
      </c>
      <c r="G5" s="28" t="str">
        <f t="shared" ref="G5:G13" si="4">IF(B5&gt;=20,"X","")</f>
        <v>X</v>
      </c>
      <c r="H5" s="49">
        <f t="shared" ref="H5:H13" si="5">IF(MID(A5,3,1)="T",$D$2+2,$D$2)</f>
        <v>44344</v>
      </c>
      <c r="I5" s="28" t="str">
        <f t="shared" ref="I5:I13" si="6">IF(B5&lt;10,"Hủy","")</f>
        <v/>
      </c>
    </row>
    <row r="6" spans="1:10" ht="20.100000000000001" customHeight="1" x14ac:dyDescent="0.2">
      <c r="A6" s="2" t="s">
        <v>156</v>
      </c>
      <c r="B6" s="2">
        <v>22</v>
      </c>
      <c r="C6" s="2" t="str">
        <f t="shared" si="0"/>
        <v>Tin học A.1</v>
      </c>
      <c r="D6" s="2" t="str">
        <f t="shared" si="1"/>
        <v>Sáng</v>
      </c>
      <c r="E6" s="28" t="str">
        <f t="shared" si="2"/>
        <v>Tin học A.1 - Sáng</v>
      </c>
      <c r="F6" s="28" t="str">
        <f t="shared" si="3"/>
        <v>X</v>
      </c>
      <c r="G6" s="28" t="str">
        <f t="shared" si="4"/>
        <v>X</v>
      </c>
      <c r="H6" s="49">
        <f t="shared" si="5"/>
        <v>44344</v>
      </c>
      <c r="I6" s="28" t="str">
        <f t="shared" si="6"/>
        <v/>
      </c>
    </row>
    <row r="7" spans="1:10" ht="20.100000000000001" customHeight="1" x14ac:dyDescent="0.2">
      <c r="A7" s="2" t="s">
        <v>163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8" t="str">
        <f t="shared" si="2"/>
        <v>Tin học A.1 - Sáng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">
      <c r="A8" s="2" t="s">
        <v>165</v>
      </c>
      <c r="B8" s="2">
        <v>7</v>
      </c>
      <c r="C8" s="2" t="str">
        <f t="shared" si="0"/>
        <v>Tin học A.1</v>
      </c>
      <c r="D8" s="2" t="str">
        <f t="shared" si="1"/>
        <v>Sáng</v>
      </c>
      <c r="E8" s="28" t="str">
        <f t="shared" si="2"/>
        <v>Tin học A.1 - Sáng</v>
      </c>
      <c r="F8" s="28" t="str">
        <f t="shared" si="3"/>
        <v/>
      </c>
      <c r="G8" s="28" t="str">
        <f t="shared" si="4"/>
        <v/>
      </c>
      <c r="H8" s="49">
        <f t="shared" si="5"/>
        <v>44344</v>
      </c>
      <c r="I8" s="28" t="str">
        <f t="shared" si="6"/>
        <v>Hủy</v>
      </c>
    </row>
    <row r="9" spans="1:10" ht="20.100000000000001" customHeight="1" x14ac:dyDescent="0.2">
      <c r="A9" s="2" t="s">
        <v>167</v>
      </c>
      <c r="B9" s="2">
        <v>28</v>
      </c>
      <c r="C9" s="2" t="str">
        <f t="shared" si="0"/>
        <v>Tin học A.1</v>
      </c>
      <c r="D9" s="2" t="str">
        <f t="shared" si="1"/>
        <v>Tối</v>
      </c>
      <c r="E9" s="28" t="str">
        <f t="shared" si="2"/>
        <v>Tin học A.1 - Tối</v>
      </c>
      <c r="F9" s="28" t="str">
        <f t="shared" si="3"/>
        <v>X</v>
      </c>
      <c r="G9" s="28" t="str">
        <f t="shared" si="4"/>
        <v>X</v>
      </c>
      <c r="H9" s="49">
        <f t="shared" si="5"/>
        <v>44346</v>
      </c>
      <c r="I9" s="28" t="str">
        <f t="shared" si="6"/>
        <v/>
      </c>
    </row>
    <row r="10" spans="1:10" ht="20.100000000000001" customHeight="1" x14ac:dyDescent="0.2">
      <c r="A10" s="2" t="s">
        <v>161</v>
      </c>
      <c r="B10" s="2">
        <v>18</v>
      </c>
      <c r="C10" s="2" t="str">
        <f t="shared" si="0"/>
        <v>Tin học A.1</v>
      </c>
      <c r="D10" s="2" t="str">
        <f t="shared" si="1"/>
        <v>Tối</v>
      </c>
      <c r="E10" s="28" t="str">
        <f t="shared" si="2"/>
        <v>Tin học A.1 - Tối</v>
      </c>
      <c r="F10" s="28" t="str">
        <f t="shared" si="3"/>
        <v>X</v>
      </c>
      <c r="G10" s="28" t="str">
        <f t="shared" si="4"/>
        <v/>
      </c>
      <c r="H10" s="49">
        <f t="shared" si="5"/>
        <v>44346</v>
      </c>
      <c r="I10" s="28" t="str">
        <f t="shared" si="6"/>
        <v/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8" t="str">
        <f t="shared" si="2"/>
        <v>Tin học A.2 - Chiều</v>
      </c>
      <c r="F11" s="28" t="str">
        <f t="shared" si="3"/>
        <v>X</v>
      </c>
      <c r="G11" s="28" t="str">
        <f t="shared" si="4"/>
        <v/>
      </c>
      <c r="H11" s="49">
        <f t="shared" si="5"/>
        <v>44344</v>
      </c>
      <c r="I11" s="28" t="str">
        <f t="shared" si="6"/>
        <v/>
      </c>
    </row>
    <row r="12" spans="1:10" ht="20.100000000000001" customHeight="1" x14ac:dyDescent="0.2">
      <c r="A12" s="2" t="s">
        <v>168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8" t="str">
        <f t="shared" si="2"/>
        <v>Tin học A.2 - Sáng</v>
      </c>
      <c r="F12" s="28" t="str">
        <f t="shared" si="3"/>
        <v/>
      </c>
      <c r="G12" s="28" t="str">
        <f t="shared" si="4"/>
        <v/>
      </c>
      <c r="H12" s="49">
        <f t="shared" si="5"/>
        <v>44344</v>
      </c>
      <c r="I12" s="28" t="str">
        <f t="shared" si="6"/>
        <v>Hủy</v>
      </c>
    </row>
    <row r="13" spans="1:10" ht="20.100000000000001" customHeight="1" x14ac:dyDescent="0.2">
      <c r="A13" s="2" t="s">
        <v>166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8" t="str">
        <f t="shared" si="2"/>
        <v>Tin học A.2 - Tối</v>
      </c>
      <c r="F13" s="28" t="str">
        <f t="shared" si="3"/>
        <v>X</v>
      </c>
      <c r="G13" s="28" t="str">
        <f t="shared" si="4"/>
        <v/>
      </c>
      <c r="H13" s="49">
        <f t="shared" si="5"/>
        <v>44346</v>
      </c>
      <c r="I13" s="28" t="str">
        <f t="shared" si="6"/>
        <v/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169</v>
      </c>
      <c r="B16" s="36" t="s">
        <v>89</v>
      </c>
      <c r="D16" s="39" t="s">
        <v>170</v>
      </c>
      <c r="E16" s="34" t="s">
        <v>91</v>
      </c>
      <c r="F16" s="34" t="s">
        <v>30</v>
      </c>
      <c r="G16" s="34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40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7" t="s">
        <v>136</v>
      </c>
    </row>
    <row r="20" spans="1:9" ht="20.100000000000001" customHeight="1" x14ac:dyDescent="0.2">
      <c r="A20" s="10" t="s">
        <v>95</v>
      </c>
      <c r="F20" s="40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9"/>
      <c r="G21" s="28">
        <f>COUNTIF($D$5:$D$13,"sáng")</f>
        <v>4</v>
      </c>
      <c r="H21" s="28">
        <f>COUNTIF($D$5:$D$13,"chiều")</f>
        <v>2</v>
      </c>
      <c r="I21" s="28">
        <f>COUNTIF($D$5:$D$13,"tối")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10" t="s">
        <v>133</v>
      </c>
    </row>
    <row r="27" spans="1:9" ht="20.100000000000001" customHeight="1" x14ac:dyDescent="0.2">
      <c r="A27" s="1" t="s">
        <v>132</v>
      </c>
    </row>
  </sheetData>
  <sortState xmlns:xlrd2="http://schemas.microsoft.com/office/spreadsheetml/2017/richdata2" ref="A5:I13">
    <sortCondition ref="C5:C13"/>
    <sortCondition ref="D5:D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K3" sqref="K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IF(E3="A","26",IF(E3="B","25.5","20"))</f>
        <v>26</v>
      </c>
      <c r="J3" s="28">
        <f>IF(D3="1",0,IF(D3="2",1,2))+IF(C3="hs",0,IF(C3="bd",0.5,1))</f>
        <v>0.5</v>
      </c>
      <c r="K3" s="28">
        <f>J3+SUM(F3:H3)</f>
        <v>17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IF(E4="A","26",IF(E4="B","25.5","20"))</f>
        <v>26</v>
      </c>
      <c r="J4" s="28">
        <f t="shared" ref="J4:J10" si="4">IF(D4="1",0,IF(D4="2",1,2))+IF(C4="hs",0,IF(C4="bd",0.5,1))</f>
        <v>2</v>
      </c>
      <c r="K4" s="28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8">
        <f t="shared" si="4"/>
        <v>3</v>
      </c>
      <c r="K5" s="28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8">
        <f t="shared" si="4"/>
        <v>1</v>
      </c>
      <c r="K6" s="28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8">
        <f t="shared" si="4"/>
        <v>1</v>
      </c>
      <c r="K7" s="28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BD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8">
        <f t="shared" si="4"/>
        <v>2.5</v>
      </c>
      <c r="K8" s="28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8">
        <f t="shared" si="4"/>
        <v>1</v>
      </c>
      <c r="K9" s="28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8">
        <f t="shared" si="4"/>
        <v>2</v>
      </c>
      <c r="K10" s="28">
        <f t="shared" si="5"/>
        <v>17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33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34</v>
      </c>
      <c r="J13" s="47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COUNTIFS($D$3:$D$10,1,$E$3:$E$10,"A")</f>
        <v>1</v>
      </c>
      <c r="J14" s="28">
        <f>COUNTIFS($D$3:$D$10,2,$E$3:$E$10,"A")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COUNTIFS($D$3:$D$10,1,$E$3:$E$10,"B")</f>
        <v>1</v>
      </c>
      <c r="J15" s="28">
        <f>COUNTIFS($D$3:$D$10,2,$E$3:$E$10,"B")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COUNTIFS($D$3:$D$10,1,$E$3:$E$10,"C")</f>
        <v>0</v>
      </c>
      <c r="J16" s="28">
        <f>COUNTIFS($D$3:$D$10,2,$E$3:$E$10,"C")</f>
        <v>1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H3" sqref="H3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5" width="9.140625" style="52"/>
    <col min="6" max="6" width="9.42578125" style="52" customWidth="1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6" t="s">
        <v>188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50" t="s">
        <v>179</v>
      </c>
      <c r="B2" s="50" t="s">
        <v>180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181</v>
      </c>
      <c r="I2" s="50" t="s">
        <v>182</v>
      </c>
    </row>
    <row r="3" spans="1:9" x14ac:dyDescent="0.2">
      <c r="A3" s="53">
        <v>1</v>
      </c>
      <c r="B3" s="54" t="s">
        <v>73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lại","Lên lớp")</f>
        <v>Lên lớp</v>
      </c>
      <c r="H3" s="56">
        <f>IF(AND(F3&gt;=9,C3="A"),150000,"")</f>
        <v>150000</v>
      </c>
      <c r="I3" s="56">
        <f>RANK(F3,$F$3:$F$7,0)</f>
        <v>1</v>
      </c>
    </row>
    <row r="4" spans="1:9" x14ac:dyDescent="0.2">
      <c r="A4" s="53">
        <v>2</v>
      </c>
      <c r="B4" s="54" t="s">
        <v>74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IF(F4&lt;5,"Thi lại","Lên lớp")</f>
        <v>Lên lớp</v>
      </c>
      <c r="H4" s="56" t="str">
        <f t="shared" ref="H4:H7" si="2">IF(AND(F4&gt;=9,C4="A"),150000,"")</f>
        <v/>
      </c>
      <c r="I4" s="56">
        <f t="shared" ref="I4:I7" si="3">RANK(F4,$F$3:$F$7,0)</f>
        <v>2</v>
      </c>
    </row>
    <row r="5" spans="1:9" x14ac:dyDescent="0.2">
      <c r="A5" s="53">
        <v>3</v>
      </c>
      <c r="B5" s="54" t="s">
        <v>189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 t="str">
        <f t="shared" si="2"/>
        <v/>
      </c>
      <c r="I5" s="56">
        <f t="shared" si="3"/>
        <v>4</v>
      </c>
    </row>
    <row r="6" spans="1:9" x14ac:dyDescent="0.2">
      <c r="A6" s="53">
        <v>4</v>
      </c>
      <c r="B6" s="54" t="s">
        <v>75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/>
      </c>
      <c r="I6" s="56">
        <f t="shared" si="3"/>
        <v>5</v>
      </c>
    </row>
    <row r="7" spans="1:9" x14ac:dyDescent="0.2">
      <c r="A7" s="53">
        <v>5</v>
      </c>
      <c r="B7" s="54" t="s">
        <v>76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 t="str">
        <f t="shared" si="2"/>
        <v/>
      </c>
      <c r="I7" s="56">
        <f t="shared" si="3"/>
        <v>2</v>
      </c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175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176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177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178</v>
      </c>
      <c r="B13" s="60"/>
    </row>
    <row r="14" spans="1:9" ht="47.25" customHeight="1" x14ac:dyDescent="0.2">
      <c r="A14" s="61" t="s">
        <v>144</v>
      </c>
      <c r="B14" s="62" t="s">
        <v>151</v>
      </c>
      <c r="C14" s="63" t="s">
        <v>145</v>
      </c>
      <c r="D14" s="77" t="s">
        <v>152</v>
      </c>
      <c r="E14" s="77"/>
    </row>
    <row r="15" spans="1:9" x14ac:dyDescent="0.2">
      <c r="A15" s="64">
        <f>COUNTA(B3:B7)</f>
        <v>5</v>
      </c>
      <c r="B15" s="65">
        <f>MAX(F3:F7)</f>
        <v>9.6666666666666661</v>
      </c>
      <c r="C15" s="66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I18" sqref="I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2.42578125" style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1" t="s">
        <v>1</v>
      </c>
      <c r="B2" s="41" t="s">
        <v>37</v>
      </c>
      <c r="C2" s="41" t="s">
        <v>38</v>
      </c>
      <c r="D2" s="41" t="s">
        <v>39</v>
      </c>
      <c r="E2" s="41" t="s">
        <v>40</v>
      </c>
      <c r="F2" s="41" t="s">
        <v>41</v>
      </c>
      <c r="G2" s="41" t="s">
        <v>42</v>
      </c>
      <c r="H2" s="41" t="s">
        <v>174</v>
      </c>
      <c r="I2" s="43" t="s">
        <v>69</v>
      </c>
      <c r="J2" s="43" t="s">
        <v>71</v>
      </c>
    </row>
    <row r="3" spans="1:11" ht="20.100000000000001" customHeight="1" x14ac:dyDescent="0.2">
      <c r="A3" s="5">
        <v>2</v>
      </c>
      <c r="B3" s="2" t="s">
        <v>44</v>
      </c>
      <c r="C3" s="2" t="str">
        <f>IF(LEFT(B3,2)="PE","PEPSI",IF(LEFT(B3,2)="CO","COCA COLA",IF(LEFT(B3,2)="SP","SPRITE","FANTA")))</f>
        <v>COCA COLA</v>
      </c>
      <c r="D3" s="5">
        <v>40</v>
      </c>
      <c r="E3" s="2">
        <v>1600</v>
      </c>
      <c r="F3" s="28" t="str">
        <f>IF(AND(LEFT(B3,2)="PE",MID(B3,5,1)="C",RIGHT(B3,1)="X",D3&gt;=50),5%*D3*E3,"")</f>
        <v/>
      </c>
      <c r="G3" s="33">
        <f>D3*E3-IF(F3="",0,F3)</f>
        <v>64000</v>
      </c>
      <c r="H3" s="28" t="str">
        <f>IF(AND(RIGHT(B3,1)="X",(D3&gt;=50)),"Có quà tặng","")</f>
        <v/>
      </c>
      <c r="I3" s="28" t="str">
        <f>IF(MID(B3,5,1)="C","Chai","Lon")</f>
        <v>Chai</v>
      </c>
      <c r="J3" s="28" t="str">
        <f>IF(RIGHT(B3,1)="N","Nhập","Xuất")</f>
        <v>Nhập</v>
      </c>
    </row>
    <row r="4" spans="1:11" ht="20.100000000000001" customHeight="1" x14ac:dyDescent="0.2">
      <c r="A4" s="5">
        <v>8</v>
      </c>
      <c r="B4" s="2" t="s">
        <v>50</v>
      </c>
      <c r="C4" s="2" t="str">
        <f>IF(LEFT(B4,2)="PE","PEPSI",IF(LEFT(B4,2)="CO","COCA COLA",IF(LEFT(B4,2)="SP","SPRITE","FANTA")))</f>
        <v>FANTA</v>
      </c>
      <c r="D4" s="5">
        <v>70</v>
      </c>
      <c r="E4" s="2">
        <v>2000</v>
      </c>
      <c r="F4" s="28" t="str">
        <f>IF(AND(LEFT(B4,2)="PE",MID(B4,5,1)="C",RIGHT(B4,1)="X",D4&gt;=50),5%*D4*E4,"")</f>
        <v/>
      </c>
      <c r="G4" s="33">
        <f>D4*E4-IF(F4="",0,F4)</f>
        <v>140000</v>
      </c>
      <c r="H4" s="28" t="str">
        <f>IF(AND(RIGHT(B4,1)="X",(D4&gt;=50)),"Có quà tặng","")</f>
        <v/>
      </c>
      <c r="I4" s="28" t="str">
        <f>IF(MID(B4,5,1)="C","Chai","Lon")</f>
        <v>Chai</v>
      </c>
      <c r="J4" s="28" t="str">
        <f>IF(RIGHT(B4,1)="N","Nhập","Xuất")</f>
        <v>Nhập</v>
      </c>
    </row>
    <row r="5" spans="1:11" ht="20.100000000000001" customHeight="1" x14ac:dyDescent="0.2">
      <c r="A5" s="5">
        <v>5</v>
      </c>
      <c r="B5" s="2" t="s">
        <v>47</v>
      </c>
      <c r="C5" s="2" t="str">
        <f>IF(LEFT(B5,2)="PE","PEPSI",IF(LEFT(B5,2)="CO","COCA COLA",IF(LEFT(B5,2)="SP","SPRITE","FANTA")))</f>
        <v>FANTA</v>
      </c>
      <c r="D5" s="5">
        <v>80</v>
      </c>
      <c r="E5" s="2">
        <v>2000</v>
      </c>
      <c r="F5" s="28" t="str">
        <f>IF(AND(LEFT(B5,2)="PE",MID(B5,5,1)="C",RIGHT(B5,1)="X",D5&gt;=50),5%*D5*E5,"")</f>
        <v/>
      </c>
      <c r="G5" s="33">
        <f>D5*E5-IF(F5="",0,F5)</f>
        <v>160000</v>
      </c>
      <c r="H5" s="28" t="str">
        <f>IF(AND(RIGHT(B5,1)="X",(D5&gt;=50)),"Có quà tặng","")</f>
        <v/>
      </c>
      <c r="I5" s="28" t="str">
        <f>IF(MID(B5,5,1)="C","Chai","Lon")</f>
        <v>Lon</v>
      </c>
      <c r="J5" s="28" t="str">
        <f>IF(RIGHT(B5,1)="N","Nhập","Xuất")</f>
        <v>Nhập</v>
      </c>
    </row>
    <row r="6" spans="1:11" ht="20.100000000000001" customHeight="1" x14ac:dyDescent="0.2">
      <c r="A6" s="5">
        <v>1</v>
      </c>
      <c r="B6" s="4" t="s">
        <v>72</v>
      </c>
      <c r="C6" s="2" t="str">
        <f>IF(LEFT(B6,2)="PE","PEPSI",IF(LEFT(B6,2)="CO","COCA COLA",IF(LEFT(B6,2)="SP","SPRITE","FANTA")))</f>
        <v>PEPSI</v>
      </c>
      <c r="D6" s="5">
        <v>20</v>
      </c>
      <c r="E6" s="2">
        <v>1400</v>
      </c>
      <c r="F6" s="28" t="str">
        <f>IF(AND(LEFT(B6,2)="PE",MID(B6,5,1)="C",RIGHT(B6,1)="X",D6&gt;=50),5%*D6*E6,"")</f>
        <v/>
      </c>
      <c r="G6" s="33">
        <f>D6*E6-IF(F6="",0,F6)</f>
        <v>28000</v>
      </c>
      <c r="H6" s="28" t="str">
        <f>IF(AND(RIGHT(B6,1)="X",(D6&gt;=50)),"Có quà tặng","")</f>
        <v/>
      </c>
      <c r="I6" s="28" t="str">
        <f>IF(MID(B6,5,1)="C","Chai","Lon")</f>
        <v>Lon</v>
      </c>
      <c r="J6" s="28" t="str">
        <f>IF(RIGHT(B6,1)="N","Nhập","Xuất")</f>
        <v>Nhập</v>
      </c>
    </row>
    <row r="7" spans="1:11" ht="20.100000000000001" customHeight="1" x14ac:dyDescent="0.2">
      <c r="A7" s="5">
        <v>7</v>
      </c>
      <c r="B7" s="2" t="s">
        <v>49</v>
      </c>
      <c r="C7" s="2" t="str">
        <f>IF(LEFT(B7,2)="PE","PEPSI",IF(LEFT(B7,2)="CO","COCA COLA",IF(LEFT(B7,2)="SP","SPRITE","FANTA")))</f>
        <v>PEPSI</v>
      </c>
      <c r="D7" s="5">
        <v>50</v>
      </c>
      <c r="E7" s="2">
        <v>1800</v>
      </c>
      <c r="F7" s="28">
        <f>IF(AND(LEFT(B7,2)="PE",MID(B7,5,1)="C",RIGHT(B7,1)="X",D7&gt;=50),5%*D7*E7,"")</f>
        <v>4500</v>
      </c>
      <c r="G7" s="33">
        <f>D7*E7-IF(F7="",0,F7)</f>
        <v>85500</v>
      </c>
      <c r="H7" s="28" t="str">
        <f>IF(AND(RIGHT(B7,1)="X",(D7&gt;=50)),"Có quà tặng","")</f>
        <v>Có quà tặng</v>
      </c>
      <c r="I7" s="28" t="str">
        <f>IF(MID(B7,5,1)="C","Chai","Lon")</f>
        <v>Chai</v>
      </c>
      <c r="J7" s="28" t="str">
        <f>IF(RIGHT(B7,1)="N","Nhập","Xuất")</f>
        <v>Xuất</v>
      </c>
    </row>
    <row r="8" spans="1:11" ht="20.100000000000001" customHeight="1" x14ac:dyDescent="0.2">
      <c r="A8" s="5">
        <v>4</v>
      </c>
      <c r="B8" s="2" t="s">
        <v>46</v>
      </c>
      <c r="C8" s="2" t="str">
        <f>IF(LEFT(B8,2)="PE","PEPSI",IF(LEFT(B8,2)="CO","COCA COLA",IF(LEFT(B8,2)="SP","SPRITE","FANTA")))</f>
        <v>PEPSI</v>
      </c>
      <c r="D8" s="5">
        <v>80</v>
      </c>
      <c r="E8" s="2">
        <v>1400</v>
      </c>
      <c r="F8" s="28" t="str">
        <f>IF(AND(LEFT(B8,2)="PE",MID(B8,5,1)="C",RIGHT(B8,1)="X",D8&gt;=50),5%*D8*E8,"")</f>
        <v/>
      </c>
      <c r="G8" s="33">
        <f>D8*E8-IF(F8="",0,F8)</f>
        <v>112000</v>
      </c>
      <c r="H8" s="28" t="str">
        <f>IF(AND(RIGHT(B8,1)="X",(D8&gt;=50)),"Có quà tặng","")</f>
        <v/>
      </c>
      <c r="I8" s="28" t="str">
        <f>IF(MID(B8,5,1)="C","Chai","Lon")</f>
        <v>Chai</v>
      </c>
      <c r="J8" s="28" t="str">
        <f>IF(RIGHT(B8,1)="N","Nhập","Xuất")</f>
        <v>Nhập</v>
      </c>
    </row>
    <row r="9" spans="1:11" ht="20.100000000000001" customHeight="1" x14ac:dyDescent="0.2">
      <c r="A9" s="5">
        <v>3</v>
      </c>
      <c r="B9" s="2" t="s">
        <v>45</v>
      </c>
      <c r="C9" s="2" t="str">
        <f>IF(LEFT(B9,2)="PE","PEPSI",IF(LEFT(B9,2)="CO","COCA COLA",IF(LEFT(B9,2)="SP","SPRITE","FANTA")))</f>
        <v>SPRITE</v>
      </c>
      <c r="D9" s="5">
        <v>35</v>
      </c>
      <c r="E9" s="2">
        <v>1800</v>
      </c>
      <c r="F9" s="28" t="str">
        <f>IF(AND(LEFT(B9,2)="PE",MID(B9,5,1)="C",RIGHT(B9,1)="X",D9&gt;=50),5%*D9*E9,"")</f>
        <v/>
      </c>
      <c r="G9" s="33">
        <f>D9*E9-IF(F9="",0,F9)</f>
        <v>63000</v>
      </c>
      <c r="H9" s="28" t="str">
        <f>IF(AND(RIGHT(B9,1)="X",(D9&gt;=50)),"Có quà tặng","")</f>
        <v/>
      </c>
      <c r="I9" s="28" t="str">
        <f>IF(MID(B9,5,1)="C","Chai","Lon")</f>
        <v>Lon</v>
      </c>
      <c r="J9" s="28" t="str">
        <f>IF(RIGHT(B9,1)="N","Nhập","Xuất")</f>
        <v>Nhập</v>
      </c>
    </row>
    <row r="10" spans="1:11" ht="20.100000000000001" customHeight="1" x14ac:dyDescent="0.2">
      <c r="A10" s="5">
        <v>6</v>
      </c>
      <c r="B10" s="2" t="s">
        <v>48</v>
      </c>
      <c r="C10" s="2" t="str">
        <f>IF(LEFT(B10,2)="PE","PEPSI",IF(LEFT(B10,2)="CO","COCA COLA",IF(LEFT(B10,2)="SP","SPRITE","FANTA")))</f>
        <v>SPRITE</v>
      </c>
      <c r="D10" s="5">
        <v>35</v>
      </c>
      <c r="E10" s="2">
        <v>2300</v>
      </c>
      <c r="F10" s="28" t="str">
        <f>IF(AND(LEFT(B10,2)="PE",MID(B10,5,1)="C",RIGHT(B10,1)="X",D10&gt;=50),5%*D10*E10,"")</f>
        <v/>
      </c>
      <c r="G10" s="33">
        <f>D10*E10-IF(F10="",0,F10)</f>
        <v>80500</v>
      </c>
      <c r="H10" s="28" t="str">
        <f>IF(AND(RIGHT(B10,1)="X",(D10&gt;=50)),"Có quà tặng","")</f>
        <v/>
      </c>
      <c r="I10" s="28" t="str">
        <f>IF(MID(B10,5,1)="C","Chai","Lon")</f>
        <v>Lon</v>
      </c>
      <c r="J10" s="28" t="str">
        <f>IF(RIGHT(B10,1)="N","Nhập","Xuất")</f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79" t="s">
        <v>51</v>
      </c>
      <c r="B13" s="79" t="s">
        <v>38</v>
      </c>
      <c r="C13" s="79" t="s">
        <v>40</v>
      </c>
      <c r="D13" s="79"/>
      <c r="F13" s="42" t="s">
        <v>62</v>
      </c>
      <c r="G13" s="42" t="s">
        <v>63</v>
      </c>
      <c r="I13" s="42" t="s">
        <v>68</v>
      </c>
      <c r="J13" s="42" t="s">
        <v>60</v>
      </c>
      <c r="K13" s="42" t="s">
        <v>61</v>
      </c>
    </row>
    <row r="14" spans="1:11" ht="20.100000000000001" customHeight="1" x14ac:dyDescent="0.2">
      <c r="A14" s="79"/>
      <c r="B14" s="79"/>
      <c r="C14" s="41" t="s">
        <v>60</v>
      </c>
      <c r="D14" s="41" t="s">
        <v>61</v>
      </c>
      <c r="F14" s="5" t="s">
        <v>64</v>
      </c>
      <c r="G14" s="2" t="s">
        <v>65</v>
      </c>
      <c r="I14" s="2" t="s">
        <v>56</v>
      </c>
      <c r="J14" s="28">
        <f>SUMIFS($D$3:$D$10,$C$3:$C$10,"PEPSI",$J$3:$J$10,"Nhập")</f>
        <v>100</v>
      </c>
      <c r="K14" s="28">
        <f>SUMIFS($D$3:$D$10,$C$3:$C$10,"PEPSI",$J$3:$J$10,"Xuất")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8">
        <f>SUMIFS($D$3:$D$10,$C$3:$C$10,"COCA COLA",$J$3:$J$10,"Nhập")</f>
        <v>40</v>
      </c>
      <c r="K15" s="28">
        <f>SUMIFS($D$3:$D$10,$C$3:$C$10,"COCA COLA",$J$3:$J$10,"Xuất")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4" t="s">
        <v>129</v>
      </c>
    </row>
    <row r="21" spans="1:4" ht="20.100000000000001" customHeight="1" x14ac:dyDescent="0.2">
      <c r="A21" s="24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7" t="s">
        <v>135</v>
      </c>
    </row>
    <row r="29" spans="1:4" ht="20.100000000000001" customHeight="1" x14ac:dyDescent="0.2">
      <c r="A29" s="1" t="s">
        <v>130</v>
      </c>
    </row>
  </sheetData>
  <sortState xmlns:xlrd2="http://schemas.microsoft.com/office/spreadsheetml/2017/richdata2" ref="A3:J10">
    <sortCondition ref="B3:B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N18" sqref="N18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10.140625" style="1" customWidth="1"/>
    <col min="4" max="4" width="8.28515625" style="1" customWidth="1"/>
    <col min="5" max="9" width="9.140625" style="1"/>
    <col min="10" max="10" width="11.140625" style="1" customWidth="1"/>
    <col min="11" max="16384" width="9.140625" style="1"/>
  </cols>
  <sheetData>
    <row r="1" spans="1:11" ht="23.25" x14ac:dyDescent="0.35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97</v>
      </c>
      <c r="C2" s="86"/>
      <c r="D2" s="44" t="s">
        <v>98</v>
      </c>
      <c r="E2" s="81" t="s">
        <v>112</v>
      </c>
      <c r="F2" s="81"/>
      <c r="G2" s="81"/>
      <c r="H2" s="81"/>
      <c r="I2" s="44" t="s">
        <v>107</v>
      </c>
      <c r="J2" s="44" t="s">
        <v>108</v>
      </c>
      <c r="K2" s="44" t="s">
        <v>111</v>
      </c>
    </row>
    <row r="3" spans="1:11" x14ac:dyDescent="0.2">
      <c r="A3" s="83"/>
      <c r="B3" s="45" t="s">
        <v>100</v>
      </c>
      <c r="C3" s="45" t="s">
        <v>101</v>
      </c>
      <c r="D3" s="46" t="s">
        <v>99</v>
      </c>
      <c r="E3" s="45" t="s">
        <v>102</v>
      </c>
      <c r="F3" s="45" t="s">
        <v>103</v>
      </c>
      <c r="G3" s="45" t="s">
        <v>104</v>
      </c>
      <c r="H3" s="45" t="s">
        <v>105</v>
      </c>
      <c r="I3" s="46" t="s">
        <v>106</v>
      </c>
      <c r="J3" s="46" t="s">
        <v>109</v>
      </c>
      <c r="K3" s="46" t="s">
        <v>110</v>
      </c>
    </row>
    <row r="4" spans="1:11" x14ac:dyDescent="0.2">
      <c r="A4" s="5">
        <v>6</v>
      </c>
      <c r="B4" s="2">
        <v>35</v>
      </c>
      <c r="C4" s="2">
        <v>233</v>
      </c>
      <c r="D4" s="32">
        <f>C4-B4</f>
        <v>198</v>
      </c>
      <c r="E4" s="32">
        <f>IF(D4&gt;=100,100,D4)</f>
        <v>100</v>
      </c>
      <c r="F4" s="32">
        <f>IF(D4&lt;=100,0,IF(D4&gt;=150,50,D4-E4))</f>
        <v>50</v>
      </c>
      <c r="G4" s="32">
        <f>IF(D4&lt;=100,0,IF(D4&gt;=250,100,D4-E4-F4))</f>
        <v>48</v>
      </c>
      <c r="H4" s="32">
        <f>IF(D4&lt;=250,0,D4-E4-F4-G4)</f>
        <v>0</v>
      </c>
      <c r="I4" s="32">
        <f>IF(D4&gt;=350,200000,IF(AND(D4&gt;=251,D4&lt;=349),100000,0))</f>
        <v>0</v>
      </c>
      <c r="J4" s="90">
        <f>(500*E4+650*F4+900*G4+1000*H4)+I4</f>
        <v>125700</v>
      </c>
      <c r="K4" s="28" t="str">
        <f>IF(I4&gt;0,"Phạt","")</f>
        <v/>
      </c>
    </row>
    <row r="5" spans="1:11" x14ac:dyDescent="0.2">
      <c r="A5" s="5">
        <v>1</v>
      </c>
      <c r="B5" s="2">
        <v>50</v>
      </c>
      <c r="C5" s="2">
        <v>230</v>
      </c>
      <c r="D5" s="32">
        <f>C5-B5</f>
        <v>180</v>
      </c>
      <c r="E5" s="32">
        <f>IF(D5&gt;=100,100,D5)</f>
        <v>100</v>
      </c>
      <c r="F5" s="32">
        <f>IF(D5&lt;=100,0,IF(D5&gt;=150,50,D5-E5))</f>
        <v>50</v>
      </c>
      <c r="G5" s="32">
        <f>IF(D5&lt;=100,0,IF(D5&gt;=250,100,D5-E5-F5))</f>
        <v>30</v>
      </c>
      <c r="H5" s="32">
        <f>IF(D5&lt;=250,0,D5-E5-F5-G5)</f>
        <v>0</v>
      </c>
      <c r="I5" s="32">
        <f>IF(D5&gt;=350,200000,IF(AND(D5&gt;=251,D5&lt;=349),100000,0))</f>
        <v>0</v>
      </c>
      <c r="J5" s="90">
        <f>(500*E5+650*F5+900*G5+1000*H5)+I5</f>
        <v>109500</v>
      </c>
      <c r="K5" s="28" t="str">
        <f>IF(I5&gt;0,"Phạt","")</f>
        <v/>
      </c>
    </row>
    <row r="6" spans="1:11" x14ac:dyDescent="0.2">
      <c r="A6" s="5">
        <v>4</v>
      </c>
      <c r="B6" s="2">
        <v>60</v>
      </c>
      <c r="C6" s="2">
        <v>145</v>
      </c>
      <c r="D6" s="32">
        <f>C6-B6</f>
        <v>85</v>
      </c>
      <c r="E6" s="32">
        <f>IF(D6&gt;=100,100,D6)</f>
        <v>85</v>
      </c>
      <c r="F6" s="32">
        <f>IF(D6&lt;=100,0,IF(D6&gt;=150,50,D6-E6))</f>
        <v>0</v>
      </c>
      <c r="G6" s="32">
        <f>IF(D6&lt;=100,0,IF(D6&gt;=250,100,D6-E6-F6))</f>
        <v>0</v>
      </c>
      <c r="H6" s="32">
        <f>IF(D6&lt;=250,0,D6-E6-F6-G6)</f>
        <v>0</v>
      </c>
      <c r="I6" s="32">
        <f>IF(D6&gt;=350,200000,IF(AND(D6&gt;=251,D6&lt;=349),100000,0))</f>
        <v>0</v>
      </c>
      <c r="J6" s="90">
        <f>(500*E6+650*F6+900*G6+1000*H6)+I6</f>
        <v>42500</v>
      </c>
      <c r="K6" s="28" t="str">
        <f>IF(I6&gt;0,"Phạt","")</f>
        <v/>
      </c>
    </row>
    <row r="7" spans="1:11" x14ac:dyDescent="0.2">
      <c r="A7" s="5">
        <v>2</v>
      </c>
      <c r="B7" s="2">
        <v>76</v>
      </c>
      <c r="C7" s="2">
        <v>155</v>
      </c>
      <c r="D7" s="32">
        <f>C7-B7</f>
        <v>79</v>
      </c>
      <c r="E7" s="32">
        <f>IF(D7&gt;=100,100,D7)</f>
        <v>79</v>
      </c>
      <c r="F7" s="32">
        <f>IF(D7&lt;=100,0,IF(D7&gt;=150,50,D7-E7))</f>
        <v>0</v>
      </c>
      <c r="G7" s="32">
        <f>IF(D7&lt;=100,0,IF(D7&gt;=250,100,D7-E7-F7))</f>
        <v>0</v>
      </c>
      <c r="H7" s="32">
        <f>IF(D7&lt;=250,0,D7-E7-F7-G7)</f>
        <v>0</v>
      </c>
      <c r="I7" s="32">
        <f>IF(D7&gt;=350,200000,IF(AND(D7&gt;=251,D7&lt;=349),100000,0))</f>
        <v>0</v>
      </c>
      <c r="J7" s="90">
        <f>(500*E7+650*F7+900*G7+1000*H7)+I7</f>
        <v>39500</v>
      </c>
      <c r="K7" s="28" t="str">
        <f>IF(I7&gt;0,"Phạt","")</f>
        <v/>
      </c>
    </row>
    <row r="8" spans="1:11" x14ac:dyDescent="0.2">
      <c r="A8" s="5">
        <v>3</v>
      </c>
      <c r="B8" s="2">
        <v>85</v>
      </c>
      <c r="C8" s="2">
        <v>202</v>
      </c>
      <c r="D8" s="32">
        <f>C8-B8</f>
        <v>117</v>
      </c>
      <c r="E8" s="32">
        <f>IF(D8&gt;=100,100,D8)</f>
        <v>100</v>
      </c>
      <c r="F8" s="32">
        <f>IF(D8&lt;=100,0,IF(D8&gt;=150,50,D8-E8))</f>
        <v>17</v>
      </c>
      <c r="G8" s="32">
        <f>IF(D8&lt;=100,0,IF(D8&gt;=250,100,D8-E8-F8))</f>
        <v>0</v>
      </c>
      <c r="H8" s="32">
        <f>IF(D8&lt;=250,0,D8-E8-F8-G8)</f>
        <v>0</v>
      </c>
      <c r="I8" s="32">
        <f>IF(D8&gt;=350,200000,IF(AND(D8&gt;=251,D8&lt;=349),100000,0))</f>
        <v>0</v>
      </c>
      <c r="J8" s="90">
        <f>(500*E8+650*F8+900*G8+1000*H8)+I8</f>
        <v>61050</v>
      </c>
      <c r="K8" s="28" t="str">
        <f>IF(I8&gt;0,"Phạt","")</f>
        <v/>
      </c>
    </row>
    <row r="9" spans="1:11" x14ac:dyDescent="0.2">
      <c r="A9" s="5">
        <v>5</v>
      </c>
      <c r="B9" s="2">
        <v>105</v>
      </c>
      <c r="C9" s="2">
        <v>500</v>
      </c>
      <c r="D9" s="32">
        <f>C9-B9</f>
        <v>395</v>
      </c>
      <c r="E9" s="32">
        <f>IF(D9&gt;=100,100,D9)</f>
        <v>100</v>
      </c>
      <c r="F9" s="32">
        <f>IF(D9&lt;=100,0,IF(D9&gt;=150,50,D9-E9))</f>
        <v>50</v>
      </c>
      <c r="G9" s="32">
        <f>IF(D9&lt;=100,0,IF(D9&gt;=250,100,D9-E9-F9))</f>
        <v>100</v>
      </c>
      <c r="H9" s="32">
        <f>IF(D9&lt;=250,0,D9-E9-F9-G9)</f>
        <v>145</v>
      </c>
      <c r="I9" s="32">
        <f>IF(D9&gt;=350,200000,IF(AND(D9&gt;=251,D9&lt;=349),100000,0))</f>
        <v>200000</v>
      </c>
      <c r="J9" s="90">
        <f>(500*E9+650*F9+900*G9+1000*H9)+I9</f>
        <v>517500</v>
      </c>
      <c r="K9" s="28" t="str">
        <f>IF(I9&gt;0,"Phạt","")</f>
        <v>Phạt</v>
      </c>
    </row>
    <row r="10" spans="1:11" x14ac:dyDescent="0.2">
      <c r="A10" s="5">
        <v>9</v>
      </c>
      <c r="B10" s="2">
        <v>115</v>
      </c>
      <c r="C10" s="2">
        <v>207</v>
      </c>
      <c r="D10" s="32">
        <f>C10-B10</f>
        <v>92</v>
      </c>
      <c r="E10" s="32">
        <f>IF(D10&gt;=100,100,D10)</f>
        <v>92</v>
      </c>
      <c r="F10" s="32">
        <f>IF(D10&lt;=100,0,IF(D10&gt;=150,50,D10-E10))</f>
        <v>0</v>
      </c>
      <c r="G10" s="32">
        <f>IF(D10&lt;=100,0,IF(D10&gt;=250,100,D10-E10-F10))</f>
        <v>0</v>
      </c>
      <c r="H10" s="32">
        <f>IF(D10&lt;=250,0,D10-E10-F10-G10)</f>
        <v>0</v>
      </c>
      <c r="I10" s="32">
        <f>IF(D10&gt;=350,200000,IF(AND(D10&gt;=251,D10&lt;=349),100000,0))</f>
        <v>0</v>
      </c>
      <c r="J10" s="90">
        <f>(500*E10+650*F10+900*G10+1000*H10)+I10</f>
        <v>46000</v>
      </c>
      <c r="K10" s="28" t="str">
        <f>IF(I10&gt;0,"Phạt","")</f>
        <v/>
      </c>
    </row>
    <row r="11" spans="1:11" x14ac:dyDescent="0.2">
      <c r="A11" s="5">
        <v>8</v>
      </c>
      <c r="B11" s="2">
        <v>120</v>
      </c>
      <c r="C11" s="2">
        <v>500</v>
      </c>
      <c r="D11" s="32">
        <f>C11-B11</f>
        <v>380</v>
      </c>
      <c r="E11" s="32">
        <f>IF(D11&gt;=100,100,D11)</f>
        <v>100</v>
      </c>
      <c r="F11" s="32">
        <f>IF(D11&lt;=100,0,IF(D11&gt;=150,50,D11-E11))</f>
        <v>50</v>
      </c>
      <c r="G11" s="32">
        <f>IF(D11&lt;=100,0,IF(D11&gt;=250,100,D11-E11-F11))</f>
        <v>100</v>
      </c>
      <c r="H11" s="32">
        <f>IF(D11&lt;=250,0,D11-E11-F11-G11)</f>
        <v>130</v>
      </c>
      <c r="I11" s="32">
        <f>IF(D11&gt;=350,200000,IF(AND(D11&gt;=251,D11&lt;=349),100000,0))</f>
        <v>200000</v>
      </c>
      <c r="J11" s="90">
        <f>(500*E11+650*F11+900*G11+1000*H11)+I11</f>
        <v>502500</v>
      </c>
      <c r="K11" s="28" t="str">
        <f>IF(I11&gt;0,"Phạt","")</f>
        <v>Phạt</v>
      </c>
    </row>
    <row r="12" spans="1:11" x14ac:dyDescent="0.2">
      <c r="A12" s="5">
        <v>10</v>
      </c>
      <c r="B12" s="2">
        <v>125</v>
      </c>
      <c r="C12" s="2">
        <v>400</v>
      </c>
      <c r="D12" s="32">
        <f>C12-B12</f>
        <v>275</v>
      </c>
      <c r="E12" s="32">
        <f>IF(D12&gt;=100,100,D12)</f>
        <v>100</v>
      </c>
      <c r="F12" s="32">
        <f>IF(D12&lt;=100,0,IF(D12&gt;=150,50,D12-E12))</f>
        <v>50</v>
      </c>
      <c r="G12" s="32">
        <f>IF(D12&lt;=100,0,IF(D12&gt;=250,100,D12-E12-F12))</f>
        <v>100</v>
      </c>
      <c r="H12" s="32">
        <f>IF(D12&lt;=250,0,D12-E12-F12-G12)</f>
        <v>25</v>
      </c>
      <c r="I12" s="32">
        <f>IF(D12&gt;=350,200000,IF(AND(D12&gt;=251,D12&lt;=349),100000,0))</f>
        <v>100000</v>
      </c>
      <c r="J12" s="90">
        <f>(500*E12+650*F12+900*G12+1000*H12)+I12</f>
        <v>297500</v>
      </c>
      <c r="K12" s="28" t="str">
        <f>IF(I12&gt;0,"Phạt","")</f>
        <v>Phạt</v>
      </c>
    </row>
    <row r="13" spans="1:11" x14ac:dyDescent="0.2">
      <c r="A13" s="5">
        <v>7</v>
      </c>
      <c r="B13" s="2">
        <v>170</v>
      </c>
      <c r="C13" s="2">
        <v>295</v>
      </c>
      <c r="D13" s="32">
        <f>C13-B13</f>
        <v>125</v>
      </c>
      <c r="E13" s="32">
        <f>IF(D13&gt;=100,100,D13)</f>
        <v>100</v>
      </c>
      <c r="F13" s="32">
        <f>IF(D13&lt;=100,0,IF(D13&gt;=150,50,D13-E13))</f>
        <v>25</v>
      </c>
      <c r="G13" s="32">
        <f>IF(D13&lt;=100,0,IF(D13&gt;=250,100,D13-E13-F13))</f>
        <v>0</v>
      </c>
      <c r="H13" s="32">
        <f>IF(D13&lt;=250,0,D13-E13-F13-G13)</f>
        <v>0</v>
      </c>
      <c r="I13" s="32">
        <f>IF(D13&gt;=350,200000,IF(AND(D13&gt;=251,D13&lt;=349),100000,0))</f>
        <v>0</v>
      </c>
      <c r="J13" s="90">
        <f>(500*E13+650*F13+900*G13+1000*H13)+I13</f>
        <v>66250</v>
      </c>
      <c r="K13" s="28" t="str">
        <f>IF(I13&gt;0,"Phạt","")</f>
        <v/>
      </c>
    </row>
    <row r="14" spans="1:11" x14ac:dyDescent="0.2">
      <c r="A14" s="14"/>
      <c r="B14" s="15"/>
      <c r="C14" s="15" t="s">
        <v>113</v>
      </c>
      <c r="D14" s="29">
        <f>SUM(D4:D13)</f>
        <v>1926</v>
      </c>
      <c r="E14" s="15"/>
      <c r="F14" s="15"/>
      <c r="G14" s="15"/>
      <c r="H14" s="88"/>
      <c r="I14" s="87">
        <f>SUM(I4:I13)</f>
        <v>500000</v>
      </c>
      <c r="J14" s="15"/>
      <c r="K14" s="16"/>
    </row>
    <row r="15" spans="1:11" x14ac:dyDescent="0.2">
      <c r="A15" s="17"/>
      <c r="B15" s="7"/>
      <c r="C15" s="7" t="s">
        <v>114</v>
      </c>
      <c r="D15" s="30">
        <f>MIN(D4:D13)</f>
        <v>79</v>
      </c>
      <c r="E15" s="89"/>
      <c r="F15" s="89"/>
      <c r="G15" s="7"/>
      <c r="H15" s="7"/>
      <c r="I15" s="30">
        <f>MIN(I4:I13)</f>
        <v>0</v>
      </c>
      <c r="J15" s="7"/>
      <c r="K15" s="18"/>
    </row>
    <row r="16" spans="1:11" x14ac:dyDescent="0.2">
      <c r="A16" s="17"/>
      <c r="B16" s="7"/>
      <c r="C16" s="7" t="s">
        <v>115</v>
      </c>
      <c r="D16" s="30">
        <f>AVERAGE(D4:D13)</f>
        <v>192.6</v>
      </c>
      <c r="E16" s="89"/>
      <c r="F16" s="89"/>
      <c r="G16" s="89"/>
      <c r="H16" s="7"/>
      <c r="I16" s="30">
        <f>AVERAGE(I4:I13)</f>
        <v>50000</v>
      </c>
      <c r="J16" s="7"/>
      <c r="K16" s="18"/>
    </row>
    <row r="17" spans="1:12" x14ac:dyDescent="0.2">
      <c r="A17" s="19"/>
      <c r="B17" s="20"/>
      <c r="C17" s="20" t="s">
        <v>116</v>
      </c>
      <c r="D17" s="31">
        <f>MAX(D4:D13)</f>
        <v>395</v>
      </c>
      <c r="E17" s="20"/>
      <c r="F17" s="20"/>
      <c r="G17" s="20"/>
      <c r="H17" s="20"/>
      <c r="I17" s="31">
        <f>MAX(I4:I13)</f>
        <v>200000</v>
      </c>
      <c r="J17" s="20"/>
      <c r="K17" s="21"/>
    </row>
    <row r="19" spans="1:12" x14ac:dyDescent="0.2">
      <c r="A19" s="22" t="s">
        <v>95</v>
      </c>
      <c r="H19" s="23" t="s">
        <v>128</v>
      </c>
    </row>
    <row r="20" spans="1:12" x14ac:dyDescent="0.2">
      <c r="A20" s="1" t="s">
        <v>122</v>
      </c>
      <c r="H20" s="44" t="s">
        <v>98</v>
      </c>
      <c r="I20" s="81" t="s">
        <v>112</v>
      </c>
      <c r="J20" s="81"/>
      <c r="K20" s="81"/>
      <c r="L20" s="81"/>
    </row>
    <row r="21" spans="1:12" x14ac:dyDescent="0.2">
      <c r="A21" s="1" t="s">
        <v>123</v>
      </c>
      <c r="H21" s="46" t="s">
        <v>99</v>
      </c>
      <c r="I21" s="45" t="s">
        <v>102</v>
      </c>
      <c r="J21" s="45" t="s">
        <v>103</v>
      </c>
      <c r="K21" s="45" t="s">
        <v>104</v>
      </c>
      <c r="L21" s="45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sortState xmlns:xlrd2="http://schemas.microsoft.com/office/spreadsheetml/2017/richdata2" ref="A5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2023-10-22T02:58:06Z</dcterms:modified>
</cp:coreProperties>
</file>