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4789\Downloads\"/>
    </mc:Choice>
  </mc:AlternateContent>
  <xr:revisionPtr revIDLastSave="0" documentId="8_{8F904D83-0D1A-464E-90A2-042BE12138D2}" xr6:coauthVersionLast="47" xr6:coauthVersionMax="47" xr10:uidLastSave="{00000000-0000-0000-0000-000000000000}"/>
  <bookViews>
    <workbookView xWindow="-110" yWindow="-110" windowWidth="19420" windowHeight="1030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" l="1"/>
  <c r="K12" i="12" s="1"/>
  <c r="K14" i="12"/>
  <c r="K15" i="12"/>
  <c r="K16" i="12"/>
  <c r="K17" i="12"/>
  <c r="I11" i="12"/>
  <c r="K11" i="12" s="1"/>
  <c r="I10" i="12"/>
  <c r="K10" i="12" s="1"/>
  <c r="I5" i="12"/>
  <c r="K5" i="12" s="1"/>
  <c r="H10" i="12"/>
  <c r="D5" i="12"/>
  <c r="H5" i="12" s="1"/>
  <c r="G7" i="12"/>
  <c r="G11" i="12"/>
  <c r="G12" i="12"/>
  <c r="E7" i="12"/>
  <c r="E8" i="12"/>
  <c r="E6" i="12"/>
  <c r="E9" i="12"/>
  <c r="E11" i="12"/>
  <c r="H11" i="12" s="1"/>
  <c r="J11" i="12" s="1"/>
  <c r="D7" i="12"/>
  <c r="F7" i="12" s="1"/>
  <c r="D8" i="12"/>
  <c r="I8" i="12" s="1"/>
  <c r="K8" i="12" s="1"/>
  <c r="D6" i="12"/>
  <c r="F6" i="12" s="1"/>
  <c r="D9" i="12"/>
  <c r="F9" i="12" s="1"/>
  <c r="D4" i="12"/>
  <c r="F4" i="12" s="1"/>
  <c r="D13" i="12"/>
  <c r="D11" i="12"/>
  <c r="F11" i="12" s="1"/>
  <c r="D10" i="12"/>
  <c r="F10" i="12" s="1"/>
  <c r="D12" i="12"/>
  <c r="F12" i="12" s="1"/>
  <c r="H4" i="2"/>
  <c r="H5" i="2"/>
  <c r="H6" i="2"/>
  <c r="H7" i="2"/>
  <c r="H8" i="2"/>
  <c r="H9" i="2"/>
  <c r="H10" i="2"/>
  <c r="H3" i="2"/>
  <c r="K15" i="2"/>
  <c r="K14" i="2"/>
  <c r="J15" i="2"/>
  <c r="J14" i="2"/>
  <c r="I4" i="2"/>
  <c r="I5" i="2"/>
  <c r="I6" i="2"/>
  <c r="I7" i="2"/>
  <c r="I8" i="2"/>
  <c r="I9" i="2"/>
  <c r="I10" i="2"/>
  <c r="I3" i="2"/>
  <c r="J4" i="2"/>
  <c r="J5" i="2"/>
  <c r="J6" i="2"/>
  <c r="J7" i="2"/>
  <c r="J8" i="2"/>
  <c r="J9" i="2"/>
  <c r="J10" i="2"/>
  <c r="J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D15" i="7"/>
  <c r="A15" i="7"/>
  <c r="J6" i="12" l="1"/>
  <c r="I13" i="12"/>
  <c r="K13" i="12" s="1"/>
  <c r="I9" i="12"/>
  <c r="K9" i="12" s="1"/>
  <c r="E5" i="12"/>
  <c r="H13" i="12"/>
  <c r="I6" i="12"/>
  <c r="K6" i="12" s="1"/>
  <c r="E12" i="12"/>
  <c r="H4" i="12"/>
  <c r="F5" i="12"/>
  <c r="E10" i="12"/>
  <c r="I7" i="12"/>
  <c r="K7" i="12" s="1"/>
  <c r="F8" i="12"/>
  <c r="I4" i="12"/>
  <c r="G9" i="12"/>
  <c r="H6" i="12"/>
  <c r="E13" i="12"/>
  <c r="F13" i="12" s="1"/>
  <c r="G6" i="12"/>
  <c r="H8" i="12"/>
  <c r="E4" i="12"/>
  <c r="H7" i="12"/>
  <c r="J7" i="12" s="1"/>
  <c r="K7" i="1"/>
  <c r="K10" i="1"/>
  <c r="J7" i="1"/>
  <c r="J8" i="1"/>
  <c r="K8" i="1" s="1"/>
  <c r="J10" i="1"/>
  <c r="D4" i="1"/>
  <c r="J4" i="1" s="1"/>
  <c r="K4" i="1" s="1"/>
  <c r="D5" i="1"/>
  <c r="J5" i="1" s="1"/>
  <c r="K5" i="1" s="1"/>
  <c r="D6" i="1"/>
  <c r="J6" i="1" s="1"/>
  <c r="K6" i="1" s="1"/>
  <c r="D7" i="1"/>
  <c r="D8" i="1"/>
  <c r="D9" i="1"/>
  <c r="J9" i="1" s="1"/>
  <c r="K9" i="1" s="1"/>
  <c r="D10" i="1"/>
  <c r="D3" i="1"/>
  <c r="J3" i="1" s="1"/>
  <c r="K3" i="1" s="1"/>
  <c r="C3" i="1"/>
  <c r="G4" i="7"/>
  <c r="G5" i="7"/>
  <c r="G6" i="7"/>
  <c r="G7" i="7"/>
  <c r="G3" i="7"/>
  <c r="F4" i="7"/>
  <c r="F5" i="7"/>
  <c r="F6" i="7"/>
  <c r="F7" i="7"/>
  <c r="F3" i="7"/>
  <c r="D15" i="12" l="1"/>
  <c r="D14" i="12"/>
  <c r="D16" i="12"/>
  <c r="K4" i="12"/>
  <c r="D17" i="12"/>
  <c r="G5" i="12"/>
  <c r="J5" i="12"/>
  <c r="J4" i="12"/>
  <c r="G10" i="12"/>
  <c r="J10" i="12"/>
  <c r="J13" i="12"/>
  <c r="J12" i="12"/>
  <c r="H12" i="12"/>
  <c r="H9" i="12"/>
  <c r="J9" i="12" s="1"/>
  <c r="G13" i="12"/>
  <c r="G8" i="12"/>
  <c r="J8" i="12" s="1"/>
  <c r="G4" i="12"/>
  <c r="H3" i="7"/>
  <c r="I3" i="7"/>
  <c r="B15" i="7"/>
  <c r="I7" i="7"/>
  <c r="H7" i="7"/>
  <c r="I6" i="7"/>
  <c r="H6" i="7"/>
  <c r="I5" i="7"/>
  <c r="H5" i="7"/>
  <c r="I4" i="7"/>
  <c r="H4" i="7"/>
  <c r="I7" i="1"/>
  <c r="I8" i="1"/>
  <c r="I9" i="1"/>
  <c r="I10" i="1"/>
  <c r="E4" i="1"/>
  <c r="I4" i="1" s="1"/>
  <c r="E5" i="1"/>
  <c r="I5" i="1" s="1"/>
  <c r="E6" i="1"/>
  <c r="I6" i="1" s="1"/>
  <c r="E7" i="1"/>
  <c r="E8" i="1"/>
  <c r="E9" i="1"/>
  <c r="E10" i="1"/>
  <c r="E3" i="1"/>
  <c r="I3" i="1" s="1"/>
  <c r="C4" i="1"/>
  <c r="C5" i="1"/>
  <c r="C6" i="1"/>
  <c r="C7" i="1"/>
  <c r="C8" i="1"/>
  <c r="C9" i="1"/>
  <c r="C10" i="1"/>
  <c r="I10" i="13"/>
  <c r="I11" i="13"/>
  <c r="I7" i="13"/>
  <c r="I5" i="13"/>
  <c r="I8" i="13"/>
  <c r="I13" i="13"/>
  <c r="I9" i="13"/>
  <c r="I12" i="13"/>
  <c r="I6" i="13"/>
  <c r="H10" i="13"/>
  <c r="H11" i="13"/>
  <c r="H7" i="13"/>
  <c r="H5" i="13"/>
  <c r="H8" i="13"/>
  <c r="H13" i="13"/>
  <c r="H9" i="13"/>
  <c r="H12" i="13"/>
  <c r="H6" i="13"/>
  <c r="D10" i="13"/>
  <c r="D11" i="13"/>
  <c r="D7" i="13"/>
  <c r="D5" i="13"/>
  <c r="H21" i="13" s="1"/>
  <c r="D8" i="13"/>
  <c r="D13" i="13"/>
  <c r="D9" i="13"/>
  <c r="D12" i="13"/>
  <c r="D6" i="13"/>
  <c r="C10" i="13"/>
  <c r="C11" i="13"/>
  <c r="C7" i="13"/>
  <c r="E7" i="13" s="1"/>
  <c r="C5" i="13"/>
  <c r="E5" i="13" s="1"/>
  <c r="C8" i="13"/>
  <c r="E8" i="13" s="1"/>
  <c r="C13" i="13"/>
  <c r="C9" i="13"/>
  <c r="E9" i="13" s="1"/>
  <c r="C12" i="13"/>
  <c r="E12" i="13" s="1"/>
  <c r="C6" i="13"/>
  <c r="E6" i="13" s="1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E11" i="13" l="1"/>
  <c r="E10" i="13"/>
  <c r="E13" i="13"/>
  <c r="C15" i="7"/>
  <c r="G21" i="13"/>
  <c r="I21" i="13"/>
  <c r="F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<sst xmlns="http://schemas.openxmlformats.org/spreadsheetml/2006/main" count="246" uniqueCount="191">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</sst>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9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5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3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8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2" fontId="25" fillId="0" borderId="1" xfId="0" applyNumberFormat="1" applyFont="1" applyBorder="1"/>
    <xf numFmtId="2" fontId="43" fillId="0" borderId="1" xfId="0" applyNumberFormat="1" applyFont="1" applyBorder="1"/>
    <xf numFmtId="164" fontId="43" fillId="0" borderId="1" xfId="0" applyNumberFormat="1" applyFont="1" applyBorder="1"/>
    <xf numFmtId="0" fontId="8" fillId="0" borderId="1" xfId="0" applyFont="1" applyBorder="1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Normal="100" workbookViewId="0">
      <selection activeCell="C5" sqref="C5"/>
    </sheetView>
  </sheetViews>
  <sheetFormatPr defaultColWidth="9.1796875" defaultRowHeight="20.149999999999999" customHeight="1"/>
  <cols>
    <col min="1" max="1" width="11.54296875" style="1" customWidth="1"/>
    <col min="2" max="2" width="10.453125" style="1" customWidth="1"/>
    <col min="3" max="3" width="20.1796875" style="1" bestFit="1" customWidth="1"/>
    <col min="4" max="4" width="14.26953125" style="1" bestFit="1" customWidth="1"/>
    <col min="5" max="5" width="19.453125" style="1" bestFit="1" customWidth="1"/>
    <col min="6" max="6" width="12.1796875" style="1" customWidth="1"/>
    <col min="7" max="7" width="10.1796875" style="1" customWidth="1"/>
    <col min="8" max="8" width="15.1796875" style="1" customWidth="1"/>
    <col min="9" max="16384" width="9.1796875" style="1"/>
  </cols>
  <sheetData>
    <row r="1" spans="1:10" ht="34.5" customHeight="1">
      <c r="A1" s="69" t="s">
        <v>81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49999999999999" customHeight="1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49999999999999" customHeight="1">
      <c r="A3" s="72" t="s">
        <v>82</v>
      </c>
      <c r="B3" s="72" t="s">
        <v>83</v>
      </c>
      <c r="C3" s="65" t="s">
        <v>89</v>
      </c>
      <c r="D3" s="65" t="s">
        <v>90</v>
      </c>
      <c r="E3" s="65" t="s">
        <v>84</v>
      </c>
      <c r="F3" s="67" t="s">
        <v>85</v>
      </c>
      <c r="G3" s="68"/>
      <c r="H3" s="70" t="s">
        <v>86</v>
      </c>
      <c r="I3" s="33" t="s">
        <v>43</v>
      </c>
    </row>
    <row r="4" spans="1:10" ht="20.149999999999999" customHeight="1">
      <c r="A4" s="72"/>
      <c r="B4" s="72"/>
      <c r="C4" s="66"/>
      <c r="D4" s="66"/>
      <c r="E4" s="66"/>
      <c r="F4" s="32" t="s">
        <v>87</v>
      </c>
      <c r="G4" s="32" t="s">
        <v>88</v>
      </c>
      <c r="H4" s="71"/>
      <c r="I4" s="34"/>
    </row>
    <row r="5" spans="1:10" ht="20.149999999999999" customHeight="1">
      <c r="A5" s="2" t="s">
        <v>165</v>
      </c>
      <c r="B5" s="2">
        <v>25</v>
      </c>
      <c r="C5" s="2" t="str">
        <f t="shared" ref="C5:C13" si="0">IF(LEFT(A5,2)="A1","Tin học A1","Tin học A2")</f>
        <v>Tin học A1</v>
      </c>
      <c r="D5" s="2" t="str">
        <f t="shared" ref="D5:D13" si="1">MID(A5,3,1)</f>
        <v>C</v>
      </c>
      <c r="E5" s="24" t="str">
        <f t="shared" ref="E5:E13" si="2">C5&amp;"-"&amp;IF(D5="S","Sáng",IF(D5="C","Chiều","Tối"))</f>
        <v>Tin học A1-Chiều</v>
      </c>
      <c r="F5" s="24" t="str">
        <f t="shared" ref="F5:F13" si="3">IF(B5&lt;10,"","x")</f>
        <v>x</v>
      </c>
      <c r="G5" s="24" t="str">
        <f t="shared" ref="G5:G13" si="4">IF(B5&gt;=20,"x","")</f>
        <v>x</v>
      </c>
      <c r="H5" s="45">
        <f t="shared" ref="H5:H13" si="5">IF(MID(A5,3,1)="T",$D$2+2,$D$2)</f>
        <v>44344</v>
      </c>
      <c r="I5" s="24" t="str">
        <f t="shared" ref="I5:I13" si="6">IF(B5&lt;10,"Hủy","")</f>
        <v/>
      </c>
    </row>
    <row r="6" spans="1:10" ht="20.149999999999999" customHeight="1">
      <c r="A6" s="2" t="s">
        <v>157</v>
      </c>
      <c r="B6" s="2">
        <v>22</v>
      </c>
      <c r="C6" s="2" t="str">
        <f t="shared" si="0"/>
        <v>Tin học A1</v>
      </c>
      <c r="D6" s="2" t="str">
        <f t="shared" si="1"/>
        <v>S</v>
      </c>
      <c r="E6" s="24" t="str">
        <f t="shared" si="2"/>
        <v>Tin học A1-Sáng</v>
      </c>
      <c r="F6" s="24" t="str">
        <f t="shared" si="3"/>
        <v>x</v>
      </c>
      <c r="G6" s="24" t="str">
        <f t="shared" si="4"/>
        <v>x</v>
      </c>
      <c r="H6" s="45">
        <f t="shared" si="5"/>
        <v>44344</v>
      </c>
      <c r="I6" s="24" t="str">
        <f t="shared" si="6"/>
        <v/>
      </c>
    </row>
    <row r="7" spans="1:10" ht="20.149999999999999" customHeight="1">
      <c r="A7" s="2" t="s">
        <v>164</v>
      </c>
      <c r="B7" s="2">
        <v>18</v>
      </c>
      <c r="C7" s="2" t="str">
        <f t="shared" si="0"/>
        <v>Tin học A1</v>
      </c>
      <c r="D7" s="2" t="str">
        <f t="shared" si="1"/>
        <v>S</v>
      </c>
      <c r="E7" s="24" t="str">
        <f t="shared" si="2"/>
        <v>Tin học A1-Sáng</v>
      </c>
      <c r="F7" s="24" t="str">
        <f t="shared" si="3"/>
        <v>x</v>
      </c>
      <c r="G7" s="24" t="str">
        <f t="shared" si="4"/>
        <v/>
      </c>
      <c r="H7" s="45">
        <f t="shared" si="5"/>
        <v>44344</v>
      </c>
      <c r="I7" s="24" t="str">
        <f t="shared" si="6"/>
        <v/>
      </c>
    </row>
    <row r="8" spans="1:10" ht="20.149999999999999" customHeight="1">
      <c r="A8" s="2" t="s">
        <v>166</v>
      </c>
      <c r="B8" s="2">
        <v>7</v>
      </c>
      <c r="C8" s="2" t="str">
        <f t="shared" si="0"/>
        <v>Tin học A1</v>
      </c>
      <c r="D8" s="2" t="str">
        <f t="shared" si="1"/>
        <v>S</v>
      </c>
      <c r="E8" s="24" t="str">
        <f t="shared" si="2"/>
        <v>Tin học A1-Sáng</v>
      </c>
      <c r="F8" s="24" t="str">
        <f t="shared" si="3"/>
        <v/>
      </c>
      <c r="G8" s="24" t="str">
        <f t="shared" si="4"/>
        <v/>
      </c>
      <c r="H8" s="45">
        <f t="shared" si="5"/>
        <v>44344</v>
      </c>
      <c r="I8" s="24" t="str">
        <f t="shared" si="6"/>
        <v>Hủy</v>
      </c>
    </row>
    <row r="9" spans="1:10" ht="20.149999999999999" customHeight="1">
      <c r="A9" s="2" t="s">
        <v>168</v>
      </c>
      <c r="B9" s="2">
        <v>28</v>
      </c>
      <c r="C9" s="2" t="str">
        <f t="shared" si="0"/>
        <v>Tin học A1</v>
      </c>
      <c r="D9" s="2" t="str">
        <f t="shared" si="1"/>
        <v>T</v>
      </c>
      <c r="E9" s="24" t="str">
        <f t="shared" si="2"/>
        <v>Tin học A1-Tối</v>
      </c>
      <c r="F9" s="24" t="str">
        <f t="shared" si="3"/>
        <v>x</v>
      </c>
      <c r="G9" s="24" t="str">
        <f t="shared" si="4"/>
        <v>x</v>
      </c>
      <c r="H9" s="45">
        <f t="shared" si="5"/>
        <v>44346</v>
      </c>
      <c r="I9" s="24" t="str">
        <f t="shared" si="6"/>
        <v/>
      </c>
    </row>
    <row r="10" spans="1:10" ht="20.149999999999999" customHeight="1">
      <c r="A10" s="2" t="s">
        <v>162</v>
      </c>
      <c r="B10" s="2">
        <v>18</v>
      </c>
      <c r="C10" s="2" t="str">
        <f t="shared" si="0"/>
        <v>Tin học A1</v>
      </c>
      <c r="D10" s="2" t="str">
        <f t="shared" si="1"/>
        <v>T</v>
      </c>
      <c r="E10" s="24" t="str">
        <f t="shared" si="2"/>
        <v>Tin học A1-Tối</v>
      </c>
      <c r="F10" s="24" t="str">
        <f t="shared" si="3"/>
        <v>x</v>
      </c>
      <c r="G10" s="24" t="str">
        <f t="shared" si="4"/>
        <v/>
      </c>
      <c r="H10" s="45">
        <f t="shared" si="5"/>
        <v>44346</v>
      </c>
      <c r="I10" s="24" t="str">
        <f t="shared" si="6"/>
        <v/>
      </c>
    </row>
    <row r="11" spans="1:10" ht="20.149999999999999" customHeight="1">
      <c r="A11" s="2" t="s">
        <v>163</v>
      </c>
      <c r="B11" s="2">
        <v>19</v>
      </c>
      <c r="C11" s="2" t="str">
        <f t="shared" si="0"/>
        <v>Tin học A2</v>
      </c>
      <c r="D11" s="2" t="str">
        <f t="shared" si="1"/>
        <v>C</v>
      </c>
      <c r="E11" s="24" t="str">
        <f t="shared" si="2"/>
        <v>Tin học A2-Chiều</v>
      </c>
      <c r="F11" s="24" t="str">
        <f t="shared" si="3"/>
        <v>x</v>
      </c>
      <c r="G11" s="24" t="str">
        <f t="shared" si="4"/>
        <v/>
      </c>
      <c r="H11" s="45">
        <f t="shared" si="5"/>
        <v>44344</v>
      </c>
      <c r="I11" s="24" t="str">
        <f t="shared" si="6"/>
        <v/>
      </c>
    </row>
    <row r="12" spans="1:10" ht="20.149999999999999" customHeight="1">
      <c r="A12" s="2" t="s">
        <v>169</v>
      </c>
      <c r="B12" s="2">
        <v>9</v>
      </c>
      <c r="C12" s="2" t="str">
        <f t="shared" si="0"/>
        <v>Tin học A2</v>
      </c>
      <c r="D12" s="2" t="str">
        <f t="shared" si="1"/>
        <v>S</v>
      </c>
      <c r="E12" s="24" t="str">
        <f t="shared" si="2"/>
        <v>Tin học A2-Sáng</v>
      </c>
      <c r="F12" s="24" t="str">
        <f t="shared" si="3"/>
        <v/>
      </c>
      <c r="G12" s="24" t="str">
        <f t="shared" si="4"/>
        <v/>
      </c>
      <c r="H12" s="45">
        <f t="shared" si="5"/>
        <v>44344</v>
      </c>
      <c r="I12" s="24" t="str">
        <f t="shared" si="6"/>
        <v>Hủy</v>
      </c>
    </row>
    <row r="13" spans="1:10" ht="20.149999999999999" customHeight="1">
      <c r="A13" s="2" t="s">
        <v>167</v>
      </c>
      <c r="B13" s="2">
        <v>19</v>
      </c>
      <c r="C13" s="2" t="str">
        <f t="shared" si="0"/>
        <v>Tin học A2</v>
      </c>
      <c r="D13" s="2" t="str">
        <f t="shared" si="1"/>
        <v>T</v>
      </c>
      <c r="E13" s="24" t="str">
        <f t="shared" si="2"/>
        <v>Tin học A2-Tối</v>
      </c>
      <c r="F13" s="24" t="str">
        <f t="shared" si="3"/>
        <v>x</v>
      </c>
      <c r="G13" s="24" t="str">
        <f t="shared" si="4"/>
        <v/>
      </c>
      <c r="H13" s="45">
        <f t="shared" si="5"/>
        <v>44346</v>
      </c>
      <c r="I13" s="24" t="str">
        <f t="shared" si="6"/>
        <v/>
      </c>
    </row>
    <row r="14" spans="1:10" ht="20.149999999999999" customHeight="1">
      <c r="J14" s="23"/>
    </row>
    <row r="15" spans="1:10" ht="20.149999999999999" customHeight="1">
      <c r="A15" s="23" t="s">
        <v>18</v>
      </c>
      <c r="D15" s="23" t="s">
        <v>26</v>
      </c>
    </row>
    <row r="16" spans="1:10" ht="32.25" customHeight="1">
      <c r="A16" s="32" t="s">
        <v>170</v>
      </c>
      <c r="B16" s="32" t="s">
        <v>89</v>
      </c>
      <c r="D16" s="35" t="s">
        <v>171</v>
      </c>
      <c r="E16" s="30" t="s">
        <v>91</v>
      </c>
      <c r="F16" s="30" t="s">
        <v>30</v>
      </c>
      <c r="G16" s="30" t="s">
        <v>70</v>
      </c>
    </row>
    <row r="17" spans="1:9" ht="20.149999999999999" customHeight="1">
      <c r="A17" s="5" t="s">
        <v>158</v>
      </c>
      <c r="B17" s="2" t="s">
        <v>160</v>
      </c>
      <c r="D17" s="36" t="s">
        <v>90</v>
      </c>
      <c r="E17" s="5" t="s">
        <v>92</v>
      </c>
      <c r="F17" s="5" t="s">
        <v>93</v>
      </c>
      <c r="G17" s="5" t="s">
        <v>94</v>
      </c>
    </row>
    <row r="18" spans="1:9" ht="20.149999999999999" customHeight="1">
      <c r="A18" s="5" t="s">
        <v>159</v>
      </c>
      <c r="B18" s="2" t="s">
        <v>161</v>
      </c>
    </row>
    <row r="19" spans="1:9" ht="20.149999999999999" customHeight="1">
      <c r="A19"/>
      <c r="B19"/>
      <c r="F19" s="23" t="s">
        <v>136</v>
      </c>
    </row>
    <row r="20" spans="1:9" ht="20.149999999999999" customHeight="1">
      <c r="A20" s="9" t="s">
        <v>95</v>
      </c>
      <c r="F20" s="36" t="s">
        <v>90</v>
      </c>
      <c r="G20" s="5" t="s">
        <v>92</v>
      </c>
      <c r="H20" s="5" t="s">
        <v>93</v>
      </c>
      <c r="I20" s="5" t="s">
        <v>94</v>
      </c>
    </row>
    <row r="21" spans="1:9" ht="20.149999999999999" customHeight="1">
      <c r="A21" s="1" t="s">
        <v>149</v>
      </c>
      <c r="F21" s="8">
        <f>COUNTA(D5:D13)</f>
        <v>9</v>
      </c>
      <c r="G21" s="24">
        <f>COUNTIF($D$5:$D$13,"s")</f>
        <v>4</v>
      </c>
      <c r="H21" s="24">
        <f>COUNTIF($D$5:$D$13,"c")</f>
        <v>2</v>
      </c>
      <c r="I21" s="24">
        <f>COUNTIF($D$5:$D$13,"T")</f>
        <v>3</v>
      </c>
    </row>
    <row r="22" spans="1:9" ht="20.149999999999999" customHeight="1">
      <c r="A22" s="1" t="s">
        <v>150</v>
      </c>
    </row>
    <row r="23" spans="1:9" ht="20.149999999999999" customHeight="1">
      <c r="A23" s="1" t="s">
        <v>172</v>
      </c>
    </row>
    <row r="24" spans="1:9" ht="20.149999999999999" customHeight="1">
      <c r="A24" s="1" t="s">
        <v>151</v>
      </c>
    </row>
    <row r="25" spans="1:9" ht="20.149999999999999" customHeight="1">
      <c r="A25" s="1" t="s">
        <v>131</v>
      </c>
    </row>
    <row r="26" spans="1:9" ht="20.149999999999999" customHeight="1">
      <c r="A26" s="9" t="s">
        <v>133</v>
      </c>
    </row>
    <row r="27" spans="1:9" ht="20.149999999999999" customHeight="1">
      <c r="A27" s="1" t="s">
        <v>132</v>
      </c>
    </row>
  </sheetData>
  <sortState xmlns:xlrd2="http://schemas.microsoft.com/office/spreadsheetml/2017/richdata2"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J10" sqref="J10"/>
    </sheetView>
  </sheetViews>
  <sheetFormatPr defaultColWidth="9.1796875" defaultRowHeight="20.149999999999999" customHeight="1"/>
  <cols>
    <col min="1" max="1" width="11.81640625" style="1" customWidth="1"/>
    <col min="2" max="2" width="12.81640625" style="1" customWidth="1"/>
    <col min="3" max="3" width="13.54296875" style="1" bestFit="1" customWidth="1"/>
    <col min="4" max="4" width="9.1796875" style="1" customWidth="1"/>
    <col min="5" max="5" width="10.81640625" style="1" bestFit="1" customWidth="1"/>
    <col min="6" max="8" width="6.7265625" style="1" customWidth="1"/>
    <col min="9" max="9" width="12.1796875" style="1" bestFit="1" customWidth="1"/>
    <col min="10" max="10" width="13.1796875" style="1" bestFit="1" customWidth="1"/>
    <col min="11" max="11" width="11" style="1" bestFit="1" customWidth="1"/>
    <col min="12" max="16384" width="9.1796875" style="1"/>
  </cols>
  <sheetData>
    <row r="1" spans="1:11" ht="29.2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1" customFormat="1" ht="20.149999999999999" customHeight="1">
      <c r="A2" s="37" t="s">
        <v>1</v>
      </c>
      <c r="B2" s="37" t="s">
        <v>2</v>
      </c>
      <c r="C2" s="37" t="s">
        <v>19</v>
      </c>
      <c r="D2" s="37" t="s">
        <v>5</v>
      </c>
      <c r="E2" s="37" t="s">
        <v>27</v>
      </c>
      <c r="F2" s="37" t="s">
        <v>6</v>
      </c>
      <c r="G2" s="37" t="s">
        <v>7</v>
      </c>
      <c r="H2" s="37" t="s">
        <v>8</v>
      </c>
      <c r="I2" s="37" t="s">
        <v>28</v>
      </c>
      <c r="J2" s="37" t="s">
        <v>9</v>
      </c>
      <c r="K2" s="37" t="s">
        <v>10</v>
      </c>
    </row>
    <row r="3" spans="1:11" ht="20.149999999999999" customHeight="1">
      <c r="A3" s="3">
        <v>1</v>
      </c>
      <c r="B3" s="4" t="s">
        <v>32</v>
      </c>
      <c r="C3" s="31" t="str">
        <f>LEFT(B3,2)</f>
        <v>BD</v>
      </c>
      <c r="D3" s="29" t="str">
        <f>RIGHT(B3,1)</f>
        <v>1</v>
      </c>
      <c r="E3" s="24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  )</f>
        <v>26</v>
      </c>
      <c r="J3" s="61">
        <f>IF(D3="1",0,IF(D3="2",1,2))+IF(LEFT(B3,2)="BD",0.5,1)</f>
        <v>0.5</v>
      </c>
      <c r="K3" s="61">
        <f>J3+SUM(F3,G3,H3)</f>
        <v>17</v>
      </c>
    </row>
    <row r="4" spans="1:11" ht="20.149999999999999" customHeight="1">
      <c r="A4" s="3">
        <v>2</v>
      </c>
      <c r="B4" s="2" t="s">
        <v>11</v>
      </c>
      <c r="C4" s="31" t="str">
        <f t="shared" ref="C4:C10" si="0">LEFT(B4,2)</f>
        <v>HS</v>
      </c>
      <c r="D4" s="29" t="str">
        <f t="shared" ref="D4:D10" si="1">RIGHT(B4,1)</f>
        <v>3</v>
      </c>
      <c r="E4" s="24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  )</f>
        <v>26</v>
      </c>
      <c r="J4" s="61">
        <f t="shared" ref="J4:J10" si="4">IF(D4="1",0,IF(D4="2",1,2))+IF(LEFT(B4,2)="BD",0.5,1)</f>
        <v>3</v>
      </c>
      <c r="K4" s="61">
        <f t="shared" ref="K4:K10" si="5">J4+SUM(F4,G4,H4)</f>
        <v>23</v>
      </c>
    </row>
    <row r="5" spans="1:11" ht="20.149999999999999" customHeight="1">
      <c r="A5" s="3">
        <v>3</v>
      </c>
      <c r="B5" s="2" t="s">
        <v>12</v>
      </c>
      <c r="C5" s="31" t="str">
        <f t="shared" si="0"/>
        <v>CL</v>
      </c>
      <c r="D5" s="29" t="str">
        <f t="shared" si="1"/>
        <v>3</v>
      </c>
      <c r="E5" s="24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61">
        <f t="shared" si="4"/>
        <v>3</v>
      </c>
      <c r="K5" s="61">
        <f t="shared" si="5"/>
        <v>16.5</v>
      </c>
    </row>
    <row r="6" spans="1:11" ht="20.149999999999999" customHeight="1">
      <c r="A6" s="3">
        <v>4</v>
      </c>
      <c r="B6" s="2" t="s">
        <v>13</v>
      </c>
      <c r="C6" s="31" t="str">
        <f t="shared" si="0"/>
        <v>HS</v>
      </c>
      <c r="D6" s="29" t="str">
        <f t="shared" si="1"/>
        <v>2</v>
      </c>
      <c r="E6" s="24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61">
        <f t="shared" si="4"/>
        <v>2</v>
      </c>
      <c r="K6" s="61">
        <f t="shared" si="5"/>
        <v>22</v>
      </c>
    </row>
    <row r="7" spans="1:11" ht="20.149999999999999" customHeight="1">
      <c r="A7" s="3">
        <v>5</v>
      </c>
      <c r="B7" s="2" t="s">
        <v>14</v>
      </c>
      <c r="C7" s="31" t="str">
        <f t="shared" si="0"/>
        <v>CL</v>
      </c>
      <c r="D7" s="29" t="str">
        <f t="shared" si="1"/>
        <v>1</v>
      </c>
      <c r="E7" s="24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61">
        <f t="shared" si="4"/>
        <v>1</v>
      </c>
      <c r="K7" s="61">
        <f t="shared" si="5"/>
        <v>20.5</v>
      </c>
    </row>
    <row r="8" spans="1:11" ht="20.149999999999999" customHeight="1">
      <c r="A8" s="3">
        <v>6</v>
      </c>
      <c r="B8" s="2" t="s">
        <v>15</v>
      </c>
      <c r="C8" s="31" t="str">
        <f t="shared" si="0"/>
        <v>BD</v>
      </c>
      <c r="D8" s="29" t="str">
        <f t="shared" si="1"/>
        <v>3</v>
      </c>
      <c r="E8" s="24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61">
        <f t="shared" si="4"/>
        <v>2.5</v>
      </c>
      <c r="K8" s="61">
        <f t="shared" si="5"/>
        <v>21</v>
      </c>
    </row>
    <row r="9" spans="1:11" ht="20.149999999999999" customHeight="1">
      <c r="A9" s="3">
        <v>7</v>
      </c>
      <c r="B9" s="2" t="s">
        <v>16</v>
      </c>
      <c r="C9" s="31" t="str">
        <f t="shared" si="0"/>
        <v>HS</v>
      </c>
      <c r="D9" s="29" t="str">
        <f t="shared" si="1"/>
        <v>2</v>
      </c>
      <c r="E9" s="24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61">
        <f t="shared" si="4"/>
        <v>2</v>
      </c>
      <c r="K9" s="61">
        <f t="shared" si="5"/>
        <v>20.5</v>
      </c>
    </row>
    <row r="10" spans="1:11" ht="20.149999999999999" customHeight="1">
      <c r="A10" s="3">
        <v>8</v>
      </c>
      <c r="B10" s="2" t="s">
        <v>17</v>
      </c>
      <c r="C10" s="31" t="str">
        <f t="shared" si="0"/>
        <v>CL</v>
      </c>
      <c r="D10" s="29" t="str">
        <f t="shared" si="1"/>
        <v>2</v>
      </c>
      <c r="E10" s="24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61">
        <f t="shared" si="4"/>
        <v>2</v>
      </c>
      <c r="K10" s="61">
        <f t="shared" si="5"/>
        <v>17</v>
      </c>
    </row>
    <row r="12" spans="1:11" ht="20.149999999999999" customHeight="1">
      <c r="A12" s="23" t="s">
        <v>18</v>
      </c>
      <c r="D12" s="23" t="s">
        <v>26</v>
      </c>
      <c r="H12" s="23" t="s">
        <v>33</v>
      </c>
    </row>
    <row r="13" spans="1:11" ht="32.25" customHeight="1">
      <c r="A13" s="43" t="s">
        <v>19</v>
      </c>
      <c r="B13" s="43" t="s">
        <v>3</v>
      </c>
      <c r="C13" s="44"/>
      <c r="D13" s="43" t="s">
        <v>27</v>
      </c>
      <c r="E13" s="43" t="s">
        <v>4</v>
      </c>
      <c r="F13" s="43" t="s">
        <v>28</v>
      </c>
      <c r="G13" s="44"/>
      <c r="H13" s="43" t="s">
        <v>4</v>
      </c>
      <c r="I13" s="43" t="s">
        <v>34</v>
      </c>
      <c r="J13" s="43" t="s">
        <v>35</v>
      </c>
    </row>
    <row r="14" spans="1:11" ht="20.149999999999999" customHeight="1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4"/>
      <c r="J14" s="24" t="s">
        <v>137</v>
      </c>
    </row>
    <row r="15" spans="1:11" ht="20.149999999999999" customHeight="1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4" t="s">
        <v>137</v>
      </c>
      <c r="J15" s="24" t="s">
        <v>137</v>
      </c>
    </row>
    <row r="16" spans="1:11" ht="20.149999999999999" customHeight="1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4" t="s">
        <v>137</v>
      </c>
      <c r="J16" s="24" t="s">
        <v>137</v>
      </c>
    </row>
    <row r="18" spans="1:10" ht="20.149999999999999" customHeight="1">
      <c r="A18" s="6" t="s">
        <v>156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49999999999999" customHeight="1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49999999999999" customHeight="1">
      <c r="A20" s="6"/>
      <c r="B20" s="6" t="s">
        <v>154</v>
      </c>
      <c r="C20" s="6"/>
      <c r="D20" s="6"/>
      <c r="E20" s="6"/>
      <c r="F20" s="6"/>
      <c r="G20" s="6"/>
      <c r="H20" s="6"/>
      <c r="I20" s="6"/>
      <c r="J20" s="6"/>
    </row>
    <row r="21" spans="1:10" ht="20.149999999999999" customHeight="1">
      <c r="A21" s="6"/>
      <c r="B21" s="6" t="s">
        <v>155</v>
      </c>
      <c r="C21" s="6"/>
      <c r="D21" s="6"/>
      <c r="E21" s="6"/>
      <c r="F21" s="6"/>
      <c r="G21" s="6"/>
      <c r="H21" s="6"/>
      <c r="I21" s="6"/>
      <c r="J21" s="6"/>
    </row>
    <row r="22" spans="1:10" ht="20.149999999999999" customHeight="1">
      <c r="A22" s="6" t="s">
        <v>173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49999999999999" customHeight="1">
      <c r="A23" s="22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49999999999999" customHeight="1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="90" zoomScaleNormal="90" workbookViewId="0">
      <selection activeCell="H5" sqref="H5"/>
    </sheetView>
  </sheetViews>
  <sheetFormatPr defaultColWidth="9.1796875" defaultRowHeight="14"/>
  <cols>
    <col min="1" max="1" width="9.1796875" style="48"/>
    <col min="2" max="2" width="14.81640625" style="48" customWidth="1"/>
    <col min="3" max="3" width="12" style="48" customWidth="1"/>
    <col min="4" max="6" width="9.1796875" style="48"/>
    <col min="7" max="7" width="14" style="48" customWidth="1"/>
    <col min="8" max="8" width="17.453125" style="48" customWidth="1"/>
    <col min="9" max="16384" width="9.1796875" style="48"/>
  </cols>
  <sheetData>
    <row r="1" spans="1:9" ht="22">
      <c r="A1" s="74" t="s">
        <v>189</v>
      </c>
      <c r="B1" s="74"/>
      <c r="C1" s="74"/>
      <c r="D1" s="74"/>
      <c r="E1" s="74"/>
      <c r="F1" s="74"/>
      <c r="G1" s="74"/>
      <c r="H1" s="74"/>
      <c r="I1" s="74"/>
    </row>
    <row r="2" spans="1:9" ht="60" customHeight="1">
      <c r="A2" s="46" t="s">
        <v>180</v>
      </c>
      <c r="B2" s="46" t="s">
        <v>181</v>
      </c>
      <c r="C2" s="47" t="s">
        <v>184</v>
      </c>
      <c r="D2" s="47" t="s">
        <v>185</v>
      </c>
      <c r="E2" s="47" t="s">
        <v>186</v>
      </c>
      <c r="F2" s="47" t="s">
        <v>187</v>
      </c>
      <c r="G2" s="47" t="s">
        <v>188</v>
      </c>
      <c r="H2" s="47" t="s">
        <v>182</v>
      </c>
      <c r="I2" s="46" t="s">
        <v>183</v>
      </c>
    </row>
    <row r="3" spans="1:9">
      <c r="A3" s="49">
        <v>1</v>
      </c>
      <c r="B3" s="50" t="s">
        <v>73</v>
      </c>
      <c r="C3" s="49" t="s">
        <v>29</v>
      </c>
      <c r="D3" s="49">
        <v>9</v>
      </c>
      <c r="E3" s="49">
        <v>10</v>
      </c>
      <c r="F3" s="51">
        <f>(E3*2+D3)/3</f>
        <v>9.6666666666666661</v>
      </c>
      <c r="G3" s="52" t="str">
        <f>IF($F$3:$F$7&lt;5,"Thi lại","Lên lớp")</f>
        <v>Lên lớp</v>
      </c>
      <c r="H3" s="52">
        <f>IF(AND(F3&gt;=9,C3="A"),150000,"")</f>
        <v>150000</v>
      </c>
      <c r="I3" s="52">
        <f>RANK(F3,$F$3:$F$7)</f>
        <v>1</v>
      </c>
    </row>
    <row r="4" spans="1:9">
      <c r="A4" s="49">
        <v>2</v>
      </c>
      <c r="B4" s="50" t="s">
        <v>74</v>
      </c>
      <c r="C4" s="49" t="s">
        <v>31</v>
      </c>
      <c r="D4" s="49">
        <v>8</v>
      </c>
      <c r="E4" s="49">
        <v>10</v>
      </c>
      <c r="F4" s="51">
        <f t="shared" ref="F4:F7" si="0">(E4*2+D4)/3</f>
        <v>9.3333333333333339</v>
      </c>
      <c r="G4" s="52" t="str">
        <f t="shared" ref="G4:G7" si="1">IF($F$3:$F$7&lt;5,"Thi lại","Lên lớp")</f>
        <v>Lên lớp</v>
      </c>
      <c r="H4" s="52" t="str">
        <f t="shared" ref="H4:H7" si="2">IF(AND(F4&gt;=9,C4="A"),150000,"")</f>
        <v/>
      </c>
      <c r="I4" s="52">
        <f t="shared" ref="I4:I7" si="3">RANK(F4,$F$3:$F$7)</f>
        <v>2</v>
      </c>
    </row>
    <row r="5" spans="1:9">
      <c r="A5" s="49">
        <v>3</v>
      </c>
      <c r="B5" s="50" t="s">
        <v>190</v>
      </c>
      <c r="C5" s="49" t="s">
        <v>31</v>
      </c>
      <c r="D5" s="49">
        <v>5</v>
      </c>
      <c r="E5" s="49">
        <v>6</v>
      </c>
      <c r="F5" s="51">
        <f t="shared" si="0"/>
        <v>5.666666666666667</v>
      </c>
      <c r="G5" s="52" t="str">
        <f t="shared" si="1"/>
        <v>Lên lớp</v>
      </c>
      <c r="H5" s="52" t="str">
        <f t="shared" si="2"/>
        <v/>
      </c>
      <c r="I5" s="52">
        <f t="shared" si="3"/>
        <v>4</v>
      </c>
    </row>
    <row r="6" spans="1:9">
      <c r="A6" s="49">
        <v>4</v>
      </c>
      <c r="B6" s="50" t="s">
        <v>75</v>
      </c>
      <c r="C6" s="49" t="s">
        <v>29</v>
      </c>
      <c r="D6" s="49">
        <v>8</v>
      </c>
      <c r="E6" s="49">
        <v>2</v>
      </c>
      <c r="F6" s="51">
        <f t="shared" si="0"/>
        <v>4</v>
      </c>
      <c r="G6" s="52" t="str">
        <f t="shared" si="1"/>
        <v>Thi lại</v>
      </c>
      <c r="H6" s="52" t="str">
        <f t="shared" si="2"/>
        <v/>
      </c>
      <c r="I6" s="52">
        <f t="shared" si="3"/>
        <v>5</v>
      </c>
    </row>
    <row r="7" spans="1:9">
      <c r="A7" s="49">
        <v>5</v>
      </c>
      <c r="B7" s="50" t="s">
        <v>76</v>
      </c>
      <c r="C7" s="49" t="s">
        <v>31</v>
      </c>
      <c r="D7" s="49">
        <v>10</v>
      </c>
      <c r="E7" s="49">
        <v>9</v>
      </c>
      <c r="F7" s="51">
        <f t="shared" si="0"/>
        <v>9.3333333333333339</v>
      </c>
      <c r="G7" s="52" t="str">
        <f t="shared" si="1"/>
        <v>Lên lớp</v>
      </c>
      <c r="H7" s="52" t="str">
        <f t="shared" si="2"/>
        <v/>
      </c>
      <c r="I7" s="52">
        <f t="shared" si="3"/>
        <v>2</v>
      </c>
    </row>
    <row r="9" spans="1:9">
      <c r="A9" s="53"/>
      <c r="B9" s="53"/>
      <c r="C9" s="53"/>
      <c r="D9" s="53"/>
      <c r="E9" s="53"/>
      <c r="F9" s="53"/>
      <c r="G9" s="53"/>
      <c r="H9" s="53"/>
    </row>
    <row r="10" spans="1:9" ht="15">
      <c r="A10" s="54" t="s">
        <v>176</v>
      </c>
      <c r="B10" s="54"/>
      <c r="C10" s="53"/>
      <c r="D10" s="53"/>
      <c r="E10" s="53"/>
      <c r="F10" s="53"/>
      <c r="G10" s="53"/>
      <c r="H10" s="53"/>
    </row>
    <row r="11" spans="1:9" ht="15">
      <c r="A11" s="54" t="s">
        <v>177</v>
      </c>
      <c r="B11" s="54"/>
      <c r="C11" s="53"/>
      <c r="D11" s="53"/>
      <c r="E11" s="53"/>
      <c r="F11" s="53"/>
      <c r="G11" s="53"/>
      <c r="H11" s="53"/>
    </row>
    <row r="12" spans="1:9" ht="15">
      <c r="A12" s="54" t="s">
        <v>178</v>
      </c>
      <c r="B12" s="54"/>
      <c r="C12" s="53"/>
      <c r="D12" s="53"/>
      <c r="E12" s="53"/>
      <c r="F12" s="53"/>
      <c r="G12" s="53"/>
      <c r="H12" s="53"/>
    </row>
    <row r="13" spans="1:9" ht="15">
      <c r="A13" s="55" t="s">
        <v>179</v>
      </c>
      <c r="B13" s="56"/>
    </row>
    <row r="14" spans="1:9" ht="47.25" customHeight="1">
      <c r="A14" s="57" t="s">
        <v>145</v>
      </c>
      <c r="B14" s="58" t="s">
        <v>152</v>
      </c>
      <c r="C14" s="59" t="s">
        <v>146</v>
      </c>
      <c r="D14" s="75" t="s">
        <v>153</v>
      </c>
      <c r="E14" s="75"/>
    </row>
    <row r="15" spans="1:9">
      <c r="A15" s="60">
        <f>COUNTA(B3:B7)</f>
        <v>5</v>
      </c>
      <c r="B15" s="62">
        <f>MAX(F3:F7)</f>
        <v>9.6666666666666661</v>
      </c>
      <c r="C15" s="63">
        <f>SUM(H3:H7)</f>
        <v>150000</v>
      </c>
      <c r="D15" s="76">
        <f>COUNTIF($D$3:$D$7,"&gt;=9")</f>
        <v>2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="90" zoomScaleNormal="90" workbookViewId="0">
      <selection activeCell="O13" sqref="O13"/>
    </sheetView>
  </sheetViews>
  <sheetFormatPr defaultColWidth="9.1796875" defaultRowHeight="20.149999999999999" customHeight="1"/>
  <cols>
    <col min="1" max="1" width="9.1796875" style="1" customWidth="1"/>
    <col min="2" max="2" width="12.81640625" style="1" customWidth="1"/>
    <col min="3" max="3" width="12.7265625" style="1" customWidth="1"/>
    <col min="4" max="4" width="10.7265625" style="1" bestFit="1" customWidth="1"/>
    <col min="5" max="5" width="9.7265625" style="1" bestFit="1" customWidth="1"/>
    <col min="6" max="6" width="9.1796875" style="1" customWidth="1"/>
    <col min="7" max="7" width="10.81640625" style="1" bestFit="1" customWidth="1"/>
    <col min="8" max="8" width="13.26953125" style="1" customWidth="1"/>
    <col min="9" max="9" width="10.7265625" style="1" bestFit="1" customWidth="1"/>
    <col min="10" max="10" width="9.54296875" style="1" customWidth="1"/>
    <col min="11" max="16384" width="9.1796875" style="1"/>
  </cols>
  <sheetData>
    <row r="1" spans="1:11" ht="28.5" customHeight="1">
      <c r="A1" s="78" t="s">
        <v>36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>
      <c r="A2" s="37" t="s">
        <v>1</v>
      </c>
      <c r="B2" s="37" t="s">
        <v>37</v>
      </c>
      <c r="C2" s="37" t="s">
        <v>38</v>
      </c>
      <c r="D2" s="37" t="s">
        <v>39</v>
      </c>
      <c r="E2" s="37" t="s">
        <v>40</v>
      </c>
      <c r="F2" s="37" t="s">
        <v>41</v>
      </c>
      <c r="G2" s="37" t="s">
        <v>42</v>
      </c>
      <c r="H2" s="37" t="s">
        <v>175</v>
      </c>
      <c r="I2" s="39" t="s">
        <v>69</v>
      </c>
      <c r="J2" s="39" t="s">
        <v>71</v>
      </c>
    </row>
    <row r="3" spans="1:11" ht="20.149999999999999" customHeight="1">
      <c r="A3" s="5">
        <v>1</v>
      </c>
      <c r="B3" s="4" t="s">
        <v>72</v>
      </c>
      <c r="C3" s="64" t="s">
        <v>56</v>
      </c>
      <c r="D3" s="5">
        <v>20</v>
      </c>
      <c r="E3" s="2">
        <v>1400</v>
      </c>
      <c r="F3" s="24" t="str">
        <f>IF(AND(LEFT(B3,2)="PE",MID(B3,5,1)="C",RIGHT(B3,1)="X"),5%*D3*E3,"")</f>
        <v/>
      </c>
      <c r="G3" s="29">
        <f>D3*E3</f>
        <v>28000</v>
      </c>
      <c r="H3" s="24" t="str">
        <f>IF(AND(D3&gt;=50,RIGHT(B3,1)="X"),"Có quà tặng","")</f>
        <v/>
      </c>
      <c r="I3" s="24" t="str">
        <f>IF(MID(B3,5,1)="C","Chai","Lon")</f>
        <v>Lon</v>
      </c>
      <c r="J3" s="24" t="str">
        <f>IF(RIGHT(B3,1)="N","Nhập","Xuất")</f>
        <v>Nhập</v>
      </c>
    </row>
    <row r="4" spans="1:11" ht="20.149999999999999" customHeight="1">
      <c r="A4" s="5">
        <v>2</v>
      </c>
      <c r="B4" s="2" t="s">
        <v>44</v>
      </c>
      <c r="C4" s="64" t="s">
        <v>57</v>
      </c>
      <c r="D4" s="5">
        <v>40</v>
      </c>
      <c r="E4" s="2">
        <v>1600</v>
      </c>
      <c r="F4" s="24" t="str">
        <f t="shared" ref="F4:F10" si="0">IF(AND(LEFT(B4,2)="PE",MID(B4,5,1)="C",RIGHT(B4,1)="X"),5%*D4*E4,"")</f>
        <v/>
      </c>
      <c r="G4" s="29">
        <f t="shared" ref="G4:G10" si="1">D4*E4</f>
        <v>64000</v>
      </c>
      <c r="H4" s="24" t="str">
        <f t="shared" ref="H4:H10" si="2">IF(AND(D4&gt;=50,RIGHT(B4,1)="X"),"Có quà tặng","")</f>
        <v/>
      </c>
      <c r="I4" s="24" t="str">
        <f t="shared" ref="I4:I10" si="3">IF(MID(B4,5,1)="C","Chai","Lon")</f>
        <v>Chai</v>
      </c>
      <c r="J4" s="24" t="str">
        <f t="shared" ref="J4:J10" si="4">IF(RIGHT(B4,1)="N","Nhập","Xuất")</f>
        <v>Nhập</v>
      </c>
    </row>
    <row r="5" spans="1:11" ht="20.149999999999999" customHeight="1">
      <c r="A5" s="5">
        <v>3</v>
      </c>
      <c r="B5" s="2" t="s">
        <v>45</v>
      </c>
      <c r="C5" s="64" t="s">
        <v>58</v>
      </c>
      <c r="D5" s="5">
        <v>35</v>
      </c>
      <c r="E5" s="2">
        <v>1800</v>
      </c>
      <c r="F5" s="24" t="str">
        <f t="shared" si="0"/>
        <v/>
      </c>
      <c r="G5" s="29">
        <f t="shared" si="1"/>
        <v>63000</v>
      </c>
      <c r="H5" s="24" t="str">
        <f t="shared" si="2"/>
        <v/>
      </c>
      <c r="I5" s="24" t="str">
        <f t="shared" si="3"/>
        <v>Lon</v>
      </c>
      <c r="J5" s="24" t="str">
        <f t="shared" si="4"/>
        <v>Nhập</v>
      </c>
    </row>
    <row r="6" spans="1:11" ht="20.149999999999999" customHeight="1">
      <c r="A6" s="5">
        <v>4</v>
      </c>
      <c r="B6" s="2" t="s">
        <v>46</v>
      </c>
      <c r="C6" s="64" t="s">
        <v>56</v>
      </c>
      <c r="D6" s="5">
        <v>80</v>
      </c>
      <c r="E6" s="2">
        <v>1400</v>
      </c>
      <c r="F6" s="24" t="str">
        <f t="shared" si="0"/>
        <v/>
      </c>
      <c r="G6" s="29">
        <f t="shared" si="1"/>
        <v>112000</v>
      </c>
      <c r="H6" s="24" t="str">
        <f t="shared" si="2"/>
        <v/>
      </c>
      <c r="I6" s="24" t="str">
        <f t="shared" si="3"/>
        <v>Chai</v>
      </c>
      <c r="J6" s="24" t="str">
        <f t="shared" si="4"/>
        <v>Nhập</v>
      </c>
    </row>
    <row r="7" spans="1:11" ht="20.149999999999999" customHeight="1">
      <c r="A7" s="5">
        <v>5</v>
      </c>
      <c r="B7" s="2" t="s">
        <v>47</v>
      </c>
      <c r="C7" s="64" t="s">
        <v>59</v>
      </c>
      <c r="D7" s="5">
        <v>80</v>
      </c>
      <c r="E7" s="2">
        <v>2000</v>
      </c>
      <c r="F7" s="24" t="str">
        <f t="shared" si="0"/>
        <v/>
      </c>
      <c r="G7" s="29">
        <f t="shared" si="1"/>
        <v>160000</v>
      </c>
      <c r="H7" s="24" t="str">
        <f t="shared" si="2"/>
        <v/>
      </c>
      <c r="I7" s="24" t="str">
        <f t="shared" si="3"/>
        <v>Lon</v>
      </c>
      <c r="J7" s="24" t="str">
        <f t="shared" si="4"/>
        <v>Nhập</v>
      </c>
    </row>
    <row r="8" spans="1:11" ht="20.149999999999999" customHeight="1">
      <c r="A8" s="5">
        <v>6</v>
      </c>
      <c r="B8" s="2" t="s">
        <v>48</v>
      </c>
      <c r="C8" s="64" t="s">
        <v>56</v>
      </c>
      <c r="D8" s="5">
        <v>35</v>
      </c>
      <c r="E8" s="2">
        <v>2300</v>
      </c>
      <c r="F8" s="24" t="str">
        <f t="shared" si="0"/>
        <v/>
      </c>
      <c r="G8" s="29">
        <f t="shared" si="1"/>
        <v>80500</v>
      </c>
      <c r="H8" s="24" t="str">
        <f t="shared" si="2"/>
        <v/>
      </c>
      <c r="I8" s="24" t="str">
        <f t="shared" si="3"/>
        <v>Lon</v>
      </c>
      <c r="J8" s="24" t="str">
        <f t="shared" si="4"/>
        <v>Xuất</v>
      </c>
    </row>
    <row r="9" spans="1:11" ht="20.149999999999999" customHeight="1">
      <c r="A9" s="5">
        <v>7</v>
      </c>
      <c r="B9" s="2" t="s">
        <v>49</v>
      </c>
      <c r="C9" s="64" t="s">
        <v>56</v>
      </c>
      <c r="D9" s="5">
        <v>50</v>
      </c>
      <c r="E9" s="2">
        <v>1800</v>
      </c>
      <c r="F9" s="24">
        <f t="shared" si="0"/>
        <v>4500</v>
      </c>
      <c r="G9" s="29">
        <f t="shared" si="1"/>
        <v>90000</v>
      </c>
      <c r="H9" s="24" t="str">
        <f t="shared" si="2"/>
        <v>Có quà tặng</v>
      </c>
      <c r="I9" s="24" t="str">
        <f t="shared" si="3"/>
        <v>Chai</v>
      </c>
      <c r="J9" s="24" t="str">
        <f t="shared" si="4"/>
        <v>Xuất</v>
      </c>
    </row>
    <row r="10" spans="1:11" ht="20.149999999999999" customHeight="1">
      <c r="A10" s="5">
        <v>8</v>
      </c>
      <c r="B10" s="2" t="s">
        <v>50</v>
      </c>
      <c r="C10" s="64" t="s">
        <v>59</v>
      </c>
      <c r="D10" s="5">
        <v>70</v>
      </c>
      <c r="E10" s="2">
        <v>2000</v>
      </c>
      <c r="F10" s="24" t="str">
        <f t="shared" si="0"/>
        <v/>
      </c>
      <c r="G10" s="29">
        <f t="shared" si="1"/>
        <v>140000</v>
      </c>
      <c r="H10" s="24" t="str">
        <f t="shared" si="2"/>
        <v/>
      </c>
      <c r="I10" s="24" t="str">
        <f t="shared" si="3"/>
        <v>Chai</v>
      </c>
      <c r="J10" s="24" t="str">
        <f t="shared" si="4"/>
        <v>Nhập</v>
      </c>
    </row>
    <row r="12" spans="1:11" ht="20.149999999999999" customHeight="1">
      <c r="A12" s="1" t="s">
        <v>18</v>
      </c>
      <c r="F12" s="1" t="s">
        <v>26</v>
      </c>
      <c r="I12" s="1" t="s">
        <v>67</v>
      </c>
    </row>
    <row r="13" spans="1:11" ht="20.149999999999999" customHeight="1">
      <c r="A13" s="77" t="s">
        <v>51</v>
      </c>
      <c r="B13" s="77" t="s">
        <v>38</v>
      </c>
      <c r="C13" s="77" t="s">
        <v>40</v>
      </c>
      <c r="D13" s="77"/>
      <c r="F13" s="38" t="s">
        <v>62</v>
      </c>
      <c r="G13" s="38" t="s">
        <v>63</v>
      </c>
      <c r="I13" s="38" t="s">
        <v>68</v>
      </c>
      <c r="J13" s="38" t="s">
        <v>60</v>
      </c>
      <c r="K13" s="38" t="s">
        <v>61</v>
      </c>
    </row>
    <row r="14" spans="1:11" ht="20.149999999999999" customHeight="1">
      <c r="A14" s="77"/>
      <c r="B14" s="77"/>
      <c r="C14" s="37" t="s">
        <v>60</v>
      </c>
      <c r="D14" s="37" t="s">
        <v>61</v>
      </c>
      <c r="F14" s="5" t="s">
        <v>64</v>
      </c>
      <c r="G14" s="2" t="s">
        <v>65</v>
      </c>
      <c r="I14" s="2" t="s">
        <v>56</v>
      </c>
      <c r="J14" s="24">
        <f>SUMIFS($D$3:$D$10,$C$3:$C$10,"PEPSI",$J$3:$J$10,"Nhập")</f>
        <v>100</v>
      </c>
      <c r="K14" s="24">
        <f>SUMIFS($D$3:$D$10,$C$3:$C$10,"PEPSI",$J$3:$J$10,"Xuất")</f>
        <v>85</v>
      </c>
    </row>
    <row r="15" spans="1:11" ht="20.149999999999999" customHeight="1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4">
        <f>SUMIFS($D$3:$D$10,$C$3:$C$10,"COCA COLA",$J$3:$J$10,"Nhập")</f>
        <v>40</v>
      </c>
      <c r="K15" s="24">
        <f>SUMIFS($D$3:$D$10,$C$3:$C$10,"COCA COLA",$J$3:$J$10,"Xuất")</f>
        <v>0</v>
      </c>
    </row>
    <row r="16" spans="1:11" ht="20.149999999999999" customHeight="1">
      <c r="A16" s="5" t="s">
        <v>53</v>
      </c>
      <c r="B16" s="2" t="s">
        <v>57</v>
      </c>
      <c r="C16" s="2">
        <v>1600</v>
      </c>
      <c r="D16" s="2">
        <v>2000</v>
      </c>
    </row>
    <row r="17" spans="1:4" ht="20.149999999999999" customHeight="1">
      <c r="A17" s="5" t="s">
        <v>54</v>
      </c>
      <c r="B17" s="2" t="s">
        <v>58</v>
      </c>
      <c r="C17" s="2">
        <v>1800</v>
      </c>
      <c r="D17" s="2">
        <v>2300</v>
      </c>
    </row>
    <row r="18" spans="1:4" ht="20.149999999999999" customHeight="1">
      <c r="A18" s="5" t="s">
        <v>55</v>
      </c>
      <c r="B18" s="2" t="s">
        <v>59</v>
      </c>
      <c r="C18" s="2">
        <v>2000</v>
      </c>
      <c r="D18" s="2">
        <v>2500</v>
      </c>
    </row>
    <row r="20" spans="1:4" ht="20.149999999999999" customHeight="1">
      <c r="A20" s="20" t="s">
        <v>129</v>
      </c>
    </row>
    <row r="21" spans="1:4" ht="20.149999999999999" customHeight="1">
      <c r="A21" s="20"/>
      <c r="B21" s="1" t="s">
        <v>174</v>
      </c>
    </row>
    <row r="22" spans="1:4" ht="20.149999999999999" customHeight="1">
      <c r="B22" s="1" t="s">
        <v>147</v>
      </c>
    </row>
    <row r="23" spans="1:4" ht="20.149999999999999" customHeight="1">
      <c r="B23" s="1" t="s">
        <v>80</v>
      </c>
      <c r="C23" s="1" t="s">
        <v>148</v>
      </c>
    </row>
    <row r="24" spans="1:4" ht="20.149999999999999" customHeight="1">
      <c r="A24" s="1" t="s">
        <v>77</v>
      </c>
    </row>
    <row r="25" spans="1:4" ht="20.149999999999999" customHeight="1">
      <c r="A25" s="1" t="s">
        <v>142</v>
      </c>
    </row>
    <row r="26" spans="1:4" ht="20.149999999999999" customHeight="1">
      <c r="A26" s="1" t="s">
        <v>144</v>
      </c>
    </row>
    <row r="27" spans="1:4" ht="20.149999999999999" customHeight="1">
      <c r="A27" s="1" t="s">
        <v>143</v>
      </c>
    </row>
    <row r="28" spans="1:4" ht="20.149999999999999" customHeight="1">
      <c r="A28" s="23" t="s">
        <v>135</v>
      </c>
    </row>
    <row r="29" spans="1:4" ht="20.149999999999999" customHeight="1">
      <c r="A29" s="1" t="s">
        <v>130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topLeftCell="A2" zoomScale="70" zoomScaleNormal="70" workbookViewId="0">
      <selection activeCell="N13" sqref="N13"/>
    </sheetView>
  </sheetViews>
  <sheetFormatPr defaultColWidth="9.1796875" defaultRowHeight="12.5"/>
  <cols>
    <col min="1" max="1" width="9.1796875" style="1" customWidth="1"/>
    <col min="2" max="2" width="7.54296875" style="1" customWidth="1"/>
    <col min="3" max="3" width="10.1796875" style="1" customWidth="1"/>
    <col min="4" max="4" width="8.26953125" style="1" customWidth="1"/>
    <col min="5" max="16384" width="9.1796875" style="1"/>
  </cols>
  <sheetData>
    <row r="1" spans="1:11" ht="22.5">
      <c r="A1" s="82" t="s">
        <v>117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3">
      <c r="A2" s="80" t="s">
        <v>1</v>
      </c>
      <c r="B2" s="83" t="s">
        <v>97</v>
      </c>
      <c r="C2" s="84"/>
      <c r="D2" s="40" t="s">
        <v>98</v>
      </c>
      <c r="E2" s="79" t="s">
        <v>112</v>
      </c>
      <c r="F2" s="79"/>
      <c r="G2" s="79"/>
      <c r="H2" s="79"/>
      <c r="I2" s="40" t="s">
        <v>107</v>
      </c>
      <c r="J2" s="40" t="s">
        <v>108</v>
      </c>
      <c r="K2" s="40" t="s">
        <v>111</v>
      </c>
    </row>
    <row r="3" spans="1:11" ht="13">
      <c r="A3" s="81"/>
      <c r="B3" s="41" t="s">
        <v>100</v>
      </c>
      <c r="C3" s="41" t="s">
        <v>101</v>
      </c>
      <c r="D3" s="42" t="s">
        <v>99</v>
      </c>
      <c r="E3" s="41" t="s">
        <v>102</v>
      </c>
      <c r="F3" s="41" t="s">
        <v>103</v>
      </c>
      <c r="G3" s="41" t="s">
        <v>104</v>
      </c>
      <c r="H3" s="41" t="s">
        <v>105</v>
      </c>
      <c r="I3" s="42" t="s">
        <v>106</v>
      </c>
      <c r="J3" s="42" t="s">
        <v>109</v>
      </c>
      <c r="K3" s="42" t="s">
        <v>110</v>
      </c>
    </row>
    <row r="4" spans="1:11">
      <c r="A4" s="5">
        <v>6</v>
      </c>
      <c r="B4" s="2">
        <v>35</v>
      </c>
      <c r="C4" s="2">
        <v>233</v>
      </c>
      <c r="D4" s="28">
        <f>C4-B4</f>
        <v>198</v>
      </c>
      <c r="E4" s="28">
        <f>IF(D4&gt;=100,100,D4)</f>
        <v>100</v>
      </c>
      <c r="F4" s="28">
        <f>IF(D4&lt;=100,0,IF(D4&gt;=150,50,D4-E4))</f>
        <v>50</v>
      </c>
      <c r="G4" s="28">
        <f>IF(D4&lt;D4=150,0,IF(D4&gt;=250,100,D4-E4-F4))</f>
        <v>48</v>
      </c>
      <c r="H4" s="28">
        <f>IF(D4&lt;=250,0,D4-E4-F4-G4)</f>
        <v>0</v>
      </c>
      <c r="I4" s="28">
        <f>IF(D4&gt;=350,200000,IF(D4&gt;=251,100000,0))</f>
        <v>0</v>
      </c>
      <c r="J4" s="24">
        <f>(E4*F4*G4*H4)+I4</f>
        <v>0</v>
      </c>
      <c r="K4" s="24" t="str">
        <f>IF(I4&gt;0,"Phạt tiền","")</f>
        <v/>
      </c>
    </row>
    <row r="5" spans="1:11">
      <c r="A5" s="5">
        <v>1</v>
      </c>
      <c r="B5" s="2">
        <v>50</v>
      </c>
      <c r="C5" s="2">
        <v>230</v>
      </c>
      <c r="D5" s="28">
        <f>C5-B5</f>
        <v>180</v>
      </c>
      <c r="E5" s="28">
        <f>IF(D5&gt;=100,100,D5)</f>
        <v>100</v>
      </c>
      <c r="F5" s="28">
        <f>IF(D5&lt;=100,0,IF(D5&gt;=150,50,D5-E5))</f>
        <v>50</v>
      </c>
      <c r="G5" s="28">
        <f>IF(D5&lt;D5=150,0,IF(D5&gt;=250,100,D5-E5-F5))</f>
        <v>30</v>
      </c>
      <c r="H5" s="28">
        <f>IF(D5&lt;=250,0,D5-E5-F5-G5)</f>
        <v>0</v>
      </c>
      <c r="I5" s="28">
        <f>IF(D5&gt;=350,200000,IF(D5&gt;=251,100000,0))</f>
        <v>0</v>
      </c>
      <c r="J5" s="24">
        <f>(E5*F5*G5*H5)+I5</f>
        <v>0</v>
      </c>
      <c r="K5" s="24" t="str">
        <f>IF(I5&gt;0,"Phạt tiền","")</f>
        <v/>
      </c>
    </row>
    <row r="6" spans="1:11">
      <c r="A6" s="5">
        <v>4</v>
      </c>
      <c r="B6" s="2">
        <v>60</v>
      </c>
      <c r="C6" s="2">
        <v>145</v>
      </c>
      <c r="D6" s="28">
        <f>C6-B6</f>
        <v>85</v>
      </c>
      <c r="E6" s="28">
        <f>IF(D6&gt;=100,100,D6)</f>
        <v>85</v>
      </c>
      <c r="F6" s="28">
        <f>IF(D6&lt;=100,0,IF(D6&gt;=150,50,D6-E6))</f>
        <v>0</v>
      </c>
      <c r="G6" s="28">
        <f>IF(D6&lt;D6=150,0,IF(D6&gt;=250,100,D6-E6-F6))</f>
        <v>0</v>
      </c>
      <c r="H6" s="28">
        <f>IF(D6&lt;=250,0,D6-E6-F6-G6)</f>
        <v>0</v>
      </c>
      <c r="I6" s="28">
        <f>IF(D6&gt;=350,200000,IF(D6&gt;=251,100000,0))</f>
        <v>0</v>
      </c>
      <c r="J6" s="24">
        <f>(E6*F6*G6*H6)+I6</f>
        <v>0</v>
      </c>
      <c r="K6" s="24" t="str">
        <f>IF(I6&gt;0,"Phạt tiền","")</f>
        <v/>
      </c>
    </row>
    <row r="7" spans="1:11">
      <c r="A7" s="5">
        <v>2</v>
      </c>
      <c r="B7" s="2">
        <v>76</v>
      </c>
      <c r="C7" s="2">
        <v>155</v>
      </c>
      <c r="D7" s="28">
        <f>C7-B7</f>
        <v>79</v>
      </c>
      <c r="E7" s="28">
        <f>IF(D7&gt;=100,100,D7)</f>
        <v>79</v>
      </c>
      <c r="F7" s="28">
        <f>IF(D7&lt;=100,0,IF(D7&gt;=150,50,D7-E7))</f>
        <v>0</v>
      </c>
      <c r="G7" s="28">
        <f>IF(D7&lt;D7=150,0,IF(D7&gt;=250,100,D7-E7-F7))</f>
        <v>0</v>
      </c>
      <c r="H7" s="28">
        <f>IF(D7&lt;=250,0,D7-E7-F7-G7)</f>
        <v>0</v>
      </c>
      <c r="I7" s="28">
        <f>IF(D7&gt;=350,200000,IF(D7&gt;=251,100000,0))</f>
        <v>0</v>
      </c>
      <c r="J7" s="24">
        <f>(E7*F7*G7*H7)+I7</f>
        <v>0</v>
      </c>
      <c r="K7" s="24" t="str">
        <f>IF(I7&gt;0,"Phạt tiền","")</f>
        <v/>
      </c>
    </row>
    <row r="8" spans="1:11">
      <c r="A8" s="5">
        <v>3</v>
      </c>
      <c r="B8" s="2">
        <v>85</v>
      </c>
      <c r="C8" s="2">
        <v>202</v>
      </c>
      <c r="D8" s="28">
        <f>C8-B8</f>
        <v>117</v>
      </c>
      <c r="E8" s="28">
        <f>IF(D8&gt;=100,100,D8)</f>
        <v>100</v>
      </c>
      <c r="F8" s="28">
        <f>IF(D8&lt;=100,0,IF(D8&gt;=150,50,D8-E8))</f>
        <v>17</v>
      </c>
      <c r="G8" s="28">
        <f>IF(D8&lt;D8=150,0,IF(D8&gt;=250,100,D8-E8-F8))</f>
        <v>0</v>
      </c>
      <c r="H8" s="28">
        <f>IF(D8&lt;=250,0,D8-E8-F8-G8)</f>
        <v>0</v>
      </c>
      <c r="I8" s="28">
        <f>IF(D8&gt;=350,200000,IF(D8&gt;=251,100000,0))</f>
        <v>0</v>
      </c>
      <c r="J8" s="24">
        <f>(E8*F8*G8*H8)+I8</f>
        <v>0</v>
      </c>
      <c r="K8" s="24" t="str">
        <f>IF(I8&gt;0,"Phạt tiền","")</f>
        <v/>
      </c>
    </row>
    <row r="9" spans="1:11">
      <c r="A9" s="5">
        <v>5</v>
      </c>
      <c r="B9" s="2">
        <v>105</v>
      </c>
      <c r="C9" s="2">
        <v>500</v>
      </c>
      <c r="D9" s="28">
        <f>C9-B9</f>
        <v>395</v>
      </c>
      <c r="E9" s="28">
        <f>IF(D9&gt;=100,100,D9)</f>
        <v>100</v>
      </c>
      <c r="F9" s="28">
        <f>IF(D9&lt;=100,0,IF(D9&gt;=150,50,D9-E9))</f>
        <v>50</v>
      </c>
      <c r="G9" s="28">
        <f>IF(D9&lt;D9=150,0,IF(D9&gt;=250,100,D9-E9-F9))</f>
        <v>100</v>
      </c>
      <c r="H9" s="28">
        <f>IF(D9&lt;=250,0,D9-E9-F9-G9)</f>
        <v>145</v>
      </c>
      <c r="I9" s="28">
        <f>IF(D9&gt;=350,200000,IF(D9&gt;=251,100000,0))</f>
        <v>200000</v>
      </c>
      <c r="J9" s="24">
        <f>(E9*F9*G9*H9)+I9</f>
        <v>72700000</v>
      </c>
      <c r="K9" s="24" t="str">
        <f>IF(I9&gt;0,"Phạt tiền","")</f>
        <v>Phạt tiền</v>
      </c>
    </row>
    <row r="10" spans="1:11">
      <c r="A10" s="5">
        <v>9</v>
      </c>
      <c r="B10" s="2">
        <v>115</v>
      </c>
      <c r="C10" s="2">
        <v>207</v>
      </c>
      <c r="D10" s="28">
        <f>C10-B10</f>
        <v>92</v>
      </c>
      <c r="E10" s="28">
        <f>IF(D10&gt;=100,100,D10)</f>
        <v>92</v>
      </c>
      <c r="F10" s="28">
        <f>IF(D10&lt;=100,0,IF(D10&gt;=150,50,D10-E10))</f>
        <v>0</v>
      </c>
      <c r="G10" s="28">
        <f>IF(D10&lt;D10=150,0,IF(D10&gt;=250,100,D10-E10-F10))</f>
        <v>0</v>
      </c>
      <c r="H10" s="28">
        <f>IF(D10&lt;=250,0,D10-E10-F10-G10)</f>
        <v>0</v>
      </c>
      <c r="I10" s="28">
        <f>IF(D10&gt;=350,200000,IF(D10&gt;=251,100000,0))</f>
        <v>0</v>
      </c>
      <c r="J10" s="24">
        <f>(E10*F10*G10*H10)+I10</f>
        <v>0</v>
      </c>
      <c r="K10" s="24" t="str">
        <f>IF(I10&gt;0,"Phạt tiền","")</f>
        <v/>
      </c>
    </row>
    <row r="11" spans="1:11">
      <c r="A11" s="5">
        <v>8</v>
      </c>
      <c r="B11" s="2">
        <v>120</v>
      </c>
      <c r="C11" s="2">
        <v>500</v>
      </c>
      <c r="D11" s="28">
        <f>C11-B11</f>
        <v>380</v>
      </c>
      <c r="E11" s="28">
        <f>IF(D11&gt;=100,100,D11)</f>
        <v>100</v>
      </c>
      <c r="F11" s="28">
        <f>IF(D11&lt;=100,0,IF(D11&gt;=150,50,D11-E11))</f>
        <v>50</v>
      </c>
      <c r="G11" s="28">
        <f>IF(D11&lt;D11=150,0,IF(D11&gt;=250,100,D11-E11-F11))</f>
        <v>100</v>
      </c>
      <c r="H11" s="28">
        <f>IF(D11&lt;=250,0,D11-E11-F11-G11)</f>
        <v>130</v>
      </c>
      <c r="I11" s="28">
        <f>IF(D11&gt;=350,200000,IF(D11&gt;=251,100000,0))</f>
        <v>200000</v>
      </c>
      <c r="J11" s="24">
        <f>(E11*F11*G11*H11)+I11</f>
        <v>65200000</v>
      </c>
      <c r="K11" s="24" t="str">
        <f>IF(I11&gt;0,"Phạt tiền","")</f>
        <v>Phạt tiền</v>
      </c>
    </row>
    <row r="12" spans="1:11">
      <c r="A12" s="5">
        <v>10</v>
      </c>
      <c r="B12" s="2">
        <v>125</v>
      </c>
      <c r="C12" s="2">
        <v>400</v>
      </c>
      <c r="D12" s="28">
        <f>C12-B12</f>
        <v>275</v>
      </c>
      <c r="E12" s="28">
        <f>IF(D12&gt;=100,100,D12)</f>
        <v>100</v>
      </c>
      <c r="F12" s="28">
        <f>IF(D12&lt;=100,0,IF(D12&gt;=150,50,D12-E12))</f>
        <v>50</v>
      </c>
      <c r="G12" s="28">
        <f>IF(D12&lt;D12=150,0,IF(D12&gt;=250,100,D12-E12-F12))</f>
        <v>100</v>
      </c>
      <c r="H12" s="28">
        <f>IF(D12&lt;=250,0,D12-E12-F12-G12)</f>
        <v>25</v>
      </c>
      <c r="I12" s="28">
        <f>IF(D12&gt;=350,200000,IF(D12&gt;=251,100000,0))</f>
        <v>100000</v>
      </c>
      <c r="J12" s="24">
        <f>(E12*F12*G12*H12)+I12</f>
        <v>12600000</v>
      </c>
      <c r="K12" s="24" t="str">
        <f>IF(I12&gt;0,"Phạt tiền","")</f>
        <v>Phạt tiền</v>
      </c>
    </row>
    <row r="13" spans="1:11">
      <c r="A13" s="5">
        <v>7</v>
      </c>
      <c r="B13" s="2">
        <v>170</v>
      </c>
      <c r="C13" s="2">
        <v>295</v>
      </c>
      <c r="D13" s="28">
        <f>C13-B13</f>
        <v>125</v>
      </c>
      <c r="E13" s="28">
        <f>IF(D13&gt;=100,100,D13)</f>
        <v>100</v>
      </c>
      <c r="F13" s="28">
        <f>IF(D13&lt;=100,0,IF(D13&gt;=150,50,D13-E13))</f>
        <v>25</v>
      </c>
      <c r="G13" s="28">
        <f>IF(D13&lt;D13=150,0,IF(D13&gt;=250,100,D13-E13-F13))</f>
        <v>0</v>
      </c>
      <c r="H13" s="28">
        <f>IF(D13&lt;=250,0,D13-E13-F13-G13)</f>
        <v>0</v>
      </c>
      <c r="I13" s="28">
        <f>IF(D13&gt;=350,200000,IF(D13&gt;=251,100000,0))</f>
        <v>0</v>
      </c>
      <c r="J13" s="24">
        <f>(E13*F13*G13*H13)+I13</f>
        <v>0</v>
      </c>
      <c r="K13" s="24" t="str">
        <f>IF(I13&gt;0,"Phạt tiền","")</f>
        <v/>
      </c>
    </row>
    <row r="14" spans="1:11">
      <c r="A14" s="13"/>
      <c r="B14" s="14"/>
      <c r="C14" s="14" t="s">
        <v>113</v>
      </c>
      <c r="D14" s="25">
        <f>SUM(I4:I13)</f>
        <v>500000</v>
      </c>
      <c r="E14" s="28"/>
      <c r="F14" s="28"/>
      <c r="G14" s="28"/>
      <c r="H14" s="28"/>
      <c r="I14" s="28"/>
      <c r="J14" s="24"/>
      <c r="K14" s="24" t="str">
        <f t="shared" ref="K5:K17" si="0">IF(I14&gt;0,"Phạt tiền","")</f>
        <v/>
      </c>
    </row>
    <row r="15" spans="1:11">
      <c r="A15" s="15"/>
      <c r="C15" s="1" t="s">
        <v>114</v>
      </c>
      <c r="D15" s="26">
        <f>MIN(I4:I13)</f>
        <v>0</v>
      </c>
      <c r="E15" s="28"/>
      <c r="F15" s="28"/>
      <c r="G15" s="28"/>
      <c r="H15" s="28"/>
      <c r="I15" s="28"/>
      <c r="J15" s="24"/>
      <c r="K15" s="24" t="str">
        <f t="shared" si="0"/>
        <v/>
      </c>
    </row>
    <row r="16" spans="1:11">
      <c r="A16" s="15"/>
      <c r="C16" s="1" t="s">
        <v>115</v>
      </c>
      <c r="D16" s="26">
        <f>AVERAGE(I4:I13)</f>
        <v>50000</v>
      </c>
      <c r="E16" s="28"/>
      <c r="F16" s="28"/>
      <c r="G16" s="28"/>
      <c r="H16" s="28"/>
      <c r="I16" s="28"/>
      <c r="J16" s="24"/>
      <c r="K16" s="24" t="str">
        <f t="shared" si="0"/>
        <v/>
      </c>
    </row>
    <row r="17" spans="1:12">
      <c r="A17" s="16"/>
      <c r="B17" s="17"/>
      <c r="C17" s="17" t="s">
        <v>116</v>
      </c>
      <c r="D17" s="27">
        <f>MAX(I4:I13)</f>
        <v>200000</v>
      </c>
      <c r="E17" s="28"/>
      <c r="F17" s="28"/>
      <c r="G17" s="28"/>
      <c r="H17" s="28"/>
      <c r="I17" s="28"/>
      <c r="J17" s="24"/>
      <c r="K17" s="24" t="str">
        <f t="shared" si="0"/>
        <v/>
      </c>
    </row>
    <row r="19" spans="1:12" ht="13">
      <c r="A19" s="18" t="s">
        <v>95</v>
      </c>
      <c r="H19" s="19" t="s">
        <v>128</v>
      </c>
    </row>
    <row r="20" spans="1:12" ht="13">
      <c r="A20" s="1" t="s">
        <v>122</v>
      </c>
      <c r="H20" s="40" t="s">
        <v>98</v>
      </c>
      <c r="I20" s="79" t="s">
        <v>112</v>
      </c>
      <c r="J20" s="79"/>
      <c r="K20" s="79"/>
      <c r="L20" s="79"/>
    </row>
    <row r="21" spans="1:12" ht="13">
      <c r="A21" s="1" t="s">
        <v>123</v>
      </c>
      <c r="H21" s="42" t="s">
        <v>99</v>
      </c>
      <c r="I21" s="41" t="s">
        <v>102</v>
      </c>
      <c r="J21" s="41" t="s">
        <v>103</v>
      </c>
      <c r="K21" s="41" t="s">
        <v>104</v>
      </c>
      <c r="L21" s="41" t="s">
        <v>105</v>
      </c>
    </row>
    <row r="22" spans="1:1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>
      <c r="B23" s="1" t="s">
        <v>119</v>
      </c>
    </row>
    <row r="24" spans="1:12">
      <c r="B24" s="1" t="s">
        <v>120</v>
      </c>
    </row>
    <row r="25" spans="1:12">
      <c r="B25" s="1" t="s">
        <v>121</v>
      </c>
    </row>
    <row r="26" spans="1:12" ht="13">
      <c r="A26" s="1" t="s">
        <v>124</v>
      </c>
    </row>
    <row r="27" spans="1:12" ht="13">
      <c r="B27" s="1" t="s">
        <v>138</v>
      </c>
    </row>
    <row r="28" spans="1:12" ht="13">
      <c r="B28" s="1" t="s">
        <v>139</v>
      </c>
    </row>
    <row r="29" spans="1:12" ht="13">
      <c r="B29" s="1" t="s">
        <v>140</v>
      </c>
    </row>
    <row r="30" spans="1:12" ht="13">
      <c r="A30" s="1" t="s">
        <v>125</v>
      </c>
    </row>
    <row r="31" spans="1:12" ht="13">
      <c r="A31" s="1" t="s">
        <v>141</v>
      </c>
    </row>
    <row r="32" spans="1:12" ht="13">
      <c r="A32" s="1" t="s">
        <v>126</v>
      </c>
    </row>
    <row r="33" spans="1:1" customFormat="1" ht="14.5">
      <c r="A33" s="1" t="s">
        <v>127</v>
      </c>
    </row>
  </sheetData>
  <sortState xmlns:xlrd2="http://schemas.microsoft.com/office/spreadsheetml/2017/richdata2" ref="A5:K13">
    <sortCondition ref="B4:B13"/>
    <sortCondition descending="1" ref="J4:J13"/>
  </sortState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Nguyễn Thị Mai Linh</cp:lastModifiedBy>
  <dcterms:created xsi:type="dcterms:W3CDTF">2008-06-05T12:20:35Z</dcterms:created>
  <dcterms:modified xsi:type="dcterms:W3CDTF">2023-10-24T11:59:36Z</dcterms:modified>
</cp:coreProperties>
</file>