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96FC83CC-5DBC-4165-AEF0-749DA2727B18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K14" i="2" l="1"/>
  <c r="K15" i="2"/>
  <c r="J15" i="2"/>
  <c r="J14" i="2"/>
  <c r="I21" i="13"/>
  <c r="H21" i="13"/>
  <c r="G21" i="13"/>
  <c r="J16" i="1"/>
  <c r="I16" i="1"/>
  <c r="J15" i="1"/>
  <c r="I15" i="1"/>
  <c r="J14" i="1"/>
  <c r="I14" i="1"/>
  <c r="D3" i="1"/>
  <c r="J3" i="1" s="1"/>
  <c r="K3" i="1" s="1"/>
  <c r="D15" i="7"/>
  <c r="D17" i="12"/>
  <c r="I4" i="12"/>
  <c r="I13" i="12"/>
  <c r="K13" i="12" s="1"/>
  <c r="I11" i="12"/>
  <c r="K11" i="12" s="1"/>
  <c r="I10" i="12"/>
  <c r="K10" i="12" s="1"/>
  <c r="F9" i="12"/>
  <c r="F13" i="12"/>
  <c r="H9" i="12"/>
  <c r="G9" i="12"/>
  <c r="G4" i="12"/>
  <c r="G13" i="12"/>
  <c r="G11" i="12"/>
  <c r="J3" i="2"/>
  <c r="J10" i="2"/>
  <c r="J8" i="2"/>
  <c r="J4" i="2"/>
  <c r="J9" i="2"/>
  <c r="J6" i="2"/>
  <c r="J5" i="2"/>
  <c r="J7" i="2"/>
  <c r="I3" i="2"/>
  <c r="I10" i="2"/>
  <c r="I8" i="2"/>
  <c r="I4" i="2"/>
  <c r="I9" i="2"/>
  <c r="I6" i="2"/>
  <c r="I5" i="2"/>
  <c r="I7" i="2"/>
  <c r="H3" i="2"/>
  <c r="H10" i="2"/>
  <c r="H8" i="2"/>
  <c r="H4" i="2"/>
  <c r="H9" i="2"/>
  <c r="H6" i="2"/>
  <c r="H5" i="2"/>
  <c r="H7" i="2"/>
  <c r="G3" i="2"/>
  <c r="G10" i="2"/>
  <c r="G8" i="2"/>
  <c r="G4" i="2"/>
  <c r="G9" i="2"/>
  <c r="G6" i="2"/>
  <c r="G5" i="2"/>
  <c r="G7" i="2"/>
  <c r="F3" i="2"/>
  <c r="F10" i="2"/>
  <c r="F8" i="2"/>
  <c r="F4" i="2"/>
  <c r="F9" i="2"/>
  <c r="F6" i="2"/>
  <c r="F5" i="2"/>
  <c r="F7" i="2"/>
  <c r="D7" i="12"/>
  <c r="E7" i="12" s="1"/>
  <c r="D8" i="12"/>
  <c r="E8" i="12" s="1"/>
  <c r="D6" i="12"/>
  <c r="E6" i="12" s="1"/>
  <c r="D9" i="12"/>
  <c r="E9" i="12" s="1"/>
  <c r="D4" i="12"/>
  <c r="E4" i="12" s="1"/>
  <c r="D13" i="12"/>
  <c r="E13" i="12" s="1"/>
  <c r="D11" i="12"/>
  <c r="E11" i="12" s="1"/>
  <c r="D10" i="12"/>
  <c r="E10" i="12" s="1"/>
  <c r="D12" i="12"/>
  <c r="I12" i="12" s="1"/>
  <c r="K12" i="12" s="1"/>
  <c r="D5" i="12"/>
  <c r="E5" i="12" s="1"/>
  <c r="C15" i="7"/>
  <c r="H4" i="7"/>
  <c r="H5" i="7"/>
  <c r="H6" i="7"/>
  <c r="H7" i="7"/>
  <c r="H3" i="7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C5" i="13"/>
  <c r="C6" i="13"/>
  <c r="C7" i="13"/>
  <c r="C8" i="13"/>
  <c r="C9" i="13"/>
  <c r="C10" i="13"/>
  <c r="C11" i="13"/>
  <c r="C12" i="13"/>
  <c r="C13" i="13"/>
  <c r="D6" i="13"/>
  <c r="D7" i="13"/>
  <c r="D8" i="13"/>
  <c r="D9" i="13"/>
  <c r="D10" i="13"/>
  <c r="D11" i="13"/>
  <c r="D12" i="13"/>
  <c r="D13" i="13"/>
  <c r="D5" i="13"/>
  <c r="C3" i="2"/>
  <c r="C10" i="2"/>
  <c r="C8" i="2"/>
  <c r="C4" i="2"/>
  <c r="C9" i="2"/>
  <c r="C6" i="2"/>
  <c r="C5" i="2"/>
  <c r="C7" i="2"/>
  <c r="B15" i="7"/>
  <c r="A15" i="7"/>
  <c r="I4" i="7"/>
  <c r="I5" i="7"/>
  <c r="I6" i="7"/>
  <c r="I7" i="7"/>
  <c r="I3" i="7"/>
  <c r="G4" i="7"/>
  <c r="G5" i="7"/>
  <c r="G6" i="7"/>
  <c r="G7" i="7"/>
  <c r="G3" i="7"/>
  <c r="F4" i="7"/>
  <c r="F5" i="7"/>
  <c r="F6" i="7"/>
  <c r="F7" i="7"/>
  <c r="F3" i="7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D4" i="1"/>
  <c r="D5" i="1"/>
  <c r="D6" i="1"/>
  <c r="D7" i="1"/>
  <c r="D8" i="1"/>
  <c r="D9" i="1"/>
  <c r="D10" i="1"/>
  <c r="I4" i="1"/>
  <c r="I5" i="1"/>
  <c r="I6" i="1"/>
  <c r="I7" i="1"/>
  <c r="I8" i="1"/>
  <c r="I9" i="1"/>
  <c r="I10" i="1"/>
  <c r="I3" i="1"/>
  <c r="C4" i="1"/>
  <c r="C5" i="1"/>
  <c r="C6" i="1"/>
  <c r="C7" i="1"/>
  <c r="C8" i="1"/>
  <c r="C9" i="1"/>
  <c r="C10" i="1"/>
  <c r="C3" i="1"/>
  <c r="E4" i="1"/>
  <c r="E5" i="1"/>
  <c r="E6" i="1"/>
  <c r="E7" i="1"/>
  <c r="E8" i="1"/>
  <c r="E9" i="1"/>
  <c r="E10" i="1"/>
  <c r="E3" i="1"/>
  <c r="G6" i="12" l="1"/>
  <c r="F5" i="12"/>
  <c r="H5" i="12" s="1"/>
  <c r="F8" i="12"/>
  <c r="I9" i="12"/>
  <c r="K9" i="12" s="1"/>
  <c r="D14" i="12"/>
  <c r="G5" i="12"/>
  <c r="G8" i="12"/>
  <c r="F12" i="12"/>
  <c r="F7" i="12"/>
  <c r="H7" i="12" s="1"/>
  <c r="I6" i="12"/>
  <c r="K6" i="12" s="1"/>
  <c r="G12" i="12"/>
  <c r="G7" i="12"/>
  <c r="F10" i="12"/>
  <c r="H10" i="12" s="1"/>
  <c r="I5" i="12"/>
  <c r="I14" i="12" s="1"/>
  <c r="I8" i="12"/>
  <c r="K8" i="12" s="1"/>
  <c r="D15" i="12"/>
  <c r="F6" i="12"/>
  <c r="G10" i="12"/>
  <c r="J10" i="12" s="1"/>
  <c r="F11" i="12"/>
  <c r="I7" i="12"/>
  <c r="K7" i="12" s="1"/>
  <c r="K4" i="12"/>
  <c r="H13" i="12"/>
  <c r="J13" i="12" s="1"/>
  <c r="D16" i="12"/>
  <c r="H6" i="12"/>
  <c r="J6" i="12" s="1"/>
  <c r="H4" i="12"/>
  <c r="F4" i="12"/>
  <c r="J4" i="12" s="1"/>
  <c r="E12" i="12"/>
  <c r="I16" i="12" l="1"/>
  <c r="H11" i="12"/>
  <c r="J11" i="12" s="1"/>
  <c r="J5" i="12"/>
  <c r="J9" i="12"/>
  <c r="H8" i="12"/>
  <c r="J8" i="12" s="1"/>
  <c r="I15" i="12"/>
  <c r="I17" i="12"/>
  <c r="K5" i="12"/>
  <c r="H12" i="12"/>
  <c r="J12" i="12" s="1"/>
  <c r="J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<sst xmlns="http://schemas.openxmlformats.org/spreadsheetml/2006/main" count="234" uniqueCount="191">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</sst>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2" fontId="43" fillId="0" borderId="1" xfId="0" applyNumberFormat="1" applyFont="1" applyBorder="1"/>
    <xf numFmtId="0" fontId="25" fillId="0" borderId="1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I22" sqref="I2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1" t="s">
        <v>82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2" t="s">
        <v>97</v>
      </c>
      <c r="D2" s="11">
        <v>44344</v>
      </c>
      <c r="E2" s="10"/>
      <c r="F2" s="10"/>
      <c r="G2" s="10"/>
    </row>
    <row r="3" spans="1:10" ht="20.100000000000001" customHeight="1" x14ac:dyDescent="0.2">
      <c r="A3" s="74" t="s">
        <v>83</v>
      </c>
      <c r="B3" s="74" t="s">
        <v>84</v>
      </c>
      <c r="C3" s="67" t="s">
        <v>90</v>
      </c>
      <c r="D3" s="67" t="s">
        <v>91</v>
      </c>
      <c r="E3" s="67" t="s">
        <v>85</v>
      </c>
      <c r="F3" s="69" t="s">
        <v>86</v>
      </c>
      <c r="G3" s="70"/>
      <c r="H3" s="72" t="s">
        <v>87</v>
      </c>
      <c r="I3" s="36" t="s">
        <v>44</v>
      </c>
    </row>
    <row r="4" spans="1:10" ht="20.100000000000001" customHeight="1" x14ac:dyDescent="0.2">
      <c r="A4" s="74"/>
      <c r="B4" s="74"/>
      <c r="C4" s="68"/>
      <c r="D4" s="68"/>
      <c r="E4" s="68"/>
      <c r="F4" s="35" t="s">
        <v>88</v>
      </c>
      <c r="G4" s="35" t="s">
        <v>89</v>
      </c>
      <c r="H4" s="73"/>
      <c r="I4" s="37"/>
    </row>
    <row r="5" spans="1:10" ht="20.100000000000001" customHeight="1" x14ac:dyDescent="0.2">
      <c r="A5" s="2" t="s">
        <v>157</v>
      </c>
      <c r="B5" s="2">
        <v>22</v>
      </c>
      <c r="C5" s="2" t="str">
        <f>IF(LEFT(A5,2)="A1","Tin học A.1","Tin học A.2")</f>
        <v>Tin học A.1</v>
      </c>
      <c r="D5" s="2" t="str">
        <f>IF(MID(A5,3,1)="S","Sáng",  IF(MID(A5,3,1)="C","Chiều","Tối"))</f>
        <v>Sáng</v>
      </c>
      <c r="E5" s="27" t="str">
        <f>C5 &amp; "-" &amp; D5</f>
        <v>Tin học A.1-Sáng</v>
      </c>
      <c r="F5" s="66" t="str">
        <f>IF(B5&lt;10,"","X")</f>
        <v>X</v>
      </c>
      <c r="G5" s="66" t="str">
        <f>IF(B5&gt;=20,"X","")</f>
        <v>X</v>
      </c>
      <c r="H5" s="48"/>
      <c r="I5" s="27" t="s">
        <v>33</v>
      </c>
    </row>
    <row r="6" spans="1:10" ht="20.100000000000001" customHeight="1" x14ac:dyDescent="0.2">
      <c r="A6" s="2" t="s">
        <v>162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  IF(MID(A6,3,1)="C","Chiều","Tối"))</f>
        <v>Tối</v>
      </c>
      <c r="E6" s="27" t="str">
        <f t="shared" ref="E6:E13" si="2">C6 &amp; "-" &amp; D6</f>
        <v>Tin học A.1-Tối</v>
      </c>
      <c r="F6" s="66" t="str">
        <f t="shared" ref="F6:F13" si="3">IF(B6&lt;10,"","X")</f>
        <v>X</v>
      </c>
      <c r="G6" s="66" t="str">
        <f t="shared" ref="G6:G13" si="4">IF(B6&gt;=20,"X","")</f>
        <v/>
      </c>
      <c r="H6" s="48"/>
      <c r="I6" s="2"/>
    </row>
    <row r="7" spans="1:10" ht="20.100000000000001" customHeight="1" x14ac:dyDescent="0.2">
      <c r="A7" s="2" t="s">
        <v>163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A.2-Chiều</v>
      </c>
      <c r="F7" s="66" t="str">
        <f t="shared" si="3"/>
        <v>X</v>
      </c>
      <c r="G7" s="66" t="str">
        <f t="shared" si="4"/>
        <v/>
      </c>
      <c r="H7" s="48"/>
      <c r="I7" s="2"/>
    </row>
    <row r="8" spans="1:10" ht="20.100000000000001" customHeight="1" x14ac:dyDescent="0.2">
      <c r="A8" s="2" t="s">
        <v>164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A.1-Sáng</v>
      </c>
      <c r="F8" s="66" t="str">
        <f t="shared" si="3"/>
        <v>X</v>
      </c>
      <c r="G8" s="66" t="str">
        <f t="shared" si="4"/>
        <v/>
      </c>
      <c r="H8" s="48"/>
      <c r="I8" s="2"/>
    </row>
    <row r="9" spans="1:10" ht="20.100000000000001" customHeight="1" x14ac:dyDescent="0.2">
      <c r="A9" s="2" t="s">
        <v>165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A.1-Chiều</v>
      </c>
      <c r="F9" s="66" t="str">
        <f t="shared" si="3"/>
        <v>X</v>
      </c>
      <c r="G9" s="66" t="str">
        <f t="shared" si="4"/>
        <v>X</v>
      </c>
      <c r="H9" s="48"/>
      <c r="I9" s="2"/>
    </row>
    <row r="10" spans="1:10" ht="20.100000000000001" customHeight="1" x14ac:dyDescent="0.2">
      <c r="A10" s="2" t="s">
        <v>166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A.1-Sáng</v>
      </c>
      <c r="F10" s="66" t="str">
        <f t="shared" si="3"/>
        <v/>
      </c>
      <c r="G10" s="66" t="str">
        <f t="shared" si="4"/>
        <v/>
      </c>
      <c r="H10" s="48"/>
      <c r="I10" s="2"/>
    </row>
    <row r="11" spans="1:10" ht="20.100000000000001" customHeight="1" x14ac:dyDescent="0.2">
      <c r="A11" s="2" t="s">
        <v>167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A.2-Tối</v>
      </c>
      <c r="F11" s="66" t="str">
        <f t="shared" si="3"/>
        <v>X</v>
      </c>
      <c r="G11" s="66" t="str">
        <f t="shared" si="4"/>
        <v/>
      </c>
      <c r="H11" s="48"/>
      <c r="I11" s="2"/>
    </row>
    <row r="12" spans="1:10" ht="20.100000000000001" customHeight="1" x14ac:dyDescent="0.2">
      <c r="A12" s="2" t="s">
        <v>168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A.1-Tối</v>
      </c>
      <c r="F12" s="66" t="str">
        <f t="shared" si="3"/>
        <v>X</v>
      </c>
      <c r="G12" s="66" t="str">
        <f t="shared" si="4"/>
        <v>X</v>
      </c>
      <c r="H12" s="48"/>
      <c r="I12" s="2"/>
    </row>
    <row r="13" spans="1:10" ht="20.100000000000001" customHeight="1" x14ac:dyDescent="0.2">
      <c r="A13" s="2" t="s">
        <v>169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A.2-Sáng</v>
      </c>
      <c r="F13" s="66" t="str">
        <f t="shared" si="3"/>
        <v/>
      </c>
      <c r="G13" s="66" t="str">
        <f t="shared" si="4"/>
        <v/>
      </c>
      <c r="H13" s="48"/>
      <c r="I13" s="2"/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170</v>
      </c>
      <c r="B16" s="35" t="s">
        <v>90</v>
      </c>
      <c r="D16" s="38" t="s">
        <v>171</v>
      </c>
      <c r="E16" s="33" t="s">
        <v>92</v>
      </c>
      <c r="F16" s="33" t="s">
        <v>30</v>
      </c>
      <c r="G16" s="33" t="s">
        <v>71</v>
      </c>
    </row>
    <row r="17" spans="1:9" ht="20.100000000000001" customHeight="1" x14ac:dyDescent="0.2">
      <c r="A17" s="5" t="s">
        <v>158</v>
      </c>
      <c r="B17" s="2" t="s">
        <v>160</v>
      </c>
      <c r="D17" s="39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159</v>
      </c>
      <c r="B18" s="2" t="s">
        <v>161</v>
      </c>
    </row>
    <row r="19" spans="1:9" ht="20.100000000000001" customHeight="1" x14ac:dyDescent="0.25">
      <c r="A19"/>
      <c r="B19"/>
      <c r="F19" s="26" t="s">
        <v>137</v>
      </c>
    </row>
    <row r="20" spans="1:9" ht="20.100000000000001" customHeight="1" x14ac:dyDescent="0.2">
      <c r="A20" s="9" t="s">
        <v>96</v>
      </c>
      <c r="F20" s="39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149</v>
      </c>
      <c r="F21" s="8"/>
      <c r="G21" s="27">
        <f>COUNTIF(D5:D13,"Sáng")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172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9" t="s">
        <v>134</v>
      </c>
    </row>
    <row r="27" spans="1:9" ht="20.100000000000001" customHeight="1" x14ac:dyDescent="0.2">
      <c r="A27" s="1" t="s">
        <v>133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>
        <f>RIGHT(B3,1)*1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IF(E3="A",26,IF(E3="B",25.5,20))</f>
        <v>26</v>
      </c>
      <c r="J3" s="27">
        <f>IF(D3=1,0,      IF(D3=2,1,2))+          IF(C3=$B$14,0.5,IF(C3=$B$15,1,0))</f>
        <v>0.5</v>
      </c>
      <c r="K3" s="27">
        <f>SUM(F3:H3,J3)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>
        <f t="shared" ref="D4:D10" si="1">RIGHT(B4,1)*1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IF(E4="A",26,IF(E4="B",25.5,20))</f>
        <v>26</v>
      </c>
      <c r="J4" s="27">
        <f t="shared" ref="J4:J10" si="4">IF(D4=1,0,      IF(D4=2,1,2))+IF(C4=$B$14,0.5,IF(C4=$B$15,1,0))</f>
        <v>2</v>
      </c>
      <c r="K4" s="27">
        <f t="shared" ref="K4:K10" si="5">SUM(F4:H4,J4)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34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35</v>
      </c>
      <c r="J13" s="46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SUMIF(D3:D10,1,F3:F10)</f>
        <v>18</v>
      </c>
      <c r="J14" s="27">
        <f>SUMIF(D3:D10,2,F3:F10)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SUMIF(D3:D10,1,G3:G10)</f>
        <v>12.5</v>
      </c>
      <c r="J15" s="27">
        <f>SUMIF(D3:D10,2,G3:G10)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SUMIF(D3:D10,1,H3:H10)</f>
        <v>5.5</v>
      </c>
      <c r="J16" s="27">
        <f>SUMIF(D3:D10,2,H3:H10)</f>
        <v>11.5</v>
      </c>
    </row>
    <row r="18" spans="1:10" ht="20.100000000000001" customHeight="1" x14ac:dyDescent="0.2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6" sqref="D16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25.28515625" style="51" customWidth="1"/>
    <col min="9" max="16384" width="9.140625" style="51"/>
  </cols>
  <sheetData>
    <row r="1" spans="1:9" ht="22.5" x14ac:dyDescent="0.3">
      <c r="A1" s="76" t="s">
        <v>189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">
      <c r="A2" s="49" t="s">
        <v>180</v>
      </c>
      <c r="B2" s="49" t="s">
        <v>181</v>
      </c>
      <c r="C2" s="50" t="s">
        <v>184</v>
      </c>
      <c r="D2" s="50" t="s">
        <v>185</v>
      </c>
      <c r="E2" s="50" t="s">
        <v>186</v>
      </c>
      <c r="F2" s="50" t="s">
        <v>187</v>
      </c>
      <c r="G2" s="50" t="s">
        <v>188</v>
      </c>
      <c r="H2" s="50" t="s">
        <v>182</v>
      </c>
      <c r="I2" s="49" t="s">
        <v>183</v>
      </c>
    </row>
    <row r="3" spans="1:9" x14ac:dyDescent="0.2">
      <c r="A3" s="52">
        <v>1</v>
      </c>
      <c r="B3" s="53" t="s">
        <v>74</v>
      </c>
      <c r="C3" s="52" t="s">
        <v>29</v>
      </c>
      <c r="D3" s="52">
        <v>9</v>
      </c>
      <c r="E3" s="52">
        <v>10</v>
      </c>
      <c r="F3" s="54">
        <f>(E3*2+D3)/3</f>
        <v>9.6666666666666661</v>
      </c>
      <c r="G3" s="55" t="str">
        <f>IF(F3&lt;5,"Thi lại","Lên lớp")</f>
        <v>Lên lớp</v>
      </c>
      <c r="H3" s="55">
        <f>IF( 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75</v>
      </c>
      <c r="C4" s="52" t="s">
        <v>31</v>
      </c>
      <c r="D4" s="52">
        <v>8</v>
      </c>
      <c r="E4" s="52">
        <v>10</v>
      </c>
      <c r="F4" s="54">
        <f t="shared" ref="F4:F7" si="0">(E4*2+D4)/3</f>
        <v>9.3333333333333339</v>
      </c>
      <c r="G4" s="55" t="str">
        <f t="shared" ref="G4:G7" si="1">IF(F4&lt;5,"Thi lại","Lên lớp")</f>
        <v>Lên lớp</v>
      </c>
      <c r="H4" s="55" t="str">
        <f t="shared" ref="H4:H7" si="2">IF( 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190</v>
      </c>
      <c r="C5" s="52" t="s">
        <v>31</v>
      </c>
      <c r="D5" s="52">
        <v>5</v>
      </c>
      <c r="E5" s="52">
        <v>6</v>
      </c>
      <c r="F5" s="54">
        <f t="shared" si="0"/>
        <v>5.666666666666667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76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77</v>
      </c>
      <c r="C7" s="52" t="s">
        <v>31</v>
      </c>
      <c r="D7" s="52">
        <v>10</v>
      </c>
      <c r="E7" s="52">
        <v>9</v>
      </c>
      <c r="F7" s="54">
        <f t="shared" si="0"/>
        <v>9.3333333333333339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176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177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178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179</v>
      </c>
      <c r="B13" s="59"/>
    </row>
    <row r="14" spans="1:9" ht="47.25" customHeight="1" x14ac:dyDescent="0.2">
      <c r="A14" s="60" t="s">
        <v>145</v>
      </c>
      <c r="B14" s="61" t="s">
        <v>152</v>
      </c>
      <c r="C14" s="62" t="s">
        <v>146</v>
      </c>
      <c r="D14" s="77" t="s">
        <v>153</v>
      </c>
      <c r="E14" s="77"/>
    </row>
    <row r="15" spans="1:9" x14ac:dyDescent="0.2">
      <c r="A15" s="63">
        <f>COUNT(A3:A7)</f>
        <v>5</v>
      </c>
      <c r="B15" s="65">
        <f>MAX(F3:F7)</f>
        <v>9.6666666666666661</v>
      </c>
      <c r="C15" s="64">
        <f>SUM(H3:H7)</f>
        <v>150000</v>
      </c>
      <c r="D15" s="78">
        <f>COUNTIF(D3:D7,"&gt;=9")</f>
        <v>2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29"/>
  <sheetViews>
    <sheetView tabSelected="1" zoomScaleNormal="100" workbookViewId="0">
      <selection activeCell="K15" sqref="K15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8" ht="28.5" customHeight="1" x14ac:dyDescent="0.2">
      <c r="A1" s="80" t="s">
        <v>37</v>
      </c>
      <c r="B1" s="80"/>
      <c r="C1" s="80"/>
      <c r="D1" s="80"/>
      <c r="E1" s="80"/>
      <c r="F1" s="80"/>
      <c r="G1" s="80"/>
      <c r="H1" s="80"/>
      <c r="I1" s="80"/>
      <c r="J1" s="80"/>
    </row>
    <row r="2" spans="1:18" ht="24" customHeight="1" x14ac:dyDescent="0.2">
      <c r="A2" s="40" t="s">
        <v>1</v>
      </c>
      <c r="B2" s="40" t="s">
        <v>38</v>
      </c>
      <c r="C2" s="40" t="s">
        <v>39</v>
      </c>
      <c r="D2" s="40" t="s">
        <v>40</v>
      </c>
      <c r="E2" s="40" t="s">
        <v>41</v>
      </c>
      <c r="F2" s="40" t="s">
        <v>42</v>
      </c>
      <c r="G2" s="40" t="s">
        <v>43</v>
      </c>
      <c r="H2" s="40" t="s">
        <v>175</v>
      </c>
      <c r="I2" s="42" t="s">
        <v>70</v>
      </c>
      <c r="J2" s="42" t="s">
        <v>72</v>
      </c>
      <c r="N2" s="23"/>
      <c r="O2" s="23"/>
    </row>
    <row r="3" spans="1:18" ht="20.100000000000001" customHeight="1" x14ac:dyDescent="0.2">
      <c r="A3" s="5">
        <v>2</v>
      </c>
      <c r="B3" s="2" t="s">
        <v>45</v>
      </c>
      <c r="C3" s="2" t="str">
        <f t="shared" ref="C3:C10" si="0">IF(LEFT(B3,2)="PE","PEPSI",IF(LEFT(B3,2)="CO","COCA COLA",IF(LEFT(B3,2)="SP","SPRITE","FANTA")))</f>
        <v>COCA COLA</v>
      </c>
      <c r="D3" s="5">
        <v>40</v>
      </c>
      <c r="E3" s="2">
        <v>1600</v>
      </c>
      <c r="F3" s="27" t="str">
        <f t="shared" ref="F3:F10" si="1">IF(AND(LEFT(B3,2)="PE",MID(B3,5,1)="C",RIGHT(B3,1)="X",D3&gt;=50),5%*D3*E3,"")</f>
        <v/>
      </c>
      <c r="G3" s="32">
        <f t="shared" ref="G3:G10" si="2">D3*E3</f>
        <v>64000</v>
      </c>
      <c r="H3" s="27" t="str">
        <f t="shared" ref="H3:H10" si="3">IF(AND(RIGHT(B3,1)="X",   D3&gt;=50),"Có quà tặng","")</f>
        <v/>
      </c>
      <c r="I3" s="27" t="str">
        <f t="shared" ref="I3:I10" si="4">IF(MID(B3,5,1)="C","Chai","Lon")</f>
        <v>Chai</v>
      </c>
      <c r="J3" s="27" t="str">
        <f t="shared" ref="J3:J10" si="5">IF(RIGHT(B3,1)="N","Nhập","Xuất")</f>
        <v>Nhập</v>
      </c>
      <c r="N3" s="23"/>
      <c r="O3" s="23"/>
    </row>
    <row r="4" spans="1:18" ht="20.100000000000001" customHeight="1" x14ac:dyDescent="0.2">
      <c r="A4" s="5">
        <v>5</v>
      </c>
      <c r="B4" s="2" t="s">
        <v>48</v>
      </c>
      <c r="C4" s="2" t="str">
        <f t="shared" si="0"/>
        <v>FANTA</v>
      </c>
      <c r="D4" s="5">
        <v>80</v>
      </c>
      <c r="E4" s="2">
        <v>2000</v>
      </c>
      <c r="F4" s="27" t="str">
        <f t="shared" si="1"/>
        <v/>
      </c>
      <c r="G4" s="32">
        <f t="shared" si="2"/>
        <v>160000</v>
      </c>
      <c r="H4" s="27" t="str">
        <f t="shared" si="3"/>
        <v/>
      </c>
      <c r="I4" s="27" t="str">
        <f t="shared" si="4"/>
        <v>Lon</v>
      </c>
      <c r="J4" s="27" t="str">
        <f t="shared" si="5"/>
        <v>Nhập</v>
      </c>
      <c r="N4" s="23"/>
      <c r="O4" s="23"/>
      <c r="R4" s="23"/>
    </row>
    <row r="5" spans="1:18" ht="20.100000000000001" customHeight="1" x14ac:dyDescent="0.2">
      <c r="A5" s="5">
        <v>8</v>
      </c>
      <c r="B5" s="2" t="s">
        <v>51</v>
      </c>
      <c r="C5" s="2" t="str">
        <f t="shared" si="0"/>
        <v>FANTA</v>
      </c>
      <c r="D5" s="5">
        <v>70</v>
      </c>
      <c r="E5" s="2">
        <v>2000</v>
      </c>
      <c r="F5" s="27" t="str">
        <f t="shared" si="1"/>
        <v/>
      </c>
      <c r="G5" s="32">
        <f t="shared" si="2"/>
        <v>140000</v>
      </c>
      <c r="H5" s="27" t="str">
        <f t="shared" si="3"/>
        <v/>
      </c>
      <c r="I5" s="27" t="str">
        <f t="shared" si="4"/>
        <v>Chai</v>
      </c>
      <c r="J5" s="27" t="str">
        <f t="shared" si="5"/>
        <v>Nhập</v>
      </c>
      <c r="N5" s="23"/>
      <c r="O5" s="23"/>
    </row>
    <row r="6" spans="1:18" ht="20.100000000000001" customHeight="1" x14ac:dyDescent="0.2">
      <c r="A6" s="5">
        <v>7</v>
      </c>
      <c r="B6" s="2" t="s">
        <v>50</v>
      </c>
      <c r="C6" s="2" t="str">
        <f t="shared" si="0"/>
        <v>PEPSI</v>
      </c>
      <c r="D6" s="5">
        <v>50</v>
      </c>
      <c r="E6" s="2">
        <v>1800</v>
      </c>
      <c r="F6" s="27">
        <f t="shared" si="1"/>
        <v>4500</v>
      </c>
      <c r="G6" s="32">
        <f t="shared" si="2"/>
        <v>90000</v>
      </c>
      <c r="H6" s="27" t="str">
        <f t="shared" si="3"/>
        <v>Có quà tặng</v>
      </c>
      <c r="I6" s="27" t="str">
        <f t="shared" si="4"/>
        <v>Chai</v>
      </c>
      <c r="J6" s="27" t="str">
        <f t="shared" si="5"/>
        <v>Xuất</v>
      </c>
    </row>
    <row r="7" spans="1:18" ht="20.100000000000001" customHeight="1" x14ac:dyDescent="0.2">
      <c r="A7" s="5">
        <v>1</v>
      </c>
      <c r="B7" s="4" t="s">
        <v>73</v>
      </c>
      <c r="C7" s="2" t="str">
        <f t="shared" si="0"/>
        <v>PEPSI</v>
      </c>
      <c r="D7" s="5">
        <v>20</v>
      </c>
      <c r="E7" s="2">
        <v>1400</v>
      </c>
      <c r="F7" s="27" t="str">
        <f t="shared" si="1"/>
        <v/>
      </c>
      <c r="G7" s="32">
        <f t="shared" si="2"/>
        <v>28000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  <c r="N7" s="23"/>
    </row>
    <row r="8" spans="1:18" ht="20.100000000000001" customHeight="1" x14ac:dyDescent="0.2">
      <c r="A8" s="5">
        <v>4</v>
      </c>
      <c r="B8" s="2" t="s">
        <v>47</v>
      </c>
      <c r="C8" s="2" t="str">
        <f t="shared" si="0"/>
        <v>PEPSI</v>
      </c>
      <c r="D8" s="5">
        <v>80</v>
      </c>
      <c r="E8" s="2">
        <v>1400</v>
      </c>
      <c r="F8" s="27" t="str">
        <f t="shared" si="1"/>
        <v/>
      </c>
      <c r="G8" s="32">
        <f t="shared" si="2"/>
        <v>112000</v>
      </c>
      <c r="H8" s="27" t="str">
        <f t="shared" si="3"/>
        <v/>
      </c>
      <c r="I8" s="27" t="str">
        <f t="shared" si="4"/>
        <v>Chai</v>
      </c>
      <c r="J8" s="27" t="str">
        <f t="shared" si="5"/>
        <v>Nhập</v>
      </c>
    </row>
    <row r="9" spans="1:18" ht="20.100000000000001" customHeight="1" x14ac:dyDescent="0.2">
      <c r="A9" s="5">
        <v>6</v>
      </c>
      <c r="B9" s="2" t="s">
        <v>49</v>
      </c>
      <c r="C9" s="2" t="str">
        <f t="shared" si="0"/>
        <v>SPRITE</v>
      </c>
      <c r="D9" s="5">
        <v>35</v>
      </c>
      <c r="E9" s="2">
        <v>2300</v>
      </c>
      <c r="F9" s="27" t="str">
        <f t="shared" si="1"/>
        <v/>
      </c>
      <c r="G9" s="32">
        <f t="shared" si="2"/>
        <v>80500</v>
      </c>
      <c r="H9" s="27" t="str">
        <f t="shared" si="3"/>
        <v/>
      </c>
      <c r="I9" s="27" t="str">
        <f t="shared" si="4"/>
        <v>Lon</v>
      </c>
      <c r="J9" s="27" t="str">
        <f t="shared" si="5"/>
        <v>Xuất</v>
      </c>
    </row>
    <row r="10" spans="1:18" ht="20.100000000000001" customHeight="1" x14ac:dyDescent="0.2">
      <c r="A10" s="5">
        <v>3</v>
      </c>
      <c r="B10" s="2" t="s">
        <v>46</v>
      </c>
      <c r="C10" s="2" t="str">
        <f t="shared" si="0"/>
        <v>SPRITE</v>
      </c>
      <c r="D10" s="5">
        <v>35</v>
      </c>
      <c r="E10" s="2">
        <v>1800</v>
      </c>
      <c r="F10" s="27" t="str">
        <f t="shared" si="1"/>
        <v/>
      </c>
      <c r="G10" s="32">
        <f t="shared" si="2"/>
        <v>63000</v>
      </c>
      <c r="H10" s="27" t="str">
        <f t="shared" si="3"/>
        <v/>
      </c>
      <c r="I10" s="27" t="str">
        <f t="shared" si="4"/>
        <v>Lon</v>
      </c>
      <c r="J10" s="27" t="str">
        <f t="shared" si="5"/>
        <v>Nhập</v>
      </c>
    </row>
    <row r="12" spans="1:18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8" ht="20.100000000000001" customHeight="1" x14ac:dyDescent="0.2">
      <c r="A13" s="79" t="s">
        <v>52</v>
      </c>
      <c r="B13" s="79" t="s">
        <v>39</v>
      </c>
      <c r="C13" s="79" t="s">
        <v>41</v>
      </c>
      <c r="D13" s="79"/>
      <c r="F13" s="41" t="s">
        <v>63</v>
      </c>
      <c r="G13" s="41" t="s">
        <v>64</v>
      </c>
      <c r="I13" s="41" t="s">
        <v>69</v>
      </c>
      <c r="J13" s="41" t="s">
        <v>61</v>
      </c>
      <c r="K13" s="41" t="s">
        <v>62</v>
      </c>
    </row>
    <row r="14" spans="1:18" ht="20.100000000000001" customHeight="1" x14ac:dyDescent="0.2">
      <c r="A14" s="79"/>
      <c r="B14" s="79"/>
      <c r="C14" s="40" t="s">
        <v>61</v>
      </c>
      <c r="D14" s="40" t="s">
        <v>62</v>
      </c>
      <c r="F14" s="5" t="s">
        <v>65</v>
      </c>
      <c r="G14" s="2" t="s">
        <v>66</v>
      </c>
      <c r="I14" s="2" t="s">
        <v>57</v>
      </c>
      <c r="J14" s="27">
        <f>SUMIF(B3:B10,"PE???N",D3:D10)</f>
        <v>100</v>
      </c>
      <c r="K14" s="27">
        <f>SUMIFS(D3:D11,J3:J11,"Xuất", C3:C11,  "PEPSI")</f>
        <v>50</v>
      </c>
    </row>
    <row r="15" spans="1:18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7">
        <f>SUMIF(B3:B10,"CO???N",D3:D10)</f>
        <v>40</v>
      </c>
      <c r="K15" s="27">
        <f>SUMIFS(D3:D10,J3:J10,"Xuất",C3:C10,  "COCA COLA")</f>
        <v>0</v>
      </c>
    </row>
    <row r="16" spans="1:18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3" t="s">
        <v>130</v>
      </c>
    </row>
    <row r="21" spans="1:4" ht="20.100000000000001" customHeight="1" x14ac:dyDescent="0.2">
      <c r="A21" s="23"/>
      <c r="B21" s="1" t="s">
        <v>174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81</v>
      </c>
      <c r="C23" s="1" t="s">
        <v>148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6" t="s">
        <v>136</v>
      </c>
    </row>
    <row r="29" spans="1:4" ht="20.100000000000001" customHeight="1" x14ac:dyDescent="0.2">
      <c r="A29" s="1" t="s">
        <v>131</v>
      </c>
    </row>
  </sheetData>
  <sortState xmlns:xlrd2="http://schemas.microsoft.com/office/spreadsheetml/2017/richdata2" ref="A3:J10">
    <sortCondition ref="C3:C10"/>
    <sortCondition descending="1" ref="E3:E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O12" sqref="O12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4" t="s">
        <v>118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">
      <c r="A2" s="82" t="s">
        <v>1</v>
      </c>
      <c r="B2" s="85" t="s">
        <v>98</v>
      </c>
      <c r="C2" s="86"/>
      <c r="D2" s="43" t="s">
        <v>99</v>
      </c>
      <c r="E2" s="81" t="s">
        <v>113</v>
      </c>
      <c r="F2" s="81"/>
      <c r="G2" s="81"/>
      <c r="H2" s="81"/>
      <c r="I2" s="43" t="s">
        <v>108</v>
      </c>
      <c r="J2" s="43" t="s">
        <v>109</v>
      </c>
      <c r="K2" s="43" t="s">
        <v>112</v>
      </c>
    </row>
    <row r="3" spans="1:11" x14ac:dyDescent="0.2">
      <c r="A3" s="83"/>
      <c r="B3" s="44" t="s">
        <v>101</v>
      </c>
      <c r="C3" s="44" t="s">
        <v>102</v>
      </c>
      <c r="D3" s="45" t="s">
        <v>100</v>
      </c>
      <c r="E3" s="44" t="s">
        <v>103</v>
      </c>
      <c r="F3" s="44" t="s">
        <v>104</v>
      </c>
      <c r="G3" s="44" t="s">
        <v>105</v>
      </c>
      <c r="H3" s="44" t="s">
        <v>106</v>
      </c>
      <c r="I3" s="45" t="s">
        <v>107</v>
      </c>
      <c r="J3" s="45" t="s">
        <v>110</v>
      </c>
      <c r="K3" s="45" t="s">
        <v>111</v>
      </c>
    </row>
    <row r="4" spans="1:11" x14ac:dyDescent="0.2">
      <c r="A4" s="5">
        <v>6</v>
      </c>
      <c r="B4" s="2">
        <v>35</v>
      </c>
      <c r="C4" s="2">
        <v>233</v>
      </c>
      <c r="D4" s="31">
        <f>C4-B4</f>
        <v>198</v>
      </c>
      <c r="E4" s="31">
        <f>IF(D4&gt;=100,100,D4)</f>
        <v>100</v>
      </c>
      <c r="F4" s="31">
        <f>IF(D4&lt;=100,0,  IF(D4&gt;=150,50,D4-100))</f>
        <v>50</v>
      </c>
      <c r="G4" s="31">
        <f>IF(D4&lt;=150,0,   IF(D4&gt;250,100,D4-150))</f>
        <v>48</v>
      </c>
      <c r="H4" s="31">
        <f>D4-SUM(E4:G4)</f>
        <v>0</v>
      </c>
      <c r="I4" s="31">
        <f>IF(D4&gt;=350,200000,  IF(D4&gt;=251,100000,0))</f>
        <v>0</v>
      </c>
      <c r="J4" s="27">
        <f>(500*E4+650*F4+900*G4+1000*H4)+I4</f>
        <v>125700</v>
      </c>
      <c r="K4" s="27" t="str">
        <f>IF(I4&gt;0,"Phạt tiền", "")</f>
        <v/>
      </c>
    </row>
    <row r="5" spans="1:11" x14ac:dyDescent="0.2">
      <c r="A5" s="5">
        <v>1</v>
      </c>
      <c r="B5" s="2">
        <v>50</v>
      </c>
      <c r="C5" s="2">
        <v>230</v>
      </c>
      <c r="D5" s="31">
        <f>C5-B5</f>
        <v>180</v>
      </c>
      <c r="E5" s="31">
        <f>IF(D5&gt;=100,100,D5)</f>
        <v>100</v>
      </c>
      <c r="F5" s="31">
        <f>IF(D5&lt;=100,0,  IF(D5&gt;=150,50,D5-100))</f>
        <v>50</v>
      </c>
      <c r="G5" s="31">
        <f>IF(D5&lt;=150,0,   IF(D5&gt;250,100,D5-150))</f>
        <v>30</v>
      </c>
      <c r="H5" s="31">
        <f>D5-SUM(E5:G5)</f>
        <v>0</v>
      </c>
      <c r="I5" s="31">
        <f>IF(D5&gt;=350,200000,  IF(D5&gt;=251,100000,0))</f>
        <v>0</v>
      </c>
      <c r="J5" s="27">
        <f>(500*E5+650*F5+900*G5+1000*H5)+I5</f>
        <v>109500</v>
      </c>
      <c r="K5" s="27" t="str">
        <f>IF(I5&gt;0,"Phạt tiền", "")</f>
        <v/>
      </c>
    </row>
    <row r="6" spans="1:11" x14ac:dyDescent="0.2">
      <c r="A6" s="5">
        <v>4</v>
      </c>
      <c r="B6" s="2">
        <v>60</v>
      </c>
      <c r="C6" s="2">
        <v>145</v>
      </c>
      <c r="D6" s="31">
        <f>C6-B6</f>
        <v>85</v>
      </c>
      <c r="E6" s="31">
        <f>IF(D6&gt;=100,100,D6)</f>
        <v>85</v>
      </c>
      <c r="F6" s="31">
        <f>IF(D6&lt;=100,0,  IF(D6&gt;=150,50,D6-100))</f>
        <v>0</v>
      </c>
      <c r="G6" s="31">
        <f>IF(D6&lt;=150,0,   IF(D6&gt;250,100,D6-150))</f>
        <v>0</v>
      </c>
      <c r="H6" s="31">
        <f>D6-SUM(E6:G6)</f>
        <v>0</v>
      </c>
      <c r="I6" s="31">
        <f>IF(D6&gt;=350,200000,  IF(D6&gt;=251,100000,0))</f>
        <v>0</v>
      </c>
      <c r="J6" s="27">
        <f>(500*E6+650*F6+900*G6+1000*H6)+I6</f>
        <v>42500</v>
      </c>
      <c r="K6" s="27" t="str">
        <f>IF(I6&gt;0,"Phạt tiền", "")</f>
        <v/>
      </c>
    </row>
    <row r="7" spans="1:11" x14ac:dyDescent="0.2">
      <c r="A7" s="5">
        <v>2</v>
      </c>
      <c r="B7" s="2">
        <v>76</v>
      </c>
      <c r="C7" s="2">
        <v>155</v>
      </c>
      <c r="D7" s="31">
        <f>C7-B7</f>
        <v>79</v>
      </c>
      <c r="E7" s="31">
        <f>IF(D7&gt;=100,100,D7)</f>
        <v>79</v>
      </c>
      <c r="F7" s="31">
        <f>IF(D7&lt;=100,0,  IF(D7&gt;=150,50,D7-100))</f>
        <v>0</v>
      </c>
      <c r="G7" s="31">
        <f>IF(D7&lt;=150,0,   IF(D7&gt;250,100,D7-150))</f>
        <v>0</v>
      </c>
      <c r="H7" s="31">
        <f>D7-SUM(E7:G7)</f>
        <v>0</v>
      </c>
      <c r="I7" s="31">
        <f>IF(D7&gt;=350,200000,  IF(D7&gt;=251,100000,0))</f>
        <v>0</v>
      </c>
      <c r="J7" s="27">
        <f>(500*E7+650*F7+900*G7+1000*H7)+I7</f>
        <v>39500</v>
      </c>
      <c r="K7" s="27" t="str">
        <f>IF(I7&gt;0,"Phạt tiền", "")</f>
        <v/>
      </c>
    </row>
    <row r="8" spans="1:11" x14ac:dyDescent="0.2">
      <c r="A8" s="5">
        <v>3</v>
      </c>
      <c r="B8" s="2">
        <v>85</v>
      </c>
      <c r="C8" s="2">
        <v>202</v>
      </c>
      <c r="D8" s="31">
        <f>C8-B8</f>
        <v>117</v>
      </c>
      <c r="E8" s="31">
        <f>IF(D8&gt;=100,100,D8)</f>
        <v>100</v>
      </c>
      <c r="F8" s="31">
        <f>IF(D8&lt;=100,0,  IF(D8&gt;=150,50,D8-100))</f>
        <v>17</v>
      </c>
      <c r="G8" s="31">
        <f>IF(D8&lt;=150,0,   IF(D8&gt;250,100,D8-150))</f>
        <v>0</v>
      </c>
      <c r="H8" s="31">
        <f>D8-SUM(E8:G8)</f>
        <v>0</v>
      </c>
      <c r="I8" s="31">
        <f>IF(D8&gt;=350,200000,  IF(D8&gt;=251,100000,0))</f>
        <v>0</v>
      </c>
      <c r="J8" s="27">
        <f>(500*E8+650*F8+900*G8+1000*H8)+I8</f>
        <v>61050</v>
      </c>
      <c r="K8" s="27" t="str">
        <f>IF(I8&gt;0,"Phạt tiền", "")</f>
        <v/>
      </c>
    </row>
    <row r="9" spans="1:11" x14ac:dyDescent="0.2">
      <c r="A9" s="5">
        <v>5</v>
      </c>
      <c r="B9" s="2">
        <v>105</v>
      </c>
      <c r="C9" s="2">
        <v>500</v>
      </c>
      <c r="D9" s="31">
        <f>C9-B9</f>
        <v>395</v>
      </c>
      <c r="E9" s="31">
        <f>IF(D9&gt;=100,100,D9)</f>
        <v>100</v>
      </c>
      <c r="F9" s="31">
        <f>IF(D9&lt;=100,0,  IF(D9&gt;=150,50,D9-100))</f>
        <v>50</v>
      </c>
      <c r="G9" s="31">
        <f>IF(D9&lt;=150,0,   IF(D9&gt;250,100,D9-150))</f>
        <v>100</v>
      </c>
      <c r="H9" s="31">
        <f>D9-SUM(E9:G9)</f>
        <v>145</v>
      </c>
      <c r="I9" s="31">
        <f>IF(D9&gt;=350,200000,  IF(D9&gt;=251,100000,0))</f>
        <v>200000</v>
      </c>
      <c r="J9" s="27">
        <f>(500*E9+650*F9+900*G9+1000*H9)+I9</f>
        <v>517500</v>
      </c>
      <c r="K9" s="27" t="str">
        <f>IF(I9&gt;0,"Phạt tiền", 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1">
        <f>C10-B10</f>
        <v>92</v>
      </c>
      <c r="E10" s="31">
        <f>IF(D10&gt;=100,100,D10)</f>
        <v>92</v>
      </c>
      <c r="F10" s="31">
        <f>IF(D10&lt;=100,0,  IF(D10&gt;=150,50,D10-100))</f>
        <v>0</v>
      </c>
      <c r="G10" s="31">
        <f>IF(D10&lt;=150,0,   IF(D10&gt;250,100,D10-150))</f>
        <v>0</v>
      </c>
      <c r="H10" s="31">
        <f>D10-SUM(E10:G10)</f>
        <v>0</v>
      </c>
      <c r="I10" s="31">
        <f>IF(D10&gt;=350,200000,  IF(D10&gt;=251,100000,0))</f>
        <v>0</v>
      </c>
      <c r="J10" s="27">
        <f>(500*E10+650*F10+900*G10+1000*H10)+I10</f>
        <v>46000</v>
      </c>
      <c r="K10" s="27" t="str">
        <f>IF(I10&gt;0,"Phạt tiền", "")</f>
        <v/>
      </c>
    </row>
    <row r="11" spans="1:11" x14ac:dyDescent="0.2">
      <c r="A11" s="5">
        <v>8</v>
      </c>
      <c r="B11" s="2">
        <v>120</v>
      </c>
      <c r="C11" s="2">
        <v>500</v>
      </c>
      <c r="D11" s="31">
        <f>C11-B11</f>
        <v>380</v>
      </c>
      <c r="E11" s="31">
        <f>IF(D11&gt;=100,100,D11)</f>
        <v>100</v>
      </c>
      <c r="F11" s="31">
        <f>IF(D11&lt;=100,0,  IF(D11&gt;=150,50,D11-100))</f>
        <v>50</v>
      </c>
      <c r="G11" s="31">
        <f>IF(D11&lt;=150,0,   IF(D11&gt;250,100,D11-150))</f>
        <v>100</v>
      </c>
      <c r="H11" s="31">
        <f>D11-SUM(E11:G11)</f>
        <v>130</v>
      </c>
      <c r="I11" s="31">
        <f>IF(D11&gt;=350,200000,  IF(D11&gt;=251,100000,0))</f>
        <v>200000</v>
      </c>
      <c r="J11" s="27">
        <f>(500*E11+650*F11+900*G11+1000*H11)+I11</f>
        <v>502500</v>
      </c>
      <c r="K11" s="27" t="str">
        <f>IF(I11&gt;0,"Phạt tiền", 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1">
        <f>C12-B12</f>
        <v>275</v>
      </c>
      <c r="E12" s="31">
        <f>IF(D12&gt;=100,100,D12)</f>
        <v>100</v>
      </c>
      <c r="F12" s="31">
        <f>IF(D12&lt;=100,0,  IF(D12&gt;=150,50,D12-100))</f>
        <v>50</v>
      </c>
      <c r="G12" s="31">
        <f>IF(D12&lt;=150,0,   IF(D12&gt;250,100,D12-150))</f>
        <v>100</v>
      </c>
      <c r="H12" s="31">
        <f>D12-SUM(E12:G12)</f>
        <v>25</v>
      </c>
      <c r="I12" s="31">
        <f>IF(D12&gt;=350,200000,  IF(D12&gt;=251,100000,0))</f>
        <v>100000</v>
      </c>
      <c r="J12" s="27">
        <f>(500*E12+650*F12+900*G12+1000*H12)+I12</f>
        <v>297500</v>
      </c>
      <c r="K12" s="27" t="str">
        <f>IF(I12&gt;0,"Phạt tiền", 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1">
        <f>C13-B13</f>
        <v>125</v>
      </c>
      <c r="E13" s="31">
        <f>IF(D13&gt;=100,100,D13)</f>
        <v>100</v>
      </c>
      <c r="F13" s="31">
        <f>IF(D13&lt;=100,0,  IF(D13&gt;=150,50,D13-100))</f>
        <v>25</v>
      </c>
      <c r="G13" s="31">
        <f>IF(D13&lt;=150,0,   IF(D13&gt;250,100,D13-150))</f>
        <v>0</v>
      </c>
      <c r="H13" s="31">
        <f>D13-SUM(E13:G13)</f>
        <v>0</v>
      </c>
      <c r="I13" s="31">
        <f>IF(D13&gt;=350,200000,  IF(D13&gt;=251,100000,0))</f>
        <v>0</v>
      </c>
      <c r="J13" s="27">
        <f>(500*E13+650*F13+900*G13+1000*H13)+I13</f>
        <v>66250</v>
      </c>
      <c r="K13" s="27" t="str">
        <f>IF(I13&gt;0,"Phạt tiền", "")</f>
        <v/>
      </c>
    </row>
    <row r="14" spans="1:11" x14ac:dyDescent="0.2">
      <c r="A14" s="13"/>
      <c r="B14" s="14"/>
      <c r="C14" s="14" t="s">
        <v>114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1" x14ac:dyDescent="0.2">
      <c r="A15" s="16"/>
      <c r="C15" s="1" t="s">
        <v>115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116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117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96</v>
      </c>
      <c r="H19" s="22" t="s">
        <v>129</v>
      </c>
    </row>
    <row r="20" spans="1:12" x14ac:dyDescent="0.2">
      <c r="A20" s="1" t="s">
        <v>123</v>
      </c>
      <c r="H20" s="43" t="s">
        <v>99</v>
      </c>
      <c r="I20" s="81" t="s">
        <v>113</v>
      </c>
      <c r="J20" s="81"/>
      <c r="K20" s="81"/>
      <c r="L20" s="81"/>
    </row>
    <row r="21" spans="1:12" x14ac:dyDescent="0.2">
      <c r="A21" s="1" t="s">
        <v>124</v>
      </c>
      <c r="H21" s="45" t="s">
        <v>100</v>
      </c>
      <c r="I21" s="44" t="s">
        <v>103</v>
      </c>
      <c r="J21" s="44" t="s">
        <v>104</v>
      </c>
      <c r="K21" s="44" t="s">
        <v>105</v>
      </c>
      <c r="L21" s="44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126</v>
      </c>
    </row>
    <row r="31" spans="1:12" x14ac:dyDescent="0.2">
      <c r="A31" s="1" t="s">
        <v>141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sortState xmlns:xlrd2="http://schemas.microsoft.com/office/spreadsheetml/2017/richdata2"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2023-12-24T09:06:03Z</dcterms:modified>
</cp:coreProperties>
</file>