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9E71BCF-6884-41E9-88D4-F15FBDC30B61}" xr6:coauthVersionLast="46" xr6:coauthVersionMax="47" xr10:uidLastSave="{00000000-0000-0000-0000-000000000000}"/>
  <bookViews>
    <workbookView xWindow="-120" yWindow="450" windowWidth="29040" windowHeight="1527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15" i="12" l="1"/>
  <c r="D15" i="12"/>
  <c r="I14" i="12"/>
  <c r="K14" i="12" s="1"/>
  <c r="D14" i="12"/>
  <c r="I5" i="12"/>
  <c r="K5" i="12" s="1"/>
  <c r="I6" i="12"/>
  <c r="J6" i="12" s="1"/>
  <c r="I7" i="12"/>
  <c r="I8" i="12"/>
  <c r="I9" i="12"/>
  <c r="K9" i="12" s="1"/>
  <c r="I10" i="12"/>
  <c r="K10" i="12" s="1"/>
  <c r="I11" i="12"/>
  <c r="I12" i="12"/>
  <c r="J12" i="12" s="1"/>
  <c r="I13" i="12"/>
  <c r="K13" i="12" s="1"/>
  <c r="I4" i="12"/>
  <c r="K4" i="12" s="1"/>
  <c r="K7" i="12"/>
  <c r="K8" i="12"/>
  <c r="K11" i="12"/>
  <c r="K12" i="12"/>
  <c r="J7" i="12"/>
  <c r="J8" i="12"/>
  <c r="J9" i="12"/>
  <c r="J10" i="12"/>
  <c r="J11" i="12"/>
  <c r="H5" i="12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D4" i="12"/>
  <c r="D5" i="12"/>
  <c r="D6" i="12"/>
  <c r="D7" i="12"/>
  <c r="D8" i="12"/>
  <c r="D9" i="12"/>
  <c r="D10" i="12"/>
  <c r="D11" i="12"/>
  <c r="D12" i="12"/>
  <c r="D13" i="12"/>
  <c r="K15" i="2"/>
  <c r="K14" i="2"/>
  <c r="J15" i="2"/>
  <c r="J14" i="2"/>
  <c r="J4" i="2"/>
  <c r="J5" i="2"/>
  <c r="J6" i="2"/>
  <c r="J7" i="2"/>
  <c r="J8" i="2"/>
  <c r="J9" i="2"/>
  <c r="J10" i="2"/>
  <c r="J3" i="2"/>
  <c r="H4" i="2"/>
  <c r="H5" i="2"/>
  <c r="H6" i="2"/>
  <c r="H7" i="2"/>
  <c r="H8" i="2"/>
  <c r="H9" i="2"/>
  <c r="H10" i="2"/>
  <c r="H3" i="2"/>
  <c r="I4" i="2"/>
  <c r="I5" i="2"/>
  <c r="I6" i="2"/>
  <c r="I7" i="2"/>
  <c r="I8" i="2"/>
  <c r="I9" i="2"/>
  <c r="I10" i="2"/>
  <c r="I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C4" i="2"/>
  <c r="C5" i="2"/>
  <c r="C6" i="2"/>
  <c r="C7" i="2"/>
  <c r="C8" i="2"/>
  <c r="C9" i="2"/>
  <c r="C10" i="2"/>
  <c r="C3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I16" i="1"/>
  <c r="J16" i="1"/>
  <c r="J15" i="1"/>
  <c r="I15" i="1"/>
  <c r="J14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E6" i="13"/>
  <c r="E7" i="13"/>
  <c r="E8" i="13"/>
  <c r="E9" i="13"/>
  <c r="E10" i="13"/>
  <c r="E11" i="13"/>
  <c r="E12" i="13"/>
  <c r="E13" i="13"/>
  <c r="E5" i="13"/>
  <c r="I21" i="13"/>
  <c r="H21" i="13"/>
  <c r="G21" i="13"/>
  <c r="F21" i="13"/>
  <c r="H6" i="13"/>
  <c r="H7" i="13"/>
  <c r="H8" i="13"/>
  <c r="H9" i="13"/>
  <c r="H10" i="13"/>
  <c r="H11" i="13"/>
  <c r="H12" i="13"/>
  <c r="H13" i="13"/>
  <c r="H5" i="13"/>
  <c r="I6" i="13"/>
  <c r="I7" i="13"/>
  <c r="I8" i="13"/>
  <c r="I9" i="13"/>
  <c r="I10" i="13"/>
  <c r="I11" i="13"/>
  <c r="I12" i="13"/>
  <c r="I13" i="13"/>
  <c r="I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  <c r="J13" i="12" l="1"/>
  <c r="J5" i="12"/>
  <c r="K6" i="12"/>
  <c r="J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<sst xmlns="http://schemas.openxmlformats.org/spreadsheetml/2006/main" count="233" uniqueCount="191">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</sst>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#.00"/>
    <numFmt numFmtId="166" formatCode="&quot;Khu vực &quot;0"/>
    <numFmt numFmtId="167" formatCode="&quot;Ngành A &quot;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91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4" fontId="25" fillId="0" borderId="1" xfId="0" applyNumberFormat="1" applyFont="1" applyBorder="1"/>
    <xf numFmtId="166" fontId="33" fillId="0" borderId="1" xfId="0" applyNumberFormat="1" applyFont="1" applyBorder="1"/>
    <xf numFmtId="167" fontId="25" fillId="0" borderId="1" xfId="0" applyNumberFormat="1" applyFont="1" applyBorder="1"/>
    <xf numFmtId="0" fontId="1" fillId="0" borderId="1" xfId="0" applyFont="1" applyBorder="1"/>
    <xf numFmtId="2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4" zoomScale="120" zoomScaleNormal="120" workbookViewId="0">
      <selection activeCell="H5" sqref="H5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5" t="s">
        <v>82</v>
      </c>
      <c r="B1" s="75"/>
      <c r="C1" s="75"/>
      <c r="D1" s="75"/>
      <c r="E1" s="75"/>
      <c r="F1" s="75"/>
      <c r="G1" s="75"/>
      <c r="H1" s="75"/>
      <c r="I1" s="75"/>
    </row>
    <row r="2" spans="1:10" s="7" customFormat="1" ht="20.100000000000001" customHeight="1" x14ac:dyDescent="0.25">
      <c r="A2" s="10"/>
      <c r="B2" s="10"/>
      <c r="C2" s="12" t="s">
        <v>97</v>
      </c>
      <c r="D2" s="11">
        <v>44344</v>
      </c>
      <c r="E2" s="10"/>
      <c r="F2" s="10"/>
      <c r="G2" s="10"/>
    </row>
    <row r="3" spans="1:10" ht="20.100000000000001" customHeight="1" x14ac:dyDescent="0.2">
      <c r="A3" s="78" t="s">
        <v>83</v>
      </c>
      <c r="B3" s="78" t="s">
        <v>84</v>
      </c>
      <c r="C3" s="71" t="s">
        <v>90</v>
      </c>
      <c r="D3" s="71" t="s">
        <v>91</v>
      </c>
      <c r="E3" s="71" t="s">
        <v>85</v>
      </c>
      <c r="F3" s="73" t="s">
        <v>86</v>
      </c>
      <c r="G3" s="74"/>
      <c r="H3" s="76" t="s">
        <v>87</v>
      </c>
      <c r="I3" s="36" t="s">
        <v>44</v>
      </c>
    </row>
    <row r="4" spans="1:10" ht="20.100000000000001" customHeight="1" x14ac:dyDescent="0.2">
      <c r="A4" s="78"/>
      <c r="B4" s="78"/>
      <c r="C4" s="72"/>
      <c r="D4" s="72"/>
      <c r="E4" s="72"/>
      <c r="F4" s="35" t="s">
        <v>88</v>
      </c>
      <c r="G4" s="35" t="s">
        <v>89</v>
      </c>
      <c r="H4" s="77"/>
      <c r="I4" s="37"/>
    </row>
    <row r="5" spans="1:10" ht="20.100000000000001" customHeight="1" x14ac:dyDescent="0.2">
      <c r="A5" s="2" t="s">
        <v>157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C5&amp;"  "&amp;D5</f>
        <v>Tin học A.1  Sáng</v>
      </c>
      <c r="F5" s="64" t="str">
        <f>IF(B5&lt;10,"","x")</f>
        <v>x</v>
      </c>
      <c r="G5" s="64" t="str">
        <f>IF(B5&gt;=20,"x","")</f>
        <v>x</v>
      </c>
      <c r="H5" s="66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162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  "&amp;D6</f>
        <v>Tin học A.1  Tối</v>
      </c>
      <c r="F6" s="64" t="str">
        <f t="shared" ref="F6:F13" si="3">IF(B6&lt;10,"","x")</f>
        <v>x</v>
      </c>
      <c r="G6" s="64" t="str">
        <f t="shared" ref="G6:G13" si="4">IF(B6&gt;=20,"x","")</f>
        <v/>
      </c>
      <c r="H6" s="66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163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  Chiều</v>
      </c>
      <c r="F7" s="64" t="str">
        <f t="shared" si="3"/>
        <v>x</v>
      </c>
      <c r="G7" s="64" t="str">
        <f t="shared" si="4"/>
        <v/>
      </c>
      <c r="H7" s="6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164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  Sáng</v>
      </c>
      <c r="F8" s="64" t="str">
        <f t="shared" si="3"/>
        <v>x</v>
      </c>
      <c r="G8" s="64" t="str">
        <f t="shared" si="4"/>
        <v/>
      </c>
      <c r="H8" s="66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165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  Chiều</v>
      </c>
      <c r="F9" s="64" t="str">
        <f t="shared" si="3"/>
        <v>x</v>
      </c>
      <c r="G9" s="64" t="str">
        <f t="shared" si="4"/>
        <v>x</v>
      </c>
      <c r="H9" s="66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166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  Sáng</v>
      </c>
      <c r="F10" s="64" t="str">
        <f t="shared" si="3"/>
        <v/>
      </c>
      <c r="G10" s="64" t="str">
        <f t="shared" si="4"/>
        <v/>
      </c>
      <c r="H10" s="66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167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  Tối</v>
      </c>
      <c r="F11" s="64" t="str">
        <f t="shared" si="3"/>
        <v>x</v>
      </c>
      <c r="G11" s="64" t="str">
        <f t="shared" si="4"/>
        <v/>
      </c>
      <c r="H11" s="66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168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  Tối</v>
      </c>
      <c r="F12" s="64" t="str">
        <f t="shared" si="3"/>
        <v>x</v>
      </c>
      <c r="G12" s="64" t="str">
        <f t="shared" si="4"/>
        <v>x</v>
      </c>
      <c r="H12" s="66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169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  Sáng</v>
      </c>
      <c r="F13" s="64" t="str">
        <f t="shared" si="3"/>
        <v/>
      </c>
      <c r="G13" s="64" t="str">
        <f t="shared" si="4"/>
        <v/>
      </c>
      <c r="H13" s="66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170</v>
      </c>
      <c r="B16" s="35" t="s">
        <v>90</v>
      </c>
      <c r="D16" s="38" t="s">
        <v>171</v>
      </c>
      <c r="E16" s="33" t="s">
        <v>92</v>
      </c>
      <c r="F16" s="33" t="s">
        <v>30</v>
      </c>
      <c r="G16" s="33" t="s">
        <v>71</v>
      </c>
    </row>
    <row r="17" spans="1:9" ht="20.100000000000001" customHeight="1" x14ac:dyDescent="0.2">
      <c r="A17" s="5" t="s">
        <v>158</v>
      </c>
      <c r="B17" s="2" t="s">
        <v>160</v>
      </c>
      <c r="D17" s="39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159</v>
      </c>
      <c r="B18" s="2" t="s">
        <v>161</v>
      </c>
    </row>
    <row r="19" spans="1:9" ht="20.100000000000001" customHeight="1" x14ac:dyDescent="0.25">
      <c r="A19"/>
      <c r="B19"/>
      <c r="F19" s="26" t="s">
        <v>137</v>
      </c>
    </row>
    <row r="20" spans="1:9" ht="20.100000000000001" customHeight="1" x14ac:dyDescent="0.2">
      <c r="A20" s="9" t="s">
        <v>96</v>
      </c>
      <c r="F20" s="39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149</v>
      </c>
      <c r="F21" s="8">
        <f>COUNTA(A5:A13)</f>
        <v>9</v>
      </c>
      <c r="G21" s="27">
        <f>COUNTIF(A5:A13,"??S?")</f>
        <v>4</v>
      </c>
      <c r="H21" s="27">
        <f>COUNTIF(A5:A13,"??C?")</f>
        <v>2</v>
      </c>
      <c r="I21" s="27">
        <f>COUNTIF(A5:A13,"??T?")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172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9" t="s">
        <v>134</v>
      </c>
    </row>
    <row r="27" spans="1:9" ht="20.100000000000001" customHeight="1" x14ac:dyDescent="0.2">
      <c r="A27" s="1" t="s">
        <v>133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6" sqref="I16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2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69" t="s">
        <v>32</v>
      </c>
      <c r="C3" s="34" t="str">
        <f>IF(LEFT(B3,2)="BD","Bộ đội",IF(LEFT(B3,2)="HS","Học sinh","Con liệt sĩ"))</f>
        <v>Bộ đội</v>
      </c>
      <c r="D3" s="67">
        <f>RIGHT(B3,1)*1</f>
        <v>1</v>
      </c>
      <c r="E3" s="68" t="str">
        <f>"Ngành "&amp;MID(B3,3,1)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IF(RIGHT(B3,1)="1",0,IF(RIGHT(B3,1)="2",1,2))+IF(LEFT(B3,2)="BD",0.5,IF(LEFT(B3,2)="HS",0,1))</f>
        <v>0.5</v>
      </c>
      <c r="K3" s="27">
        <f>SUM(F3:H3,J3)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đội",IF(LEFT(B4,2)="HS","Học sinh","Con liệt sĩ"))</f>
        <v>Học sinh</v>
      </c>
      <c r="D4" s="67">
        <f t="shared" ref="D4:D10" si="1">RIGHT(B4,1)*1</f>
        <v>3</v>
      </c>
      <c r="E4" s="68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IF(RIGHT(B4,1)="1",0,IF(RIGHT(B4,1)="2",1,2))+IF(LEFT(B4,2)="BD",0.5,IF(LEFT(B4,2)="HS",0,1))</f>
        <v>2</v>
      </c>
      <c r="K4" s="27">
        <f t="shared" ref="K4:K10" si="5">SUM(F4:H4,J4)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67">
        <f t="shared" si="1"/>
        <v>3</v>
      </c>
      <c r="E5" s="68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67">
        <f t="shared" si="1"/>
        <v>2</v>
      </c>
      <c r="E6" s="68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67">
        <f t="shared" si="1"/>
        <v>1</v>
      </c>
      <c r="E7" s="68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67">
        <f t="shared" si="1"/>
        <v>3</v>
      </c>
      <c r="E8" s="68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67">
        <f t="shared" si="1"/>
        <v>2</v>
      </c>
      <c r="E9" s="68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67">
        <f t="shared" si="1"/>
        <v>2</v>
      </c>
      <c r="E10" s="68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34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35</v>
      </c>
      <c r="J13" s="46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SUMIF(B3:B10,"???1",F3:F10)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80" t="s">
        <v>189</v>
      </c>
      <c r="B1" s="80"/>
      <c r="C1" s="80"/>
      <c r="D1" s="80"/>
      <c r="E1" s="80"/>
      <c r="F1" s="80"/>
      <c r="G1" s="80"/>
      <c r="H1" s="80"/>
      <c r="I1" s="80"/>
    </row>
    <row r="2" spans="1:9" ht="60" customHeight="1" x14ac:dyDescent="0.2">
      <c r="A2" s="48" t="s">
        <v>180</v>
      </c>
      <c r="B2" s="48" t="s">
        <v>181</v>
      </c>
      <c r="C2" s="49" t="s">
        <v>184</v>
      </c>
      <c r="D2" s="49" t="s">
        <v>185</v>
      </c>
      <c r="E2" s="49" t="s">
        <v>186</v>
      </c>
      <c r="F2" s="49" t="s">
        <v>187</v>
      </c>
      <c r="G2" s="49" t="s">
        <v>188</v>
      </c>
      <c r="H2" s="49" t="s">
        <v>182</v>
      </c>
      <c r="I2" s="48" t="s">
        <v>183</v>
      </c>
    </row>
    <row r="3" spans="1:9" x14ac:dyDescent="0.2">
      <c r="A3" s="51">
        <v>1</v>
      </c>
      <c r="B3" s="52" t="s">
        <v>74</v>
      </c>
      <c r="C3" s="51" t="s">
        <v>29</v>
      </c>
      <c r="D3" s="51">
        <v>9</v>
      </c>
      <c r="E3" s="51">
        <v>10</v>
      </c>
      <c r="F3" s="53">
        <f>(D3+E3*2)/3</f>
        <v>9.6666666666666661</v>
      </c>
      <c r="G3" s="54" t="str">
        <f>IF(F3&lt;5,"Thi lại","Lên lớp")</f>
        <v>Lên lớp</v>
      </c>
      <c r="H3" s="54">
        <f>IF(AND(F3&gt;=9,C3="A"),150000,"")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75</v>
      </c>
      <c r="C4" s="51" t="s">
        <v>31</v>
      </c>
      <c r="D4" s="51">
        <v>8</v>
      </c>
      <c r="E4" s="51">
        <v>10</v>
      </c>
      <c r="F4" s="53">
        <f t="shared" ref="F4:F7" si="0">(D4+E4*2)/3</f>
        <v>9.3333333333333339</v>
      </c>
      <c r="G4" s="54" t="str">
        <f t="shared" ref="G4:G7" si="1">IF(F4&lt;5,"Thi lại","Lên lớp")</f>
        <v>Lên lớp</v>
      </c>
      <c r="H4" s="54" t="str">
        <f t="shared" ref="H4:H7" si="2">IF(AND(F4&gt;=9,C4="A"),150000,"")</f>
        <v/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190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 t="str">
        <f t="shared" si="2"/>
        <v/>
      </c>
      <c r="I5" s="54">
        <f t="shared" si="3"/>
        <v>4</v>
      </c>
    </row>
    <row r="6" spans="1:9" x14ac:dyDescent="0.2">
      <c r="A6" s="51">
        <v>4</v>
      </c>
      <c r="B6" s="52" t="s">
        <v>76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/>
      </c>
      <c r="I6" s="54">
        <f t="shared" si="3"/>
        <v>5</v>
      </c>
    </row>
    <row r="7" spans="1:9" x14ac:dyDescent="0.2">
      <c r="A7" s="51">
        <v>5</v>
      </c>
      <c r="B7" s="52" t="s">
        <v>77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 t="str">
        <f t="shared" si="2"/>
        <v/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176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177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178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179</v>
      </c>
      <c r="B13" s="58"/>
    </row>
    <row r="14" spans="1:9" ht="47.25" customHeight="1" x14ac:dyDescent="0.2">
      <c r="A14" s="59" t="s">
        <v>145</v>
      </c>
      <c r="B14" s="60" t="s">
        <v>152</v>
      </c>
      <c r="C14" s="61" t="s">
        <v>146</v>
      </c>
      <c r="D14" s="81" t="s">
        <v>153</v>
      </c>
      <c r="E14" s="81"/>
    </row>
    <row r="15" spans="1:9" x14ac:dyDescent="0.2">
      <c r="A15" s="62">
        <f>COUNTA(B3:B7)</f>
        <v>5</v>
      </c>
      <c r="B15" s="70">
        <f>MAX(F3:F7)</f>
        <v>9.6666666666666661</v>
      </c>
      <c r="C15" s="63">
        <f>SUM(H3:H7)</f>
        <v>150000</v>
      </c>
      <c r="D15" s="82">
        <f>COUNTIF(D3:D7,"&gt;=9")</f>
        <v>2</v>
      </c>
      <c r="E15" s="82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J14" sqref="J14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4" t="s">
        <v>37</v>
      </c>
      <c r="B1" s="84"/>
      <c r="C1" s="84"/>
      <c r="D1" s="84"/>
      <c r="E1" s="84"/>
      <c r="F1" s="84"/>
      <c r="G1" s="84"/>
      <c r="H1" s="84"/>
      <c r="I1" s="84"/>
      <c r="J1" s="84"/>
    </row>
    <row r="2" spans="1:11" ht="24" customHeight="1" x14ac:dyDescent="0.2">
      <c r="A2" s="40" t="s">
        <v>1</v>
      </c>
      <c r="B2" s="40" t="s">
        <v>38</v>
      </c>
      <c r="C2" s="40" t="s">
        <v>39</v>
      </c>
      <c r="D2" s="40" t="s">
        <v>40</v>
      </c>
      <c r="E2" s="40" t="s">
        <v>41</v>
      </c>
      <c r="F2" s="40" t="s">
        <v>42</v>
      </c>
      <c r="G2" s="40" t="s">
        <v>43</v>
      </c>
      <c r="H2" s="40" t="s">
        <v>175</v>
      </c>
      <c r="I2" s="42" t="s">
        <v>70</v>
      </c>
      <c r="J2" s="42" t="s">
        <v>72</v>
      </c>
    </row>
    <row r="3" spans="1:11" ht="20.100000000000001" customHeight="1" x14ac:dyDescent="0.2">
      <c r="A3" s="5">
        <v>1</v>
      </c>
      <c r="B3" s="4" t="s">
        <v>73</v>
      </c>
      <c r="C3" s="2" t="str">
        <f>IF(LEFT(B3,2)="PE","PEPSI",IF(LEFT(B3,2)="SP","SPRITE",IF(LEFT(B3,2)="CO","COCA COLA","FANTA")))</f>
        <v>PEPSI</v>
      </c>
      <c r="D3" s="5">
        <v>20</v>
      </c>
      <c r="E3" s="2">
        <v>1400</v>
      </c>
      <c r="F3" s="27" t="str">
        <f>IF(AND(LEFT(B3,2)="PE",MID(B3,5,1)="C",RIGHT(B3,1)="X",D3&gt;=50),5%*D3*E3,"")</f>
        <v/>
      </c>
      <c r="G3" s="32">
        <f>D3*E3-IF(F3="",0,F3)</f>
        <v>28000</v>
      </c>
      <c r="H3" s="27" t="str">
        <f>IF(AND(RIGHT(B3,1)="X",D3&gt;=50),"Có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45</v>
      </c>
      <c r="C4" s="2" t="str">
        <f t="shared" ref="C4:C10" si="0">IF(LEFT(B4,2)="PE","PEPSI",IF(LEFT(B4,2)="SP","SPRITE",IF(LEFT(B4,2)="CO","COCA COLA","FANTA")))</f>
        <v>COCA COLA</v>
      </c>
      <c r="D4" s="5">
        <v>40</v>
      </c>
      <c r="E4" s="2">
        <v>1600</v>
      </c>
      <c r="F4" s="27" t="str">
        <f t="shared" ref="F4:F10" si="1">IF(AND(LEFT(B4,2)="PE",MID(B4,5,1)="C",RIGHT(B4,1)="X",D4&gt;=50),5%*D4*E4,"")</f>
        <v/>
      </c>
      <c r="G4" s="32">
        <f t="shared" ref="G4:G10" si="2">D4*E4-IF(F4="",0,F4)</f>
        <v>64000</v>
      </c>
      <c r="H4" s="27" t="str">
        <f t="shared" ref="H4:H10" si="3">IF(AND(RIGHT(B4,1)="X",D4&gt;=50),"Có quà tặng","")</f>
        <v/>
      </c>
      <c r="I4" s="27" t="str">
        <f t="shared" ref="I4:I10" si="4">IF(MID(B4,5,1)="C","Chai","Lon")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46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47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48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49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50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32">
        <f t="shared" si="2"/>
        <v>85500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51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32">
        <f t="shared" si="2"/>
        <v>140000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1" ht="20.100000000000001" customHeight="1" x14ac:dyDescent="0.2">
      <c r="A13" s="83" t="s">
        <v>52</v>
      </c>
      <c r="B13" s="83" t="s">
        <v>39</v>
      </c>
      <c r="C13" s="83" t="s">
        <v>41</v>
      </c>
      <c r="D13" s="83"/>
      <c r="F13" s="41" t="s">
        <v>63</v>
      </c>
      <c r="G13" s="41" t="s">
        <v>64</v>
      </c>
      <c r="I13" s="41" t="s">
        <v>69</v>
      </c>
      <c r="J13" s="41" t="s">
        <v>61</v>
      </c>
      <c r="K13" s="41" t="s">
        <v>62</v>
      </c>
    </row>
    <row r="14" spans="1:11" ht="20.100000000000001" customHeight="1" x14ac:dyDescent="0.2">
      <c r="A14" s="83"/>
      <c r="B14" s="83"/>
      <c r="C14" s="40" t="s">
        <v>61</v>
      </c>
      <c r="D14" s="40" t="s">
        <v>62</v>
      </c>
      <c r="F14" s="5" t="s">
        <v>65</v>
      </c>
      <c r="G14" s="2" t="s">
        <v>66</v>
      </c>
      <c r="I14" s="2" t="s">
        <v>57</v>
      </c>
      <c r="J14" s="27">
        <f>SUMIF($B$3:$B$10,"PE???N",$D$3:$D$10)</f>
        <v>100</v>
      </c>
      <c r="K14" s="27">
        <f>SUMIF($B$3:$B$10,"PE???X",D3:D10)</f>
        <v>50</v>
      </c>
    </row>
    <row r="15" spans="1:11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7">
        <f>SUMIF($B$3:$B$10,"CO???N",$D$3:$D$10)</f>
        <v>40</v>
      </c>
      <c r="K15" s="27">
        <f>SUMIF($B$3:$B$10,"CA???X",$D$4:$D$11)</f>
        <v>0</v>
      </c>
    </row>
    <row r="16" spans="1:11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3" t="s">
        <v>130</v>
      </c>
    </row>
    <row r="21" spans="1:4" ht="20.100000000000001" customHeight="1" x14ac:dyDescent="0.2">
      <c r="A21" s="23"/>
      <c r="B21" s="1" t="s">
        <v>174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81</v>
      </c>
      <c r="C23" s="1" t="s">
        <v>148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6" t="s">
        <v>136</v>
      </c>
    </row>
    <row r="29" spans="1:4" ht="20.100000000000001" customHeight="1" x14ac:dyDescent="0.2">
      <c r="A29" s="1" t="s">
        <v>131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D14" sqref="D14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8" t="s">
        <v>118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">
      <c r="A2" s="86" t="s">
        <v>1</v>
      </c>
      <c r="B2" s="89" t="s">
        <v>98</v>
      </c>
      <c r="C2" s="90"/>
      <c r="D2" s="43" t="s">
        <v>99</v>
      </c>
      <c r="E2" s="85" t="s">
        <v>113</v>
      </c>
      <c r="F2" s="85"/>
      <c r="G2" s="85"/>
      <c r="H2" s="85"/>
      <c r="I2" s="43" t="s">
        <v>108</v>
      </c>
      <c r="J2" s="43" t="s">
        <v>109</v>
      </c>
      <c r="K2" s="43" t="s">
        <v>112</v>
      </c>
    </row>
    <row r="3" spans="1:11" x14ac:dyDescent="0.2">
      <c r="A3" s="87"/>
      <c r="B3" s="44" t="s">
        <v>101</v>
      </c>
      <c r="C3" s="44" t="s">
        <v>102</v>
      </c>
      <c r="D3" s="45" t="s">
        <v>100</v>
      </c>
      <c r="E3" s="44" t="s">
        <v>103</v>
      </c>
      <c r="F3" s="44" t="s">
        <v>104</v>
      </c>
      <c r="G3" s="44" t="s">
        <v>105</v>
      </c>
      <c r="H3" s="44" t="s">
        <v>106</v>
      </c>
      <c r="I3" s="45" t="s">
        <v>107</v>
      </c>
      <c r="J3" s="45" t="s">
        <v>110</v>
      </c>
      <c r="K3" s="45" t="s">
        <v>111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IF(D4&gt;100,100,D4)</f>
        <v>100</v>
      </c>
      <c r="F4" s="31">
        <f>IF(D4&lt;=100,0,IF(D4&gt;150,50,D4-100))</f>
        <v>50</v>
      </c>
      <c r="G4" s="31">
        <f>IF(D4&lt;=150,0,IF(D4&gt;250,100,D4-150))</f>
        <v>30</v>
      </c>
      <c r="H4" s="31">
        <f>D4-E4-F4-G4</f>
        <v>0</v>
      </c>
      <c r="I4" s="31">
        <f>IF(D4&gt;=350,2000000,IF(AND(D4&gt;=251,D4&lt;=349),100000,0))</f>
        <v>0</v>
      </c>
      <c r="J4" s="27">
        <f>(500*E4+650*F4+900*G4+1000*H4)+I4</f>
        <v>109500</v>
      </c>
      <c r="K4" s="27" t="str">
        <f>IF(I4&gt;0,"Phạt tiền","")</f>
        <v/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IF(D5&gt;100,100,D5)</f>
        <v>79</v>
      </c>
      <c r="F5" s="31">
        <f t="shared" ref="F5:F13" si="2">IF(D5&lt;=100,0,IF(D5&gt;150,50,D5-100))</f>
        <v>0</v>
      </c>
      <c r="G5" s="31">
        <f t="shared" ref="G5:G13" si="3">IF(D5&lt;=150,0,IF(D5&gt;250,100,D5-150))</f>
        <v>0</v>
      </c>
      <c r="H5" s="31">
        <f t="shared" ref="H5:H13" si="4">D5-E5-F5-G5</f>
        <v>0</v>
      </c>
      <c r="I5" s="31">
        <f t="shared" ref="I5:I13" si="5">IF(D5&gt;=350,2000000,IF(AND(D5&gt;=251,D5&lt;=349),100000,0))</f>
        <v>0</v>
      </c>
      <c r="J5" s="27">
        <f t="shared" ref="J5:J13" si="6">(500*E5+650*F5+900*G5+1000*H5)+I5</f>
        <v>39500</v>
      </c>
      <c r="K5" s="27" t="str">
        <f t="shared" ref="K5:K14" si="7">IF(I5&gt;0,"Phạt tiền","")</f>
        <v/>
      </c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31">
        <f t="shared" si="5"/>
        <v>0</v>
      </c>
      <c r="J6" s="27">
        <f t="shared" si="6"/>
        <v>61050</v>
      </c>
      <c r="K6" s="27" t="str">
        <f t="shared" si="7"/>
        <v/>
      </c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0</v>
      </c>
      <c r="J7" s="27">
        <f t="shared" si="6"/>
        <v>42500</v>
      </c>
      <c r="K7" s="27" t="str">
        <f t="shared" si="7"/>
        <v/>
      </c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31">
        <f t="shared" si="5"/>
        <v>2000000</v>
      </c>
      <c r="J8" s="27">
        <f t="shared" si="6"/>
        <v>2317500</v>
      </c>
      <c r="K8" s="27" t="str">
        <f t="shared" si="7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31">
        <f t="shared" si="5"/>
        <v>0</v>
      </c>
      <c r="J9" s="27">
        <f t="shared" si="6"/>
        <v>125700</v>
      </c>
      <c r="K9" s="27" t="str">
        <f t="shared" si="7"/>
        <v/>
      </c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31">
        <f t="shared" si="5"/>
        <v>0</v>
      </c>
      <c r="J10" s="27">
        <f t="shared" si="6"/>
        <v>66250</v>
      </c>
      <c r="K10" s="27" t="str">
        <f t="shared" si="7"/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31">
        <f t="shared" si="5"/>
        <v>2000000</v>
      </c>
      <c r="J11" s="27">
        <f t="shared" si="6"/>
        <v>2302500</v>
      </c>
      <c r="K11" s="27" t="str">
        <f t="shared" si="7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31">
        <f t="shared" si="5"/>
        <v>0</v>
      </c>
      <c r="J12" s="27">
        <f t="shared" si="6"/>
        <v>46000</v>
      </c>
      <c r="K12" s="27" t="str">
        <f t="shared" si="7"/>
        <v/>
      </c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31">
        <f t="shared" si="5"/>
        <v>100000</v>
      </c>
      <c r="J13" s="27">
        <f t="shared" si="6"/>
        <v>297500</v>
      </c>
      <c r="K13" s="27" t="str">
        <f t="shared" si="7"/>
        <v>Phạt tiền</v>
      </c>
    </row>
    <row r="14" spans="1:11" x14ac:dyDescent="0.2">
      <c r="A14" s="13"/>
      <c r="B14" s="14"/>
      <c r="C14" s="14" t="s">
        <v>114</v>
      </c>
      <c r="D14" s="28">
        <f>SUM(D4:D13)</f>
        <v>1926</v>
      </c>
      <c r="E14" s="14"/>
      <c r="F14" s="14"/>
      <c r="G14" s="14"/>
      <c r="H14" s="14"/>
      <c r="I14" s="28">
        <f>SUM(I4:I13)</f>
        <v>4100000</v>
      </c>
      <c r="J14" s="14"/>
      <c r="K14" s="15" t="str">
        <f t="shared" si="7"/>
        <v>Phạt tiền</v>
      </c>
    </row>
    <row r="15" spans="1:11" x14ac:dyDescent="0.2">
      <c r="A15" s="16"/>
      <c r="C15" s="1" t="s">
        <v>115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116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117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96</v>
      </c>
      <c r="H19" s="22" t="s">
        <v>129</v>
      </c>
    </row>
    <row r="20" spans="1:12" x14ac:dyDescent="0.2">
      <c r="A20" s="1" t="s">
        <v>123</v>
      </c>
      <c r="H20" s="43" t="s">
        <v>99</v>
      </c>
      <c r="I20" s="85" t="s">
        <v>113</v>
      </c>
      <c r="J20" s="85"/>
      <c r="K20" s="85"/>
      <c r="L20" s="85"/>
    </row>
    <row r="21" spans="1:12" x14ac:dyDescent="0.2">
      <c r="A21" s="1" t="s">
        <v>124</v>
      </c>
      <c r="H21" s="45" t="s">
        <v>100</v>
      </c>
      <c r="I21" s="44" t="s">
        <v>103</v>
      </c>
      <c r="J21" s="44" t="s">
        <v>104</v>
      </c>
      <c r="K21" s="44" t="s">
        <v>105</v>
      </c>
      <c r="L21" s="44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126</v>
      </c>
    </row>
    <row r="31" spans="1:12" x14ac:dyDescent="0.2">
      <c r="A31" s="1" t="s">
        <v>141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2024-01-07T04:33:53Z</dcterms:modified>
</cp:coreProperties>
</file>