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B94C0304-AEB2-464E-AECE-B97F3AFEF4BA}" xr6:coauthVersionLast="46" xr6:coauthVersionMax="47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K5" i="12" l="1"/>
  <c r="K6" i="12"/>
  <c r="K7" i="12"/>
  <c r="K8" i="12"/>
  <c r="K9" i="12"/>
  <c r="K10" i="12"/>
  <c r="K11" i="12"/>
  <c r="K12" i="12"/>
  <c r="K13" i="12"/>
  <c r="K4" i="12"/>
  <c r="J5" i="12"/>
  <c r="J6" i="12"/>
  <c r="J7" i="12"/>
  <c r="J8" i="12"/>
  <c r="J9" i="12"/>
  <c r="J10" i="12"/>
  <c r="J11" i="12"/>
  <c r="J12" i="12"/>
  <c r="J13" i="12"/>
  <c r="J4" i="12"/>
  <c r="I5" i="12"/>
  <c r="I6" i="12"/>
  <c r="I7" i="12"/>
  <c r="I8" i="12"/>
  <c r="I9" i="12"/>
  <c r="I10" i="12"/>
  <c r="I11" i="12"/>
  <c r="I12" i="12"/>
  <c r="I13" i="12"/>
  <c r="I4" i="12"/>
  <c r="H5" i="12"/>
  <c r="H6" i="12"/>
  <c r="H7" i="12"/>
  <c r="H8" i="12"/>
  <c r="H9" i="12"/>
  <c r="H10" i="12"/>
  <c r="H11" i="12"/>
  <c r="H12" i="12"/>
  <c r="H13" i="12"/>
  <c r="H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D5" i="12"/>
  <c r="D6" i="12"/>
  <c r="D7" i="12"/>
  <c r="D8" i="12"/>
  <c r="D9" i="12"/>
  <c r="D10" i="12"/>
  <c r="D11" i="12"/>
  <c r="D12" i="12"/>
  <c r="D13" i="12"/>
  <c r="D4" i="12"/>
  <c r="K15" i="2"/>
  <c r="K14" i="2"/>
  <c r="J15" i="2"/>
  <c r="J14" i="2"/>
  <c r="J4" i="2"/>
  <c r="J5" i="2"/>
  <c r="J6" i="2"/>
  <c r="J7" i="2"/>
  <c r="J8" i="2"/>
  <c r="J9" i="2"/>
  <c r="J10" i="2"/>
  <c r="J3" i="2"/>
  <c r="H4" i="2"/>
  <c r="H5" i="2"/>
  <c r="H6" i="2"/>
  <c r="H7" i="2"/>
  <c r="H8" i="2"/>
  <c r="H9" i="2"/>
  <c r="H10" i="2"/>
  <c r="H3" i="2"/>
  <c r="I4" i="2"/>
  <c r="I5" i="2"/>
  <c r="I6" i="2"/>
  <c r="I7" i="2"/>
  <c r="I8" i="2"/>
  <c r="I9" i="2"/>
  <c r="I10" i="2"/>
  <c r="I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C4" i="2"/>
  <c r="C5" i="2"/>
  <c r="C6" i="2"/>
  <c r="C7" i="2"/>
  <c r="C8" i="2"/>
  <c r="C9" i="2"/>
  <c r="C10" i="2"/>
  <c r="C3" i="2"/>
  <c r="D15" i="7"/>
  <c r="C15" i="7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J16" i="1"/>
  <c r="I16" i="1"/>
  <c r="I15" i="1"/>
  <c r="J15" i="1"/>
  <c r="J14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E12" i="13"/>
  <c r="H21" i="13"/>
  <c r="G21" i="13"/>
  <c r="F21" i="13"/>
  <c r="I10" i="13"/>
  <c r="I11" i="13"/>
  <c r="I7" i="13"/>
  <c r="I5" i="13"/>
  <c r="I8" i="13"/>
  <c r="I13" i="13"/>
  <c r="I9" i="13"/>
  <c r="I12" i="13"/>
  <c r="I6" i="13"/>
  <c r="H10" i="13"/>
  <c r="H11" i="13"/>
  <c r="H7" i="13"/>
  <c r="H5" i="13"/>
  <c r="H8" i="13"/>
  <c r="H13" i="13"/>
  <c r="H9" i="13"/>
  <c r="H12" i="13"/>
  <c r="H6" i="13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D10" i="13"/>
  <c r="D11" i="13"/>
  <c r="D7" i="13"/>
  <c r="D5" i="13"/>
  <c r="D8" i="13"/>
  <c r="D13" i="13"/>
  <c r="D9" i="13"/>
  <c r="D12" i="13"/>
  <c r="D6" i="13"/>
  <c r="C10" i="13"/>
  <c r="E10" i="13" s="1"/>
  <c r="C11" i="13"/>
  <c r="E11" i="13" s="1"/>
  <c r="C7" i="13"/>
  <c r="E7" i="13" s="1"/>
  <c r="C5" i="13"/>
  <c r="E5" i="13" s="1"/>
  <c r="C8" i="13"/>
  <c r="E8" i="13" s="1"/>
  <c r="C13" i="13"/>
  <c r="E13" i="13" s="1"/>
  <c r="C9" i="13"/>
  <c r="E9" i="13" s="1"/>
  <c r="C12" i="13"/>
  <c r="C6" i="13"/>
  <c r="E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<sst xmlns="http://schemas.openxmlformats.org/spreadsheetml/2006/main" count="236" uniqueCount="191">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</sst>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#.00"/>
    <numFmt numFmtId="166" formatCode="dd/mm/yyyy"/>
    <numFmt numFmtId="167" formatCode="&quot;Khu vực&quot;&quot;-&quot;0"/>
    <numFmt numFmtId="168" formatCode="&quot;Ngành&quot;&quot;-&quot;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90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16" fillId="0" borderId="3" xfId="0" applyNumberFormat="1" applyFont="1" applyBorder="1"/>
    <xf numFmtId="166" fontId="25" fillId="0" borderId="1" xfId="0" applyNumberFormat="1" applyFont="1" applyBorder="1"/>
    <xf numFmtId="167" fontId="33" fillId="0" borderId="1" xfId="0" applyNumberFormat="1" applyFont="1" applyBorder="1"/>
    <xf numFmtId="168" fontId="25" fillId="0" borderId="1" xfId="0" applyNumberFormat="1" applyFont="1" applyBorder="1"/>
    <xf numFmtId="2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120" zoomScaleNormal="120" workbookViewId="0">
      <selection activeCell="H5" sqref="H5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4" t="s">
        <v>82</v>
      </c>
      <c r="B1" s="74"/>
      <c r="C1" s="74"/>
      <c r="D1" s="74"/>
      <c r="E1" s="74"/>
      <c r="F1" s="74"/>
      <c r="G1" s="74"/>
      <c r="H1" s="74"/>
      <c r="I1" s="74"/>
    </row>
    <row r="2" spans="1:10" s="7" customFormat="1" ht="20.100000000000001" customHeight="1" x14ac:dyDescent="0.25">
      <c r="A2" s="10"/>
      <c r="B2" s="10"/>
      <c r="C2" s="11" t="s">
        <v>97</v>
      </c>
      <c r="D2" s="65">
        <v>44344</v>
      </c>
      <c r="E2" s="10"/>
      <c r="F2" s="10"/>
      <c r="G2" s="10"/>
    </row>
    <row r="3" spans="1:10" ht="20.100000000000001" customHeight="1" x14ac:dyDescent="0.2">
      <c r="A3" s="77" t="s">
        <v>83</v>
      </c>
      <c r="B3" s="77" t="s">
        <v>84</v>
      </c>
      <c r="C3" s="70" t="s">
        <v>90</v>
      </c>
      <c r="D3" s="70" t="s">
        <v>91</v>
      </c>
      <c r="E3" s="70" t="s">
        <v>85</v>
      </c>
      <c r="F3" s="72" t="s">
        <v>86</v>
      </c>
      <c r="G3" s="73"/>
      <c r="H3" s="75" t="s">
        <v>87</v>
      </c>
      <c r="I3" s="35" t="s">
        <v>44</v>
      </c>
    </row>
    <row r="4" spans="1:10" ht="20.100000000000001" customHeight="1" x14ac:dyDescent="0.2">
      <c r="A4" s="77"/>
      <c r="B4" s="77"/>
      <c r="C4" s="71"/>
      <c r="D4" s="71"/>
      <c r="E4" s="71"/>
      <c r="F4" s="34" t="s">
        <v>88</v>
      </c>
      <c r="G4" s="34" t="s">
        <v>89</v>
      </c>
      <c r="H4" s="76"/>
      <c r="I4" s="36"/>
    </row>
    <row r="5" spans="1:10" ht="20.100000000000001" customHeight="1" x14ac:dyDescent="0.2">
      <c r="A5" s="2" t="s">
        <v>165</v>
      </c>
      <c r="B5" s="2">
        <v>25</v>
      </c>
      <c r="C5" s="2" t="str">
        <f t="shared" ref="C5:C13" si="0">IF(LEFT(A5,2)="A1","Tin học A1","Tin học A2")</f>
        <v>Tin học A1</v>
      </c>
      <c r="D5" s="2" t="str">
        <f t="shared" ref="D5:D13" si="1">IF(MID(A5,3,1)="S","Sáng",IF(MID(A5,3,1)="C","Chiều","Tối"))</f>
        <v>Chiều</v>
      </c>
      <c r="E5" s="26" t="str">
        <f t="shared" ref="E5:E13" si="2">C5&amp;" "&amp;D5</f>
        <v>Tin học A1 Chiều</v>
      </c>
      <c r="F5" s="63" t="str">
        <f t="shared" ref="F5:F13" si="3">IF(B5&lt;10,"","x")</f>
        <v>x</v>
      </c>
      <c r="G5" s="63" t="str">
        <f t="shared" ref="G5:G13" si="4">IF(B5&gt;=20,"x","")</f>
        <v>x</v>
      </c>
      <c r="H5" s="66">
        <f t="shared" ref="H5:H13" si="5">IF(MID(A5,3,1)="T",$D$2+2,$D$2)</f>
        <v>44344</v>
      </c>
      <c r="I5" s="26" t="str">
        <f t="shared" ref="I5:I13" si="6">IF(B5&lt;10,"Hủy","")</f>
        <v/>
      </c>
    </row>
    <row r="6" spans="1:10" ht="20.100000000000001" customHeight="1" x14ac:dyDescent="0.2">
      <c r="A6" s="2" t="s">
        <v>157</v>
      </c>
      <c r="B6" s="2">
        <v>22</v>
      </c>
      <c r="C6" s="2" t="str">
        <f t="shared" si="0"/>
        <v>Tin học A1</v>
      </c>
      <c r="D6" s="2" t="str">
        <f t="shared" si="1"/>
        <v>Sáng</v>
      </c>
      <c r="E6" s="26" t="str">
        <f t="shared" si="2"/>
        <v>Tin học A1 Sáng</v>
      </c>
      <c r="F6" s="63" t="str">
        <f t="shared" si="3"/>
        <v>x</v>
      </c>
      <c r="G6" s="63" t="str">
        <f t="shared" si="4"/>
        <v>x</v>
      </c>
      <c r="H6" s="66">
        <f t="shared" si="5"/>
        <v>44344</v>
      </c>
      <c r="I6" s="26" t="str">
        <f t="shared" si="6"/>
        <v/>
      </c>
    </row>
    <row r="7" spans="1:10" ht="20.100000000000001" customHeight="1" x14ac:dyDescent="0.2">
      <c r="A7" s="2" t="s">
        <v>164</v>
      </c>
      <c r="B7" s="2">
        <v>18</v>
      </c>
      <c r="C7" s="2" t="str">
        <f t="shared" si="0"/>
        <v>Tin học A1</v>
      </c>
      <c r="D7" s="2" t="str">
        <f t="shared" si="1"/>
        <v>Sáng</v>
      </c>
      <c r="E7" s="26" t="str">
        <f t="shared" si="2"/>
        <v>Tin học A1 Sáng</v>
      </c>
      <c r="F7" s="63" t="str">
        <f t="shared" si="3"/>
        <v>x</v>
      </c>
      <c r="G7" s="63" t="str">
        <f t="shared" si="4"/>
        <v/>
      </c>
      <c r="H7" s="66">
        <f t="shared" si="5"/>
        <v>44344</v>
      </c>
      <c r="I7" s="26" t="str">
        <f t="shared" si="6"/>
        <v/>
      </c>
    </row>
    <row r="8" spans="1:10" ht="20.100000000000001" customHeight="1" x14ac:dyDescent="0.2">
      <c r="A8" s="2" t="s">
        <v>166</v>
      </c>
      <c r="B8" s="2">
        <v>7</v>
      </c>
      <c r="C8" s="2" t="str">
        <f t="shared" si="0"/>
        <v>Tin học A1</v>
      </c>
      <c r="D8" s="2" t="str">
        <f t="shared" si="1"/>
        <v>Sáng</v>
      </c>
      <c r="E8" s="26" t="str">
        <f t="shared" si="2"/>
        <v>Tin học A1 Sáng</v>
      </c>
      <c r="F8" s="63" t="str">
        <f t="shared" si="3"/>
        <v/>
      </c>
      <c r="G8" s="63" t="str">
        <f t="shared" si="4"/>
        <v/>
      </c>
      <c r="H8" s="66">
        <f t="shared" si="5"/>
        <v>44344</v>
      </c>
      <c r="I8" s="26" t="str">
        <f t="shared" si="6"/>
        <v>Hủy</v>
      </c>
    </row>
    <row r="9" spans="1:10" ht="20.100000000000001" customHeight="1" x14ac:dyDescent="0.2">
      <c r="A9" s="2" t="s">
        <v>168</v>
      </c>
      <c r="B9" s="2">
        <v>28</v>
      </c>
      <c r="C9" s="2" t="str">
        <f t="shared" si="0"/>
        <v>Tin học A1</v>
      </c>
      <c r="D9" s="2" t="str">
        <f t="shared" si="1"/>
        <v>Tối</v>
      </c>
      <c r="E9" s="26" t="str">
        <f t="shared" si="2"/>
        <v>Tin học A1 Tối</v>
      </c>
      <c r="F9" s="63" t="str">
        <f t="shared" si="3"/>
        <v>x</v>
      </c>
      <c r="G9" s="63" t="str">
        <f t="shared" si="4"/>
        <v>x</v>
      </c>
      <c r="H9" s="66">
        <f t="shared" si="5"/>
        <v>44346</v>
      </c>
      <c r="I9" s="26" t="str">
        <f t="shared" si="6"/>
        <v/>
      </c>
    </row>
    <row r="10" spans="1:10" ht="20.100000000000001" customHeight="1" x14ac:dyDescent="0.2">
      <c r="A10" s="2" t="s">
        <v>162</v>
      </c>
      <c r="B10" s="2">
        <v>18</v>
      </c>
      <c r="C10" s="2" t="str">
        <f t="shared" si="0"/>
        <v>Tin học A1</v>
      </c>
      <c r="D10" s="2" t="str">
        <f t="shared" si="1"/>
        <v>Tối</v>
      </c>
      <c r="E10" s="26" t="str">
        <f t="shared" si="2"/>
        <v>Tin học A1 Tối</v>
      </c>
      <c r="F10" s="63" t="str">
        <f t="shared" si="3"/>
        <v>x</v>
      </c>
      <c r="G10" s="63" t="str">
        <f t="shared" si="4"/>
        <v/>
      </c>
      <c r="H10" s="66">
        <f t="shared" si="5"/>
        <v>44346</v>
      </c>
      <c r="I10" s="26" t="str">
        <f t="shared" si="6"/>
        <v/>
      </c>
    </row>
    <row r="11" spans="1:10" ht="20.100000000000001" customHeight="1" x14ac:dyDescent="0.2">
      <c r="A11" s="2" t="s">
        <v>163</v>
      </c>
      <c r="B11" s="2">
        <v>19</v>
      </c>
      <c r="C11" s="2" t="str">
        <f t="shared" si="0"/>
        <v>Tin học A2</v>
      </c>
      <c r="D11" s="2" t="str">
        <f t="shared" si="1"/>
        <v>Chiều</v>
      </c>
      <c r="E11" s="26" t="str">
        <f t="shared" si="2"/>
        <v>Tin học A2 Chiều</v>
      </c>
      <c r="F11" s="63" t="str">
        <f t="shared" si="3"/>
        <v>x</v>
      </c>
      <c r="G11" s="63" t="str">
        <f t="shared" si="4"/>
        <v/>
      </c>
      <c r="H11" s="66">
        <f t="shared" si="5"/>
        <v>44344</v>
      </c>
      <c r="I11" s="26" t="str">
        <f t="shared" si="6"/>
        <v/>
      </c>
    </row>
    <row r="12" spans="1:10" ht="20.100000000000001" customHeight="1" x14ac:dyDescent="0.2">
      <c r="A12" s="2" t="s">
        <v>169</v>
      </c>
      <c r="B12" s="2">
        <v>9</v>
      </c>
      <c r="C12" s="2" t="str">
        <f t="shared" si="0"/>
        <v>Tin học A2</v>
      </c>
      <c r="D12" s="2" t="str">
        <f t="shared" si="1"/>
        <v>Sáng</v>
      </c>
      <c r="E12" s="26" t="str">
        <f t="shared" si="2"/>
        <v>Tin học A2 Sáng</v>
      </c>
      <c r="F12" s="63" t="str">
        <f t="shared" si="3"/>
        <v/>
      </c>
      <c r="G12" s="63" t="str">
        <f t="shared" si="4"/>
        <v/>
      </c>
      <c r="H12" s="66">
        <f t="shared" si="5"/>
        <v>44344</v>
      </c>
      <c r="I12" s="26" t="str">
        <f t="shared" si="6"/>
        <v>Hủy</v>
      </c>
    </row>
    <row r="13" spans="1:10" ht="20.100000000000001" customHeight="1" x14ac:dyDescent="0.2">
      <c r="A13" s="2" t="s">
        <v>167</v>
      </c>
      <c r="B13" s="2">
        <v>19</v>
      </c>
      <c r="C13" s="2" t="str">
        <f t="shared" si="0"/>
        <v>Tin học A2</v>
      </c>
      <c r="D13" s="2" t="str">
        <f t="shared" si="1"/>
        <v>Tối</v>
      </c>
      <c r="E13" s="26" t="str">
        <f t="shared" si="2"/>
        <v>Tin học A2 Tối</v>
      </c>
      <c r="F13" s="63" t="str">
        <f t="shared" si="3"/>
        <v>x</v>
      </c>
      <c r="G13" s="63" t="str">
        <f t="shared" si="4"/>
        <v/>
      </c>
      <c r="H13" s="66">
        <f t="shared" si="5"/>
        <v>44346</v>
      </c>
      <c r="I13" s="26" t="str">
        <f t="shared" si="6"/>
        <v/>
      </c>
    </row>
    <row r="14" spans="1:10" ht="20.100000000000001" customHeight="1" x14ac:dyDescent="0.2">
      <c r="J14" s="25"/>
    </row>
    <row r="15" spans="1:10" ht="20.100000000000001" customHeight="1" x14ac:dyDescent="0.2">
      <c r="A15" s="25" t="s">
        <v>18</v>
      </c>
      <c r="D15" s="25" t="s">
        <v>26</v>
      </c>
    </row>
    <row r="16" spans="1:10" ht="32.25" customHeight="1" x14ac:dyDescent="0.2">
      <c r="A16" s="34" t="s">
        <v>170</v>
      </c>
      <c r="B16" s="34" t="s">
        <v>90</v>
      </c>
      <c r="D16" s="37" t="s">
        <v>171</v>
      </c>
      <c r="E16" s="32" t="s">
        <v>92</v>
      </c>
      <c r="F16" s="32" t="s">
        <v>30</v>
      </c>
      <c r="G16" s="32" t="s">
        <v>71</v>
      </c>
    </row>
    <row r="17" spans="1:9" ht="20.100000000000001" customHeight="1" x14ac:dyDescent="0.2">
      <c r="A17" s="5" t="s">
        <v>158</v>
      </c>
      <c r="B17" s="2" t="s">
        <v>160</v>
      </c>
      <c r="D17" s="38" t="s">
        <v>91</v>
      </c>
      <c r="E17" s="5" t="s">
        <v>93</v>
      </c>
      <c r="F17" s="5" t="s">
        <v>94</v>
      </c>
      <c r="G17" s="5" t="s">
        <v>95</v>
      </c>
    </row>
    <row r="18" spans="1:9" ht="20.100000000000001" customHeight="1" x14ac:dyDescent="0.2">
      <c r="A18" s="5" t="s">
        <v>159</v>
      </c>
      <c r="B18" s="2" t="s">
        <v>161</v>
      </c>
    </row>
    <row r="19" spans="1:9" ht="20.100000000000001" customHeight="1" x14ac:dyDescent="0.25">
      <c r="A19"/>
      <c r="B19"/>
      <c r="F19" s="25" t="s">
        <v>137</v>
      </c>
    </row>
    <row r="20" spans="1:9" ht="20.100000000000001" customHeight="1" x14ac:dyDescent="0.2">
      <c r="A20" s="9" t="s">
        <v>96</v>
      </c>
      <c r="F20" s="38" t="s">
        <v>91</v>
      </c>
      <c r="G20" s="5" t="s">
        <v>93</v>
      </c>
      <c r="H20" s="5" t="s">
        <v>94</v>
      </c>
      <c r="I20" s="5" t="s">
        <v>95</v>
      </c>
    </row>
    <row r="21" spans="1:9" ht="20.100000000000001" customHeight="1" x14ac:dyDescent="0.2">
      <c r="A21" s="1" t="s">
        <v>149</v>
      </c>
      <c r="F21" s="8">
        <f>COUNTA(A5:A13)</f>
        <v>9</v>
      </c>
      <c r="G21" s="26">
        <f>COUNTIF(A5:A13,"??S?")</f>
        <v>4</v>
      </c>
      <c r="H21" s="26">
        <f>COUNTIF(A5:A13,"??C?")</f>
        <v>2</v>
      </c>
      <c r="I21" s="26">
        <f>COUNTIF(A5:A13,"??T?")</f>
        <v>3</v>
      </c>
    </row>
    <row r="22" spans="1:9" ht="20.100000000000001" customHeight="1" x14ac:dyDescent="0.2">
      <c r="A22" s="1" t="s">
        <v>150</v>
      </c>
    </row>
    <row r="23" spans="1:9" ht="20.100000000000001" customHeight="1" x14ac:dyDescent="0.2">
      <c r="A23" s="1" t="s">
        <v>172</v>
      </c>
    </row>
    <row r="24" spans="1:9" ht="20.100000000000001" customHeight="1" x14ac:dyDescent="0.2">
      <c r="A24" s="1" t="s">
        <v>151</v>
      </c>
    </row>
    <row r="25" spans="1:9" ht="20.100000000000001" customHeight="1" x14ac:dyDescent="0.2">
      <c r="A25" s="1" t="s">
        <v>132</v>
      </c>
    </row>
    <row r="26" spans="1:9" ht="20.100000000000001" customHeight="1" x14ac:dyDescent="0.2">
      <c r="A26" s="9" t="s">
        <v>134</v>
      </c>
    </row>
    <row r="27" spans="1:9" ht="20.100000000000001" customHeight="1" x14ac:dyDescent="0.2">
      <c r="A27" s="1" t="s">
        <v>133</v>
      </c>
    </row>
  </sheetData>
  <sortState xmlns:xlrd2="http://schemas.microsoft.com/office/spreadsheetml/2017/richdata2" ref="A6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J17" sqref="J17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1.28515625" style="1" customWidth="1"/>
    <col min="5" max="5" width="12.140625" style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s="23" customFormat="1" ht="20.100000000000001" customHeight="1" x14ac:dyDescent="0.25">
      <c r="A2" s="39" t="s">
        <v>1</v>
      </c>
      <c r="B2" s="39" t="s">
        <v>2</v>
      </c>
      <c r="C2" s="39" t="s">
        <v>3</v>
      </c>
      <c r="D2" s="39" t="s">
        <v>5</v>
      </c>
      <c r="E2" s="39" t="s">
        <v>27</v>
      </c>
      <c r="F2" s="39" t="s">
        <v>6</v>
      </c>
      <c r="G2" s="39" t="s">
        <v>7</v>
      </c>
      <c r="H2" s="39" t="s">
        <v>8</v>
      </c>
      <c r="I2" s="39" t="s">
        <v>28</v>
      </c>
      <c r="J2" s="39" t="s">
        <v>9</v>
      </c>
      <c r="K2" s="39" t="s">
        <v>10</v>
      </c>
    </row>
    <row r="3" spans="1:11" ht="20.100000000000001" customHeight="1" x14ac:dyDescent="0.2">
      <c r="A3" s="3">
        <v>1</v>
      </c>
      <c r="B3" s="4" t="s">
        <v>32</v>
      </c>
      <c r="C3" s="33" t="str">
        <f>IF(LEFT(B3,2)="BD","Bộ đội",IF(LEFT(B3,2)="CL","Con liệt sĩ","Học sinh"))</f>
        <v>Bộ đội</v>
      </c>
      <c r="D3" s="67">
        <f>RIGHT(B3,1)*1</f>
        <v>1</v>
      </c>
      <c r="E3" s="68" t="str">
        <f>"Ngành - "&amp;MID(B3,3,1)</f>
        <v>Ngành - 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6">
        <f>IF(RIGHT(B3,1)="1",0,IF(RIGHT(B3,1)="2",1,2))+IF(LEFT(B3,2)="HS",0,IF(LEFT(B3,2)="BD",0.5,1))</f>
        <v>0.5</v>
      </c>
      <c r="K3" s="26">
        <f>SUM(F3:H3,J3)</f>
        <v>17</v>
      </c>
    </row>
    <row r="4" spans="1:11" ht="20.100000000000001" customHeight="1" x14ac:dyDescent="0.2">
      <c r="A4" s="3">
        <v>2</v>
      </c>
      <c r="B4" s="2" t="s">
        <v>11</v>
      </c>
      <c r="C4" s="33" t="str">
        <f t="shared" ref="C4:C10" si="0">IF(LEFT(B4,2)="BD","Bộ đội",IF(LEFT(B4,2)="CL","Con liệt sĩ","Học sinh"))</f>
        <v>Học sinh</v>
      </c>
      <c r="D4" s="67">
        <f t="shared" ref="D4:D10" si="1">RIGHT(B4,1)*1</f>
        <v>3</v>
      </c>
      <c r="E4" s="68" t="str">
        <f t="shared" ref="E4:E10" si="2">"Ngành - "&amp;MID(B4,3,1)</f>
        <v>Ngành - 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6">
        <f t="shared" ref="J4:J10" si="4">IF(RIGHT(B4,1)="1",0,IF(RIGHT(B4,1)="2",1,2))+IF(LEFT(B4,2)="HS",0,IF(LEFT(B4,2)="BD",0.5,1))</f>
        <v>2</v>
      </c>
      <c r="K4" s="26">
        <f t="shared" ref="K4:K10" si="5">SUM(F4:H4,J4)</f>
        <v>22</v>
      </c>
    </row>
    <row r="5" spans="1:11" ht="20.100000000000001" customHeight="1" x14ac:dyDescent="0.2">
      <c r="A5" s="3">
        <v>3</v>
      </c>
      <c r="B5" s="2" t="s">
        <v>12</v>
      </c>
      <c r="C5" s="33" t="str">
        <f t="shared" si="0"/>
        <v>Con liệt sĩ</v>
      </c>
      <c r="D5" s="67">
        <f t="shared" si="1"/>
        <v>3</v>
      </c>
      <c r="E5" s="68" t="str">
        <f t="shared" si="2"/>
        <v>Ngành - C</v>
      </c>
      <c r="F5" s="2">
        <v>4.5</v>
      </c>
      <c r="G5" s="2">
        <v>4</v>
      </c>
      <c r="H5" s="2">
        <v>5</v>
      </c>
      <c r="I5" s="2">
        <f t="shared" si="3"/>
        <v>20</v>
      </c>
      <c r="J5" s="26">
        <f t="shared" si="4"/>
        <v>3</v>
      </c>
      <c r="K5" s="26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3" t="str">
        <f t="shared" si="0"/>
        <v>Học sinh</v>
      </c>
      <c r="D6" s="67">
        <f t="shared" si="1"/>
        <v>2</v>
      </c>
      <c r="E6" s="68" t="str">
        <f t="shared" si="2"/>
        <v>Ngành -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6">
        <f t="shared" si="4"/>
        <v>1</v>
      </c>
      <c r="K6" s="26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3" t="str">
        <f t="shared" si="0"/>
        <v>Con liệt sĩ</v>
      </c>
      <c r="D7" s="67">
        <f t="shared" si="1"/>
        <v>1</v>
      </c>
      <c r="E7" s="68" t="str">
        <f t="shared" si="2"/>
        <v>Ngành - B</v>
      </c>
      <c r="F7" s="2">
        <v>9</v>
      </c>
      <c r="G7" s="2">
        <v>5</v>
      </c>
      <c r="H7" s="2">
        <v>5.5</v>
      </c>
      <c r="I7" s="2">
        <f t="shared" si="3"/>
        <v>25.5</v>
      </c>
      <c r="J7" s="26">
        <f t="shared" si="4"/>
        <v>1</v>
      </c>
      <c r="K7" s="26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3" t="str">
        <f t="shared" si="0"/>
        <v>Bộ đội</v>
      </c>
      <c r="D8" s="67">
        <f t="shared" si="1"/>
        <v>3</v>
      </c>
      <c r="E8" s="68" t="str">
        <f t="shared" si="2"/>
        <v>Ngành -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6">
        <f t="shared" si="4"/>
        <v>2.5</v>
      </c>
      <c r="K8" s="26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3" t="str">
        <f t="shared" si="0"/>
        <v>Học sinh</v>
      </c>
      <c r="D9" s="67">
        <f t="shared" si="1"/>
        <v>2</v>
      </c>
      <c r="E9" s="68" t="str">
        <f t="shared" si="2"/>
        <v>Ngành - A</v>
      </c>
      <c r="F9" s="2">
        <v>8</v>
      </c>
      <c r="G9" s="2">
        <v>7.5</v>
      </c>
      <c r="H9" s="2">
        <v>3</v>
      </c>
      <c r="I9" s="2">
        <f t="shared" si="3"/>
        <v>26</v>
      </c>
      <c r="J9" s="26">
        <f t="shared" si="4"/>
        <v>1</v>
      </c>
      <c r="K9" s="26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3" t="str">
        <f t="shared" si="0"/>
        <v>Con liệt sĩ</v>
      </c>
      <c r="D10" s="67">
        <f t="shared" si="1"/>
        <v>2</v>
      </c>
      <c r="E10" s="68" t="str">
        <f t="shared" si="2"/>
        <v>Ngành -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6">
        <f t="shared" si="4"/>
        <v>2</v>
      </c>
      <c r="K10" s="26">
        <f t="shared" si="5"/>
        <v>17</v>
      </c>
    </row>
    <row r="12" spans="1:11" ht="20.100000000000001" customHeight="1" x14ac:dyDescent="0.2">
      <c r="A12" s="25" t="s">
        <v>18</v>
      </c>
      <c r="D12" s="25" t="s">
        <v>26</v>
      </c>
      <c r="H12" s="25" t="s">
        <v>34</v>
      </c>
    </row>
    <row r="13" spans="1:11" ht="32.25" customHeight="1" x14ac:dyDescent="0.2">
      <c r="A13" s="45" t="s">
        <v>19</v>
      </c>
      <c r="B13" s="45" t="s">
        <v>3</v>
      </c>
      <c r="C13" s="46"/>
      <c r="D13" s="45" t="s">
        <v>27</v>
      </c>
      <c r="E13" s="45" t="s">
        <v>28</v>
      </c>
      <c r="F13" s="64"/>
      <c r="G13" s="46"/>
      <c r="H13" s="45" t="s">
        <v>4</v>
      </c>
      <c r="I13" s="45" t="s">
        <v>35</v>
      </c>
      <c r="J13" s="45" t="s">
        <v>36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6">
        <f>SUMIF($B$3:$B$10,"???1",$F$3:$F$10)</f>
        <v>18</v>
      </c>
      <c r="J14" s="26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6">
        <f>SUMIF($B$3:$B$10,"???1",$G$3:$G$10)</f>
        <v>12.5</v>
      </c>
      <c r="J15" s="26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6">
        <f>SUMIF($B$3:$B$10,"???1",$H$3:$H$10)</f>
        <v>5.5</v>
      </c>
      <c r="J16" s="26">
        <f>SUMIF($B$3:$B$10,"???2",$H$3:$H$10)</f>
        <v>11.5</v>
      </c>
    </row>
    <row r="18" spans="1:10" ht="20.100000000000001" customHeight="1" x14ac:dyDescent="0.2">
      <c r="A18" s="6" t="s">
        <v>156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154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155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173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4" t="s">
        <v>135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80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5" sqref="D15:E15"/>
    </sheetView>
  </sheetViews>
  <sheetFormatPr defaultColWidth="9.140625" defaultRowHeight="14.25" x14ac:dyDescent="0.2"/>
  <cols>
    <col min="1" max="1" width="9.140625" style="49"/>
    <col min="2" max="2" width="14.85546875" style="49" customWidth="1"/>
    <col min="3" max="3" width="12" style="49" customWidth="1"/>
    <col min="4" max="6" width="9.140625" style="49"/>
    <col min="7" max="7" width="14" style="49" customWidth="1"/>
    <col min="8" max="8" width="17.42578125" style="49" customWidth="1"/>
    <col min="9" max="16384" width="9.140625" style="49"/>
  </cols>
  <sheetData>
    <row r="1" spans="1:9" ht="22.5" x14ac:dyDescent="0.3">
      <c r="A1" s="79" t="s">
        <v>189</v>
      </c>
      <c r="B1" s="79"/>
      <c r="C1" s="79"/>
      <c r="D1" s="79"/>
      <c r="E1" s="79"/>
      <c r="F1" s="79"/>
      <c r="G1" s="79"/>
      <c r="H1" s="79"/>
      <c r="I1" s="79"/>
    </row>
    <row r="2" spans="1:9" ht="60" customHeight="1" x14ac:dyDescent="0.2">
      <c r="A2" s="47" t="s">
        <v>180</v>
      </c>
      <c r="B2" s="47" t="s">
        <v>181</v>
      </c>
      <c r="C2" s="48" t="s">
        <v>184</v>
      </c>
      <c r="D2" s="48" t="s">
        <v>185</v>
      </c>
      <c r="E2" s="48" t="s">
        <v>186</v>
      </c>
      <c r="F2" s="48" t="s">
        <v>187</v>
      </c>
      <c r="G2" s="48" t="s">
        <v>188</v>
      </c>
      <c r="H2" s="48" t="s">
        <v>182</v>
      </c>
      <c r="I2" s="47" t="s">
        <v>183</v>
      </c>
    </row>
    <row r="3" spans="1:9" x14ac:dyDescent="0.2">
      <c r="A3" s="50">
        <v>1</v>
      </c>
      <c r="B3" s="51" t="s">
        <v>74</v>
      </c>
      <c r="C3" s="50" t="s">
        <v>29</v>
      </c>
      <c r="D3" s="50">
        <v>9</v>
      </c>
      <c r="E3" s="50">
        <v>10</v>
      </c>
      <c r="F3" s="52">
        <f>(E3*2+D3)/3</f>
        <v>9.6666666666666661</v>
      </c>
      <c r="G3" s="53" t="str">
        <f>IF(F3&lt;5,"Thi lại","Lên lớp")</f>
        <v>Lên lớp</v>
      </c>
      <c r="H3" s="53">
        <f>IF(AND(F3&gt;=9,C3="A"),150000,"")</f>
        <v>150000</v>
      </c>
      <c r="I3" s="53">
        <f>RANK(F3,$F$3:$F$7,0)</f>
        <v>1</v>
      </c>
    </row>
    <row r="4" spans="1:9" x14ac:dyDescent="0.2">
      <c r="A4" s="50">
        <v>2</v>
      </c>
      <c r="B4" s="51" t="s">
        <v>75</v>
      </c>
      <c r="C4" s="50" t="s">
        <v>31</v>
      </c>
      <c r="D4" s="50">
        <v>8</v>
      </c>
      <c r="E4" s="50">
        <v>10</v>
      </c>
      <c r="F4" s="52">
        <f t="shared" ref="F4:F7" si="0">(E4*2+D4)/3</f>
        <v>9.3333333333333339</v>
      </c>
      <c r="G4" s="53" t="str">
        <f t="shared" ref="G4:G7" si="1">IF(F4&lt;5,"Thi lại","Lên lớp")</f>
        <v>Lên lớp</v>
      </c>
      <c r="H4" s="53" t="str">
        <f t="shared" ref="H4:H7" si="2">IF(AND(F4&gt;=9,C4="A"),150000,"")</f>
        <v/>
      </c>
      <c r="I4" s="53">
        <f t="shared" ref="I4:I7" si="3">RANK(F4,$F$3:$F$7,0)</f>
        <v>2</v>
      </c>
    </row>
    <row r="5" spans="1:9" x14ac:dyDescent="0.2">
      <c r="A5" s="50">
        <v>3</v>
      </c>
      <c r="B5" s="51" t="s">
        <v>190</v>
      </c>
      <c r="C5" s="50" t="s">
        <v>31</v>
      </c>
      <c r="D5" s="50">
        <v>5</v>
      </c>
      <c r="E5" s="50">
        <v>6</v>
      </c>
      <c r="F5" s="52">
        <f t="shared" si="0"/>
        <v>5.666666666666667</v>
      </c>
      <c r="G5" s="53" t="str">
        <f t="shared" si="1"/>
        <v>Lên lớp</v>
      </c>
      <c r="H5" s="53" t="str">
        <f t="shared" si="2"/>
        <v/>
      </c>
      <c r="I5" s="53">
        <f t="shared" si="3"/>
        <v>4</v>
      </c>
    </row>
    <row r="6" spans="1:9" x14ac:dyDescent="0.2">
      <c r="A6" s="50">
        <v>4</v>
      </c>
      <c r="B6" s="51" t="s">
        <v>76</v>
      </c>
      <c r="C6" s="50" t="s">
        <v>29</v>
      </c>
      <c r="D6" s="50">
        <v>8</v>
      </c>
      <c r="E6" s="50">
        <v>2</v>
      </c>
      <c r="F6" s="52">
        <f t="shared" si="0"/>
        <v>4</v>
      </c>
      <c r="G6" s="53" t="str">
        <f t="shared" si="1"/>
        <v>Thi lại</v>
      </c>
      <c r="H6" s="53" t="str">
        <f t="shared" si="2"/>
        <v/>
      </c>
      <c r="I6" s="53">
        <f t="shared" si="3"/>
        <v>5</v>
      </c>
    </row>
    <row r="7" spans="1:9" x14ac:dyDescent="0.2">
      <c r="A7" s="50">
        <v>5</v>
      </c>
      <c r="B7" s="51" t="s">
        <v>77</v>
      </c>
      <c r="C7" s="50" t="s">
        <v>31</v>
      </c>
      <c r="D7" s="50">
        <v>10</v>
      </c>
      <c r="E7" s="50">
        <v>9</v>
      </c>
      <c r="F7" s="52">
        <f t="shared" si="0"/>
        <v>9.3333333333333339</v>
      </c>
      <c r="G7" s="53" t="str">
        <f t="shared" si="1"/>
        <v>Lên lớp</v>
      </c>
      <c r="H7" s="53" t="str">
        <f t="shared" si="2"/>
        <v/>
      </c>
      <c r="I7" s="53">
        <f t="shared" si="3"/>
        <v>2</v>
      </c>
    </row>
    <row r="9" spans="1:9" x14ac:dyDescent="0.2">
      <c r="A9" s="54"/>
      <c r="B9" s="54"/>
      <c r="C9" s="54"/>
      <c r="D9" s="54"/>
      <c r="E9" s="54"/>
      <c r="F9" s="54"/>
      <c r="G9" s="54"/>
      <c r="H9" s="54"/>
    </row>
    <row r="10" spans="1:9" ht="15" x14ac:dyDescent="0.2">
      <c r="A10" s="55" t="s">
        <v>176</v>
      </c>
      <c r="B10" s="55"/>
      <c r="C10" s="54"/>
      <c r="D10" s="54"/>
      <c r="E10" s="54"/>
      <c r="F10" s="54"/>
      <c r="G10" s="54"/>
      <c r="H10" s="54"/>
    </row>
    <row r="11" spans="1:9" ht="15" x14ac:dyDescent="0.2">
      <c r="A11" s="55" t="s">
        <v>177</v>
      </c>
      <c r="B11" s="55"/>
      <c r="C11" s="54"/>
      <c r="D11" s="54"/>
      <c r="E11" s="54"/>
      <c r="F11" s="54"/>
      <c r="G11" s="54"/>
      <c r="H11" s="54"/>
    </row>
    <row r="12" spans="1:9" ht="15" x14ac:dyDescent="0.2">
      <c r="A12" s="55" t="s">
        <v>178</v>
      </c>
      <c r="B12" s="55"/>
      <c r="C12" s="54"/>
      <c r="D12" s="54"/>
      <c r="E12" s="54"/>
      <c r="F12" s="54"/>
      <c r="G12" s="54"/>
      <c r="H12" s="54"/>
    </row>
    <row r="13" spans="1:9" ht="15" x14ac:dyDescent="0.2">
      <c r="A13" s="56" t="s">
        <v>179</v>
      </c>
      <c r="B13" s="57"/>
    </row>
    <row r="14" spans="1:9" ht="47.25" customHeight="1" x14ac:dyDescent="0.2">
      <c r="A14" s="58" t="s">
        <v>145</v>
      </c>
      <c r="B14" s="59" t="s">
        <v>152</v>
      </c>
      <c r="C14" s="60" t="s">
        <v>146</v>
      </c>
      <c r="D14" s="80" t="s">
        <v>153</v>
      </c>
      <c r="E14" s="80"/>
    </row>
    <row r="15" spans="1:9" x14ac:dyDescent="0.2">
      <c r="A15" s="61">
        <f>COUNTA(B3:B7)</f>
        <v>5</v>
      </c>
      <c r="B15" s="69">
        <f>MAX(F3:F7)</f>
        <v>9.6666666666666661</v>
      </c>
      <c r="C15" s="62">
        <f>SUM(H3:H7)</f>
        <v>150000</v>
      </c>
      <c r="D15" s="81">
        <f>COUNTIF(D3:D7,"&gt;=9")</f>
        <v>2</v>
      </c>
      <c r="E15" s="81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opLeftCell="A7" zoomScaleNormal="100" workbookViewId="0">
      <selection activeCell="K15" sqref="K15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3" t="s">
        <v>37</v>
      </c>
      <c r="B1" s="83"/>
      <c r="C1" s="83"/>
      <c r="D1" s="83"/>
      <c r="E1" s="83"/>
      <c r="F1" s="83"/>
      <c r="G1" s="83"/>
      <c r="H1" s="83"/>
      <c r="I1" s="83"/>
      <c r="J1" s="83"/>
    </row>
    <row r="2" spans="1:11" ht="24" customHeight="1" x14ac:dyDescent="0.2">
      <c r="A2" s="39" t="s">
        <v>1</v>
      </c>
      <c r="B2" s="39" t="s">
        <v>38</v>
      </c>
      <c r="C2" s="39" t="s">
        <v>39</v>
      </c>
      <c r="D2" s="39" t="s">
        <v>40</v>
      </c>
      <c r="E2" s="39" t="s">
        <v>41</v>
      </c>
      <c r="F2" s="39" t="s">
        <v>42</v>
      </c>
      <c r="G2" s="39" t="s">
        <v>43</v>
      </c>
      <c r="H2" s="39" t="s">
        <v>175</v>
      </c>
      <c r="I2" s="41" t="s">
        <v>70</v>
      </c>
      <c r="J2" s="41" t="s">
        <v>72</v>
      </c>
    </row>
    <row r="3" spans="1:11" ht="20.100000000000001" customHeight="1" x14ac:dyDescent="0.2">
      <c r="A3" s="5">
        <v>1</v>
      </c>
      <c r="B3" s="4" t="s">
        <v>73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6" t="str">
        <f>IF(  AND(LEFT(B3,2)="PE",MID(B3,5,1)="C",RIGHT(B3,1)="X",D3&gt;=50  ),5%*D3*E3,"")</f>
        <v/>
      </c>
      <c r="G3" s="31">
        <f>D3*E3-IF(F3="",0,F3)</f>
        <v>28000</v>
      </c>
      <c r="H3" s="26" t="str">
        <f>IF(AND(RIGHT(B3,1)="X",D3&gt;=50),"Có quà tặng","")</f>
        <v/>
      </c>
      <c r="I3" s="26" t="str">
        <f>IF(MID(B3,5,1)="C","Chai","Lon")</f>
        <v>Lon</v>
      </c>
      <c r="J3" s="26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45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6" t="str">
        <f t="shared" ref="F4:F10" si="1">IF(  AND(LEFT(B4,2)="PE",MID(B4,5,1)="C",RIGHT(B4,1)="X",D4&gt;=50  ),5%*D4*E4,"")</f>
        <v/>
      </c>
      <c r="G4" s="31">
        <f t="shared" ref="G4:G10" si="2">D4*E4-IF(F4="",0,F4)</f>
        <v>64000</v>
      </c>
      <c r="H4" s="26" t="str">
        <f t="shared" ref="H4:H10" si="3">IF(AND(RIGHT(B4,1)="X",D4&gt;=50),"Có quà tặng","")</f>
        <v/>
      </c>
      <c r="I4" s="26" t="str">
        <f t="shared" ref="I4:I10" si="4">IF(MID(B4,5,1)="C","Chai","Lon")</f>
        <v>Chai</v>
      </c>
      <c r="J4" s="26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46</v>
      </c>
      <c r="C5" s="2" t="str">
        <f t="shared" si="0"/>
        <v>SPRITE</v>
      </c>
      <c r="D5" s="5">
        <v>35</v>
      </c>
      <c r="E5" s="2">
        <v>1800</v>
      </c>
      <c r="F5" s="26" t="str">
        <f t="shared" si="1"/>
        <v/>
      </c>
      <c r="G5" s="31">
        <f t="shared" si="2"/>
        <v>63000</v>
      </c>
      <c r="H5" s="26" t="str">
        <f t="shared" si="3"/>
        <v/>
      </c>
      <c r="I5" s="26" t="str">
        <f t="shared" si="4"/>
        <v>Lon</v>
      </c>
      <c r="J5" s="26" t="str">
        <f t="shared" si="5"/>
        <v>Nhập</v>
      </c>
    </row>
    <row r="6" spans="1:11" ht="20.100000000000001" customHeight="1" x14ac:dyDescent="0.2">
      <c r="A6" s="5">
        <v>4</v>
      </c>
      <c r="B6" s="2" t="s">
        <v>47</v>
      </c>
      <c r="C6" s="2" t="str">
        <f t="shared" si="0"/>
        <v>PEPSI</v>
      </c>
      <c r="D6" s="5">
        <v>80</v>
      </c>
      <c r="E6" s="2">
        <v>1400</v>
      </c>
      <c r="F6" s="26" t="str">
        <f t="shared" si="1"/>
        <v/>
      </c>
      <c r="G6" s="31">
        <f t="shared" si="2"/>
        <v>112000</v>
      </c>
      <c r="H6" s="26" t="str">
        <f t="shared" si="3"/>
        <v/>
      </c>
      <c r="I6" s="26" t="str">
        <f t="shared" si="4"/>
        <v>Chai</v>
      </c>
      <c r="J6" s="26" t="str">
        <f t="shared" si="5"/>
        <v>Nhập</v>
      </c>
    </row>
    <row r="7" spans="1:11" ht="20.100000000000001" customHeight="1" x14ac:dyDescent="0.2">
      <c r="A7" s="5">
        <v>5</v>
      </c>
      <c r="B7" s="2" t="s">
        <v>48</v>
      </c>
      <c r="C7" s="2" t="str">
        <f t="shared" si="0"/>
        <v>FANTA</v>
      </c>
      <c r="D7" s="5">
        <v>80</v>
      </c>
      <c r="E7" s="2">
        <v>2000</v>
      </c>
      <c r="F7" s="26" t="str">
        <f t="shared" si="1"/>
        <v/>
      </c>
      <c r="G7" s="31">
        <f t="shared" si="2"/>
        <v>160000</v>
      </c>
      <c r="H7" s="26" t="str">
        <f t="shared" si="3"/>
        <v/>
      </c>
      <c r="I7" s="26" t="str">
        <f t="shared" si="4"/>
        <v>Lon</v>
      </c>
      <c r="J7" s="26" t="str">
        <f t="shared" si="5"/>
        <v>Nhập</v>
      </c>
    </row>
    <row r="8" spans="1:11" ht="20.100000000000001" customHeight="1" x14ac:dyDescent="0.2">
      <c r="A8" s="5">
        <v>6</v>
      </c>
      <c r="B8" s="2" t="s">
        <v>49</v>
      </c>
      <c r="C8" s="2" t="str">
        <f t="shared" si="0"/>
        <v>SPRITE</v>
      </c>
      <c r="D8" s="5">
        <v>35</v>
      </c>
      <c r="E8" s="2">
        <v>2300</v>
      </c>
      <c r="F8" s="26" t="str">
        <f t="shared" si="1"/>
        <v/>
      </c>
      <c r="G8" s="31">
        <f t="shared" si="2"/>
        <v>80500</v>
      </c>
      <c r="H8" s="26" t="str">
        <f t="shared" si="3"/>
        <v/>
      </c>
      <c r="I8" s="26" t="str">
        <f t="shared" si="4"/>
        <v>Lon</v>
      </c>
      <c r="J8" s="26" t="str">
        <f t="shared" si="5"/>
        <v>Xuất</v>
      </c>
    </row>
    <row r="9" spans="1:11" ht="20.100000000000001" customHeight="1" x14ac:dyDescent="0.2">
      <c r="A9" s="5">
        <v>7</v>
      </c>
      <c r="B9" s="2" t="s">
        <v>50</v>
      </c>
      <c r="C9" s="2" t="str">
        <f t="shared" si="0"/>
        <v>PEPSI</v>
      </c>
      <c r="D9" s="5">
        <v>50</v>
      </c>
      <c r="E9" s="2">
        <v>1800</v>
      </c>
      <c r="F9" s="26">
        <f t="shared" si="1"/>
        <v>4500</v>
      </c>
      <c r="G9" s="31">
        <f t="shared" si="2"/>
        <v>85500</v>
      </c>
      <c r="H9" s="26" t="str">
        <f t="shared" si="3"/>
        <v>Có quà tặng</v>
      </c>
      <c r="I9" s="26" t="str">
        <f t="shared" si="4"/>
        <v>Chai</v>
      </c>
      <c r="J9" s="26" t="str">
        <f t="shared" si="5"/>
        <v>Xuất</v>
      </c>
    </row>
    <row r="10" spans="1:11" ht="20.100000000000001" customHeight="1" x14ac:dyDescent="0.2">
      <c r="A10" s="5">
        <v>8</v>
      </c>
      <c r="B10" s="2" t="s">
        <v>51</v>
      </c>
      <c r="C10" s="2" t="str">
        <f t="shared" si="0"/>
        <v>FANTA</v>
      </c>
      <c r="D10" s="5">
        <v>70</v>
      </c>
      <c r="E10" s="2">
        <v>2000</v>
      </c>
      <c r="F10" s="26" t="str">
        <f t="shared" si="1"/>
        <v/>
      </c>
      <c r="G10" s="31">
        <f t="shared" si="2"/>
        <v>140000</v>
      </c>
      <c r="H10" s="26" t="str">
        <f t="shared" si="3"/>
        <v/>
      </c>
      <c r="I10" s="26" t="str">
        <f t="shared" si="4"/>
        <v>Chai</v>
      </c>
      <c r="J10" s="26" t="str">
        <f t="shared" si="5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68</v>
      </c>
    </row>
    <row r="13" spans="1:11" ht="20.100000000000001" customHeight="1" x14ac:dyDescent="0.2">
      <c r="A13" s="82" t="s">
        <v>52</v>
      </c>
      <c r="B13" s="82" t="s">
        <v>39</v>
      </c>
      <c r="C13" s="82" t="s">
        <v>41</v>
      </c>
      <c r="D13" s="82"/>
      <c r="F13" s="40" t="s">
        <v>63</v>
      </c>
      <c r="G13" s="40" t="s">
        <v>64</v>
      </c>
      <c r="I13" s="40" t="s">
        <v>69</v>
      </c>
      <c r="J13" s="40" t="s">
        <v>61</v>
      </c>
      <c r="K13" s="40" t="s">
        <v>62</v>
      </c>
    </row>
    <row r="14" spans="1:11" ht="20.100000000000001" customHeight="1" x14ac:dyDescent="0.2">
      <c r="A14" s="82"/>
      <c r="B14" s="82"/>
      <c r="C14" s="39" t="s">
        <v>61</v>
      </c>
      <c r="D14" s="39" t="s">
        <v>62</v>
      </c>
      <c r="F14" s="5" t="s">
        <v>65</v>
      </c>
      <c r="G14" s="2" t="s">
        <v>66</v>
      </c>
      <c r="I14" s="2" t="s">
        <v>57</v>
      </c>
      <c r="J14" s="26">
        <f>SUMIF($B$3:$B$10,"PE???N",$D$3:$D$10)</f>
        <v>100</v>
      </c>
      <c r="K14" s="26">
        <f>SUMIF($B$3:$B$10,"PE???X",$D$3:$D$10)</f>
        <v>50</v>
      </c>
    </row>
    <row r="15" spans="1:11" ht="20.100000000000001" customHeight="1" x14ac:dyDescent="0.2">
      <c r="A15" s="5" t="s">
        <v>53</v>
      </c>
      <c r="B15" s="2" t="s">
        <v>57</v>
      </c>
      <c r="C15" s="2">
        <v>1400</v>
      </c>
      <c r="D15" s="2">
        <v>1800</v>
      </c>
      <c r="F15" s="5" t="s">
        <v>30</v>
      </c>
      <c r="G15" s="2" t="s">
        <v>67</v>
      </c>
      <c r="I15" s="2" t="s">
        <v>58</v>
      </c>
      <c r="J15" s="26">
        <f>SUMIF($B$3:$B$10,"CO???N",$D$3:$D$10)</f>
        <v>40</v>
      </c>
      <c r="K15" s="26">
        <f>SUMIF($B$3:$B$10,"CO???X",$D$3:$D$10)</f>
        <v>0</v>
      </c>
    </row>
    <row r="16" spans="1:11" ht="20.100000000000001" customHeight="1" x14ac:dyDescent="0.2">
      <c r="A16" s="5" t="s">
        <v>54</v>
      </c>
      <c r="B16" s="2" t="s">
        <v>58</v>
      </c>
      <c r="C16" s="2">
        <v>1600</v>
      </c>
      <c r="D16" s="2">
        <v>2000</v>
      </c>
    </row>
    <row r="17" spans="1:4" ht="20.100000000000001" customHeight="1" x14ac:dyDescent="0.2">
      <c r="A17" s="5" t="s">
        <v>55</v>
      </c>
      <c r="B17" s="2" t="s">
        <v>59</v>
      </c>
      <c r="C17" s="2">
        <v>1800</v>
      </c>
      <c r="D17" s="2">
        <v>2300</v>
      </c>
    </row>
    <row r="18" spans="1:4" ht="20.100000000000001" customHeight="1" x14ac:dyDescent="0.2">
      <c r="A18" s="5" t="s">
        <v>56</v>
      </c>
      <c r="B18" s="2" t="s">
        <v>60</v>
      </c>
      <c r="C18" s="2">
        <v>2000</v>
      </c>
      <c r="D18" s="2">
        <v>2500</v>
      </c>
    </row>
    <row r="20" spans="1:4" ht="20.100000000000001" customHeight="1" x14ac:dyDescent="0.2">
      <c r="A20" s="22" t="s">
        <v>130</v>
      </c>
    </row>
    <row r="21" spans="1:4" ht="20.100000000000001" customHeight="1" x14ac:dyDescent="0.2">
      <c r="A21" s="22"/>
      <c r="B21" s="1" t="s">
        <v>174</v>
      </c>
    </row>
    <row r="22" spans="1:4" ht="20.100000000000001" customHeight="1" x14ac:dyDescent="0.2">
      <c r="B22" s="1" t="s">
        <v>147</v>
      </c>
    </row>
    <row r="23" spans="1:4" ht="20.100000000000001" customHeight="1" x14ac:dyDescent="0.2">
      <c r="B23" s="1" t="s">
        <v>81</v>
      </c>
      <c r="C23" s="1" t="s">
        <v>148</v>
      </c>
    </row>
    <row r="24" spans="1:4" ht="20.100000000000001" customHeight="1" x14ac:dyDescent="0.2">
      <c r="A24" s="1" t="s">
        <v>78</v>
      </c>
    </row>
    <row r="25" spans="1:4" ht="20.100000000000001" customHeight="1" x14ac:dyDescent="0.2">
      <c r="A25" s="1" t="s">
        <v>142</v>
      </c>
    </row>
    <row r="26" spans="1:4" ht="20.100000000000001" customHeight="1" x14ac:dyDescent="0.2">
      <c r="A26" s="1" t="s">
        <v>144</v>
      </c>
    </row>
    <row r="27" spans="1:4" ht="20.100000000000001" customHeight="1" x14ac:dyDescent="0.2">
      <c r="A27" s="1" t="s">
        <v>143</v>
      </c>
    </row>
    <row r="28" spans="1:4" ht="20.100000000000001" customHeight="1" x14ac:dyDescent="0.2">
      <c r="A28" s="25" t="s">
        <v>136</v>
      </c>
    </row>
    <row r="29" spans="1:4" ht="20.100000000000001" customHeight="1" x14ac:dyDescent="0.2">
      <c r="A29" s="1" t="s">
        <v>131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D14" sqref="D14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7" t="s">
        <v>118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x14ac:dyDescent="0.2">
      <c r="A2" s="85" t="s">
        <v>1</v>
      </c>
      <c r="B2" s="88" t="s">
        <v>98</v>
      </c>
      <c r="C2" s="89"/>
      <c r="D2" s="42" t="s">
        <v>99</v>
      </c>
      <c r="E2" s="84" t="s">
        <v>113</v>
      </c>
      <c r="F2" s="84"/>
      <c r="G2" s="84"/>
      <c r="H2" s="84"/>
      <c r="I2" s="42" t="s">
        <v>108</v>
      </c>
      <c r="J2" s="42" t="s">
        <v>109</v>
      </c>
      <c r="K2" s="42" t="s">
        <v>112</v>
      </c>
    </row>
    <row r="3" spans="1:11" x14ac:dyDescent="0.2">
      <c r="A3" s="86"/>
      <c r="B3" s="43" t="s">
        <v>101</v>
      </c>
      <c r="C3" s="43" t="s">
        <v>102</v>
      </c>
      <c r="D3" s="44" t="s">
        <v>100</v>
      </c>
      <c r="E3" s="43" t="s">
        <v>103</v>
      </c>
      <c r="F3" s="43" t="s">
        <v>104</v>
      </c>
      <c r="G3" s="43" t="s">
        <v>105</v>
      </c>
      <c r="H3" s="43" t="s">
        <v>106</v>
      </c>
      <c r="I3" s="44" t="s">
        <v>107</v>
      </c>
      <c r="J3" s="44" t="s">
        <v>110</v>
      </c>
      <c r="K3" s="44" t="s">
        <v>111</v>
      </c>
    </row>
    <row r="4" spans="1:11" x14ac:dyDescent="0.2">
      <c r="A4" s="5">
        <v>1</v>
      </c>
      <c r="B4" s="2">
        <v>50</v>
      </c>
      <c r="C4" s="2">
        <v>230</v>
      </c>
      <c r="D4" s="30">
        <f>C4-B4</f>
        <v>180</v>
      </c>
      <c r="E4" s="30">
        <f>IF(D4&gt;100,100,D4)</f>
        <v>100</v>
      </c>
      <c r="F4" s="30">
        <f>IF(D4&lt;=100,0,IF(D4&gt;150,50,D4-100))</f>
        <v>50</v>
      </c>
      <c r="G4" s="30">
        <f>IF(D4&lt;=150,0,IF(D4&gt;=250,100,D4-150))</f>
        <v>30</v>
      </c>
      <c r="H4" s="30">
        <f>D4-E4-F4-G4</f>
        <v>0</v>
      </c>
      <c r="I4" s="30">
        <f>IF(D4&gt;=350,200000,IF(AND(D4&gt;=251,D4&lt;=349),100000,0))</f>
        <v>0</v>
      </c>
      <c r="J4" s="26">
        <f>E4*500+F4*650+G4*900+H4*1000+I4</f>
        <v>109500</v>
      </c>
      <c r="K4" s="26" t="str">
        <f>IF(I4&gt;0,"Phạt tiền","")</f>
        <v/>
      </c>
    </row>
    <row r="5" spans="1:11" x14ac:dyDescent="0.2">
      <c r="A5" s="5">
        <v>2</v>
      </c>
      <c r="B5" s="2">
        <v>76</v>
      </c>
      <c r="C5" s="2">
        <v>155</v>
      </c>
      <c r="D5" s="30">
        <f t="shared" ref="D5:D13" si="0">C5-B5</f>
        <v>79</v>
      </c>
      <c r="E5" s="30">
        <f t="shared" ref="E5:E13" si="1">IF(D5&gt;100,100,D5)</f>
        <v>79</v>
      </c>
      <c r="F5" s="30">
        <f t="shared" ref="F5:F13" si="2">IF(D5&lt;=100,0,IF(D5&gt;150,50,D5-100))</f>
        <v>0</v>
      </c>
      <c r="G5" s="30">
        <f t="shared" ref="G5:G13" si="3">IF(D5&lt;=150,0,IF(D5&gt;=250,100,D5-150))</f>
        <v>0</v>
      </c>
      <c r="H5" s="30">
        <f t="shared" ref="H5:H13" si="4">D5-E5-F5-G5</f>
        <v>0</v>
      </c>
      <c r="I5" s="30">
        <f t="shared" ref="I5:I13" si="5">IF(D5&gt;=350,200000,IF(AND(D5&gt;=251,D5&lt;=349),100000,0))</f>
        <v>0</v>
      </c>
      <c r="J5" s="26">
        <f t="shared" ref="J5:J13" si="6">E5*500+F5*650+G5*900+H5*1000+I5</f>
        <v>39500</v>
      </c>
      <c r="K5" s="26" t="str">
        <f t="shared" ref="K5:K13" si="7">IF(I5&gt;0,"Phạt tiền","")</f>
        <v/>
      </c>
    </row>
    <row r="6" spans="1:11" x14ac:dyDescent="0.2">
      <c r="A6" s="5">
        <v>3</v>
      </c>
      <c r="B6" s="2">
        <v>85</v>
      </c>
      <c r="C6" s="2">
        <v>202</v>
      </c>
      <c r="D6" s="30">
        <f t="shared" si="0"/>
        <v>117</v>
      </c>
      <c r="E6" s="30">
        <f t="shared" si="1"/>
        <v>100</v>
      </c>
      <c r="F6" s="30">
        <f t="shared" si="2"/>
        <v>17</v>
      </c>
      <c r="G6" s="30">
        <f t="shared" si="3"/>
        <v>0</v>
      </c>
      <c r="H6" s="30">
        <f t="shared" si="4"/>
        <v>0</v>
      </c>
      <c r="I6" s="30">
        <f t="shared" si="5"/>
        <v>0</v>
      </c>
      <c r="J6" s="26">
        <f t="shared" si="6"/>
        <v>61050</v>
      </c>
      <c r="K6" s="26" t="str">
        <f t="shared" si="7"/>
        <v/>
      </c>
    </row>
    <row r="7" spans="1:11" x14ac:dyDescent="0.2">
      <c r="A7" s="5">
        <v>4</v>
      </c>
      <c r="B7" s="2">
        <v>60</v>
      </c>
      <c r="C7" s="2">
        <v>145</v>
      </c>
      <c r="D7" s="30">
        <f t="shared" si="0"/>
        <v>85</v>
      </c>
      <c r="E7" s="30">
        <f t="shared" si="1"/>
        <v>85</v>
      </c>
      <c r="F7" s="30">
        <f t="shared" si="2"/>
        <v>0</v>
      </c>
      <c r="G7" s="30">
        <f t="shared" si="3"/>
        <v>0</v>
      </c>
      <c r="H7" s="30">
        <f t="shared" si="4"/>
        <v>0</v>
      </c>
      <c r="I7" s="30">
        <f t="shared" si="5"/>
        <v>0</v>
      </c>
      <c r="J7" s="26">
        <f t="shared" si="6"/>
        <v>42500</v>
      </c>
      <c r="K7" s="26" t="str">
        <f t="shared" si="7"/>
        <v/>
      </c>
    </row>
    <row r="8" spans="1:11" x14ac:dyDescent="0.2">
      <c r="A8" s="5">
        <v>5</v>
      </c>
      <c r="B8" s="2">
        <v>105</v>
      </c>
      <c r="C8" s="2">
        <v>500</v>
      </c>
      <c r="D8" s="30">
        <f t="shared" si="0"/>
        <v>395</v>
      </c>
      <c r="E8" s="30">
        <f t="shared" si="1"/>
        <v>100</v>
      </c>
      <c r="F8" s="30">
        <f t="shared" si="2"/>
        <v>50</v>
      </c>
      <c r="G8" s="30">
        <f t="shared" si="3"/>
        <v>100</v>
      </c>
      <c r="H8" s="30">
        <f t="shared" si="4"/>
        <v>145</v>
      </c>
      <c r="I8" s="30">
        <f t="shared" si="5"/>
        <v>200000</v>
      </c>
      <c r="J8" s="26">
        <f t="shared" si="6"/>
        <v>517500</v>
      </c>
      <c r="K8" s="26" t="str">
        <f t="shared" si="7"/>
        <v>Phạt tiền</v>
      </c>
    </row>
    <row r="9" spans="1:11" x14ac:dyDescent="0.2">
      <c r="A9" s="5">
        <v>6</v>
      </c>
      <c r="B9" s="2">
        <v>35</v>
      </c>
      <c r="C9" s="2">
        <v>233</v>
      </c>
      <c r="D9" s="30">
        <f t="shared" si="0"/>
        <v>198</v>
      </c>
      <c r="E9" s="30">
        <f t="shared" si="1"/>
        <v>100</v>
      </c>
      <c r="F9" s="30">
        <f t="shared" si="2"/>
        <v>50</v>
      </c>
      <c r="G9" s="30">
        <f t="shared" si="3"/>
        <v>48</v>
      </c>
      <c r="H9" s="30">
        <f t="shared" si="4"/>
        <v>0</v>
      </c>
      <c r="I9" s="30">
        <f t="shared" si="5"/>
        <v>0</v>
      </c>
      <c r="J9" s="26">
        <f t="shared" si="6"/>
        <v>125700</v>
      </c>
      <c r="K9" s="26" t="str">
        <f t="shared" si="7"/>
        <v/>
      </c>
    </row>
    <row r="10" spans="1:11" x14ac:dyDescent="0.2">
      <c r="A10" s="5">
        <v>7</v>
      </c>
      <c r="B10" s="2">
        <v>170</v>
      </c>
      <c r="C10" s="2">
        <v>295</v>
      </c>
      <c r="D10" s="30">
        <f t="shared" si="0"/>
        <v>125</v>
      </c>
      <c r="E10" s="30">
        <f t="shared" si="1"/>
        <v>100</v>
      </c>
      <c r="F10" s="30">
        <f t="shared" si="2"/>
        <v>25</v>
      </c>
      <c r="G10" s="30">
        <f t="shared" si="3"/>
        <v>0</v>
      </c>
      <c r="H10" s="30">
        <f t="shared" si="4"/>
        <v>0</v>
      </c>
      <c r="I10" s="30">
        <f t="shared" si="5"/>
        <v>0</v>
      </c>
      <c r="J10" s="26">
        <f t="shared" si="6"/>
        <v>66250</v>
      </c>
      <c r="K10" s="26" t="str">
        <f t="shared" si="7"/>
        <v/>
      </c>
    </row>
    <row r="11" spans="1:11" x14ac:dyDescent="0.2">
      <c r="A11" s="5">
        <v>8</v>
      </c>
      <c r="B11" s="2">
        <v>120</v>
      </c>
      <c r="C11" s="2">
        <v>500</v>
      </c>
      <c r="D11" s="30">
        <f t="shared" si="0"/>
        <v>380</v>
      </c>
      <c r="E11" s="30">
        <f t="shared" si="1"/>
        <v>100</v>
      </c>
      <c r="F11" s="30">
        <f t="shared" si="2"/>
        <v>50</v>
      </c>
      <c r="G11" s="30">
        <f t="shared" si="3"/>
        <v>100</v>
      </c>
      <c r="H11" s="30">
        <f t="shared" si="4"/>
        <v>130</v>
      </c>
      <c r="I11" s="30">
        <f t="shared" si="5"/>
        <v>200000</v>
      </c>
      <c r="J11" s="26">
        <f t="shared" si="6"/>
        <v>502500</v>
      </c>
      <c r="K11" s="26" t="str">
        <f t="shared" si="7"/>
        <v>Phạt tiền</v>
      </c>
    </row>
    <row r="12" spans="1:11" x14ac:dyDescent="0.2">
      <c r="A12" s="5">
        <v>9</v>
      </c>
      <c r="B12" s="2">
        <v>115</v>
      </c>
      <c r="C12" s="2">
        <v>207</v>
      </c>
      <c r="D12" s="30">
        <f t="shared" si="0"/>
        <v>92</v>
      </c>
      <c r="E12" s="30">
        <f t="shared" si="1"/>
        <v>92</v>
      </c>
      <c r="F12" s="30">
        <f t="shared" si="2"/>
        <v>0</v>
      </c>
      <c r="G12" s="30">
        <f t="shared" si="3"/>
        <v>0</v>
      </c>
      <c r="H12" s="30">
        <f t="shared" si="4"/>
        <v>0</v>
      </c>
      <c r="I12" s="30">
        <f t="shared" si="5"/>
        <v>0</v>
      </c>
      <c r="J12" s="26">
        <f t="shared" si="6"/>
        <v>46000</v>
      </c>
      <c r="K12" s="26" t="str">
        <f t="shared" si="7"/>
        <v/>
      </c>
    </row>
    <row r="13" spans="1:11" x14ac:dyDescent="0.2">
      <c r="A13" s="5">
        <v>10</v>
      </c>
      <c r="B13" s="2">
        <v>125</v>
      </c>
      <c r="C13" s="2">
        <v>400</v>
      </c>
      <c r="D13" s="30">
        <f t="shared" si="0"/>
        <v>275</v>
      </c>
      <c r="E13" s="30">
        <f t="shared" si="1"/>
        <v>100</v>
      </c>
      <c r="F13" s="30">
        <f t="shared" si="2"/>
        <v>50</v>
      </c>
      <c r="G13" s="30">
        <f t="shared" si="3"/>
        <v>100</v>
      </c>
      <c r="H13" s="30">
        <f t="shared" si="4"/>
        <v>25</v>
      </c>
      <c r="I13" s="30">
        <f t="shared" si="5"/>
        <v>100000</v>
      </c>
      <c r="J13" s="26">
        <f t="shared" si="6"/>
        <v>297500</v>
      </c>
      <c r="K13" s="26" t="str">
        <f t="shared" si="7"/>
        <v>Phạt tiền</v>
      </c>
    </row>
    <row r="14" spans="1:11" x14ac:dyDescent="0.2">
      <c r="A14" s="12"/>
      <c r="B14" s="13"/>
      <c r="C14" s="13" t="s">
        <v>114</v>
      </c>
      <c r="D14" s="27"/>
      <c r="E14" s="13"/>
      <c r="F14" s="13"/>
      <c r="G14" s="13"/>
      <c r="H14" s="13"/>
      <c r="I14" s="27" t="s">
        <v>33</v>
      </c>
      <c r="J14" s="13"/>
      <c r="K14" s="14"/>
    </row>
    <row r="15" spans="1:11" x14ac:dyDescent="0.2">
      <c r="A15" s="15"/>
      <c r="C15" s="1" t="s">
        <v>115</v>
      </c>
      <c r="D15" s="28" t="s">
        <v>33</v>
      </c>
      <c r="I15" s="28" t="s">
        <v>33</v>
      </c>
      <c r="K15" s="16"/>
    </row>
    <row r="16" spans="1:11" x14ac:dyDescent="0.2">
      <c r="A16" s="15"/>
      <c r="C16" s="1" t="s">
        <v>116</v>
      </c>
      <c r="D16" s="28" t="s">
        <v>33</v>
      </c>
      <c r="I16" s="28" t="s">
        <v>33</v>
      </c>
      <c r="K16" s="16"/>
    </row>
    <row r="17" spans="1:12" x14ac:dyDescent="0.2">
      <c r="A17" s="17"/>
      <c r="B17" s="18"/>
      <c r="C17" s="18" t="s">
        <v>117</v>
      </c>
      <c r="D17" s="29" t="s">
        <v>33</v>
      </c>
      <c r="E17" s="18"/>
      <c r="F17" s="18"/>
      <c r="G17" s="18"/>
      <c r="H17" s="18"/>
      <c r="I17" s="29" t="s">
        <v>33</v>
      </c>
      <c r="J17" s="18"/>
      <c r="K17" s="19"/>
    </row>
    <row r="19" spans="1:12" x14ac:dyDescent="0.2">
      <c r="A19" s="20" t="s">
        <v>96</v>
      </c>
      <c r="H19" s="21" t="s">
        <v>129</v>
      </c>
    </row>
    <row r="20" spans="1:12" x14ac:dyDescent="0.2">
      <c r="A20" s="1" t="s">
        <v>123</v>
      </c>
      <c r="H20" s="42" t="s">
        <v>99</v>
      </c>
      <c r="I20" s="84" t="s">
        <v>113</v>
      </c>
      <c r="J20" s="84"/>
      <c r="K20" s="84"/>
      <c r="L20" s="84"/>
    </row>
    <row r="21" spans="1:12" x14ac:dyDescent="0.2">
      <c r="A21" s="1" t="s">
        <v>124</v>
      </c>
      <c r="H21" s="44" t="s">
        <v>100</v>
      </c>
      <c r="I21" s="43" t="s">
        <v>103</v>
      </c>
      <c r="J21" s="43" t="s">
        <v>104</v>
      </c>
      <c r="K21" s="43" t="s">
        <v>105</v>
      </c>
      <c r="L21" s="43" t="s">
        <v>106</v>
      </c>
    </row>
    <row r="22" spans="1:12" x14ac:dyDescent="0.2">
      <c r="B22" s="1" t="s">
        <v>119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120</v>
      </c>
    </row>
    <row r="24" spans="1:12" x14ac:dyDescent="0.2">
      <c r="B24" s="1" t="s">
        <v>121</v>
      </c>
    </row>
    <row r="25" spans="1:12" x14ac:dyDescent="0.2">
      <c r="B25" s="1" t="s">
        <v>122</v>
      </c>
    </row>
    <row r="26" spans="1:12" x14ac:dyDescent="0.2">
      <c r="A26" s="1" t="s">
        <v>125</v>
      </c>
    </row>
    <row r="27" spans="1:12" x14ac:dyDescent="0.2">
      <c r="B27" s="1" t="s">
        <v>138</v>
      </c>
    </row>
    <row r="28" spans="1:12" x14ac:dyDescent="0.2">
      <c r="B28" s="1" t="s">
        <v>139</v>
      </c>
    </row>
    <row r="29" spans="1:12" x14ac:dyDescent="0.2">
      <c r="B29" s="1" t="s">
        <v>140</v>
      </c>
    </row>
    <row r="30" spans="1:12" x14ac:dyDescent="0.2">
      <c r="A30" s="1" t="s">
        <v>126</v>
      </c>
    </row>
    <row r="31" spans="1:12" x14ac:dyDescent="0.2">
      <c r="A31" s="1" t="s">
        <v>141</v>
      </c>
    </row>
    <row r="32" spans="1:12" x14ac:dyDescent="0.2">
      <c r="A32" s="1" t="s">
        <v>127</v>
      </c>
    </row>
    <row r="33" spans="1:1" customFormat="1" ht="15" x14ac:dyDescent="0.25">
      <c r="A33" s="1" t="s">
        <v>128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2024-01-07T04:34:04Z</dcterms:modified>
</cp:coreProperties>
</file>