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2B8DFDB4-35C5-4EE5-8B61-BC8600F768DE}" xr6:coauthVersionLast="46" xr6:coauthVersionMax="47" xr10:uidLastSave="{00000000-0000-0000-0000-000000000000}"/>
  <bookViews>
    <workbookView xWindow="3465" yWindow="3465" windowWidth="21600" windowHeight="11385" tabRatio="750" activeTab="10" xr2:uid="{00000000-000D-0000-FFFF-FFFF00000000}"/>
  </bookViews>
  <sheets>
    <sheet name="Bai 1" sheetId="6" r:id="rId1"/>
    <sheet name="Bai 2" sheetId="2" r:id="rId2"/>
    <sheet name="Bai 3" sheetId="3" r:id="rId3"/>
    <sheet name="Bai 4" sheetId="4" r:id="rId4"/>
    <sheet name="Bai 5" sheetId="7" r:id="rId5"/>
    <sheet name="Bai 6" sheetId="13" r:id="rId6"/>
    <sheet name="Bai 7" sheetId="14" r:id="rId7"/>
    <sheet name="Bai 8" sheetId="8" r:id="rId8"/>
    <sheet name="Bai 9" sheetId="15" r:id="rId9"/>
    <sheet name="Bai 10" sheetId="9" r:id="rId10"/>
    <sheet name="Bai 11" sheetId="10" r:id="rId11"/>
    <sheet name="Bai 12" sheetId="12" r:id="rId12"/>
    <sheet name="Bai 13" sheetId="16" r:id="rId13"/>
    <sheet name="Bai 14" sheetId="17" r:id="rId14"/>
    <sheet name="Bai 15" sheetId="18" r:id="rId15"/>
    <sheet name="Bai 16" sheetId="19" r:id="rId16"/>
    <sheet name="Bai 17" sheetId="20" r:id="rId17"/>
    <sheet name="Bai 18" sheetId="21" r:id="rId18"/>
    <sheet name="Bai 19" sheetId="22" r:id="rId19"/>
    <sheet name="Bai 20" sheetId="23" r:id="rId20"/>
    <sheet name="Sheet1" sheetId="25" r:id="rId21"/>
  </sheets>
  <definedNames>
    <definedName name="_xlnm._FilterDatabase" localSheetId="12" hidden="1">'Bai 13'!$A$11:$M$19</definedName>
    <definedName name="_xlnm._FilterDatabase" localSheetId="14" hidden="1">'Bai 15'!$A$5:$H$14</definedName>
    <definedName name="_xlnm._FilterDatabase" localSheetId="15" hidden="1">'Bai 16'!$A$3:$L$13</definedName>
    <definedName name="_xlnm._FilterDatabase" localSheetId="16" hidden="1">'Bai 17'!$A$6:$H$13</definedName>
    <definedName name="_xlnm._FilterDatabase" localSheetId="17" hidden="1">'Bai 18'!$A$36:$D$40</definedName>
    <definedName name="_xlnm._FilterDatabase" localSheetId="18" hidden="1">'Bai 19'!#REF!</definedName>
    <definedName name="_xlnm._FilterDatabase" localSheetId="19" hidden="1">'Bai 20'!$A$3:$J$13</definedName>
    <definedName name="_xlnm._FilterDatabase" localSheetId="3" hidden="1">'Bai 4'!$A$5:$F$9</definedName>
    <definedName name="_xlnm.Criteria" localSheetId="12">'Bai 13'!$A$43:$A$44</definedName>
    <definedName name="_xlnm.Criteria" localSheetId="13">'Bai 14'!#REF!</definedName>
    <definedName name="_xlnm.Criteria" localSheetId="14">'Bai 15'!#REF!</definedName>
    <definedName name="_xlnm.Criteria" localSheetId="15">'Bai 16'!$A$41:$A$42</definedName>
    <definedName name="_xlnm.Criteria" localSheetId="16">'Bai 17'!$J$7:$K$8</definedName>
    <definedName name="_xlnm.Criteria" localSheetId="17">'Bai 18'!$D$44:$D$45</definedName>
    <definedName name="_xlnm.Criteria" localSheetId="18">'Bai 19'!#REF!</definedName>
    <definedName name="_xlnm.Criteria" localSheetId="19">'Bai 20'!$B$42:$C$43</definedName>
    <definedName name="_xlnm.Extract" localSheetId="12">'Bai 13'!$A$46:$M$46</definedName>
    <definedName name="_xlnm.Extract" localSheetId="13">'Bai 14'!$A$43:$J$43</definedName>
    <definedName name="_xlnm.Extract" localSheetId="14">'Bai 15'!#REF!</definedName>
    <definedName name="_xlnm.Extract" localSheetId="15">'Bai 16'!$A$43:$L$43</definedName>
    <definedName name="_xlnm.Extract" localSheetId="16">'Bai 17'!$A$42:$H$42</definedName>
    <definedName name="_xlnm.Extract" localSheetId="17">'Bai 18'!$A$47:$H$47</definedName>
    <definedName name="_xlnm.Extract" localSheetId="18">'Bai 19'!#REF!</definedName>
    <definedName name="_xlnm.Extract" localSheetId="19">'Bai 20'!$A$44:$J$44</definedName>
  </definedNames>
  <calcPr calcId="181029"/>
</workbook>
</file>

<file path=xl/calcChain.xml><?xml version="1.0" encoding="utf-8"?>
<calcChain xmlns="http://schemas.openxmlformats.org/spreadsheetml/2006/main">
  <c r="F7" i="10" l="1"/>
  <c r="F8" i="10"/>
  <c r="F9" i="10"/>
  <c r="F10" i="10"/>
  <c r="F11" i="10"/>
  <c r="F12" i="10"/>
  <c r="F13" i="10"/>
  <c r="F6" i="10"/>
  <c r="C7" i="10"/>
  <c r="C8" i="10"/>
  <c r="C9" i="10"/>
  <c r="C10" i="10"/>
  <c r="C11" i="10"/>
  <c r="C12" i="10"/>
  <c r="C13" i="10"/>
  <c r="C6" i="10"/>
  <c r="B6" i="10"/>
  <c r="B7" i="10"/>
  <c r="B8" i="10"/>
  <c r="B9" i="10"/>
  <c r="B10" i="10"/>
  <c r="B11" i="10"/>
  <c r="B12" i="10"/>
  <c r="B13" i="10"/>
  <c r="J6" i="9"/>
  <c r="J7" i="9"/>
  <c r="J8" i="9"/>
  <c r="J5" i="9"/>
  <c r="F5" i="23"/>
  <c r="F6" i="23"/>
  <c r="F7" i="23"/>
  <c r="F8" i="23"/>
  <c r="F9" i="23"/>
  <c r="F10" i="23"/>
  <c r="F11" i="23"/>
  <c r="F12" i="23"/>
  <c r="F13" i="23"/>
  <c r="F4" i="23"/>
  <c r="B4" i="20"/>
  <c r="C7" i="17"/>
  <c r="C8" i="17"/>
  <c r="C9" i="17"/>
  <c r="C10" i="17"/>
  <c r="C11" i="17"/>
  <c r="C12" i="17"/>
  <c r="C13" i="17"/>
  <c r="C14" i="17"/>
  <c r="C15" i="17"/>
  <c r="C6" i="17"/>
  <c r="G7" i="12"/>
  <c r="G8" i="12"/>
  <c r="G9" i="12"/>
  <c r="G6" i="12"/>
  <c r="D7" i="12"/>
  <c r="D8" i="12"/>
  <c r="D9" i="12"/>
  <c r="D6" i="12"/>
  <c r="I6" i="9"/>
  <c r="I7" i="9"/>
  <c r="H6" i="9"/>
  <c r="H7" i="9"/>
  <c r="H8" i="9"/>
  <c r="H5" i="9"/>
  <c r="D6" i="9"/>
  <c r="D7" i="9"/>
  <c r="D8" i="9"/>
  <c r="D5" i="9"/>
  <c r="G6" i="9"/>
  <c r="G7" i="9"/>
  <c r="G8" i="9"/>
  <c r="I8" i="9" s="1"/>
  <c r="G5" i="9"/>
  <c r="I5" i="9" s="1"/>
  <c r="G6" i="15"/>
  <c r="G7" i="15"/>
  <c r="G8" i="15"/>
  <c r="G9" i="15"/>
  <c r="G10" i="15"/>
  <c r="G11" i="15"/>
  <c r="G5" i="15"/>
  <c r="F6" i="15"/>
  <c r="F7" i="15"/>
  <c r="F8" i="15"/>
  <c r="F9" i="15"/>
  <c r="F10" i="15"/>
  <c r="F11" i="15"/>
  <c r="F5" i="15"/>
  <c r="E6" i="15"/>
  <c r="E7" i="15"/>
  <c r="E8" i="15"/>
  <c r="E9" i="15"/>
  <c r="E10" i="15"/>
  <c r="E11" i="15"/>
  <c r="E5" i="15"/>
  <c r="C6" i="15"/>
  <c r="C7" i="15"/>
  <c r="C8" i="15"/>
  <c r="C9" i="15"/>
  <c r="C10" i="15"/>
  <c r="C11" i="15"/>
  <c r="C5" i="15"/>
  <c r="F9" i="8"/>
  <c r="F6" i="8"/>
  <c r="F7" i="8"/>
  <c r="F8" i="8"/>
  <c r="F5" i="8"/>
  <c r="O22" i="8"/>
  <c r="N22" i="8"/>
  <c r="M19" i="8"/>
  <c r="E6" i="8"/>
  <c r="E7" i="8"/>
  <c r="E8" i="8"/>
  <c r="E5" i="8"/>
  <c r="D6" i="8"/>
  <c r="D7" i="8"/>
  <c r="D8" i="8"/>
  <c r="D5" i="8"/>
  <c r="B6" i="8"/>
  <c r="B7" i="8"/>
  <c r="B8" i="8"/>
  <c r="B5" i="8"/>
  <c r="G7" i="14"/>
  <c r="G8" i="14"/>
  <c r="G9" i="14"/>
  <c r="G10" i="14"/>
  <c r="G11" i="14"/>
  <c r="G6" i="14"/>
  <c r="F7" i="14"/>
  <c r="F8" i="14"/>
  <c r="F9" i="14"/>
  <c r="F10" i="14"/>
  <c r="F11" i="14"/>
  <c r="F6" i="14"/>
  <c r="E7" i="14"/>
  <c r="E8" i="14"/>
  <c r="E9" i="14"/>
  <c r="E10" i="14"/>
  <c r="E11" i="14"/>
  <c r="E6" i="14"/>
  <c r="D7" i="14"/>
  <c r="D8" i="14"/>
  <c r="D9" i="14"/>
  <c r="D10" i="14"/>
  <c r="D11" i="14"/>
  <c r="D6" i="14"/>
  <c r="E4" i="14"/>
  <c r="H10" i="13"/>
  <c r="H5" i="13"/>
  <c r="H6" i="13"/>
  <c r="H7" i="13"/>
  <c r="H8" i="13"/>
  <c r="H9" i="13"/>
  <c r="H4" i="13"/>
  <c r="G10" i="13"/>
  <c r="G5" i="13"/>
  <c r="G6" i="13"/>
  <c r="G7" i="13"/>
  <c r="G8" i="13"/>
  <c r="G9" i="13"/>
  <c r="G4" i="13"/>
  <c r="I6" i="2"/>
  <c r="J6" i="2" s="1"/>
  <c r="I7" i="2"/>
  <c r="J7" i="2" s="1"/>
  <c r="I8" i="2"/>
  <c r="I9" i="2"/>
  <c r="I10" i="2"/>
  <c r="J10" i="2" s="1"/>
  <c r="I11" i="2"/>
  <c r="I12" i="2"/>
  <c r="I13" i="2"/>
  <c r="I5" i="2"/>
  <c r="F5" i="13"/>
  <c r="F6" i="13"/>
  <c r="F7" i="13"/>
  <c r="F8" i="13"/>
  <c r="F9" i="13"/>
  <c r="F4" i="13"/>
  <c r="F10" i="13" s="1"/>
  <c r="H8" i="7"/>
  <c r="H9" i="7"/>
  <c r="H10" i="7"/>
  <c r="H11" i="7"/>
  <c r="H7" i="7"/>
  <c r="D10" i="13"/>
  <c r="C10" i="13"/>
  <c r="G8" i="7"/>
  <c r="G9" i="7"/>
  <c r="G10" i="7"/>
  <c r="G11" i="7"/>
  <c r="G7" i="7"/>
  <c r="F8" i="7"/>
  <c r="F9" i="7"/>
  <c r="F10" i="7"/>
  <c r="F11" i="7"/>
  <c r="F7" i="7"/>
  <c r="E8" i="7"/>
  <c r="E9" i="7"/>
  <c r="E10" i="7"/>
  <c r="E11" i="7"/>
  <c r="E7" i="7"/>
  <c r="E5" i="13"/>
  <c r="E6" i="13"/>
  <c r="E7" i="13"/>
  <c r="E8" i="13"/>
  <c r="E9" i="13"/>
  <c r="E4" i="13"/>
  <c r="C5" i="4"/>
  <c r="D6" i="4"/>
  <c r="D7" i="4"/>
  <c r="D8" i="4"/>
  <c r="D9" i="4"/>
  <c r="D5" i="4"/>
  <c r="C6" i="4"/>
  <c r="E6" i="4" s="1"/>
  <c r="F6" i="4" s="1"/>
  <c r="C7" i="4"/>
  <c r="C8" i="4"/>
  <c r="E8" i="4" s="1"/>
  <c r="F8" i="4" s="1"/>
  <c r="C9" i="4"/>
  <c r="E9" i="4" s="1"/>
  <c r="F9" i="4" s="1"/>
  <c r="F14" i="3"/>
  <c r="E14" i="3"/>
  <c r="F7" i="3"/>
  <c r="F8" i="3"/>
  <c r="F9" i="3"/>
  <c r="F10" i="3"/>
  <c r="F11" i="3"/>
  <c r="F12" i="3"/>
  <c r="F13" i="3"/>
  <c r="F6" i="3"/>
  <c r="E7" i="3"/>
  <c r="E8" i="3"/>
  <c r="E9" i="3"/>
  <c r="E10" i="3"/>
  <c r="E11" i="3"/>
  <c r="E12" i="3"/>
  <c r="E13" i="3"/>
  <c r="E6" i="3"/>
  <c r="H15" i="2"/>
  <c r="J15" i="2"/>
  <c r="G15" i="2"/>
  <c r="G16" i="2"/>
  <c r="I17" i="2"/>
  <c r="H17" i="2"/>
  <c r="G17" i="2"/>
  <c r="H16" i="2"/>
  <c r="H14" i="2"/>
  <c r="G14" i="2"/>
  <c r="J8" i="2"/>
  <c r="J9" i="2"/>
  <c r="J11" i="2"/>
  <c r="J12" i="2"/>
  <c r="J13" i="2"/>
  <c r="J5" i="2"/>
  <c r="G6" i="2"/>
  <c r="G7" i="2"/>
  <c r="G8" i="2"/>
  <c r="G9" i="2"/>
  <c r="G10" i="2"/>
  <c r="G11" i="2"/>
  <c r="G12" i="2"/>
  <c r="G13" i="2"/>
  <c r="G5" i="2"/>
  <c r="H6" i="2"/>
  <c r="H7" i="2"/>
  <c r="H8" i="2"/>
  <c r="H9" i="2"/>
  <c r="H10" i="2"/>
  <c r="H11" i="2"/>
  <c r="H12" i="2"/>
  <c r="H13" i="2"/>
  <c r="H5" i="2"/>
  <c r="H14" i="6"/>
  <c r="G14" i="6"/>
  <c r="F14" i="6"/>
  <c r="E14" i="6"/>
  <c r="E8" i="6"/>
  <c r="F8" i="6" s="1"/>
  <c r="H8" i="6" s="1"/>
  <c r="E9" i="6"/>
  <c r="E10" i="6"/>
  <c r="E11" i="6"/>
  <c r="E12" i="6"/>
  <c r="E13" i="6"/>
  <c r="F13" i="6" s="1"/>
  <c r="H7" i="6"/>
  <c r="G8" i="6"/>
  <c r="G9" i="6"/>
  <c r="G10" i="6"/>
  <c r="G11" i="6"/>
  <c r="G12" i="6"/>
  <c r="G13" i="6"/>
  <c r="G7" i="6"/>
  <c r="F9" i="6"/>
  <c r="H9" i="6" s="1"/>
  <c r="F10" i="6"/>
  <c r="H10" i="6" s="1"/>
  <c r="F11" i="6"/>
  <c r="H11" i="6" s="1"/>
  <c r="F7" i="6"/>
  <c r="E7" i="6"/>
  <c r="F9" i="20"/>
  <c r="F10" i="20"/>
  <c r="F11" i="20"/>
  <c r="F12" i="20"/>
  <c r="F13" i="20"/>
  <c r="B6" i="18"/>
  <c r="B14" i="18"/>
  <c r="B13" i="18"/>
  <c r="B12" i="18"/>
  <c r="B11" i="18"/>
  <c r="B10" i="18"/>
  <c r="B9" i="18"/>
  <c r="B8" i="18"/>
  <c r="B7" i="18"/>
  <c r="F8" i="20"/>
  <c r="F7" i="20"/>
  <c r="B13" i="20"/>
  <c r="B8" i="20"/>
  <c r="B9" i="20"/>
  <c r="B12" i="20"/>
  <c r="B10" i="20"/>
  <c r="B11" i="20"/>
  <c r="B7" i="20"/>
  <c r="J16" i="2" l="1"/>
  <c r="J14" i="2"/>
  <c r="J17" i="2"/>
  <c r="I14" i="2"/>
  <c r="I15" i="2"/>
  <c r="I16" i="2"/>
  <c r="E10" i="13"/>
  <c r="E7" i="4"/>
  <c r="F7" i="4" s="1"/>
  <c r="E5" i="4"/>
  <c r="F5" i="4" s="1"/>
  <c r="H13" i="6"/>
  <c r="F12" i="6"/>
  <c r="H1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Khang</author>
  </authors>
  <commentList>
    <comment ref="L1" authorId="0" shapeId="0" xr:uid="{00000000-0006-0000-0800-000001000000}">
      <text>
        <r>
          <rPr>
            <b/>
            <sz val="8"/>
            <color indexed="81"/>
            <rFont val="Tahoma"/>
            <family val="2"/>
            <charset val="163"/>
          </rPr>
          <t>Khang:</t>
        </r>
        <r>
          <rPr>
            <sz val="8"/>
            <color indexed="81"/>
            <rFont val="Tahoma"/>
            <family val="2"/>
            <charset val="163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<sst xmlns="http://schemas.openxmlformats.org/spreadsheetml/2006/main" count="1177" uniqueCount="812">
  <si>
    <t>TA10T</t>
  </si>
  <si>
    <t>4 Ký tự
đầu</t>
  </si>
  <si>
    <t>Cao cấp</t>
  </si>
  <si>
    <t>Thường</t>
  </si>
  <si>
    <t>TR20</t>
  </si>
  <si>
    <t>TA10</t>
  </si>
  <si>
    <t>GO55</t>
  </si>
  <si>
    <t>GO55C</t>
  </si>
  <si>
    <t>Thép tròn 20mm</t>
  </si>
  <si>
    <t>Thép tấm 10mm</t>
  </si>
  <si>
    <t>Thép góc 5x5mm</t>
  </si>
  <si>
    <t>AU</t>
  </si>
  <si>
    <t>KO</t>
  </si>
  <si>
    <t>GE</t>
  </si>
  <si>
    <t>Xuất xứ</t>
  </si>
  <si>
    <t>Giá VC</t>
  </si>
  <si>
    <t>Australia</t>
  </si>
  <si>
    <t>Korea</t>
  </si>
  <si>
    <t>Germany</t>
  </si>
  <si>
    <t>- Ký tự cuối của Mã hàng cho biết Loại hàng là Cao cấp (C) hay là Thường (T).</t>
  </si>
  <si>
    <t>để lấy giá trị hợp lý.</t>
  </si>
  <si>
    <t>+ Đơn giá: Dựa vào 4 ký tự đầu của Mã hàng, tra trong BẢNG 1, kết hợp với Loại hàng</t>
  </si>
  <si>
    <t>+ Giá vận chuyển: dựa vào Mã QG, tra trong BẢNG 2.</t>
  </si>
  <si>
    <t xml:space="preserve">    Nếu bán ra trong tháng 5 thì giảm 5% Thành tiền.</t>
  </si>
  <si>
    <t>Hàng cao cấp</t>
  </si>
  <si>
    <t>Hàng thường</t>
  </si>
  <si>
    <t>1- NĂM: Dùng hàm lấy ra năm hiện tại.</t>
  </si>
  <si>
    <t>2- Tên hàng: Dựa vào 4 ký tự đầu của Mã hàng, tra trong BẢNG 1.</t>
  </si>
  <si>
    <t>3- Mã QG: Dựa vào 4 ký tự đầu của Mã hàng, tra trong BẢNG 1.</t>
  </si>
  <si>
    <t>4- Trị giá = Số lượng * Đơn giá. Biết rằng:</t>
  </si>
  <si>
    <t>5- Phí vận chuyển = Số lượng * Giá VC. Biết rằng:</t>
  </si>
  <si>
    <t>6- Thành tiền = Trị giá + Phí vận chuyển.</t>
  </si>
  <si>
    <t>7- Sắp xếp lại bảng tính theo thứ tự tăng dần của Mã QG, nếu trùng thì sắp giảm theo Số lượng.</t>
  </si>
  <si>
    <t>8- Rút trích danh sách các mặt hàng loại "Thường" bán ra trong tháng 5.</t>
  </si>
  <si>
    <r>
      <t xml:space="preserve">10- Trang trí như bảng tính trên và lưu với tên </t>
    </r>
    <r>
      <rPr>
        <b/>
        <sz val="12"/>
        <rFont val="Times New Roman"/>
        <family val="1"/>
      </rPr>
      <t>Bai17.xls</t>
    </r>
    <r>
      <rPr>
        <sz val="12"/>
        <rFont val="Times New Roman"/>
        <family val="1"/>
      </rPr>
      <t>.</t>
    </r>
  </si>
  <si>
    <t>BÀI THỰC HÀNH EXCEL SỐ 18</t>
  </si>
  <si>
    <t>CUỘC ĐUA XE ĐẠP MỪNG XUÂN</t>
  </si>
  <si>
    <t>Giờ xuất phát: 6:00</t>
  </si>
  <si>
    <t>Số Km: 120</t>
  </si>
  <si>
    <t>Mã
vận động
viên</t>
  </si>
  <si>
    <t>Tên
vận động 
viên</t>
  </si>
  <si>
    <t>Đội</t>
  </si>
  <si>
    <t>Giờ
kết thúc</t>
  </si>
  <si>
    <t>Thành tích</t>
  </si>
  <si>
    <t>Vận tốc
(Km/h)</t>
  </si>
  <si>
    <t>Xếp hạng</t>
  </si>
  <si>
    <t>KSTVM</t>
  </si>
  <si>
    <t>KSVNH</t>
  </si>
  <si>
    <t>KSPDT</t>
  </si>
  <si>
    <t>CAHVH</t>
  </si>
  <si>
    <t>CAHMQ</t>
  </si>
  <si>
    <t>CANTK</t>
  </si>
  <si>
    <t>TGHDD</t>
  </si>
  <si>
    <t>TGLDC</t>
  </si>
  <si>
    <t>TGTAT</t>
  </si>
  <si>
    <t>AGVGS</t>
  </si>
  <si>
    <t>DANH SÁCH ĐỘI</t>
  </si>
  <si>
    <t>ĐỘI</t>
  </si>
  <si>
    <t>TÊN ĐỘI</t>
  </si>
  <si>
    <t>KS</t>
  </si>
  <si>
    <t>CA</t>
  </si>
  <si>
    <t>TG</t>
  </si>
  <si>
    <t>Khách sạn Thanh Bình</t>
  </si>
  <si>
    <t>Công an Thành phố</t>
  </si>
  <si>
    <t>Tiền Giang</t>
  </si>
  <si>
    <t>Bảo vệ TV An Giang</t>
  </si>
  <si>
    <t>MÃ VĐV</t>
  </si>
  <si>
    <t>TÊN VĐV</t>
  </si>
  <si>
    <t>HDD</t>
  </si>
  <si>
    <t>HMQ</t>
  </si>
  <si>
    <t>HVH</t>
  </si>
  <si>
    <t>LDC</t>
  </si>
  <si>
    <t>NTK</t>
  </si>
  <si>
    <t>PDT</t>
  </si>
  <si>
    <t>TAT</t>
  </si>
  <si>
    <t>TVM</t>
  </si>
  <si>
    <t>VGS</t>
  </si>
  <si>
    <t>VNH</t>
  </si>
  <si>
    <t>Huỳnh Đại Đồng</t>
  </si>
  <si>
    <t>Hoàng Mạnh Quân</t>
  </si>
  <si>
    <t>Hồ Văn Hùng</t>
  </si>
  <si>
    <t>Lê Đức Công</t>
  </si>
  <si>
    <t>Nguyễn Trần Khải</t>
  </si>
  <si>
    <t>Phạm Đình Tấn</t>
  </si>
  <si>
    <t>Trần Anh Thư</t>
  </si>
  <si>
    <t>Trần Vũ Minh</t>
  </si>
  <si>
    <t>Vũ Giáo Sửu</t>
  </si>
  <si>
    <t>Vũ Ngọc Hoàng</t>
  </si>
  <si>
    <t>- 2 ký tự đầu của Mã vận động viên cho biết</t>
  </si>
  <si>
    <t>tên đội, các ký tự còn lại là Tên VĐV.</t>
  </si>
  <si>
    <t>1- Dựa vào 2 bảng để lấy tên đội và tên VĐV.</t>
  </si>
  <si>
    <t>2- Thành tích là số giờ và phút đạt được từ lúc xuất phát cho đến đích.</t>
  </si>
  <si>
    <t>3- Vận tốc là Số Km/tổng số giờ đi được và làm tròn đến hàng đơn vị,</t>
  </si>
  <si>
    <t xml:space="preserve">    định dạng theo kiểu KM/H (Vd: 50 KM.H).</t>
  </si>
  <si>
    <t>4- Xếp hạng thành tích các cá nhân.</t>
  </si>
  <si>
    <t>5- Thống kê theo mẫu sau:</t>
  </si>
  <si>
    <t>Vận tốc trung bình các đội</t>
  </si>
  <si>
    <t>VẬN TỐC TB</t>
  </si>
  <si>
    <t>XẾP HẠNG</t>
  </si>
  <si>
    <t>Xếp hạng: nếu đội nào có Vận tốc trung bình</t>
  </si>
  <si>
    <t>cao nhất thì xếp hạng nhất.</t>
  </si>
  <si>
    <t>6- Rút trích đầy đủ thông tin về các vận động viên đoạt giải 1, 2, 3.</t>
  </si>
  <si>
    <t>Định dạng cột vận tốc trung bình</t>
  </si>
  <si>
    <t>theo kiểu KM/H. (Vd: 50 Km/h)</t>
  </si>
  <si>
    <t>DANH SÁCH
VẬN ĐỘNG VIÊN</t>
  </si>
  <si>
    <r>
      <t xml:space="preserve">7- Trang trí như bảng tính trên và lưu với tên </t>
    </r>
    <r>
      <rPr>
        <b/>
        <sz val="12"/>
        <rFont val="Times New Roman"/>
        <family val="1"/>
      </rPr>
      <t>Bai18.xls</t>
    </r>
    <r>
      <rPr>
        <sz val="12"/>
        <rFont val="Times New Roman"/>
        <family val="1"/>
      </rPr>
      <t>.</t>
    </r>
  </si>
  <si>
    <t>BÀI THỰC HÀNH EXCEL SỐ 19</t>
  </si>
  <si>
    <t>BẢNG KÊ TIỀN CHO THUÊ MÁY VI TÍNH</t>
  </si>
  <si>
    <t>THỜI GIAN THUÊ</t>
  </si>
  <si>
    <t>PHÚT</t>
  </si>
  <si>
    <t>01T</t>
  </si>
  <si>
    <t>02I</t>
  </si>
  <si>
    <t>03M</t>
  </si>
  <si>
    <t>06T</t>
  </si>
  <si>
    <t>09I</t>
  </si>
  <si>
    <t>01I</t>
  </si>
  <si>
    <t>05M</t>
  </si>
  <si>
    <t>08T</t>
  </si>
  <si>
    <t>MÃ THUÊ</t>
  </si>
  <si>
    <t>I</t>
  </si>
  <si>
    <t>Đơn giá/1 giờ</t>
  </si>
  <si>
    <t>Đơn giá/1 phút</t>
  </si>
  <si>
    <t>STT Máy</t>
  </si>
  <si>
    <t>Doanh thu</t>
  </si>
  <si>
    <t>Số lần thuê trong ngày</t>
  </si>
  <si>
    <t>01</t>
  </si>
  <si>
    <t>02</t>
  </si>
  <si>
    <t>03</t>
  </si>
  <si>
    <t>- 2 ký tự đầu của Mã số cho biết STT Máy.</t>
  </si>
  <si>
    <t>- Ký tự cuối của Mã số cho biết Hình thức thuê máy là Thực hành (T), Internet (I) hay Check Mail (M).</t>
  </si>
  <si>
    <t>1- Hình thức thuê: dựa vào ký tự cuối của Mã số để điền giá trị thích hợp.</t>
  </si>
  <si>
    <t>2- Giờ = Trả máy - Nhận máy. Lưu ý: Chỉ lấy phần giờ.</t>
  </si>
  <si>
    <t xml:space="preserve">    Vd: Nhận máy lúc 9:00, trả máy lúc 10:30 --&gt; Giờ (Thời gian thuê) sẽ là 1.</t>
  </si>
  <si>
    <t>3- Phút = Trả máy - Nhận máy. Lưu ý: Chỉ lấy phần phút.</t>
  </si>
  <si>
    <t xml:space="preserve">    Vd: Nhận máy lúc 9:00, trả máy lúc 10:30 --&gt; Phút (Thời gian thuê) sẽ là 30.</t>
  </si>
  <si>
    <t>4- Tiền thuê:</t>
  </si>
  <si>
    <t>+ Nếu hình thức thuê là Check Mail thì tiền thuê là = 3500,</t>
  </si>
  <si>
    <t xml:space="preserve">   còn ngược lại thì Tiền thuê = Giờ * Đơn giá/1 giờ + Phút * Đơn giá/1 phút.</t>
  </si>
  <si>
    <t>Với: Đơn giá/1 giờ: dựa vào hình thức thuê, tra trong BẢNG 1 để lấy Đơn giá theo giờ tương ứng.</t>
  </si>
  <si>
    <t xml:space="preserve">       Đơn giá/1 phút: dựa vào hình thức thuê, tra trong BẢNG 1 để lấy Đơn giá theo phút tương ứng.</t>
  </si>
  <si>
    <t>5- Tiền giảm: nếu thuê nhiều hơn 2 giờ thì Tiền giảm = 20% của Tiền thuê, còn ngược lại thì không giảm.</t>
  </si>
  <si>
    <t>6- Tiền phải trả = Tiền thuê - Tiền giảm.</t>
  </si>
  <si>
    <t>7- Rút trích các thông tin liên quan đến các máy được thuê để Thực hành hay để Internet.</t>
  </si>
  <si>
    <t>9- Trang trí như bảng tính trên và lưu với tên Bai19.xls.</t>
  </si>
  <si>
    <t>BÀI THỰC HÀNH EXCEL SỐ 20</t>
  </si>
  <si>
    <t>BẢNG TÍNH TIỀN KHÁCH SẠN</t>
  </si>
  <si>
    <t>Tên KH</t>
  </si>
  <si>
    <t>Quốc tịch</t>
  </si>
  <si>
    <t>Mã PH</t>
  </si>
  <si>
    <t>Ngày đến</t>
  </si>
  <si>
    <t>Ngày đi</t>
  </si>
  <si>
    <t>Tiền ăn</t>
  </si>
  <si>
    <t>Tiền PV</t>
  </si>
  <si>
    <t>Yoo</t>
  </si>
  <si>
    <t>Lee</t>
  </si>
  <si>
    <t>Dũng</t>
  </si>
  <si>
    <t>Peter</t>
  </si>
  <si>
    <t>David</t>
  </si>
  <si>
    <t>John</t>
  </si>
  <si>
    <t>Việt Nam</t>
  </si>
  <si>
    <t>Anh</t>
  </si>
  <si>
    <t>Pháp</t>
  </si>
  <si>
    <t>Mỹ</t>
  </si>
  <si>
    <t>L1A-F1</t>
  </si>
  <si>
    <t>L2A-F3</t>
  </si>
  <si>
    <t>L2B-F1</t>
  </si>
  <si>
    <t>L1C-F1</t>
  </si>
  <si>
    <t>L2A-F2</t>
  </si>
  <si>
    <t>L1A-F3</t>
  </si>
  <si>
    <t>L2B-F2</t>
  </si>
  <si>
    <t>BẢNG ĐƠN GIÁ PHÒNG</t>
  </si>
  <si>
    <t>Loại phòng</t>
  </si>
  <si>
    <t>Lầu</t>
  </si>
  <si>
    <t>L1</t>
  </si>
  <si>
    <t>L2</t>
  </si>
  <si>
    <t>L3</t>
  </si>
  <si>
    <t>BẢNG GIÁ ĂN</t>
  </si>
  <si>
    <t>F1</t>
  </si>
  <si>
    <t>F2</t>
  </si>
  <si>
    <t>F3</t>
  </si>
  <si>
    <t>BẢNG THỐNG KÊ TIỀN PHÒNG</t>
  </si>
  <si>
    <t>- 2 ký tự đầu của Mã phòng cho biết phòng đó thuộc Lầu mấy.</t>
  </si>
  <si>
    <t>- Ký tự thứ 3 của Mã phòng cho biết Loại phòng.</t>
  </si>
  <si>
    <t>1- Số ngày ở = (Ngày đi - Ngày đến) +1.</t>
  </si>
  <si>
    <t>2- Tiền phòng = Số ngày ở * Đơn giá phòng.</t>
  </si>
  <si>
    <t xml:space="preserve">    Đơn giá phòng: Dựa vào Loại phòng, tra trong BẢNG ĐƠN GIÁ PHÒNG kết hợp với Lầu để lấy giá trị.</t>
  </si>
  <si>
    <t>3- Tiền ăn = Số ngày ở * Giá ăn. (Định dạng 1,000).</t>
  </si>
  <si>
    <t xml:space="preserve">    Giá ăn: Dựa vào 2 ký tự cuối của Mã phòng, tra trong BẢNG GIÁ ĂN để có giá trị hợp lý.</t>
  </si>
  <si>
    <t>4- Tiền PV:</t>
  </si>
  <si>
    <t>- Nếu là khách trong nước (Việt Nam) thì tiền PV = 0,</t>
  </si>
  <si>
    <t>ngược lại thì Tiền PV = Số ngày ở * 2 (USD/ngày).</t>
  </si>
  <si>
    <t>5- Tổng cộng = Tiền phòng + Tiền ăn + Tiền PV.</t>
  </si>
  <si>
    <t>6- Sắp xếp bảng tính tăng dần theo Mã phòng, nếu trùng thì sắp giảm dần theo Quốc tịch.</t>
  </si>
  <si>
    <t>7- Rút trích ra danh sách khách hàng có Quốc tịch là Korea và Anh ở tại khách sạn trong 15 ngày đầu</t>
  </si>
  <si>
    <t xml:space="preserve">    của tháng 09/06.</t>
  </si>
  <si>
    <r>
      <t xml:space="preserve">9- Trang trí như bảng tính trên và lưu với tên </t>
    </r>
    <r>
      <rPr>
        <b/>
        <sz val="12"/>
        <rFont val="Times New Roman"/>
        <family val="1"/>
      </rPr>
      <t>Bai20.xls</t>
    </r>
    <r>
      <rPr>
        <sz val="12"/>
        <rFont val="Times New Roman"/>
        <family val="1"/>
      </rPr>
      <t>.</t>
    </r>
  </si>
  <si>
    <t>Số
ngày ở</t>
  </si>
  <si>
    <t>Tiền
phòng</t>
  </si>
  <si>
    <t>Tổng
cộng</t>
  </si>
  <si>
    <t>3) Thành tiền = (Chỉ số cuối - Chỉ số đầu) * Hệ số *550.</t>
  </si>
  <si>
    <t>1) Nhập số liệu cho bảng tính.</t>
  </si>
  <si>
    <t>5) Cộng = Phụ trội + Thành tiền.</t>
  </si>
  <si>
    <t>2) LÝ THUYẾT = LT/10 nếu LT&gt;10, ngược lại LÝ THUYẾT = LT.</t>
  </si>
  <si>
    <t>3) THỰC HÀNH = TH/10 nếu TH&gt;10, ngược lại THỰC HÀNH = TH.</t>
  </si>
  <si>
    <t>4) ĐTB = (LÝ THUYẾT + THỰC HÀNH)/2.</t>
  </si>
  <si>
    <t>5) Xếp loại cho thí sinh dựa vào BẢNG XẾP LOẠI.</t>
  </si>
  <si>
    <t>Ngày:</t>
  </si>
  <si>
    <t>8) Hãy tính tổng cộng các cột TRỊ GIÁ, THUẾ, CƯỚC CHUYÊN CHỞ và CỘNG.</t>
  </si>
  <si>
    <t>9) Ngày: Dùng hàm lấy ra ngày, tháng, năm hiện tại.</t>
  </si>
  <si>
    <t>T002</t>
  </si>
  <si>
    <t>- Từ 19 trở l6n: tặng 5 sản phẩm</t>
  </si>
  <si>
    <t>11) Thống kê như bảng sau:</t>
  </si>
  <si>
    <t>4) Khuyến mãi: Nếu hàng xuất trong khoảng từ ngày 10 đến 20 của tháng 1 thì ghi là</t>
  </si>
  <si>
    <t>9- Thống kê tổng thành tiền theo mẫu sau:</t>
  </si>
  <si>
    <t>8- Thống kê tiền phòng theo mẫu trên.</t>
  </si>
  <si>
    <t>6) Thống kê số lượng hàng đã bán như BẢNG THỐNG KÊ trên.</t>
  </si>
  <si>
    <t>5) Thống kê số cuộc gọi như BẢNG THỐNG KÊ trên.</t>
  </si>
  <si>
    <t>8) Thống kê theo BẢNG THỐNG KÊ trên.</t>
  </si>
  <si>
    <t>8) Thống kê số lượng theo BẢNG THỐNG KÊ trên.</t>
  </si>
  <si>
    <t>8- Thống kê như BẢNG THỐNG KÊ trên.</t>
  </si>
  <si>
    <t>L1B-F2</t>
  </si>
  <si>
    <t>Nước</t>
  </si>
  <si>
    <t>Thực phẩm</t>
  </si>
  <si>
    <t>T01X</t>
  </si>
  <si>
    <t>K02X</t>
  </si>
  <si>
    <t>LƯƠNG SP</t>
  </si>
  <si>
    <t>BHXH</t>
  </si>
  <si>
    <t>THU NHẬP</t>
  </si>
  <si>
    <t>LƯƠNG SP = SỐ LƯỢNG SP * ĐƠN GIÁ</t>
  </si>
  <si>
    <t>Điểm chuẩn</t>
  </si>
  <si>
    <t>Tổng điểm</t>
  </si>
  <si>
    <t>HB</t>
  </si>
  <si>
    <t>Có khuyến mãi</t>
  </si>
  <si>
    <t/>
  </si>
  <si>
    <t>còn ngược lại thì Trả trước = 50% * Thành tiền.</t>
  </si>
  <si>
    <t>ĐK</t>
  </si>
  <si>
    <r>
      <t xml:space="preserve">8) Định dạng bảng tính và lưu bài với tên </t>
    </r>
    <r>
      <rPr>
        <b/>
        <sz val="12"/>
        <rFont val="Times New Roman"/>
        <family val="1"/>
        <charset val="163"/>
      </rPr>
      <t>Bai7.xls</t>
    </r>
    <r>
      <rPr>
        <sz val="12"/>
        <rFont val="Times New Roman"/>
        <family val="1"/>
        <charset val="163"/>
      </rPr>
      <t>.</t>
    </r>
  </si>
  <si>
    <t>Số thí sinh đậu</t>
  </si>
  <si>
    <t>Số thí sinh rớt</t>
  </si>
  <si>
    <t xml:space="preserve"> </t>
  </si>
  <si>
    <t>Cty TNHH Đại Thái Bình Dương</t>
  </si>
  <si>
    <r>
      <t xml:space="preserve">7) Lưu bài tập với tên </t>
    </r>
    <r>
      <rPr>
        <b/>
        <sz val="12"/>
        <rFont val="Times New Roman"/>
        <family val="1"/>
        <charset val="163"/>
      </rPr>
      <t>Bai3.xls</t>
    </r>
    <r>
      <rPr>
        <sz val="12"/>
        <rFont val="Times New Roman"/>
        <family val="1"/>
        <charset val="163"/>
      </rPr>
      <t>.</t>
    </r>
  </si>
  <si>
    <r>
      <t xml:space="preserve">6) Lưu bài tập với tên </t>
    </r>
    <r>
      <rPr>
        <b/>
        <sz val="12"/>
        <rFont val="Times New Roman"/>
        <family val="1"/>
        <charset val="163"/>
      </rPr>
      <t>Bai4.xls</t>
    </r>
    <r>
      <rPr>
        <sz val="12"/>
        <rFont val="Times New Roman"/>
        <family val="1"/>
        <charset val="163"/>
      </rPr>
      <t>.</t>
    </r>
  </si>
  <si>
    <r>
      <t xml:space="preserve">10) Lưu bài tập với tên </t>
    </r>
    <r>
      <rPr>
        <b/>
        <sz val="12"/>
        <rFont val="Times New Roman"/>
        <family val="1"/>
        <charset val="163"/>
      </rPr>
      <t>Bai1.xls</t>
    </r>
    <r>
      <rPr>
        <sz val="12"/>
        <rFont val="Times New Roman"/>
        <family val="1"/>
        <charset val="163"/>
      </rPr>
      <t>.</t>
    </r>
  </si>
  <si>
    <r>
      <t xml:space="preserve">8) Lưu bài tập với tên </t>
    </r>
    <r>
      <rPr>
        <b/>
        <sz val="12"/>
        <rFont val="Times New Roman"/>
        <family val="1"/>
        <charset val="163"/>
      </rPr>
      <t>Bai2.xls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</si>
  <si>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Bai5.xls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</si>
  <si>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bài với tên </t>
    </r>
    <r>
      <rPr>
        <b/>
        <sz val="12"/>
        <rFont val="Times New Roman"/>
        <family val="1"/>
        <charset val="163"/>
      </rPr>
      <t>Bai6.xls</t>
    </r>
    <r>
      <rPr>
        <sz val="12"/>
        <rFont val="Times New Roman"/>
        <family val="1"/>
        <charset val="163"/>
      </rPr>
      <t>.</t>
    </r>
  </si>
  <si>
    <r>
      <t xml:space="preserve">5) Tính </t>
    </r>
    <r>
      <rPr>
        <b/>
        <sz val="12"/>
        <rFont val="Times New Roman"/>
        <family val="1"/>
        <charset val="163"/>
      </rPr>
      <t xml:space="preserve">Tổng cộng </t>
    </r>
    <r>
      <rPr>
        <sz val="12"/>
        <rFont val="Times New Roman"/>
        <family val="1"/>
        <charset val="163"/>
      </rPr>
      <t>tiền khách hành phải trả.</t>
    </r>
  </si>
  <si>
    <r>
      <t xml:space="preserve">6) Trang trí cho bảng tính và lưu lại với tên </t>
    </r>
    <r>
      <rPr>
        <b/>
        <sz val="12"/>
        <rFont val="Times New Roman"/>
        <family val="1"/>
        <charset val="163"/>
      </rPr>
      <t>Bai8.xls</t>
    </r>
    <r>
      <rPr>
        <sz val="12"/>
        <rFont val="Times New Roman"/>
        <family val="1"/>
        <charset val="163"/>
      </rPr>
      <t>.</t>
    </r>
  </si>
  <si>
    <r>
      <t xml:space="preserve">6) Định dạng bảng tính và lưu với tên </t>
    </r>
    <r>
      <rPr>
        <b/>
        <sz val="12"/>
        <rFont val="Times New Roman"/>
        <family val="1"/>
        <charset val="163"/>
      </rPr>
      <t>Bai9.xls</t>
    </r>
    <r>
      <rPr>
        <sz val="12"/>
        <rFont val="Times New Roman"/>
        <family val="1"/>
        <charset val="163"/>
      </rPr>
      <t>.</t>
    </r>
  </si>
  <si>
    <r>
      <t>"</t>
    </r>
    <r>
      <rPr>
        <b/>
        <i/>
        <sz val="12"/>
        <rFont val="Times New Roman"/>
        <family val="1"/>
        <charset val="163"/>
      </rPr>
      <t>Có khuyến mãi</t>
    </r>
    <r>
      <rPr>
        <sz val="12"/>
        <rFont val="Times New Roman"/>
        <family val="1"/>
        <charset val="163"/>
      </rPr>
      <t>", ngược lại để trống.</t>
    </r>
  </si>
  <si>
    <r>
      <t xml:space="preserve">10) Định dạng bảng tính và lưu với tên </t>
    </r>
    <r>
      <rPr>
        <b/>
        <sz val="12"/>
        <rFont val="Times New Roman"/>
        <family val="1"/>
        <charset val="163"/>
      </rPr>
      <t>Bai14.xls</t>
    </r>
    <r>
      <rPr>
        <sz val="12"/>
        <rFont val="Times New Roman"/>
        <family val="1"/>
        <charset val="163"/>
      </rPr>
      <t>.</t>
    </r>
  </si>
  <si>
    <r>
      <t xml:space="preserve">13) Định dạng bảng tính và lưu với tên </t>
    </r>
    <r>
      <rPr>
        <b/>
        <sz val="12"/>
        <rFont val="Times New Roman"/>
        <family val="1"/>
        <charset val="163"/>
      </rPr>
      <t>Bai13.xls</t>
    </r>
    <r>
      <rPr>
        <sz val="12"/>
        <rFont val="Times New Roman"/>
        <family val="1"/>
        <charset val="163"/>
      </rPr>
      <t>.</t>
    </r>
  </si>
  <si>
    <r>
      <t xml:space="preserve">9) Định dạng bảng tính và lưu với tên </t>
    </r>
    <r>
      <rPr>
        <b/>
        <sz val="12"/>
        <rFont val="Times New Roman"/>
        <family val="1"/>
        <charset val="163"/>
      </rPr>
      <t>Bai15.xls</t>
    </r>
    <r>
      <rPr>
        <sz val="12"/>
        <rFont val="Times New Roman"/>
        <family val="1"/>
        <charset val="163"/>
      </rPr>
      <t>.</t>
    </r>
  </si>
  <si>
    <r>
      <t xml:space="preserve">6) Trang trí cho bảng tính và lưu lại với tên </t>
    </r>
    <r>
      <rPr>
        <b/>
        <sz val="12"/>
        <rFont val="Times New Roman"/>
        <family val="1"/>
      </rPr>
      <t>Bai12.xls</t>
    </r>
  </si>
  <si>
    <t>ðHãy nhập và trình bày bảng tính trên, thực hiện các yêu cầu sau:</t>
  </si>
  <si>
    <r>
      <t xml:space="preserve">11) Trang trí như bảng tính trên và lưu với tên </t>
    </r>
    <r>
      <rPr>
        <b/>
        <sz val="12"/>
        <rFont val="Times New Roman"/>
        <family val="1"/>
        <charset val="163"/>
      </rPr>
      <t>Bai16.xls</t>
    </r>
    <r>
      <rPr>
        <sz val="12"/>
        <rFont val="Times New Roman"/>
        <family val="1"/>
        <charset val="163"/>
      </rPr>
      <t>.</t>
    </r>
  </si>
  <si>
    <t>7) Thêm cột Điểm học bổng và lập công thức tính dựa vào ký tự đầu của Mã số (Mã ngành) và Bảng 2.</t>
  </si>
  <si>
    <t>9) Sắp xếp lại danh sách Kết quả tuyển sinh theo thứ tự tăng dần của 3 cốt điểm: Toán, Lý, Hóa.</t>
  </si>
  <si>
    <t>A*</t>
  </si>
  <si>
    <t>Đậu</t>
  </si>
  <si>
    <t>BẢNG THÔNG TIN RÚT TRÍCH CỦA CÁC THÍ SINH DỰ THI KHỐI A</t>
  </si>
  <si>
    <t>7) THUẾ: chỉ áp dụng cho những người có mức thu nhập từ 50.000 trở lên và được tính</t>
  </si>
  <si>
    <t>bằng 30% của số tiền vượt trên 50.000.</t>
  </si>
  <si>
    <t>NHỮNG CÔNG NHÂN VIÊN CÓ MỨC THU NHẬP &gt;=50.000</t>
  </si>
  <si>
    <t>9) Rút trích ra những công nhân viên có mức thu nhập &gt;= 50.000</t>
  </si>
  <si>
    <t>&gt;=50000</t>
  </si>
  <si>
    <t>NĂM:</t>
  </si>
  <si>
    <t>BÀI THỰC HÀNH EXCEL SỐ 1</t>
  </si>
  <si>
    <t>Tháng:</t>
  </si>
  <si>
    <t>S
T
T</t>
  </si>
  <si>
    <t>TÊN
HÀNG</t>
  </si>
  <si>
    <t>SỐ
LƯỢNG</t>
  </si>
  <si>
    <t>ĐƠN
GIÁ</t>
  </si>
  <si>
    <t>TRỊ
GIÁ</t>
  </si>
  <si>
    <t>THUẾ</t>
  </si>
  <si>
    <t>CƯỚC
CHUYÊN
CHỞ</t>
  </si>
  <si>
    <t>CỘNG</t>
  </si>
  <si>
    <t>Video</t>
  </si>
  <si>
    <t>Ghế</t>
  </si>
  <si>
    <t>Giường</t>
  </si>
  <si>
    <t>Tủ</t>
  </si>
  <si>
    <t>Nệm</t>
  </si>
  <si>
    <t>Tivi</t>
  </si>
  <si>
    <t>Bàn</t>
  </si>
  <si>
    <t>TỔNG CỘNG:</t>
  </si>
  <si>
    <t>1) Nhập và định dạng dữ liệu như bảng tính sau:</t>
  </si>
  <si>
    <t>Yêu cầu tính toán:</t>
  </si>
  <si>
    <t>2) Đánh số thứ tự cho cột STT (sử dụng mốc điền).</t>
  </si>
  <si>
    <t>3) Định dạng cột đơn giá có dấu phân cách hàng ngàn.</t>
  </si>
  <si>
    <t>4) Trị giá = Số lượng * Đơn giá.</t>
  </si>
  <si>
    <t>5) Thuế = Trị giá * 5%.</t>
  </si>
  <si>
    <t>6) Cước chuyên chở = Số lượng * 1500.</t>
  </si>
  <si>
    <t>7) Cộng = Trị giá + Thuế + Cước chuyên chở.</t>
  </si>
  <si>
    <t>BẢNG KÊ HÀNG NHẬP KHO</t>
  </si>
  <si>
    <t>BÀI THỰC HÀNH EXCEL SỐ 2</t>
  </si>
  <si>
    <t>HỌ</t>
  </si>
  <si>
    <t>TÊN</t>
  </si>
  <si>
    <t>CHỨC
VỤ</t>
  </si>
  <si>
    <t>LƯƠNG
CĂN
BẢN</t>
  </si>
  <si>
    <t>NGÀY
CÔNG</t>
  </si>
  <si>
    <t>LƯƠNG</t>
  </si>
  <si>
    <t>CÒN
LẠI</t>
  </si>
  <si>
    <t>Trần Thị</t>
  </si>
  <si>
    <t>Yến</t>
  </si>
  <si>
    <t>Nguyễn</t>
  </si>
  <si>
    <t>Thành</t>
  </si>
  <si>
    <t>Đoàn</t>
  </si>
  <si>
    <t>An</t>
  </si>
  <si>
    <t>Lê</t>
  </si>
  <si>
    <t>Thanh</t>
  </si>
  <si>
    <t>Hồ</t>
  </si>
  <si>
    <t>Kim</t>
  </si>
  <si>
    <t>Trần</t>
  </si>
  <si>
    <t>Thế</t>
  </si>
  <si>
    <t>Nguyễn Văn</t>
  </si>
  <si>
    <t>Sơn</t>
  </si>
  <si>
    <t>Nam</t>
  </si>
  <si>
    <t>Hồ Tấn</t>
  </si>
  <si>
    <t>Tài</t>
  </si>
  <si>
    <t>NV</t>
  </si>
  <si>
    <t>BV</t>
  </si>
  <si>
    <t>TP</t>
  </si>
  <si>
    <t>GĐ</t>
  </si>
  <si>
    <t>PGĐ</t>
  </si>
  <si>
    <t>KT</t>
  </si>
  <si>
    <t>TẠM
ỨNG</t>
  </si>
  <si>
    <t>TRUNG BÌNH:</t>
  </si>
  <si>
    <t>CAO NHẤT:</t>
  </si>
  <si>
    <t>THẤP NHẤT:</t>
  </si>
  <si>
    <t>4) Lương = Lương căn bản * Ngày công.</t>
  </si>
  <si>
    <t xml:space="preserve">5) Tạm ứng được tính như sau:
- Nếu (Phụ cấp chức vụ + Lương)*2/3 &lt; 25000 thì
  Tạm ứng = (Phụ cấp chức vụ + Lương)*2/3
Ngược lại:
  Tạm ứng = 25000
(Làm tròn đến hàng ngàn, sử dụng hàm ROUND) </t>
  </si>
  <si>
    <t>3) Phụ cấp chức vụ được tính dựa vào chức vụ: (Sử dụng hàm IF)
    + GĐ: 500
    + PGĐ: 400
    + TP: 300
    + KT: 250
    + Các trường hợp khác: 100.</t>
  </si>
  <si>
    <t>PHỤ
CẤP
CHỨC VỤ</t>
  </si>
  <si>
    <t>7) Tháng: Dùng hàm lấy ra tháng hiện hành.</t>
  </si>
  <si>
    <t>BÀI THỰC HÀNH EXCEL SỐ 3</t>
  </si>
  <si>
    <t>Mã
hàng</t>
  </si>
  <si>
    <t>Tên hàng</t>
  </si>
  <si>
    <t>Số
lượng</t>
  </si>
  <si>
    <t>Đơn giá</t>
  </si>
  <si>
    <t>Tiền
chiết
khấu</t>
  </si>
  <si>
    <t>Thành
tiền</t>
  </si>
  <si>
    <t>ML01</t>
  </si>
  <si>
    <t>ML02</t>
  </si>
  <si>
    <t>ML03</t>
  </si>
  <si>
    <t>MG01</t>
  </si>
  <si>
    <t>MG02</t>
  </si>
  <si>
    <t>TV01</t>
  </si>
  <si>
    <t>TV02</t>
  </si>
  <si>
    <t>TL01</t>
  </si>
  <si>
    <t>Máy lạnh SANYO</t>
  </si>
  <si>
    <t>Máy lạnh HITACHI</t>
  </si>
  <si>
    <t>Máy lạnh NATIONAL</t>
  </si>
  <si>
    <t>Máy giặt HITACHI</t>
  </si>
  <si>
    <t>Máy giặt NATIONAL</t>
  </si>
  <si>
    <t>Tivi LG</t>
  </si>
  <si>
    <t>Tivi SONY</t>
  </si>
  <si>
    <t>Tủ lạnh HITACHI</t>
  </si>
  <si>
    <t>2) Định dạng cột Đơn giá có dấu phân cách hàng ngàn và đơn vị là VND.</t>
  </si>
  <si>
    <t>3) Tính Tiền chiết khấu như sau:
 Tiền chiết khấu = Đơn giá * Số lượng * Phần trăn chiết khấu.
 Với: phần trăm chiết khấu là 5% nếu số lượng &gt; 10,
         phần trăm chiết khấu là 2% nếu 8 &lt;= số lượng &lt;= 10,
         phần trăm chiết khấu là 1% nếu 5 &lt;= số lượng &lt;8,
         phần trăm chiết khấu là 0 nếu số lượng &lt; 5.</t>
  </si>
  <si>
    <t>4) Thành tiền = Đơn giá * Số lượng - Tiền chiết khấu.</t>
  </si>
  <si>
    <t>5) Tính tổng cộng cho các cột Tiền chiết khấu và Thành tiền.</t>
  </si>
  <si>
    <t>6) Sắp xếp bảng theo thứ tự giảm dần của cột Thành tiền. (Vào Data/Sort)</t>
  </si>
  <si>
    <t>BÀI THỰC HÀNH EXCEL SỐ 4</t>
  </si>
  <si>
    <t>BẢNG THEO DÕI NHẬP XUẤT HÀNG</t>
  </si>
  <si>
    <t>Nhập</t>
  </si>
  <si>
    <t>Xuất</t>
  </si>
  <si>
    <t>Tiền</t>
  </si>
  <si>
    <t>Thuế</t>
  </si>
  <si>
    <t>A001Y</t>
  </si>
  <si>
    <t>B012N</t>
  </si>
  <si>
    <t>B003Y</t>
  </si>
  <si>
    <t>A011N</t>
  </si>
  <si>
    <t>B054Y</t>
  </si>
  <si>
    <t>2) Tính cột Xuất như sau:
    + Nếu Mã hàng có ký tự đầu là A thì Xuất = 60% * Nhập
    + Nếu Mã hàng có ký tự đầu là B thì Xuất = 70% * Nhập</t>
  </si>
  <si>
    <t>3) Tính Đơn giá như sau:
    + Nếu Mã hàng có ký tự cuối là Y thì Đơn giá = 110000
    + Nếu Mã hàng có ký tự cuối là N thì Đơn giá = 135000</t>
  </si>
  <si>
    <t>4) Tính cột Tiền = Xuất * Đơn giá.</t>
  </si>
  <si>
    <t>5) Cột Thuế được tính như sau:
    + Nếu Mã hàng có ký tự đầu là A và ký tự cuối là Y thì Thuế = 8% của Tiền
    + Nếu Mã hàng có ký tự đầu là A và ký tự cuối là N thì Thuế = 11% của Tiền
    + Nếu Mã hàng có ký tự đầu là B và ký tự cuối là Y thì Thuế = 17% của Tiền
    + Nếu Mã hàng có ký tự đầu là B và ký tự cuối là N thì Thuế = 22% của Tiền.</t>
  </si>
  <si>
    <t>6) Còn lại = Phụ cấp chức vụ + Lương - Tạm ứng.</t>
  </si>
  <si>
    <t>BÀI THỰC HÀNH EXCEL SỐ 5</t>
  </si>
  <si>
    <t>STT</t>
  </si>
  <si>
    <t>DANH SÁCH THI TUYỂN</t>
  </si>
  <si>
    <t>NHẬP ĐIỂM</t>
  </si>
  <si>
    <t>LT</t>
  </si>
  <si>
    <t>TH</t>
  </si>
  <si>
    <t>LÝ
THUYẾT</t>
  </si>
  <si>
    <t>THỰC
HÀNH</t>
  </si>
  <si>
    <t>ĐTB</t>
  </si>
  <si>
    <t>XẾP
LOẠI</t>
  </si>
  <si>
    <t>Nguyễn Thái Nga</t>
  </si>
  <si>
    <t>Trương Ngọc Lan</t>
  </si>
  <si>
    <t>Lý Cẩm Nhi</t>
  </si>
  <si>
    <t>Lưu Thùy Nhi</t>
  </si>
  <si>
    <t>Trần Thị Bích Tuyền</t>
  </si>
  <si>
    <t>Điểm</t>
  </si>
  <si>
    <t>Xếp loại</t>
  </si>
  <si>
    <t>Rớt</t>
  </si>
  <si>
    <t>Trung bình</t>
  </si>
  <si>
    <t>Khá</t>
  </si>
  <si>
    <t>Giỏi</t>
  </si>
  <si>
    <t>BẢNG XẾP LOẠI</t>
  </si>
  <si>
    <t>TÊN THÍ SINH</t>
  </si>
  <si>
    <t>BÀI THỰC HÀNH EXCEL SỐ 6</t>
  </si>
  <si>
    <t>PHIẾU GIAO NHẬN</t>
  </si>
  <si>
    <t>LƯỢNG</t>
  </si>
  <si>
    <t>ĐƠN GIÁ</t>
  </si>
  <si>
    <t>THÀNH
TIỀN</t>
  </si>
  <si>
    <t>XB01</t>
  </si>
  <si>
    <t>S001</t>
  </si>
  <si>
    <t>T001</t>
  </si>
  <si>
    <t>KHUYẾN
MÃI</t>
  </si>
  <si>
    <t>Tổng cộng:</t>
  </si>
  <si>
    <t>MÃ SP</t>
  </si>
  <si>
    <t>TÊN
SP</t>
  </si>
  <si>
    <t>Tên SP</t>
  </si>
  <si>
    <t>Mã SP</t>
  </si>
  <si>
    <t>Xà bông LifeBoy</t>
  </si>
  <si>
    <t>Súp Knor</t>
  </si>
  <si>
    <t>SẢN PHẨM</t>
  </si>
  <si>
    <t>1) TÊN SP: Căn cứ vào MÃ SP, tra cứu trong bảng SẢN PHẨM.</t>
  </si>
  <si>
    <t>2) ĐƠN GIÁ: Căn cứ vào MÃ SP, tra cứu trong bảng SẢN PHẨM.</t>
  </si>
  <si>
    <t>3) Tính số lượng sản phẩm được khuyến mãi cho các mặt hàng theo quy tắc
    mua 5 tặng 1, cụ thể như sau (theo Lượng):</t>
  </si>
  <si>
    <t>- Từ 1 đến 4: không được tặng</t>
  </si>
  <si>
    <t>- Từ 5 đến 9: tặng 1 sản phẩm</t>
  </si>
  <si>
    <t>- Từ 10 đến 14: tặng 2 sản phẩm</t>
  </si>
  <si>
    <t>- Từ 15 đến 19: tặng 3 sản phẩm</t>
  </si>
  <si>
    <t>BÀI THỰC HÀNH EXCEL SỐ 7</t>
  </si>
  <si>
    <t>SỐ
TT</t>
  </si>
  <si>
    <t>HỌ VÀ TÊN</t>
  </si>
  <si>
    <t>MÃ SỐ NGÀNH-
ƯU TIÊN</t>
  </si>
  <si>
    <t>TOÁN</t>
  </si>
  <si>
    <t>LÝ</t>
  </si>
  <si>
    <t>ĐIỂM
ƯU TIÊN</t>
  </si>
  <si>
    <t>TỔNG
CỘNG</t>
  </si>
  <si>
    <t>KẾT
QUẢ</t>
  </si>
  <si>
    <t>TÊN
NGÀNH</t>
  </si>
  <si>
    <t>CỘNG
ĐIỂM</t>
  </si>
  <si>
    <t>Lê Văn Bình</t>
  </si>
  <si>
    <t>Trần Thị Cơ</t>
  </si>
  <si>
    <t>Lý Thị Loan</t>
  </si>
  <si>
    <t>Trần Hoàng Thái</t>
  </si>
  <si>
    <t>A1</t>
  </si>
  <si>
    <t>B3</t>
  </si>
  <si>
    <t>C2</t>
  </si>
  <si>
    <t>C4</t>
  </si>
  <si>
    <t>Mã ngành</t>
  </si>
  <si>
    <t>A</t>
  </si>
  <si>
    <t>B</t>
  </si>
  <si>
    <t>C</t>
  </si>
  <si>
    <t>Tên ngành</t>
  </si>
  <si>
    <t>Tin học</t>
  </si>
  <si>
    <t>Lý</t>
  </si>
  <si>
    <t>Hóa</t>
  </si>
  <si>
    <t>Mã
ưu tiên</t>
  </si>
  <si>
    <t>NGÀNH
HỌC</t>
  </si>
  <si>
    <t>2) CỘNG ĐIỂM = (TOÁN*2 + LÝ)</t>
  </si>
  <si>
    <t>ĐIỂM ƯU TIÊN</t>
  </si>
  <si>
    <t>4) TỔNG CỘNG = CỘNG ĐIỂM + ĐIỂM ƯU TIÊN.</t>
  </si>
  <si>
    <t>1) TÊN NGÀNH: Căn cứ vào ký tự đầu của MÃ SỐ NGÀNH-ƯU TIÊN,
tra cứu trong bảng NGÀNH HỌC.</t>
  </si>
  <si>
    <t>3) ĐIỂM ƯU TIÊN: Căn cứ vào ký tự cuối của MÃ SỐ NGÀNH-ƯU TIÊN,
tra trong bảng ĐIỂM ƯU TIÊN.</t>
  </si>
  <si>
    <t>BẢNG KẾT QUẢ TUYỂN SINH</t>
  </si>
  <si>
    <t>BÀI THỰC HÀNH EXCEL SỐ 8</t>
  </si>
  <si>
    <t>BÁO CÁO BÁN HÀNG</t>
  </si>
  <si>
    <t>MÃ MH</t>
  </si>
  <si>
    <t>MẶT HÀNG</t>
  </si>
  <si>
    <t>SỐ LƯỢNG</t>
  </si>
  <si>
    <t>PHÍ
CHUYÊN CHỞ</t>
  </si>
  <si>
    <t>HD1</t>
  </si>
  <si>
    <t>FD1</t>
  </si>
  <si>
    <t>MS1</t>
  </si>
  <si>
    <t>SD1</t>
  </si>
  <si>
    <t>DD1</t>
  </si>
  <si>
    <t>HD2</t>
  </si>
  <si>
    <t>MS2</t>
  </si>
  <si>
    <t>DD2</t>
  </si>
  <si>
    <t>FD</t>
  </si>
  <si>
    <t>HD</t>
  </si>
  <si>
    <t>MS</t>
  </si>
  <si>
    <t>SD</t>
  </si>
  <si>
    <t>DD</t>
  </si>
  <si>
    <t>Đĩa cứng</t>
  </si>
  <si>
    <t>Đĩa mềm</t>
  </si>
  <si>
    <t>Mouse</t>
  </si>
  <si>
    <t>SD Ram</t>
  </si>
  <si>
    <t>DD Ram</t>
  </si>
  <si>
    <t>1) MẶT HÀNG: Căn cứ vào MÃ MH, tra cứu ở bảng ĐƠN GIÁ.</t>
  </si>
  <si>
    <t>2) ĐƠN GIÁ: Căn cứ vào MÃ MH, tra cứu ở bảng ĐƠN GIÁ.</t>
  </si>
  <si>
    <t>3) PHÍ CHUYÊN CHỞ:</t>
  </si>
  <si>
    <t xml:space="preserve">   = 1% * ĐƠN GIÁ đối với mặt hàng loại 1 và 5% * ĐƠN GIÁ đối với mặt hàng loại 2.</t>
  </si>
  <si>
    <t>4) THÀNH TIỀN = SỐ LƯỢNG * (ĐƠN GIÁ + PHÍ CHUYÊN CHỞ).</t>
  </si>
  <si>
    <t>5) TỔNG CỘNG = THÀNH TIỀN - TIỀN GIẢM biết rằng nếu THÀNH TIỀN &gt;=1000
    sẽ giảm 1%*THÀNH TIỀN và định dạng với không số lẻ.</t>
  </si>
  <si>
    <t>BẢNG THỐNG KÊ</t>
  </si>
  <si>
    <t>Số lượng đã bán:</t>
  </si>
  <si>
    <r>
      <t xml:space="preserve">* </t>
    </r>
    <r>
      <rPr>
        <b/>
        <u/>
        <sz val="12"/>
        <rFont val="Times New Roman"/>
        <family val="1"/>
      </rPr>
      <t>Chú giải:</t>
    </r>
    <r>
      <rPr>
        <sz val="12"/>
        <rFont val="Times New Roman"/>
        <family val="1"/>
      </rPr>
      <t xml:space="preserve"> 2 ký tự đầu của MÃ MH cho biết Mặt hàng, ký tự cuối của MÃ MH cho biết
                   Đơn giá (Loại 1 hay Loại 2).</t>
    </r>
  </si>
  <si>
    <t>BÀI THỰC HÀNH EXCEL SỐ 9</t>
  </si>
  <si>
    <t>NGÀY</t>
  </si>
  <si>
    <t>BẮT ĐẦU</t>
  </si>
  <si>
    <t>KẾT THÚC</t>
  </si>
  <si>
    <t>SỐ PHÚT</t>
  </si>
  <si>
    <t>TỈNH</t>
  </si>
  <si>
    <t>TIỀN</t>
  </si>
  <si>
    <t>DTP</t>
  </si>
  <si>
    <t>AGG</t>
  </si>
  <si>
    <t>1) SỐ GiỜ = KẾT THÚC - BẮT ĐẦU.</t>
  </si>
  <si>
    <t>Tỉnh</t>
  </si>
  <si>
    <t>SỐ GIỜ</t>
  </si>
  <si>
    <t>2) SỐ PHÚT = GIỜ * 60 + PHÚT + GIÂY/60, với GIỜ, PHÚT, GIÂY là các giá trị giờ, phút, giây
    ở ô SỐ GIỜ tương ứng. Định dạng với 2 số lẻ.</t>
  </si>
  <si>
    <t>HNI</t>
  </si>
  <si>
    <t>BDG</t>
  </si>
  <si>
    <t>3) ĐƠN GIÁ: Căn cứ vào TỈNH, tra cứu trong bảng ĐƠN GIÁ.</t>
  </si>
  <si>
    <t>4) TIỀN = SỐ PHÚT * ĐƠN GIÁ.</t>
  </si>
  <si>
    <t>Số cuộc gọi từng tỉnh:</t>
  </si>
  <si>
    <t>AG</t>
  </si>
  <si>
    <t>BD</t>
  </si>
  <si>
    <t>BẢNG KÊ CHI TIẾT ĐẠI LÝ BƯU ĐIỆN TRONG NGÀY</t>
  </si>
  <si>
    <t>BẢNG TÍNH TIỀN NHẬP HÀNG</t>
  </si>
  <si>
    <t>Tên
hàng</t>
  </si>
  <si>
    <t>Loại
hàng</t>
  </si>
  <si>
    <t>Giá</t>
  </si>
  <si>
    <t>Trị
giá</t>
  </si>
  <si>
    <t>Phí
vận chuyển</t>
  </si>
  <si>
    <t>Radio</t>
  </si>
  <si>
    <t>Casette</t>
  </si>
  <si>
    <t>Đầu máy</t>
  </si>
  <si>
    <t>D</t>
  </si>
  <si>
    <t>Tủ lạnh</t>
  </si>
  <si>
    <t>Máy lạnh</t>
  </si>
  <si>
    <t>Yêu cầu:</t>
  </si>
  <si>
    <t>1) Nhập số liệu cho bảng tính</t>
  </si>
  <si>
    <t>2) Định dạng cột GIÁ có dấu phân cách hàng ngàn và đơn vị VND.</t>
  </si>
  <si>
    <t>3) Tính Trị giá như sau: Trị giá = Số lượng * Giá</t>
  </si>
  <si>
    <t>4) Tính Thuế như sau:</t>
  </si>
  <si>
    <t>Thuế = 10% * Trị giá nếu Loại hàng là A</t>
  </si>
  <si>
    <t>Thuế = 20% * Trị giá nếu Loại hàng là B</t>
  </si>
  <si>
    <t>Thuế = 30% * Trị giá nếu Loại hàng là C</t>
  </si>
  <si>
    <t>Thuế = 0 với các loại hàng khác</t>
  </si>
  <si>
    <t>5) Tính Tổng Số lượng và Tổng Trị giá</t>
  </si>
  <si>
    <t>6) Tính Phí vận chuyển như sau:</t>
  </si>
  <si>
    <t>Phí vận chuyển = (Tổng trị giá / Tổng số lượng) * Số lượng * 10%</t>
  </si>
  <si>
    <t>7) Tiền = Trị giá + Thuế + Phí vận chuyển</t>
  </si>
  <si>
    <t>8) Sắp xếp bảng tính tăng dần theo cột Phí vận chuyển</t>
  </si>
  <si>
    <t>LOẠI
SD</t>
  </si>
  <si>
    <t>CHỈ SỐ
ĐẦU</t>
  </si>
  <si>
    <t>CHỈ SỐ
CUỐI</t>
  </si>
  <si>
    <t>HỆ SỐ</t>
  </si>
  <si>
    <t>PHỤ
TRỘI</t>
  </si>
  <si>
    <t>NN</t>
  </si>
  <si>
    <t>TT</t>
  </si>
  <si>
    <t>KD</t>
  </si>
  <si>
    <t>CN</t>
  </si>
  <si>
    <t>2) Cột Hệ số được tính như sau:</t>
  </si>
  <si>
    <t>- Nếu Loại SD là "KD" thì Hệ số = 3</t>
  </si>
  <si>
    <t>- Nếu Loại SD là "NN" thì Hệ số = 5</t>
  </si>
  <si>
    <t>- Nếu Loại SD là "TT" thì Hệ số = 4</t>
  </si>
  <si>
    <t>- Nếu Loại SD là "CN" thì Hệ số = 2</t>
  </si>
  <si>
    <t>4) Tính Phụ trội như sau:</t>
  </si>
  <si>
    <t>6) Sắp xếp bảng tính giảm dần theo cột Cộng.</t>
  </si>
  <si>
    <t>7) Tháng: Dùng hàm lấy ra tháng, năm hiện tại.</t>
  </si>
  <si>
    <t>BẢNG CHI PHÍ VẬN CHUYỂN</t>
  </si>
  <si>
    <t>Tỷ giá USD:</t>
  </si>
  <si>
    <t>CHỦ
HÀNG</t>
  </si>
  <si>
    <t>LOẠI
HÀNG</t>
  </si>
  <si>
    <t>ĐỊNH
MỨC</t>
  </si>
  <si>
    <t>TRỌNG
LƯỢNG</t>
  </si>
  <si>
    <t>GIÁ
CƯỚC</t>
  </si>
  <si>
    <t>TIỀN
PHẠT</t>
  </si>
  <si>
    <t>THÀNH
TIỀN
(VN)</t>
  </si>
  <si>
    <t>Cty A</t>
  </si>
  <si>
    <t>XN B</t>
  </si>
  <si>
    <t>Tổ hợp C</t>
  </si>
  <si>
    <t>DNTN D</t>
  </si>
  <si>
    <t>Cty E</t>
  </si>
  <si>
    <t>XN F</t>
  </si>
  <si>
    <t>Cty G</t>
  </si>
  <si>
    <t>BẢNG ĐỊNH MỨC VÀ GIÁ CƯỚC</t>
  </si>
  <si>
    <t>3) Tính TIỀN PHẠT như sau:</t>
  </si>
  <si>
    <t>-Nếu TRỌNG LƯỢNG &gt; ĐỊNH MỨC thì:</t>
  </si>
  <si>
    <t xml:space="preserve">    TIỀN PHẠT = (TRỌNG LƯỢNG - ĐỊNH MỨC) * 20% * GIÁ CƯỚC</t>
  </si>
  <si>
    <t>-Ngược lại: TIỀNPHẠT = 0.</t>
  </si>
  <si>
    <t>4) Tính THÀNH TIỀN như sau:</t>
  </si>
  <si>
    <t>THÀNH TIỀN = (GIÁ CƯỚC + TIỀN PHẠT) * Tỷ giá USD</t>
  </si>
  <si>
    <t>5) Sắp xếp bảng tính giảm dần theo cột THÀNH TIỀN (VN).</t>
  </si>
  <si>
    <t>Bảng 1- BẢNG ĐIỂM CHUẨN</t>
  </si>
  <si>
    <t>Bảng 2- BẢNG ĐIỂM HỌC BỔNG</t>
  </si>
  <si>
    <t>Mã
ngành</t>
  </si>
  <si>
    <t>Ngành
thi</t>
  </si>
  <si>
    <t>Điểm
chuẩn 1</t>
  </si>
  <si>
    <t>Điểm
chuẩn 2</t>
  </si>
  <si>
    <t>Máy tính</t>
  </si>
  <si>
    <t>Điểm HB</t>
  </si>
  <si>
    <t>Điện tử</t>
  </si>
  <si>
    <t>Cơ khí</t>
  </si>
  <si>
    <t>KẾT QUẢ TUYỂN SINH NĂM 2005</t>
  </si>
  <si>
    <t>Mã
số</t>
  </si>
  <si>
    <t>Họ</t>
  </si>
  <si>
    <t>Tên</t>
  </si>
  <si>
    <t>Khu
vực</t>
  </si>
  <si>
    <t>Toán</t>
  </si>
  <si>
    <t>Kết
quả</t>
  </si>
  <si>
    <t>A101</t>
  </si>
  <si>
    <t>Trung</t>
  </si>
  <si>
    <t>B102</t>
  </si>
  <si>
    <t>Kiều</t>
  </si>
  <si>
    <t>Nga</t>
  </si>
  <si>
    <t>C203</t>
  </si>
  <si>
    <t>Mạnh</t>
  </si>
  <si>
    <t>D204</t>
  </si>
  <si>
    <t>Phạm</t>
  </si>
  <si>
    <t>Uyên</t>
  </si>
  <si>
    <t>A205</t>
  </si>
  <si>
    <t>Tùng</t>
  </si>
  <si>
    <t>C106</t>
  </si>
  <si>
    <t>Hùng</t>
  </si>
  <si>
    <t>D107</t>
  </si>
  <si>
    <t>Hoa</t>
  </si>
  <si>
    <t>A208</t>
  </si>
  <si>
    <t>Lâm</t>
  </si>
  <si>
    <t>1) Chèn vào trước cột Kết quả hai cột: Tổng cộng, Điểm chuẩn.</t>
  </si>
  <si>
    <t>2) Sắp xếp bảng tính KẾT QUẢ TUYỂN SINH theo thứ tự Tên tăng dần.</t>
  </si>
  <si>
    <t>3) Lập công thức điền dữ liệu cho các cột Khu vực và Ngành thi
tương ứng cho từng thí sinh.</t>
  </si>
  <si>
    <t>Trong đó:</t>
  </si>
  <si>
    <t>- Khu vực là ký tự thứ 2 của Mã số</t>
  </si>
  <si>
    <t>- Ngành thi: dựa vào ký tự đầu của Mã số và Bảng 1.</t>
  </si>
  <si>
    <t>4) Từ ký tự đầu của Mã số (Mã ngành), Khu vực và Bảng 1,
hãy điền dữ liệu cho cột Điểm chuẩn.</t>
  </si>
  <si>
    <t>Trong đó, nếu thí sinh thuộc khu vực 1 thì lấy Điểm chuẩn1, ngược lại lấy Điểm chuẩn2.</t>
  </si>
  <si>
    <t>5) Tính Tổng cộng là tổng điểm của 3 môn.</t>
  </si>
  <si>
    <t>6) Hãy lập công thức điền Kết quả như sau:</t>
  </si>
  <si>
    <t xml:space="preserve"> Nếu thí sinh có điểm Tổng cộng &gt;= Điểm chuẩn của ngành mình dự thi</t>
  </si>
  <si>
    <t>thì sẽ có kết quả là "Đậu", ngược lại là "Rớt".</t>
  </si>
  <si>
    <t>8) Thêm cột Học bổng và lập công thức điền vào đó là "Có" nếu điểm Tổng cộng của</t>
  </si>
  <si>
    <t>thí sinh &gt;= Điểm học bổng, trường hợp ngược lại để trống.</t>
  </si>
  <si>
    <t>Số TS
có học bổng</t>
  </si>
  <si>
    <r>
      <t xml:space="preserve">6) Trang trí cho bảng tính và lưu lại với tên </t>
    </r>
    <r>
      <rPr>
        <b/>
        <sz val="12"/>
        <rFont val="Times New Roman"/>
        <family val="1"/>
      </rPr>
      <t>Bai10.xls</t>
    </r>
  </si>
  <si>
    <t>BÀI THỰC HÀNH EXCEL SỐ 10</t>
  </si>
  <si>
    <r>
      <t xml:space="preserve">7) Trang trí cho bảng tính và lưu lại với tên </t>
    </r>
    <r>
      <rPr>
        <b/>
        <sz val="12"/>
        <rFont val="Times New Roman"/>
        <family val="1"/>
      </rPr>
      <t>Bai11.xls</t>
    </r>
  </si>
  <si>
    <t>BÀI THỰC HÀNH EXCEL SỐ 11</t>
  </si>
  <si>
    <t>BÀI THỰC HÀNH EXCEL SỐ 12</t>
  </si>
  <si>
    <t>BÀI THỰC HÀNH EXCEL SỐ 13</t>
  </si>
  <si>
    <t>10) Rút trích thông tin của các thí sinh của các thí sinh dự thi khối A.</t>
  </si>
  <si>
    <t>BÀI THỰC HÀNH EXCEL SỐ 14</t>
  </si>
  <si>
    <t>Tỉ giá:</t>
  </si>
  <si>
    <t>MÃ
HÀNG</t>
  </si>
  <si>
    <t>NGÀY SX</t>
  </si>
  <si>
    <t>NHẬP</t>
  </si>
  <si>
    <t>XUẤT</t>
  </si>
  <si>
    <t>ĐƠN GIÁ
(USD)</t>
  </si>
  <si>
    <t>TRỊ GIÁ
(VNĐ)</t>
  </si>
  <si>
    <t>TV</t>
  </si>
  <si>
    <t>MPT</t>
  </si>
  <si>
    <t>ML</t>
  </si>
  <si>
    <t>MDT</t>
  </si>
  <si>
    <t>TL</t>
  </si>
  <si>
    <t>x</t>
  </si>
  <si>
    <t>Đơn giá (USD)</t>
  </si>
  <si>
    <t>Ti vi</t>
  </si>
  <si>
    <t>Máy photo</t>
  </si>
  <si>
    <t>Máy điện thoại</t>
  </si>
  <si>
    <t>Tổng SL xuất</t>
  </si>
  <si>
    <t>Tổng SL nhập</t>
  </si>
  <si>
    <t>Mô tả:</t>
  </si>
  <si>
    <t>1) Tên hàng: Dựa vào Mã hàng, tra trong Bảng Hàng hóa.</t>
  </si>
  <si>
    <t>- Cột Nhập và cột Xuất: Tùy theo cột nào có đánh dấu x để biết được là hàng Nhập hay Xuất.</t>
  </si>
  <si>
    <t>2) Đơn giá (USD): Dựa vào Mã hàng và Nhập hay Xuất, tra trong Bảng Hàng hóa.</t>
  </si>
  <si>
    <t>3) Trị giá (VNĐ): Số lượng * Đơn giá (USD) * Tỉ giá. Tuy nhiên nếu mặt hàng xuất trong ngày</t>
  </si>
  <si>
    <t>20/01/2005 thì giảm 5% Đơn giá.</t>
  </si>
  <si>
    <t>5) Tổng cộng: Tính tổng Số lượng, Tổng trị giá, Có bao nhiêu mặt hàng khuyến mãi.</t>
  </si>
  <si>
    <t>6) Sắp xếp lại bảng tính theo thứ tự tăng dần của Mã hàng, nếu trùng thì sắp giảm dần theo Số lượng.</t>
  </si>
  <si>
    <t>7) Rút trích thông tin của các mặt hàng được nhập trong 15 ngày đầu tiên của tháng 1 năm 2005.</t>
  </si>
  <si>
    <t>12) Dựa vào bảng thống kê trên, hãy vẽ bảng đồ dạng PIE phản ánh tỉ lệ thí sinh đậu, rớt.</t>
  </si>
  <si>
    <t>9) Dựa vào BẢNG THỐNG KÊ, hãy vẽ bảng đồ dạng Column phản ánh tỉ lệ tổng SL nhập</t>
  </si>
  <si>
    <t>của các loại mặt hàng.</t>
  </si>
  <si>
    <t>BÀI THỰC HÀNH EXCEL SỐ 15</t>
  </si>
  <si>
    <t>Mã hàng</t>
  </si>
  <si>
    <t>Số lượng</t>
  </si>
  <si>
    <t>Thành tiền</t>
  </si>
  <si>
    <t>Trả trước</t>
  </si>
  <si>
    <t>Còn lại</t>
  </si>
  <si>
    <t>S05N</t>
  </si>
  <si>
    <t>K03N</t>
  </si>
  <si>
    <t>G06N</t>
  </si>
  <si>
    <t>X06X</t>
  </si>
  <si>
    <t>S04N</t>
  </si>
  <si>
    <t>K10X</t>
  </si>
  <si>
    <t>X09N</t>
  </si>
  <si>
    <t>BẢNG 1</t>
  </si>
  <si>
    <t>Mã số</t>
  </si>
  <si>
    <t>K</t>
  </si>
  <si>
    <t>G</t>
  </si>
  <si>
    <t>T</t>
  </si>
  <si>
    <t>S</t>
  </si>
  <si>
    <t>X</t>
  </si>
  <si>
    <t>Vải Katê</t>
  </si>
  <si>
    <t>Gấm T.hải</t>
  </si>
  <si>
    <t>Vải Tole</t>
  </si>
  <si>
    <t>Vải Silk</t>
  </si>
  <si>
    <t>Vải xô</t>
  </si>
  <si>
    <t>ĐG (đ/m)</t>
  </si>
  <si>
    <t>Từ tháng</t>
  </si>
  <si>
    <t>Tỉ lệ</t>
  </si>
  <si>
    <t>BẢNG 2</t>
  </si>
  <si>
    <t>Tháng</t>
  </si>
  <si>
    <t>1 -&gt; 3</t>
  </si>
  <si>
    <t>4 -&gt; 6</t>
  </si>
  <si>
    <t>Lưu ý:</t>
  </si>
  <si>
    <t>- Định dạng các cột đơn vị tiền tệ 1,000 VND hay 1,000 USD (thêm phần thập phân - nếu có),</t>
  </si>
  <si>
    <t>canh lề phải.</t>
  </si>
  <si>
    <t>- Ký tự đầu của Mã hàng cho biết Mã số của mặt hàng.</t>
  </si>
  <si>
    <t>- 2 ký tự thứ 2, 3 của Mã hàng cho biết tháng nhập hàng.</t>
  </si>
  <si>
    <t>- Ký tự cuối của Mã hàng cho biết hàng này được nhập (N) hay được xuất (X).</t>
  </si>
  <si>
    <t>BẢNG HÀNG HÓA:</t>
  </si>
  <si>
    <t>BẢNG THỐNG KÊ:</t>
  </si>
  <si>
    <t>1) Tên hàng: Dựa vào Mã số tra trong BẢNG 1 để lấy tên hàng tương ứng.</t>
  </si>
  <si>
    <t>2) Thành tiền = Số lượng * Đơn giá (đ/m). Biết rằng:</t>
  </si>
  <si>
    <t>+ Đơn giá (đ/m): Dựa vào Mã số, tra trong BẢNG 1 để lấy đơn giá tương ứng.</t>
  </si>
  <si>
    <t>3) Thuế = Thành tiền * Tỉ lệ. Biết rằng:</t>
  </si>
  <si>
    <t>+ Tỉ lệ: Dựa vào 2 ký tự thứ 2, 3 của Mã hàng để lấy Tỉ lệ tương ứng trong BẢNG 2.</t>
  </si>
  <si>
    <t>4) Trả trước: Biết rằng:</t>
  </si>
  <si>
    <t>+ Nếu Thành tiền &gt;= 5000000 thì Trả trước = 75% * Thành tiền,</t>
  </si>
  <si>
    <t>5) Còn lại = Thành tiền - Trả trước.</t>
  </si>
  <si>
    <t>7) Rút trích thông tin của mặt hàng "Vải Katê" được nhập từ tháng 3 trở về sau.</t>
  </si>
  <si>
    <t>4) THÀNH TIỀN = (LƯỢNG - KHUYẾN MÃI) * ĐƠN GIÁ.</t>
  </si>
  <si>
    <t>1) Nhập số liệu và trang trí cho bảng tính.</t>
  </si>
  <si>
    <t>2) Tính ĐỊNH MỨC và GIÁ CƯỚC dựa vào LOẠI HÀNG.</t>
  </si>
  <si>
    <t>BÀI THỰC HÀNH EXCEL SỐ 16</t>
  </si>
  <si>
    <t>- Phụ trội = 0 nếu (Chỉ số cuối - Chỉ số đầu) &lt; 50</t>
  </si>
  <si>
    <t>- Phụ trội = Thành tiền * 35% nếu 50 &lt;= (Chỉ số cuối - Chỉ số đầu) &lt;= 100</t>
  </si>
  <si>
    <t>- Phụ trội = Thành tiền * 100% nếu (Chỉ số cuối - Chỉ số đầu) &gt; 100</t>
  </si>
  <si>
    <t>HỌ TÊN</t>
  </si>
  <si>
    <t>MÃ NV</t>
  </si>
  <si>
    <t>TÊN
ĐƠN VỊ</t>
  </si>
  <si>
    <t>SỐ LƯỢNG
SP</t>
  </si>
  <si>
    <t>THỰC LÃNH</t>
  </si>
  <si>
    <t>Bình</t>
  </si>
  <si>
    <t>Công</t>
  </si>
  <si>
    <t>Danh</t>
  </si>
  <si>
    <t>Đào</t>
  </si>
  <si>
    <t>Giang</t>
  </si>
  <si>
    <t>Khoa</t>
  </si>
  <si>
    <t>Loan</t>
  </si>
  <si>
    <t>Minh</t>
  </si>
  <si>
    <t>01DH4</t>
  </si>
  <si>
    <t>02NH2</t>
  </si>
  <si>
    <t>03NH6</t>
  </si>
  <si>
    <t>04DH4</t>
  </si>
  <si>
    <t>05NH2</t>
  </si>
  <si>
    <t>06DH2</t>
  </si>
  <si>
    <t>07DH1</t>
  </si>
  <si>
    <t>08DH7</t>
  </si>
  <si>
    <t>09NH5</t>
  </si>
  <si>
    <t>10NH3</t>
  </si>
  <si>
    <t>SX-PX1</t>
  </si>
  <si>
    <t>SX-PX2</t>
  </si>
  <si>
    <t>QL-PX1</t>
  </si>
  <si>
    <t>QL-PX2</t>
  </si>
  <si>
    <t>SX-PX3</t>
  </si>
  <si>
    <t>SX-PX4</t>
  </si>
  <si>
    <t>QL-PX3</t>
  </si>
  <si>
    <t>QL-PX4</t>
  </si>
  <si>
    <t>1) Chèn vào giữa cột SỐ LƯỢNG SP và cộ TẠM ỨNG các cột: LƯƠNG SP, BHXH, HỆ SỐ,</t>
  </si>
  <si>
    <t>2) Lập công thức tính lương sản phẩm:</t>
  </si>
  <si>
    <t>BẢNG ĐƠN GIÁ</t>
  </si>
  <si>
    <t>SX</t>
  </si>
  <si>
    <t>QL</t>
  </si>
  <si>
    <t>PX1</t>
  </si>
  <si>
    <t>PX2</t>
  </si>
  <si>
    <t>PX3</t>
  </si>
  <si>
    <t>PX4</t>
  </si>
  <si>
    <t>BẢNG HỆ SỐ</t>
  </si>
  <si>
    <t>Bậc</t>
  </si>
  <si>
    <t>Hệ số</t>
  </si>
  <si>
    <t>3) Bảo hiểm xã hội (BHXH) được quy định bằng 5% lương sản phẩm nhưng chỉ tính cho</t>
  </si>
  <si>
    <t>những người có hợp đồng dài hạn và loại hợp đồng được ghi trong MÃ NV.</t>
  </si>
  <si>
    <t>(DH: Dài hạn, NH: Ngắn hạn)</t>
  </si>
  <si>
    <t>5) THU NHẬP: Nếu thuộc bộ phận quản lý (QL) thì THU NHẬP = LƯƠNG SP * HỆ SỐ,</t>
  </si>
  <si>
    <t>ngược lại: THU NHẬP chính là LƯƠNG SP.</t>
  </si>
  <si>
    <t>6) TẠM ỨNG: Công nhân có cấp bậc từ 5 trở lên sẽ được tạm ứng bằng 1/3 của mức</t>
  </si>
  <si>
    <t>THU NHẬP, ngược lại TẠM ỨNG là 1/5 mức THU NHẬP.</t>
  </si>
  <si>
    <t>8) THỰC LÃNH = THU NHẬP - (BHXH + TẠM ỨNG).</t>
  </si>
  <si>
    <t>10) Tháng: Dùng hàm lấy ra Tháng và Năm hiện tại. Vd: 09/2006.</t>
  </si>
  <si>
    <t>4) Điền dữ liệu vào cột HỆ SỐ dựa vào cấp bậc (là ký tự cuối của MÃ NV) và BẢNG HỆ SỐ.</t>
  </si>
  <si>
    <t>- Định dạng các cột số canh lề phải, theo định dạng 1,000 (có dấu phân cách hàng nghìn)</t>
  </si>
  <si>
    <t xml:space="preserve"> hay 1,000.00 (có dấu phân cách hàng nghìn, phần thập phân - nếu có).</t>
  </si>
  <si>
    <t>6) Sắp xếp lại bảng tính theo thứ tự tăng dần của Mã số, nếu trùng thì sắp giảm dần</t>
  </si>
  <si>
    <t>theo Thành tiền.</t>
  </si>
  <si>
    <t>BÀI THỰC HÀNH EXCEL SỐ 17</t>
  </si>
  <si>
    <t>BÁO CÁO BÁN HÀNG THÉP XÂY DỰNG</t>
  </si>
  <si>
    <t>Mã QG</t>
  </si>
  <si>
    <t>Ngày bán</t>
  </si>
  <si>
    <t>Trị giá</t>
  </si>
  <si>
    <t>Đơn vị tính: USD</t>
  </si>
  <si>
    <t>TR20C</t>
  </si>
  <si>
    <t>TA10C</t>
  </si>
  <si>
    <t>TR20T</t>
  </si>
  <si>
    <t>GO55T</t>
  </si>
  <si>
    <t>GIỜ</t>
  </si>
  <si>
    <t>TIỀN GIẢM</t>
  </si>
  <si>
    <t>TIỀN PHẢI TRẢ</t>
  </si>
  <si>
    <t>TRẢ MÁY</t>
  </si>
  <si>
    <t>NHẬN MÁY</t>
  </si>
  <si>
    <t>HÌNH THỨC THUÊ</t>
  </si>
  <si>
    <t>MÃ SỐ</t>
  </si>
  <si>
    <t>sl</t>
  </si>
  <si>
    <t>&lt;5</t>
  </si>
  <si>
    <t>5&lt;=</t>
  </si>
  <si>
    <t>&lt;=9</t>
  </si>
  <si>
    <t>&lt;=14</t>
  </si>
  <si>
    <t>10&lt;=</t>
  </si>
  <si>
    <t>15&lt;=</t>
  </si>
  <si>
    <t>&lt;=19</t>
  </si>
  <si>
    <t>20&lt;=</t>
  </si>
  <si>
    <t>INT(SL/5)=2,2</t>
  </si>
  <si>
    <t>IF(INT(C5/5)&gt;=4,5,IF(INT(C5/5)=3,3,IF(INT(C5/5)=2,2,IF(INT(C5/5)=1,1,0))))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</si>
</sst>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\ &quot;₫&quot;_-;\-* #,##0\ &quot;₫&quot;_-;_-* &quot;-&quot;\ &quot;₫&quot;_-;_-@_-"/>
    <numFmt numFmtId="165" formatCode="0.0"/>
    <numFmt numFmtId="166" formatCode="dd/mm"/>
    <numFmt numFmtId="167" formatCode="[$-1000000]h:mm;@"/>
    <numFmt numFmtId="168" formatCode="0&quot; Km/h&quot;"/>
    <numFmt numFmtId="169" formatCode="mm/yyyy"/>
    <numFmt numFmtId="170" formatCode="#,##0\ &quot;VND&quot;"/>
  </numFmts>
  <fonts count="48" x14ac:knownFonts="1">
    <font>
      <sz val="10"/>
      <name val="Arial"/>
    </font>
    <font>
      <sz val="10"/>
      <name val="Arial"/>
    </font>
    <font>
      <sz val="8"/>
      <name val="Arial"/>
      <family val="2"/>
      <charset val="163"/>
    </font>
    <font>
      <sz val="12"/>
      <name val="Times New Roman"/>
      <family val="1"/>
    </font>
    <font>
      <b/>
      <u/>
      <sz val="12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sz val="11"/>
      <name val="Times New Roman"/>
      <family val="1"/>
    </font>
    <font>
      <sz val="15"/>
      <name val="Times New Roman"/>
      <family val="1"/>
    </font>
    <font>
      <b/>
      <i/>
      <u/>
      <sz val="12"/>
      <name val="Arial"/>
      <family val="2"/>
    </font>
    <font>
      <i/>
      <sz val="12"/>
      <name val="Times New Roman"/>
      <family val="1"/>
    </font>
    <font>
      <sz val="18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6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  <charset val="163"/>
    </font>
    <font>
      <b/>
      <i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sz val="12"/>
      <color indexed="12"/>
      <name val="Times New Roman"/>
      <family val="1"/>
      <charset val="163"/>
    </font>
    <font>
      <b/>
      <sz val="12"/>
      <color indexed="9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b/>
      <u/>
      <sz val="12"/>
      <name val="Times New Roman"/>
      <family val="1"/>
      <charset val="163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indexed="12"/>
      <name val="Times New Roman"/>
      <family val="1"/>
      <charset val="163"/>
    </font>
    <font>
      <b/>
      <sz val="12"/>
      <color indexed="12"/>
      <name val="Times New Roman"/>
      <family val="1"/>
    </font>
    <font>
      <b/>
      <sz val="12"/>
      <color indexed="9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  <charset val="163"/>
    </font>
    <font>
      <b/>
      <u/>
      <sz val="12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color indexed="48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8"/>
      <color indexed="12"/>
      <name val="Times New Roman"/>
      <family val="1"/>
      <charset val="163"/>
    </font>
    <font>
      <sz val="12"/>
      <name val="Times New Roman"/>
      <family val="1"/>
      <charset val="163"/>
    </font>
    <font>
      <b/>
      <i/>
      <u/>
      <sz val="12"/>
      <name val="Times New Roman"/>
      <family val="1"/>
      <charset val="163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  <charset val="163"/>
    </font>
    <font>
      <b/>
      <sz val="12"/>
      <color indexed="10"/>
      <name val="Times New Roman"/>
      <family val="1"/>
    </font>
    <font>
      <b/>
      <sz val="12"/>
      <color indexed="12"/>
      <name val="Times New Roman"/>
      <family val="1"/>
      <charset val="163"/>
    </font>
    <font>
      <b/>
      <sz val="16"/>
      <color indexed="10"/>
      <name val="Times New Roman"/>
      <family val="1"/>
    </font>
    <font>
      <b/>
      <sz val="12"/>
      <color indexed="48"/>
      <name val="Times New Roman"/>
      <family val="1"/>
    </font>
    <font>
      <b/>
      <sz val="16"/>
      <color indexed="10"/>
      <name val="Times New Roman"/>
      <family val="1"/>
      <charset val="163"/>
    </font>
    <font>
      <b/>
      <sz val="14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quotePrefix="1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3" fillId="2" borderId="0" xfId="0" applyFont="1" applyFill="1"/>
    <xf numFmtId="0" fontId="3" fillId="2" borderId="0" xfId="0" quotePrefix="1" applyFont="1" applyFill="1"/>
    <xf numFmtId="0" fontId="10" fillId="2" borderId="0" xfId="0" applyFont="1" applyFill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/>
    <xf numFmtId="0" fontId="3" fillId="4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11" xfId="0" applyFont="1" applyFill="1" applyBorder="1"/>
    <xf numFmtId="0" fontId="3" fillId="5" borderId="3" xfId="0" applyFont="1" applyFill="1" applyBorder="1"/>
    <xf numFmtId="14" fontId="3" fillId="5" borderId="3" xfId="0" applyNumberFormat="1" applyFont="1" applyFill="1" applyBorder="1"/>
    <xf numFmtId="0" fontId="3" fillId="5" borderId="12" xfId="0" applyFont="1" applyFill="1" applyBorder="1"/>
    <xf numFmtId="0" fontId="3" fillId="5" borderId="8" xfId="0" applyFont="1" applyFill="1" applyBorder="1"/>
    <xf numFmtId="14" fontId="3" fillId="5" borderId="8" xfId="0" applyNumberFormat="1" applyFont="1" applyFill="1" applyBorder="1"/>
    <xf numFmtId="0" fontId="3" fillId="5" borderId="13" xfId="0" applyFont="1" applyFill="1" applyBorder="1"/>
    <xf numFmtId="0" fontId="3" fillId="5" borderId="9" xfId="0" applyFont="1" applyFill="1" applyBorder="1"/>
    <xf numFmtId="14" fontId="3" fillId="5" borderId="9" xfId="0" applyNumberFormat="1" applyFont="1" applyFill="1" applyBorder="1"/>
    <xf numFmtId="0" fontId="3" fillId="5" borderId="14" xfId="0" applyFont="1" applyFill="1" applyBorder="1"/>
    <xf numFmtId="0" fontId="3" fillId="5" borderId="10" xfId="0" applyFont="1" applyFill="1" applyBorder="1"/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/>
    </xf>
    <xf numFmtId="0" fontId="13" fillId="5" borderId="8" xfId="0" applyFont="1" applyFill="1" applyBorder="1"/>
    <xf numFmtId="0" fontId="13" fillId="5" borderId="8" xfId="0" applyFont="1" applyFill="1" applyBorder="1" applyAlignment="1">
      <alignment horizontal="right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/>
    </xf>
    <xf numFmtId="166" fontId="3" fillId="6" borderId="8" xfId="0" applyNumberFormat="1" applyFont="1" applyFill="1" applyBorder="1" applyAlignment="1">
      <alignment horizontal="center"/>
    </xf>
    <xf numFmtId="0" fontId="3" fillId="6" borderId="8" xfId="0" applyFont="1" applyFill="1" applyBorder="1"/>
    <xf numFmtId="0" fontId="3" fillId="6" borderId="8" xfId="0" applyFont="1" applyFill="1" applyBorder="1" applyAlignment="1">
      <alignment horizontal="left"/>
    </xf>
    <xf numFmtId="0" fontId="4" fillId="2" borderId="0" xfId="0" applyFont="1" applyFill="1"/>
    <xf numFmtId="0" fontId="3" fillId="5" borderId="8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26" fillId="3" borderId="4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5" fillId="5" borderId="12" xfId="0" applyFont="1" applyFill="1" applyBorder="1"/>
    <xf numFmtId="0" fontId="25" fillId="5" borderId="8" xfId="0" applyFont="1" applyFill="1" applyBorder="1"/>
    <xf numFmtId="0" fontId="25" fillId="5" borderId="13" xfId="0" applyFont="1" applyFill="1" applyBorder="1"/>
    <xf numFmtId="0" fontId="25" fillId="5" borderId="9" xfId="0" applyFont="1" applyFill="1" applyBorder="1"/>
    <xf numFmtId="0" fontId="25" fillId="0" borderId="0" xfId="0" quotePrefix="1" applyFont="1"/>
    <xf numFmtId="0" fontId="26" fillId="0" borderId="0" xfId="0" applyFont="1"/>
    <xf numFmtId="0" fontId="25" fillId="0" borderId="0" xfId="0" applyFont="1" applyAlignment="1">
      <alignment horizontal="center"/>
    </xf>
    <xf numFmtId="0" fontId="25" fillId="7" borderId="0" xfId="0" applyFont="1" applyFill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horizontal="right"/>
    </xf>
    <xf numFmtId="0" fontId="29" fillId="8" borderId="4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8" borderId="6" xfId="0" applyFont="1" applyFill="1" applyBorder="1" applyAlignment="1">
      <alignment horizontal="center" vertical="center" wrapText="1"/>
    </xf>
    <xf numFmtId="0" fontId="24" fillId="7" borderId="0" xfId="0" applyFont="1" applyFill="1"/>
    <xf numFmtId="0" fontId="25" fillId="4" borderId="8" xfId="0" applyFont="1" applyFill="1" applyBorder="1" applyAlignment="1">
      <alignment horizontal="center"/>
    </xf>
    <xf numFmtId="0" fontId="25" fillId="4" borderId="14" xfId="0" applyFont="1" applyFill="1" applyBorder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horizontal="left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5" borderId="8" xfId="0" applyFont="1" applyFill="1" applyBorder="1" applyAlignment="1">
      <alignment horizontal="right"/>
    </xf>
    <xf numFmtId="0" fontId="30" fillId="4" borderId="10" xfId="0" applyFont="1" applyFill="1" applyBorder="1" applyAlignment="1">
      <alignment horizontal="center"/>
    </xf>
    <xf numFmtId="0" fontId="29" fillId="8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21" fillId="8" borderId="4" xfId="0" applyFont="1" applyFill="1" applyBorder="1" applyAlignment="1">
      <alignment horizontal="center" vertical="center" wrapText="1"/>
    </xf>
    <xf numFmtId="0" fontId="21" fillId="8" borderId="5" xfId="0" applyFont="1" applyFill="1" applyBorder="1" applyAlignment="1">
      <alignment horizontal="center" vertical="center" wrapText="1"/>
    </xf>
    <xf numFmtId="0" fontId="21" fillId="8" borderId="6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left"/>
    </xf>
    <xf numFmtId="3" fontId="13" fillId="5" borderId="8" xfId="0" applyNumberFormat="1" applyFont="1" applyFill="1" applyBorder="1" applyAlignment="1">
      <alignment horizontal="left"/>
    </xf>
    <xf numFmtId="3" fontId="19" fillId="4" borderId="8" xfId="0" applyNumberFormat="1" applyFont="1" applyFill="1" applyBorder="1" applyAlignment="1">
      <alignment horizontal="left"/>
    </xf>
    <xf numFmtId="3" fontId="19" fillId="4" borderId="14" xfId="0" applyNumberFormat="1" applyFont="1" applyFill="1" applyBorder="1" applyAlignment="1">
      <alignment horizontal="left"/>
    </xf>
    <xf numFmtId="3" fontId="16" fillId="4" borderId="9" xfId="0" applyNumberFormat="1" applyFont="1" applyFill="1" applyBorder="1" applyAlignment="1">
      <alignment horizontal="left"/>
    </xf>
    <xf numFmtId="0" fontId="17" fillId="2" borderId="0" xfId="0" applyFont="1" applyFill="1"/>
    <xf numFmtId="0" fontId="13" fillId="2" borderId="0" xfId="0" applyFont="1" applyFill="1"/>
    <xf numFmtId="0" fontId="19" fillId="9" borderId="3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0" fontId="19" fillId="9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14" fillId="5" borderId="8" xfId="0" applyFont="1" applyFill="1" applyBorder="1"/>
    <xf numFmtId="0" fontId="14" fillId="5" borderId="3" xfId="0" applyFont="1" applyFill="1" applyBorder="1"/>
    <xf numFmtId="3" fontId="19" fillId="4" borderId="3" xfId="0" applyNumberFormat="1" applyFont="1" applyFill="1" applyBorder="1" applyAlignment="1">
      <alignment horizontal="right"/>
    </xf>
    <xf numFmtId="3" fontId="19" fillId="4" borderId="8" xfId="0" applyNumberFormat="1" applyFont="1" applyFill="1" applyBorder="1" applyAlignment="1">
      <alignment horizontal="right"/>
    </xf>
    <xf numFmtId="0" fontId="14" fillId="5" borderId="8" xfId="0" applyFont="1" applyFill="1" applyBorder="1" applyAlignment="1">
      <alignment horizontal="left"/>
    </xf>
    <xf numFmtId="3" fontId="16" fillId="4" borderId="8" xfId="0" applyNumberFormat="1" applyFont="1" applyFill="1" applyBorder="1" applyAlignment="1">
      <alignment horizontal="right"/>
    </xf>
    <xf numFmtId="3" fontId="13" fillId="0" borderId="0" xfId="0" applyNumberFormat="1" applyFont="1"/>
    <xf numFmtId="0" fontId="17" fillId="7" borderId="0" xfId="0" applyFont="1" applyFill="1" applyAlignment="1">
      <alignment horizontal="left" vertical="center"/>
    </xf>
    <xf numFmtId="0" fontId="13" fillId="7" borderId="0" xfId="0" applyFont="1" applyFill="1" applyAlignment="1">
      <alignment horizontal="left" vertical="center"/>
    </xf>
    <xf numFmtId="0" fontId="13" fillId="7" borderId="0" xfId="0" applyFont="1" applyFill="1"/>
    <xf numFmtId="0" fontId="21" fillId="8" borderId="8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/>
    </xf>
    <xf numFmtId="0" fontId="19" fillId="4" borderId="8" xfId="0" applyFont="1" applyFill="1" applyBorder="1" applyAlignment="1">
      <alignment horizontal="left"/>
    </xf>
    <xf numFmtId="0" fontId="17" fillId="0" borderId="0" xfId="0" applyFont="1"/>
    <xf numFmtId="0" fontId="14" fillId="0" borderId="0" xfId="0" applyFont="1"/>
    <xf numFmtId="0" fontId="14" fillId="3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left"/>
    </xf>
    <xf numFmtId="0" fontId="19" fillId="4" borderId="8" xfId="0" applyFont="1" applyFill="1" applyBorder="1" applyAlignment="1">
      <alignment horizontal="right"/>
    </xf>
    <xf numFmtId="0" fontId="19" fillId="4" borderId="14" xfId="0" applyFont="1" applyFill="1" applyBorder="1" applyAlignment="1">
      <alignment horizontal="right"/>
    </xf>
    <xf numFmtId="0" fontId="16" fillId="4" borderId="1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right"/>
    </xf>
    <xf numFmtId="0" fontId="16" fillId="4" borderId="10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/>
    </xf>
    <xf numFmtId="0" fontId="14" fillId="3" borderId="8" xfId="0" applyFont="1" applyFill="1" applyBorder="1" applyAlignment="1">
      <alignment horizontal="center"/>
    </xf>
    <xf numFmtId="0" fontId="13" fillId="2" borderId="0" xfId="0" quotePrefix="1" applyFont="1" applyFill="1"/>
    <xf numFmtId="0" fontId="20" fillId="0" borderId="0" xfId="0" applyFont="1"/>
    <xf numFmtId="0" fontId="17" fillId="7" borderId="0" xfId="0" applyFont="1" applyFill="1"/>
    <xf numFmtId="0" fontId="13" fillId="7" borderId="0" xfId="0" quotePrefix="1" applyFont="1" applyFill="1"/>
    <xf numFmtId="0" fontId="13" fillId="4" borderId="8" xfId="0" applyFont="1" applyFill="1" applyBorder="1" applyAlignment="1">
      <alignment horizontal="center"/>
    </xf>
    <xf numFmtId="0" fontId="13" fillId="4" borderId="8" xfId="0" applyFont="1" applyFill="1" applyBorder="1"/>
    <xf numFmtId="0" fontId="13" fillId="5" borderId="8" xfId="0" applyFont="1" applyFill="1" applyBorder="1" applyAlignment="1">
      <alignment horizontal="left" vertical="center"/>
    </xf>
    <xf numFmtId="0" fontId="13" fillId="3" borderId="8" xfId="0" applyFont="1" applyFill="1" applyBorder="1" applyAlignment="1">
      <alignment horizontal="center" vertical="center" wrapText="1"/>
    </xf>
    <xf numFmtId="0" fontId="13" fillId="3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26" fillId="4" borderId="13" xfId="0" applyFont="1" applyFill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5" fillId="3" borderId="5" xfId="0" applyFont="1" applyFill="1" applyBorder="1" applyAlignment="1">
      <alignment horizontal="center" vertical="center" wrapText="1"/>
    </xf>
    <xf numFmtId="0" fontId="25" fillId="3" borderId="6" xfId="0" applyFont="1" applyFill="1" applyBorder="1" applyAlignment="1">
      <alignment horizontal="center" vertical="center" wrapText="1"/>
    </xf>
    <xf numFmtId="0" fontId="25" fillId="4" borderId="12" xfId="0" applyFont="1" applyFill="1" applyBorder="1" applyAlignment="1">
      <alignment horizontal="center"/>
    </xf>
    <xf numFmtId="0" fontId="25" fillId="4" borderId="8" xfId="0" applyFont="1" applyFill="1" applyBorder="1"/>
    <xf numFmtId="0" fontId="25" fillId="4" borderId="14" xfId="0" applyFont="1" applyFill="1" applyBorder="1"/>
    <xf numFmtId="0" fontId="25" fillId="4" borderId="9" xfId="0" applyFont="1" applyFill="1" applyBorder="1"/>
    <xf numFmtId="0" fontId="25" fillId="4" borderId="10" xfId="0" applyFont="1" applyFill="1" applyBorder="1"/>
    <xf numFmtId="0" fontId="25" fillId="4" borderId="13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 vertical="center" wrapText="1"/>
    </xf>
    <xf numFmtId="0" fontId="25" fillId="0" borderId="20" xfId="0" applyFont="1" applyBorder="1" applyAlignment="1">
      <alignment horizontal="left"/>
    </xf>
    <xf numFmtId="0" fontId="25" fillId="5" borderId="13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3" fontId="13" fillId="7" borderId="8" xfId="0" applyNumberFormat="1" applyFont="1" applyFill="1" applyBorder="1" applyAlignment="1">
      <alignment horizontal="right"/>
    </xf>
    <xf numFmtId="0" fontId="14" fillId="3" borderId="8" xfId="0" applyFont="1" applyFill="1" applyBorder="1"/>
    <xf numFmtId="0" fontId="14" fillId="4" borderId="8" xfId="0" applyFont="1" applyFill="1" applyBorder="1" applyAlignment="1">
      <alignment horizontal="center"/>
    </xf>
    <xf numFmtId="10" fontId="13" fillId="4" borderId="8" xfId="0" applyNumberFormat="1" applyFont="1" applyFill="1" applyBorder="1"/>
    <xf numFmtId="0" fontId="14" fillId="4" borderId="8" xfId="0" applyFont="1" applyFill="1" applyBorder="1"/>
    <xf numFmtId="0" fontId="13" fillId="7" borderId="8" xfId="0" applyFont="1" applyFill="1" applyBorder="1" applyAlignment="1">
      <alignment horizontal="center"/>
    </xf>
    <xf numFmtId="0" fontId="23" fillId="2" borderId="0" xfId="0" quotePrefix="1" applyFont="1" applyFill="1"/>
    <xf numFmtId="0" fontId="22" fillId="2" borderId="0" xfId="0" applyFont="1" applyFill="1"/>
    <xf numFmtId="0" fontId="32" fillId="0" borderId="0" xfId="0" applyFont="1" applyAlignment="1">
      <alignment horizontal="left"/>
    </xf>
    <xf numFmtId="0" fontId="33" fillId="0" borderId="0" xfId="0" applyFont="1"/>
    <xf numFmtId="0" fontId="33" fillId="0" borderId="0" xfId="0" applyFont="1" applyAlignment="1">
      <alignment horizontal="center"/>
    </xf>
    <xf numFmtId="0" fontId="34" fillId="3" borderId="4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/>
    </xf>
    <xf numFmtId="0" fontId="34" fillId="3" borderId="5" xfId="0" applyFont="1" applyFill="1" applyBorder="1" applyAlignment="1">
      <alignment horizontal="center" vertical="center" wrapText="1"/>
    </xf>
    <xf numFmtId="0" fontId="34" fillId="3" borderId="21" xfId="0" applyFont="1" applyFill="1" applyBorder="1" applyAlignment="1">
      <alignment horizontal="center" vertical="center" wrapText="1"/>
    </xf>
    <xf numFmtId="0" fontId="34" fillId="3" borderId="6" xfId="0" applyFont="1" applyFill="1" applyBorder="1" applyAlignment="1">
      <alignment horizontal="center" vertical="center" wrapText="1"/>
    </xf>
    <xf numFmtId="166" fontId="33" fillId="4" borderId="12" xfId="0" applyNumberFormat="1" applyFont="1" applyFill="1" applyBorder="1"/>
    <xf numFmtId="21" fontId="33" fillId="4" borderId="8" xfId="0" applyNumberFormat="1" applyFont="1" applyFill="1" applyBorder="1" applyAlignment="1">
      <alignment horizontal="center"/>
    </xf>
    <xf numFmtId="2" fontId="33" fillId="5" borderId="8" xfId="0" applyNumberFormat="1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/>
    </xf>
    <xf numFmtId="0" fontId="33" fillId="5" borderId="22" xfId="0" applyFont="1" applyFill="1" applyBorder="1" applyAlignment="1">
      <alignment horizontal="center"/>
    </xf>
    <xf numFmtId="164" fontId="33" fillId="5" borderId="14" xfId="0" applyNumberFormat="1" applyFont="1" applyFill="1" applyBorder="1" applyAlignment="1">
      <alignment horizontal="center"/>
    </xf>
    <xf numFmtId="166" fontId="33" fillId="4" borderId="23" xfId="0" applyNumberFormat="1" applyFont="1" applyFill="1" applyBorder="1"/>
    <xf numFmtId="21" fontId="33" fillId="4" borderId="2" xfId="0" applyNumberFormat="1" applyFont="1" applyFill="1" applyBorder="1" applyAlignment="1">
      <alignment horizontal="center"/>
    </xf>
    <xf numFmtId="0" fontId="33" fillId="4" borderId="2" xfId="0" applyFont="1" applyFill="1" applyBorder="1" applyAlignment="1">
      <alignment horizontal="center"/>
    </xf>
    <xf numFmtId="166" fontId="33" fillId="4" borderId="13" xfId="0" applyNumberFormat="1" applyFont="1" applyFill="1" applyBorder="1"/>
    <xf numFmtId="21" fontId="33" fillId="4" borderId="9" xfId="0" applyNumberFormat="1" applyFont="1" applyFill="1" applyBorder="1" applyAlignment="1">
      <alignment horizontal="center"/>
    </xf>
    <xf numFmtId="0" fontId="33" fillId="4" borderId="9" xfId="0" applyFont="1" applyFill="1" applyBorder="1" applyAlignment="1">
      <alignment horizontal="center"/>
    </xf>
    <xf numFmtId="0" fontId="33" fillId="0" borderId="0" xfId="0" applyFont="1" applyAlignment="1">
      <alignment horizontal="left"/>
    </xf>
    <xf numFmtId="2" fontId="33" fillId="3" borderId="13" xfId="0" applyNumberFormat="1" applyFont="1" applyFill="1" applyBorder="1" applyAlignment="1">
      <alignment horizontal="center"/>
    </xf>
    <xf numFmtId="2" fontId="33" fillId="3" borderId="10" xfId="0" applyNumberFormat="1" applyFont="1" applyFill="1" applyBorder="1" applyAlignment="1">
      <alignment horizontal="center"/>
    </xf>
    <xf numFmtId="0" fontId="33" fillId="4" borderId="3" xfId="0" applyFont="1" applyFill="1" applyBorder="1" applyAlignment="1">
      <alignment horizontal="center" wrapText="1"/>
    </xf>
    <xf numFmtId="0" fontId="33" fillId="4" borderId="3" xfId="0" applyFont="1" applyFill="1" applyBorder="1" applyAlignment="1">
      <alignment horizontal="center"/>
    </xf>
    <xf numFmtId="0" fontId="33" fillId="4" borderId="12" xfId="0" applyFont="1" applyFill="1" applyBorder="1"/>
    <xf numFmtId="0" fontId="33" fillId="5" borderId="14" xfId="0" applyFont="1" applyFill="1" applyBorder="1" applyAlignment="1">
      <alignment horizontal="center"/>
    </xf>
    <xf numFmtId="0" fontId="33" fillId="4" borderId="8" xfId="0" applyFont="1" applyFill="1" applyBorder="1" applyAlignment="1">
      <alignment horizontal="center" wrapText="1"/>
    </xf>
    <xf numFmtId="0" fontId="33" fillId="4" borderId="13" xfId="0" applyFont="1" applyFill="1" applyBorder="1"/>
    <xf numFmtId="0" fontId="33" fillId="5" borderId="10" xfId="0" applyFont="1" applyFill="1" applyBorder="1" applyAlignment="1">
      <alignment horizontal="center"/>
    </xf>
    <xf numFmtId="169" fontId="19" fillId="0" borderId="0" xfId="0" applyNumberFormat="1" applyFont="1" applyAlignment="1">
      <alignment horizontal="left"/>
    </xf>
    <xf numFmtId="166" fontId="13" fillId="5" borderId="8" xfId="0" applyNumberFormat="1" applyFont="1" applyFill="1" applyBorder="1" applyAlignment="1">
      <alignment horizontal="center"/>
    </xf>
    <xf numFmtId="0" fontId="19" fillId="4" borderId="8" xfId="0" applyFont="1" applyFill="1" applyBorder="1"/>
    <xf numFmtId="3" fontId="19" fillId="4" borderId="8" xfId="0" applyNumberFormat="1" applyFont="1" applyFill="1" applyBorder="1"/>
    <xf numFmtId="166" fontId="13" fillId="0" borderId="0" xfId="0" applyNumberFormat="1" applyFont="1" applyAlignment="1">
      <alignment horizontal="center"/>
    </xf>
    <xf numFmtId="0" fontId="14" fillId="2" borderId="0" xfId="0" applyFont="1" applyFill="1"/>
    <xf numFmtId="0" fontId="32" fillId="10" borderId="0" xfId="0" applyFont="1" applyFill="1"/>
    <xf numFmtId="0" fontId="33" fillId="10" borderId="0" xfId="0" applyFont="1" applyFill="1"/>
    <xf numFmtId="0" fontId="33" fillId="10" borderId="0" xfId="0" applyFont="1" applyFill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27" fillId="4" borderId="8" xfId="0" applyFont="1" applyFill="1" applyBorder="1" applyAlignment="1">
      <alignment horizontal="right"/>
    </xf>
    <xf numFmtId="0" fontId="35" fillId="0" borderId="0" xfId="0" applyFont="1"/>
    <xf numFmtId="0" fontId="24" fillId="2" borderId="0" xfId="0" applyFont="1" applyFill="1"/>
    <xf numFmtId="0" fontId="25" fillId="2" borderId="0" xfId="0" applyFont="1" applyFill="1"/>
    <xf numFmtId="0" fontId="25" fillId="2" borderId="0" xfId="0" quotePrefix="1" applyFont="1" applyFill="1"/>
    <xf numFmtId="0" fontId="16" fillId="4" borderId="8" xfId="0" applyFont="1" applyFill="1" applyBorder="1"/>
    <xf numFmtId="0" fontId="3" fillId="5" borderId="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5" borderId="5" xfId="0" applyFont="1" applyFill="1" applyBorder="1" applyAlignment="1">
      <alignment vertical="center"/>
    </xf>
    <xf numFmtId="165" fontId="3" fillId="5" borderId="5" xfId="0" applyNumberFormat="1" applyFont="1" applyFill="1" applyBorder="1" applyAlignment="1">
      <alignment vertical="center"/>
    </xf>
    <xf numFmtId="165" fontId="3" fillId="5" borderId="8" xfId="0" applyNumberFormat="1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165" fontId="3" fillId="5" borderId="9" xfId="0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14" fillId="3" borderId="8" xfId="0" applyFont="1" applyFill="1" applyBorder="1" applyAlignment="1">
      <alignment horizontal="left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8" xfId="0" applyFont="1" applyFill="1" applyBorder="1" applyAlignment="1">
      <alignment horizontal="center" vertical="center"/>
    </xf>
    <xf numFmtId="3" fontId="19" fillId="4" borderId="2" xfId="0" applyNumberFormat="1" applyFont="1" applyFill="1" applyBorder="1"/>
    <xf numFmtId="0" fontId="13" fillId="3" borderId="3" xfId="0" applyFont="1" applyFill="1" applyBorder="1" applyAlignment="1">
      <alignment horizontal="center"/>
    </xf>
    <xf numFmtId="166" fontId="13" fillId="3" borderId="3" xfId="0" applyNumberFormat="1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166" fontId="13" fillId="0" borderId="8" xfId="0" applyNumberFormat="1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25" fillId="4" borderId="14" xfId="0" applyFont="1" applyFill="1" applyBorder="1" applyAlignment="1">
      <alignment horizontal="right"/>
    </xf>
    <xf numFmtId="0" fontId="3" fillId="4" borderId="8" xfId="0" applyFont="1" applyFill="1" applyBorder="1" applyAlignment="1">
      <alignment horizontal="right"/>
    </xf>
    <xf numFmtId="0" fontId="3" fillId="4" borderId="14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right" vertical="center"/>
    </xf>
    <xf numFmtId="0" fontId="3" fillId="4" borderId="16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vertical="center"/>
    </xf>
    <xf numFmtId="14" fontId="13" fillId="4" borderId="8" xfId="0" applyNumberFormat="1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right" vertical="center"/>
    </xf>
    <xf numFmtId="0" fontId="13" fillId="5" borderId="8" xfId="0" applyFont="1" applyFill="1" applyBorder="1" applyAlignment="1">
      <alignment horizontal="right" vertical="center"/>
    </xf>
    <xf numFmtId="3" fontId="13" fillId="5" borderId="8" xfId="0" applyNumberFormat="1" applyFont="1" applyFill="1" applyBorder="1" applyAlignment="1">
      <alignment horizontal="right" vertical="center"/>
    </xf>
    <xf numFmtId="0" fontId="13" fillId="5" borderId="8" xfId="0" applyFont="1" applyFill="1" applyBorder="1" applyAlignment="1">
      <alignment horizontal="center" vertical="center"/>
    </xf>
    <xf numFmtId="0" fontId="22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quotePrefix="1" applyFont="1" applyFill="1" applyAlignment="1">
      <alignment vertical="center"/>
    </xf>
    <xf numFmtId="3" fontId="19" fillId="0" borderId="0" xfId="0" applyNumberFormat="1" applyFont="1" applyAlignment="1">
      <alignment horizontal="left" vertical="center"/>
    </xf>
    <xf numFmtId="0" fontId="3" fillId="11" borderId="14" xfId="0" applyFont="1" applyFill="1" applyBorder="1" applyAlignment="1">
      <alignment horizontal="center"/>
    </xf>
    <xf numFmtId="0" fontId="3" fillId="11" borderId="10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4" borderId="8" xfId="0" applyFont="1" applyFill="1" applyBorder="1" applyAlignment="1">
      <alignment horizontal="left" vertical="center"/>
    </xf>
    <xf numFmtId="20" fontId="3" fillId="5" borderId="8" xfId="0" applyNumberFormat="1" applyFont="1" applyFill="1" applyBorder="1" applyAlignment="1">
      <alignment horizontal="center" vertical="center"/>
    </xf>
    <xf numFmtId="167" fontId="3" fillId="4" borderId="8" xfId="0" applyNumberFormat="1" applyFont="1" applyFill="1" applyBorder="1" applyAlignment="1">
      <alignment horizontal="center" vertical="center"/>
    </xf>
    <xf numFmtId="168" fontId="3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0" fontId="11" fillId="0" borderId="0" xfId="0" applyFont="1" applyAlignment="1">
      <alignment vertical="center"/>
    </xf>
    <xf numFmtId="0" fontId="3" fillId="5" borderId="8" xfId="0" applyFont="1" applyFill="1" applyBorder="1" applyAlignment="1">
      <alignment horizontal="left" vertical="center"/>
    </xf>
    <xf numFmtId="20" fontId="3" fillId="4" borderId="8" xfId="0" applyNumberFormat="1" applyFont="1" applyFill="1" applyBorder="1" applyAlignment="1">
      <alignment horizontal="center" vertical="center"/>
    </xf>
    <xf numFmtId="0" fontId="38" fillId="2" borderId="0" xfId="0" applyFont="1" applyFill="1" applyAlignment="1">
      <alignment vertical="center"/>
    </xf>
    <xf numFmtId="0" fontId="39" fillId="2" borderId="0" xfId="0" applyFont="1" applyFill="1" applyAlignment="1">
      <alignment vertical="center"/>
    </xf>
    <xf numFmtId="0" fontId="38" fillId="2" borderId="0" xfId="0" quotePrefix="1" applyFont="1" applyFill="1" applyAlignment="1">
      <alignment vertical="center"/>
    </xf>
    <xf numFmtId="0" fontId="40" fillId="0" borderId="0" xfId="0" applyFont="1" applyAlignment="1">
      <alignment vertical="center"/>
    </xf>
    <xf numFmtId="44" fontId="3" fillId="0" borderId="0" xfId="1" applyFont="1" applyAlignment="1">
      <alignment vertical="center"/>
    </xf>
    <xf numFmtId="0" fontId="41" fillId="5" borderId="8" xfId="0" applyFont="1" applyFill="1" applyBorder="1" applyAlignment="1">
      <alignment horizontal="right" vertical="center"/>
    </xf>
    <xf numFmtId="3" fontId="41" fillId="5" borderId="8" xfId="0" applyNumberFormat="1" applyFont="1" applyFill="1" applyBorder="1" applyAlignment="1">
      <alignment horizontal="right" vertical="center"/>
    </xf>
    <xf numFmtId="0" fontId="41" fillId="5" borderId="8" xfId="0" applyFont="1" applyFill="1" applyBorder="1" applyAlignment="1">
      <alignment horizontal="center" vertical="center"/>
    </xf>
    <xf numFmtId="0" fontId="43" fillId="0" borderId="0" xfId="0" applyFont="1" applyAlignment="1">
      <alignment vertical="center"/>
    </xf>
    <xf numFmtId="0" fontId="3" fillId="0" borderId="24" xfId="0" applyFont="1" applyBorder="1"/>
    <xf numFmtId="0" fontId="14" fillId="3" borderId="25" xfId="0" applyFont="1" applyFill="1" applyBorder="1"/>
    <xf numFmtId="0" fontId="14" fillId="3" borderId="26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47" fillId="0" borderId="0" xfId="0" applyFont="1"/>
    <xf numFmtId="170" fontId="25" fillId="5" borderId="8" xfId="0" applyNumberFormat="1" applyFont="1" applyFill="1" applyBorder="1"/>
    <xf numFmtId="170" fontId="25" fillId="5" borderId="8" xfId="0" applyNumberFormat="1" applyFont="1" applyFill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 vertical="center" wrapText="1"/>
    </xf>
    <xf numFmtId="170" fontId="13" fillId="5" borderId="8" xfId="0" applyNumberFormat="1" applyFont="1" applyFill="1" applyBorder="1" applyAlignment="1">
      <alignment horizontal="right"/>
    </xf>
    <xf numFmtId="170" fontId="16" fillId="4" borderId="9" xfId="0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6" fillId="4" borderId="28" xfId="0" applyFont="1" applyFill="1" applyBorder="1" applyAlignment="1">
      <alignment horizontal="center"/>
    </xf>
    <xf numFmtId="0" fontId="16" fillId="4" borderId="29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5" borderId="8" xfId="0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0" fontId="30" fillId="4" borderId="13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5" fillId="7" borderId="0" xfId="0" applyFont="1" applyFill="1" applyAlignment="1">
      <alignment horizontal="left" wrapText="1"/>
    </xf>
    <xf numFmtId="0" fontId="25" fillId="7" borderId="0" xfId="0" applyFont="1" applyFill="1" applyAlignment="1">
      <alignment horizontal="left" vertical="top" wrapText="1"/>
    </xf>
    <xf numFmtId="0" fontId="21" fillId="8" borderId="8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16" fillId="3" borderId="28" xfId="0" applyFont="1" applyFill="1" applyBorder="1" applyAlignment="1">
      <alignment horizontal="center"/>
    </xf>
    <xf numFmtId="0" fontId="16" fillId="3" borderId="19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2" borderId="0" xfId="0" applyFont="1" applyFill="1" applyAlignment="1">
      <alignment horizontal="left" wrapText="1"/>
    </xf>
    <xf numFmtId="0" fontId="16" fillId="0" borderId="31" xfId="0" applyFont="1" applyBorder="1" applyAlignment="1">
      <alignment horizontal="center"/>
    </xf>
    <xf numFmtId="0" fontId="16" fillId="0" borderId="31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1" fillId="3" borderId="2" xfId="0" applyFont="1" applyFill="1" applyBorder="1" applyAlignment="1">
      <alignment horizontal="center" vertical="center" wrapText="1"/>
    </xf>
    <xf numFmtId="0" fontId="31" fillId="3" borderId="3" xfId="0" applyFont="1" applyFill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wrapText="1"/>
    </xf>
    <xf numFmtId="0" fontId="44" fillId="0" borderId="30" xfId="0" applyFont="1" applyBorder="1" applyAlignment="1">
      <alignment horizontal="center"/>
    </xf>
    <xf numFmtId="0" fontId="5" fillId="0" borderId="32" xfId="0" applyFont="1" applyBorder="1" applyAlignment="1">
      <alignment horizontal="left" wrapText="1"/>
    </xf>
    <xf numFmtId="0" fontId="5" fillId="3" borderId="4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45" fillId="0" borderId="30" xfId="0" applyFont="1" applyBorder="1" applyAlignment="1">
      <alignment horizontal="center"/>
    </xf>
    <xf numFmtId="0" fontId="34" fillId="0" borderId="32" xfId="0" applyFont="1" applyBorder="1" applyAlignment="1">
      <alignment horizontal="left" wrapText="1"/>
    </xf>
    <xf numFmtId="0" fontId="33" fillId="10" borderId="0" xfId="0" applyFont="1" applyFill="1" applyAlignment="1">
      <alignment horizontal="left" wrapText="1"/>
    </xf>
    <xf numFmtId="2" fontId="34" fillId="3" borderId="4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>
      <alignment horizontal="center"/>
    </xf>
    <xf numFmtId="0" fontId="34" fillId="3" borderId="33" xfId="0" applyFont="1" applyFill="1" applyBorder="1" applyAlignment="1">
      <alignment horizontal="center"/>
    </xf>
    <xf numFmtId="0" fontId="34" fillId="3" borderId="34" xfId="0" applyFont="1" applyFill="1" applyBorder="1" applyAlignment="1">
      <alignment horizontal="center"/>
    </xf>
    <xf numFmtId="0" fontId="33" fillId="3" borderId="35" xfId="0" applyFont="1" applyFill="1" applyBorder="1" applyAlignment="1">
      <alignment horizontal="center"/>
    </xf>
    <xf numFmtId="0" fontId="33" fillId="3" borderId="36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25" fillId="0" borderId="0" xfId="0" applyFont="1" applyAlignment="1">
      <alignment horizontal="left" wrapText="1"/>
    </xf>
    <xf numFmtId="0" fontId="30" fillId="0" borderId="30" xfId="0" applyFont="1" applyBorder="1" applyAlignment="1">
      <alignment horizontal="center"/>
    </xf>
    <xf numFmtId="0" fontId="30" fillId="0" borderId="37" xfId="0" applyFont="1" applyBorder="1" applyAlignment="1">
      <alignment horizontal="center"/>
    </xf>
    <xf numFmtId="0" fontId="25" fillId="5" borderId="38" xfId="0" applyFont="1" applyFill="1" applyBorder="1" applyAlignment="1">
      <alignment horizontal="center" vertical="center"/>
    </xf>
    <xf numFmtId="0" fontId="25" fillId="5" borderId="39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 vertical="center" wrapText="1"/>
    </xf>
    <xf numFmtId="0" fontId="25" fillId="3" borderId="34" xfId="0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/>
    </xf>
    <xf numFmtId="0" fontId="13" fillId="5" borderId="40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left" vertical="center"/>
    </xf>
    <xf numFmtId="0" fontId="13" fillId="4" borderId="40" xfId="0" applyFont="1" applyFill="1" applyBorder="1" applyAlignment="1">
      <alignment horizontal="left" vertical="center"/>
    </xf>
    <xf numFmtId="0" fontId="13" fillId="3" borderId="22" xfId="0" applyFont="1" applyFill="1" applyBorder="1" applyAlignment="1">
      <alignment horizontal="center" vertical="center"/>
    </xf>
    <xf numFmtId="0" fontId="13" fillId="3" borderId="31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41" fillId="3" borderId="22" xfId="0" applyFont="1" applyFill="1" applyBorder="1" applyAlignment="1">
      <alignment horizontal="center" vertical="center"/>
    </xf>
    <xf numFmtId="0" fontId="41" fillId="3" borderId="40" xfId="0" applyFont="1" applyFill="1" applyBorder="1" applyAlignment="1">
      <alignment horizontal="center" vertical="center"/>
    </xf>
    <xf numFmtId="0" fontId="16" fillId="3" borderId="22" xfId="0" applyFont="1" applyFill="1" applyBorder="1" applyAlignment="1">
      <alignment horizontal="center" vertical="center"/>
    </xf>
    <xf numFmtId="0" fontId="16" fillId="3" borderId="31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/>
    </xf>
    <xf numFmtId="0" fontId="14" fillId="3" borderId="31" xfId="0" applyFont="1" applyFill="1" applyBorder="1" applyAlignment="1">
      <alignment horizontal="center"/>
    </xf>
    <xf numFmtId="0" fontId="14" fillId="3" borderId="40" xfId="0" applyFont="1" applyFill="1" applyBorder="1" applyAlignment="1">
      <alignment horizontal="center"/>
    </xf>
    <xf numFmtId="0" fontId="16" fillId="0" borderId="8" xfId="0" applyFont="1" applyBorder="1" applyAlignment="1">
      <alignment horizontal="center"/>
    </xf>
    <xf numFmtId="166" fontId="16" fillId="0" borderId="8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3" borderId="41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4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4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7" fillId="0" borderId="22" xfId="0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1" fillId="0" borderId="43" xfId="0" applyFont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 textRotation="90" wrapText="1"/>
    </xf>
    <xf numFmtId="0" fontId="28" fillId="3" borderId="44" xfId="0" applyFont="1" applyFill="1" applyBorder="1" applyAlignment="1">
      <alignment horizontal="center" vertical="center" textRotation="90" wrapText="1"/>
    </xf>
    <xf numFmtId="0" fontId="28" fillId="3" borderId="3" xfId="0" applyFont="1" applyFill="1" applyBorder="1" applyAlignment="1">
      <alignment horizontal="center" vertical="center" textRotation="90" wrapText="1"/>
    </xf>
    <xf numFmtId="0" fontId="3" fillId="5" borderId="22" xfId="0" applyFont="1" applyFill="1" applyBorder="1" applyAlignment="1">
      <alignment horizontal="left" vertical="center"/>
    </xf>
    <xf numFmtId="0" fontId="3" fillId="5" borderId="40" xfId="0" applyFont="1" applyFill="1" applyBorder="1" applyAlignment="1">
      <alignment horizontal="left" vertical="center"/>
    </xf>
    <xf numFmtId="0" fontId="5" fillId="3" borderId="31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left" vertical="center"/>
    </xf>
    <xf numFmtId="0" fontId="28" fillId="0" borderId="22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168" fontId="3" fillId="4" borderId="22" xfId="0" applyNumberFormat="1" applyFont="1" applyFill="1" applyBorder="1" applyAlignment="1">
      <alignment horizontal="center" vertical="center"/>
    </xf>
    <xf numFmtId="168" fontId="3" fillId="4" borderId="40" xfId="0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42" fillId="0" borderId="37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/>
    </xf>
    <xf numFmtId="0" fontId="14" fillId="3" borderId="40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3" fillId="5" borderId="35" xfId="0" applyFont="1" applyFill="1" applyBorder="1" applyAlignment="1">
      <alignment horizontal="center"/>
    </xf>
    <xf numFmtId="0" fontId="3" fillId="12" borderId="40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/>
    </xf>
    <xf numFmtId="21" fontId="33" fillId="5" borderId="8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</xdr:row>
      <xdr:rowOff>49530</xdr:rowOff>
    </xdr:from>
    <xdr:to>
      <xdr:col>7</xdr:col>
      <xdr:colOff>9526</xdr:colOff>
      <xdr:row>3</xdr:row>
      <xdr:rowOff>38178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2570F8A4-20FD-FF26-E0C8-344D521448FD}"/>
            </a:ext>
          </a:extLst>
        </xdr:cNvPr>
        <xdr:cNvSpPr>
          <a:spLocks noChangeArrowheads="1"/>
        </xdr:cNvSpPr>
      </xdr:nvSpPr>
      <xdr:spPr bwMode="auto">
        <a:xfrm>
          <a:off x="47626" y="257175"/>
          <a:ext cx="4933950" cy="304800"/>
        </a:xfrm>
        <a:prstGeom prst="roundRect">
          <a:avLst>
            <a:gd name="adj" fmla="val 16667"/>
          </a:avLst>
        </a:prstGeom>
        <a:solidFill>
          <a:srgbClr val="FFFF00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vi-VN" sz="1300" b="1" i="0" u="none" strike="noStrike" baseline="0">
              <a:solidFill>
                <a:srgbClr val="FF0000"/>
              </a:solidFill>
              <a:latin typeface="Arial"/>
              <a:cs typeface="Arial"/>
            </a:rPr>
            <a:t>BẢNG THỐNG KÊ NHẬP XUẤT HÀNG NĂM 2006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opLeftCell="A4" workbookViewId="0">
      <selection activeCell="E5" sqref="E5"/>
    </sheetView>
  </sheetViews>
  <sheetFormatPr defaultColWidth="9.140625" defaultRowHeight="15.75" x14ac:dyDescent="0.25"/>
  <cols>
    <col min="1" max="1" width="6" style="13" customWidth="1"/>
    <col min="2" max="2" width="9.140625" style="13"/>
    <col min="3" max="3" width="10.28515625" style="13" customWidth="1"/>
    <col min="4" max="4" width="18.28515625" style="13" customWidth="1"/>
    <col min="5" max="5" width="16" style="13" bestFit="1" customWidth="1"/>
    <col min="6" max="6" width="12.7109375" style="13" bestFit="1" customWidth="1"/>
    <col min="7" max="7" width="11.5703125" style="13" customWidth="1"/>
    <col min="8" max="8" width="16" style="13" bestFit="1" customWidth="1"/>
    <col min="9" max="16384" width="9.140625" style="13"/>
  </cols>
  <sheetData>
    <row r="1" spans="1:13" x14ac:dyDescent="0.25">
      <c r="A1" s="300" t="s">
        <v>268</v>
      </c>
      <c r="B1" s="300"/>
      <c r="C1" s="300"/>
      <c r="D1" s="300"/>
      <c r="E1" s="300"/>
      <c r="F1" s="300"/>
      <c r="G1" s="300"/>
      <c r="H1" s="300"/>
      <c r="I1" s="284"/>
      <c r="J1" s="73"/>
    </row>
    <row r="2" spans="1:13" x14ac:dyDescent="0.25">
      <c r="A2" s="96"/>
      <c r="B2" s="97"/>
      <c r="C2" s="97"/>
      <c r="D2" s="97"/>
      <c r="E2" s="97"/>
      <c r="F2" s="97"/>
      <c r="G2" s="97"/>
      <c r="H2" s="97"/>
      <c r="I2" s="14"/>
      <c r="J2" s="14"/>
      <c r="K2" s="14"/>
      <c r="L2" s="14"/>
      <c r="M2" s="14"/>
    </row>
    <row r="3" spans="1:13" x14ac:dyDescent="0.25">
      <c r="A3" s="13" t="s">
        <v>286</v>
      </c>
    </row>
    <row r="4" spans="1:13" x14ac:dyDescent="0.25">
      <c r="A4" s="296" t="s">
        <v>294</v>
      </c>
      <c r="B4" s="296"/>
      <c r="C4" s="296"/>
      <c r="D4" s="296"/>
      <c r="E4" s="296"/>
      <c r="F4" s="296"/>
      <c r="G4" s="296"/>
      <c r="H4" s="296"/>
    </row>
    <row r="5" spans="1:13" ht="16.5" thickBot="1" x14ac:dyDescent="0.3">
      <c r="D5" s="98" t="s">
        <v>206</v>
      </c>
      <c r="E5" s="104"/>
    </row>
    <row r="6" spans="1:13" ht="48" thickTop="1" x14ac:dyDescent="0.25">
      <c r="A6" s="99" t="s">
        <v>270</v>
      </c>
      <c r="B6" s="100" t="s">
        <v>271</v>
      </c>
      <c r="C6" s="100" t="s">
        <v>272</v>
      </c>
      <c r="D6" s="100" t="s">
        <v>273</v>
      </c>
      <c r="E6" s="100" t="s">
        <v>274</v>
      </c>
      <c r="F6" s="100" t="s">
        <v>275</v>
      </c>
      <c r="G6" s="100" t="s">
        <v>276</v>
      </c>
      <c r="H6" s="101" t="s">
        <v>277</v>
      </c>
    </row>
    <row r="7" spans="1:13" x14ac:dyDescent="0.25">
      <c r="A7" s="104">
        <v>1</v>
      </c>
      <c r="B7" s="49" t="s">
        <v>278</v>
      </c>
      <c r="C7" s="102">
        <v>100</v>
      </c>
      <c r="D7" s="103">
        <v>4000000</v>
      </c>
      <c r="E7" s="104">
        <f>C7*D7</f>
        <v>400000000</v>
      </c>
      <c r="F7" s="104">
        <f>E7*5%</f>
        <v>20000000</v>
      </c>
      <c r="G7" s="104">
        <f>C7*1500</f>
        <v>150000</v>
      </c>
      <c r="H7" s="105">
        <f>E7+F7+G7</f>
        <v>420150000</v>
      </c>
    </row>
    <row r="8" spans="1:13" x14ac:dyDescent="0.25">
      <c r="A8" s="104">
        <v>2</v>
      </c>
      <c r="B8" s="49" t="s">
        <v>279</v>
      </c>
      <c r="C8" s="102">
        <v>50</v>
      </c>
      <c r="D8" s="103">
        <v>150000</v>
      </c>
      <c r="E8" s="104">
        <f t="shared" ref="E8:E13" si="0">C8*D8</f>
        <v>7500000</v>
      </c>
      <c r="F8" s="104">
        <f t="shared" ref="F8:F13" si="1">E8*5%</f>
        <v>375000</v>
      </c>
      <c r="G8" s="104">
        <f t="shared" ref="G8:G13" si="2">C8*1500</f>
        <v>75000</v>
      </c>
      <c r="H8" s="105">
        <f t="shared" ref="H8:H13" si="3">E8+F8+G8</f>
        <v>7950000</v>
      </c>
    </row>
    <row r="9" spans="1:13" x14ac:dyDescent="0.25">
      <c r="A9" s="104">
        <v>3</v>
      </c>
      <c r="B9" s="49" t="s">
        <v>280</v>
      </c>
      <c r="C9" s="102">
        <v>58</v>
      </c>
      <c r="D9" s="103">
        <v>1200000</v>
      </c>
      <c r="E9" s="104">
        <f t="shared" si="0"/>
        <v>69600000</v>
      </c>
      <c r="F9" s="104">
        <f t="shared" si="1"/>
        <v>3480000</v>
      </c>
      <c r="G9" s="104">
        <f t="shared" si="2"/>
        <v>87000</v>
      </c>
      <c r="H9" s="105">
        <f t="shared" si="3"/>
        <v>73167000</v>
      </c>
    </row>
    <row r="10" spans="1:13" x14ac:dyDescent="0.25">
      <c r="A10" s="104">
        <v>4</v>
      </c>
      <c r="B10" s="49" t="s">
        <v>281</v>
      </c>
      <c r="C10" s="102">
        <v>79</v>
      </c>
      <c r="D10" s="103">
        <v>850000</v>
      </c>
      <c r="E10" s="104">
        <f t="shared" si="0"/>
        <v>67150000</v>
      </c>
      <c r="F10" s="104">
        <f t="shared" si="1"/>
        <v>3357500</v>
      </c>
      <c r="G10" s="104">
        <f t="shared" si="2"/>
        <v>118500</v>
      </c>
      <c r="H10" s="105">
        <f t="shared" si="3"/>
        <v>70626000</v>
      </c>
    </row>
    <row r="11" spans="1:13" x14ac:dyDescent="0.25">
      <c r="A11" s="104">
        <v>5</v>
      </c>
      <c r="B11" s="49" t="s">
        <v>282</v>
      </c>
      <c r="C11" s="102">
        <v>92</v>
      </c>
      <c r="D11" s="103">
        <v>200000</v>
      </c>
      <c r="E11" s="104">
        <f t="shared" si="0"/>
        <v>18400000</v>
      </c>
      <c r="F11" s="104">
        <f t="shared" si="1"/>
        <v>920000</v>
      </c>
      <c r="G11" s="104">
        <f t="shared" si="2"/>
        <v>138000</v>
      </c>
      <c r="H11" s="105">
        <f t="shared" si="3"/>
        <v>19458000</v>
      </c>
    </row>
    <row r="12" spans="1:13" x14ac:dyDescent="0.25">
      <c r="A12" s="104">
        <v>6</v>
      </c>
      <c r="B12" s="49" t="s">
        <v>283</v>
      </c>
      <c r="C12" s="102">
        <v>220</v>
      </c>
      <c r="D12" s="103">
        <v>2500000</v>
      </c>
      <c r="E12" s="104">
        <f t="shared" si="0"/>
        <v>550000000</v>
      </c>
      <c r="F12" s="104">
        <f t="shared" si="1"/>
        <v>27500000</v>
      </c>
      <c r="G12" s="104">
        <f t="shared" si="2"/>
        <v>330000</v>
      </c>
      <c r="H12" s="105">
        <f t="shared" si="3"/>
        <v>577830000</v>
      </c>
    </row>
    <row r="13" spans="1:13" x14ac:dyDescent="0.25">
      <c r="A13" s="104">
        <v>7</v>
      </c>
      <c r="B13" s="49" t="s">
        <v>284</v>
      </c>
      <c r="C13" s="102">
        <v>199</v>
      </c>
      <c r="D13" s="103">
        <v>600000</v>
      </c>
      <c r="E13" s="104">
        <f t="shared" si="0"/>
        <v>119400000</v>
      </c>
      <c r="F13" s="104">
        <f t="shared" si="1"/>
        <v>5970000</v>
      </c>
      <c r="G13" s="104">
        <f t="shared" si="2"/>
        <v>298500</v>
      </c>
      <c r="H13" s="105">
        <f t="shared" si="3"/>
        <v>125668500</v>
      </c>
    </row>
    <row r="14" spans="1:13" ht="16.5" thickBot="1" x14ac:dyDescent="0.3">
      <c r="A14" s="297" t="s">
        <v>285</v>
      </c>
      <c r="B14" s="298"/>
      <c r="C14" s="298"/>
      <c r="D14" s="299"/>
      <c r="E14" s="106">
        <f>SUM($E$7:$E$13)</f>
        <v>1232050000</v>
      </c>
      <c r="F14" s="106">
        <f>SUM(F7:F13)</f>
        <v>61602500</v>
      </c>
      <c r="G14" s="106">
        <f>SUM(G7:G13)</f>
        <v>1197000</v>
      </c>
      <c r="H14" s="106">
        <f>SUM(H7:H13)</f>
        <v>1294849500</v>
      </c>
    </row>
    <row r="15" spans="1:13" ht="16.5" thickTop="1" x14ac:dyDescent="0.25">
      <c r="A15" s="107" t="s">
        <v>287</v>
      </c>
      <c r="B15" s="108"/>
      <c r="C15" s="108"/>
      <c r="D15" s="108"/>
      <c r="E15" s="108"/>
      <c r="F15" s="108"/>
      <c r="G15" s="108"/>
      <c r="H15" s="108"/>
    </row>
    <row r="16" spans="1:13" x14ac:dyDescent="0.25">
      <c r="A16" s="108" t="s">
        <v>288</v>
      </c>
      <c r="B16" s="108"/>
      <c r="C16" s="108"/>
      <c r="D16" s="108"/>
      <c r="E16" s="108"/>
      <c r="F16" s="108"/>
      <c r="G16" s="108"/>
      <c r="H16" s="108"/>
    </row>
    <row r="17" spans="1:8" x14ac:dyDescent="0.25">
      <c r="A17" s="108" t="s">
        <v>289</v>
      </c>
      <c r="B17" s="108"/>
      <c r="C17" s="108"/>
      <c r="D17" s="108"/>
      <c r="E17" s="108"/>
      <c r="F17" s="108"/>
      <c r="G17" s="108"/>
      <c r="H17" s="108"/>
    </row>
    <row r="18" spans="1:8" x14ac:dyDescent="0.25">
      <c r="A18" s="108" t="s">
        <v>290</v>
      </c>
      <c r="B18" s="108"/>
      <c r="C18" s="108"/>
      <c r="D18" s="108"/>
      <c r="E18" s="108"/>
      <c r="F18" s="108"/>
      <c r="G18" s="108"/>
      <c r="H18" s="108"/>
    </row>
    <row r="19" spans="1:8" x14ac:dyDescent="0.25">
      <c r="A19" s="108" t="s">
        <v>291</v>
      </c>
      <c r="B19" s="108"/>
      <c r="C19" s="108"/>
      <c r="D19" s="108"/>
      <c r="E19" s="108"/>
      <c r="F19" s="108"/>
      <c r="G19" s="108"/>
      <c r="H19" s="108"/>
    </row>
    <row r="20" spans="1:8" x14ac:dyDescent="0.25">
      <c r="A20" s="108" t="s">
        <v>292</v>
      </c>
      <c r="B20" s="108"/>
      <c r="C20" s="108"/>
      <c r="D20" s="108"/>
      <c r="E20" s="108"/>
      <c r="F20" s="108"/>
      <c r="G20" s="108"/>
      <c r="H20" s="108"/>
    </row>
    <row r="21" spans="1:8" x14ac:dyDescent="0.25">
      <c r="A21" s="108" t="s">
        <v>293</v>
      </c>
      <c r="B21" s="108"/>
      <c r="C21" s="108"/>
      <c r="D21" s="108"/>
      <c r="E21" s="108"/>
      <c r="F21" s="108"/>
      <c r="G21" s="108"/>
      <c r="H21" s="108"/>
    </row>
    <row r="22" spans="1:8" x14ac:dyDescent="0.25">
      <c r="A22" s="108" t="s">
        <v>207</v>
      </c>
      <c r="B22" s="108"/>
      <c r="C22" s="108"/>
      <c r="D22" s="108"/>
      <c r="E22" s="108"/>
      <c r="F22" s="108"/>
      <c r="G22" s="108"/>
      <c r="H22" s="108"/>
    </row>
    <row r="23" spans="1:8" x14ac:dyDescent="0.25">
      <c r="A23" s="108" t="s">
        <v>208</v>
      </c>
      <c r="B23" s="108"/>
      <c r="C23" s="108"/>
      <c r="D23" s="108"/>
      <c r="E23" s="108"/>
      <c r="F23" s="108"/>
      <c r="G23" s="108"/>
      <c r="H23" s="108"/>
    </row>
    <row r="24" spans="1:8" x14ac:dyDescent="0.25">
      <c r="A24" s="108" t="s">
        <v>243</v>
      </c>
      <c r="B24" s="108"/>
      <c r="C24" s="108"/>
      <c r="D24" s="108"/>
      <c r="E24" s="108"/>
      <c r="F24" s="108"/>
      <c r="G24" s="108"/>
      <c r="H24" s="108"/>
    </row>
    <row r="25" spans="1:8" ht="18.75" x14ac:dyDescent="0.3">
      <c r="C25" s="289"/>
      <c r="D25" s="1"/>
      <c r="E25" s="1"/>
      <c r="F25" s="1"/>
      <c r="G25" s="1"/>
      <c r="H25" s="1"/>
    </row>
  </sheetData>
  <mergeCells count="3">
    <mergeCell ref="A4:H4"/>
    <mergeCell ref="A14:D14"/>
    <mergeCell ref="A1:H1"/>
  </mergeCells>
  <phoneticPr fontId="2" type="noConversion"/>
  <pageMargins left="1.25" right="0.75" top="0.25" bottom="0.25" header="0.5" footer="0.5"/>
  <pageSetup paperSize="9" orientation="landscape" r:id="rId1"/>
  <headerFooter alignWithMargins="0">
    <oddHeader>&amp;RBiên soạn: Khoa Công nghệ Thông tin - Toán Ứng dụng, ĐH Bán công Tôn Đức Thắng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1"/>
  <sheetViews>
    <sheetView zoomScaleNormal="100" workbookViewId="0">
      <selection activeCell="J5" sqref="J5:J8"/>
    </sheetView>
  </sheetViews>
  <sheetFormatPr defaultColWidth="9.140625" defaultRowHeight="15.75" x14ac:dyDescent="0.2"/>
  <cols>
    <col min="1" max="1" width="9.140625" style="73"/>
    <col min="2" max="2" width="15.85546875" style="73" customWidth="1"/>
    <col min="3" max="3" width="11.140625" style="73" customWidth="1"/>
    <col min="4" max="4" width="11.28515625" style="73" customWidth="1"/>
    <col min="5" max="5" width="9.140625" style="73"/>
    <col min="6" max="6" width="7.85546875" style="73" customWidth="1"/>
    <col min="7" max="7" width="9" style="73" customWidth="1"/>
    <col min="8" max="8" width="10.28515625" style="73" customWidth="1"/>
    <col min="9" max="9" width="9.140625" style="73"/>
    <col min="10" max="10" width="45.7109375" style="73" customWidth="1"/>
    <col min="11" max="11" width="9.140625" style="73"/>
    <col min="12" max="12" width="15.28515625" style="73" customWidth="1"/>
    <col min="13" max="16384" width="9.140625" style="73"/>
  </cols>
  <sheetData>
    <row r="1" spans="1:10" x14ac:dyDescent="0.2">
      <c r="A1" s="222" t="s">
        <v>633</v>
      </c>
      <c r="B1" s="75"/>
      <c r="C1" s="75"/>
      <c r="D1" s="75"/>
      <c r="E1" s="75"/>
      <c r="F1" s="75"/>
      <c r="G1" s="75"/>
      <c r="H1" s="75"/>
    </row>
    <row r="2" spans="1:10" x14ac:dyDescent="0.2">
      <c r="A2" s="73" t="s">
        <v>286</v>
      </c>
    </row>
    <row r="3" spans="1:10" ht="21" thickBot="1" x14ac:dyDescent="0.25">
      <c r="A3" s="318" t="s">
        <v>460</v>
      </c>
      <c r="B3" s="318"/>
      <c r="C3" s="318"/>
      <c r="D3" s="318"/>
      <c r="E3" s="318"/>
      <c r="F3" s="318"/>
      <c r="G3" s="318"/>
      <c r="H3" s="318"/>
      <c r="I3" s="318"/>
      <c r="J3" s="318"/>
    </row>
    <row r="4" spans="1:10" ht="53.25" customHeight="1" thickTop="1" thickBot="1" x14ac:dyDescent="0.25">
      <c r="A4" s="51" t="s">
        <v>427</v>
      </c>
      <c r="B4" s="212" t="s">
        <v>428</v>
      </c>
      <c r="C4" s="52" t="s">
        <v>429</v>
      </c>
      <c r="D4" s="52" t="s">
        <v>435</v>
      </c>
      <c r="E4" s="212" t="s">
        <v>430</v>
      </c>
      <c r="F4" s="212" t="s">
        <v>431</v>
      </c>
      <c r="G4" s="52" t="s">
        <v>436</v>
      </c>
      <c r="H4" s="52" t="s">
        <v>432</v>
      </c>
      <c r="I4" s="52" t="s">
        <v>433</v>
      </c>
      <c r="J4" s="53" t="s">
        <v>434</v>
      </c>
    </row>
    <row r="5" spans="1:10" ht="17.25" thickTop="1" thickBot="1" x14ac:dyDescent="0.25">
      <c r="A5" s="219">
        <v>1</v>
      </c>
      <c r="B5" s="223" t="s">
        <v>437</v>
      </c>
      <c r="C5" s="223" t="s">
        <v>441</v>
      </c>
      <c r="D5" s="246" t="str">
        <f>HLOOKUP(LEFT(C5,1),$A$10:$E$11,1)</f>
        <v>A</v>
      </c>
      <c r="E5" s="224">
        <v>7</v>
      </c>
      <c r="F5" s="224">
        <v>3</v>
      </c>
      <c r="G5" s="243">
        <f>(E5*2+F5)</f>
        <v>17</v>
      </c>
      <c r="H5" s="244">
        <f>VLOOKUP(RIGHT(C5,1)*1,$G$10:$H$14,2,0)</f>
        <v>2</v>
      </c>
      <c r="I5" s="244">
        <f>G5+H5</f>
        <v>19</v>
      </c>
      <c r="J5" s="245" t="str">
        <f>IF(I5&gt;18,"Đậu","Rớt")</f>
        <v>Đậu</v>
      </c>
    </row>
    <row r="6" spans="1:10" ht="17.25" thickTop="1" thickBot="1" x14ac:dyDescent="0.25">
      <c r="A6" s="220">
        <v>2</v>
      </c>
      <c r="B6" s="93" t="s">
        <v>438</v>
      </c>
      <c r="C6" s="93" t="s">
        <v>442</v>
      </c>
      <c r="D6" s="246" t="str">
        <f t="shared" ref="D6:D8" si="0">HLOOKUP(LEFT(C6,1),$A$10:$E$11,1)</f>
        <v>B</v>
      </c>
      <c r="E6" s="225">
        <v>4</v>
      </c>
      <c r="F6" s="225">
        <v>7</v>
      </c>
      <c r="G6" s="243">
        <f t="shared" ref="G6:G8" si="1">(E6*2+F6)</f>
        <v>15</v>
      </c>
      <c r="H6" s="244">
        <f t="shared" ref="H6:H8" si="2">VLOOKUP(RIGHT(C6,1)*1,$G$10:$H$14,2,0)</f>
        <v>1</v>
      </c>
      <c r="I6" s="244">
        <f t="shared" ref="I6:I8" si="3">G6+H6</f>
        <v>16</v>
      </c>
      <c r="J6" s="245" t="str">
        <f t="shared" ref="J6:J8" si="4">IF(I6&gt;18,"Đậu","Rớt")</f>
        <v>Rớt</v>
      </c>
    </row>
    <row r="7" spans="1:10" ht="17.25" thickTop="1" thickBot="1" x14ac:dyDescent="0.25">
      <c r="A7" s="220">
        <v>3</v>
      </c>
      <c r="B7" s="93" t="s">
        <v>439</v>
      </c>
      <c r="C7" s="93" t="s">
        <v>443</v>
      </c>
      <c r="D7" s="246" t="str">
        <f t="shared" si="0"/>
        <v>C</v>
      </c>
      <c r="E7" s="225">
        <v>7</v>
      </c>
      <c r="F7" s="225">
        <v>6</v>
      </c>
      <c r="G7" s="243">
        <f t="shared" si="1"/>
        <v>20</v>
      </c>
      <c r="H7" s="244">
        <f t="shared" si="2"/>
        <v>1.5</v>
      </c>
      <c r="I7" s="244">
        <f t="shared" si="3"/>
        <v>21.5</v>
      </c>
      <c r="J7" s="245" t="str">
        <f t="shared" si="4"/>
        <v>Đậu</v>
      </c>
    </row>
    <row r="8" spans="1:10" ht="17.25" thickTop="1" thickBot="1" x14ac:dyDescent="0.25">
      <c r="A8" s="221">
        <v>4</v>
      </c>
      <c r="B8" s="226" t="s">
        <v>440</v>
      </c>
      <c r="C8" s="226" t="s">
        <v>444</v>
      </c>
      <c r="D8" s="246" t="str">
        <f t="shared" si="0"/>
        <v>C</v>
      </c>
      <c r="E8" s="227">
        <v>6</v>
      </c>
      <c r="F8" s="227">
        <v>6.5</v>
      </c>
      <c r="G8" s="243">
        <f t="shared" si="1"/>
        <v>18.5</v>
      </c>
      <c r="H8" s="244">
        <f t="shared" si="2"/>
        <v>0</v>
      </c>
      <c r="I8" s="244">
        <f t="shared" si="3"/>
        <v>18.5</v>
      </c>
      <c r="J8" s="245" t="str">
        <f t="shared" si="4"/>
        <v>Đậu</v>
      </c>
    </row>
    <row r="9" spans="1:10" ht="16.5" thickTop="1" x14ac:dyDescent="0.2">
      <c r="G9" s="322" t="s">
        <v>456</v>
      </c>
      <c r="H9" s="322"/>
    </row>
    <row r="10" spans="1:10" ht="31.5" x14ac:dyDescent="0.2">
      <c r="A10" s="320" t="s">
        <v>454</v>
      </c>
      <c r="B10" s="229" t="s">
        <v>445</v>
      </c>
      <c r="C10" s="59" t="s">
        <v>446</v>
      </c>
      <c r="D10" s="59" t="s">
        <v>447</v>
      </c>
      <c r="E10" s="59" t="s">
        <v>448</v>
      </c>
      <c r="G10" s="47" t="s">
        <v>453</v>
      </c>
      <c r="H10" s="137" t="s">
        <v>394</v>
      </c>
    </row>
    <row r="11" spans="1:10" x14ac:dyDescent="0.2">
      <c r="A11" s="321"/>
      <c r="B11" s="229" t="s">
        <v>449</v>
      </c>
      <c r="C11" s="59" t="s">
        <v>450</v>
      </c>
      <c r="D11" s="59" t="s">
        <v>451</v>
      </c>
      <c r="E11" s="59" t="s">
        <v>452</v>
      </c>
      <c r="G11" s="93">
        <v>1</v>
      </c>
      <c r="H11" s="93">
        <v>2</v>
      </c>
    </row>
    <row r="12" spans="1:10" x14ac:dyDescent="0.2">
      <c r="G12" s="93">
        <v>2</v>
      </c>
      <c r="H12" s="93">
        <v>1.5</v>
      </c>
    </row>
    <row r="13" spans="1:10" ht="18.75" x14ac:dyDescent="0.3">
      <c r="A13" s="289"/>
      <c r="B13" s="1"/>
      <c r="C13" s="1"/>
      <c r="D13" s="1"/>
      <c r="E13" s="1"/>
      <c r="F13" s="1"/>
      <c r="G13" s="93">
        <v>3</v>
      </c>
      <c r="H13" s="93">
        <v>1</v>
      </c>
    </row>
    <row r="14" spans="1:10" x14ac:dyDescent="0.2">
      <c r="G14" s="93">
        <v>4</v>
      </c>
      <c r="H14" s="93">
        <v>0</v>
      </c>
    </row>
    <row r="15" spans="1:10" x14ac:dyDescent="0.2">
      <c r="A15" s="228" t="s">
        <v>287</v>
      </c>
      <c r="B15" s="74"/>
      <c r="C15" s="74"/>
      <c r="D15" s="74"/>
      <c r="E15" s="74"/>
      <c r="F15" s="74"/>
      <c r="G15" s="74"/>
      <c r="H15" s="74"/>
    </row>
    <row r="16" spans="1:10" ht="36" customHeight="1" x14ac:dyDescent="0.2">
      <c r="A16" s="319" t="s">
        <v>458</v>
      </c>
      <c r="B16" s="319"/>
      <c r="C16" s="319"/>
      <c r="D16" s="319"/>
      <c r="E16" s="319"/>
      <c r="F16" s="319"/>
      <c r="G16" s="319"/>
      <c r="H16" s="319"/>
    </row>
    <row r="17" spans="1:8" ht="19.5" customHeight="1" x14ac:dyDescent="0.2">
      <c r="A17" s="74" t="s">
        <v>455</v>
      </c>
      <c r="B17" s="74"/>
      <c r="C17" s="74"/>
      <c r="D17" s="74"/>
      <c r="E17" s="74"/>
      <c r="F17" s="74"/>
      <c r="G17" s="74"/>
      <c r="H17" s="74"/>
    </row>
    <row r="18" spans="1:8" ht="33.75" customHeight="1" x14ac:dyDescent="0.2">
      <c r="A18" s="319" t="s">
        <v>459</v>
      </c>
      <c r="B18" s="319"/>
      <c r="C18" s="319"/>
      <c r="D18" s="319"/>
      <c r="E18" s="319"/>
      <c r="F18" s="319"/>
      <c r="G18" s="319"/>
      <c r="H18" s="74"/>
    </row>
    <row r="19" spans="1:8" ht="19.5" customHeight="1" x14ac:dyDescent="0.2">
      <c r="A19" s="74" t="s">
        <v>457</v>
      </c>
      <c r="B19" s="74"/>
      <c r="C19" s="74"/>
      <c r="D19" s="74"/>
      <c r="E19" s="74"/>
      <c r="F19" s="74"/>
      <c r="G19" s="74"/>
      <c r="H19" s="74"/>
    </row>
    <row r="20" spans="1:8" ht="20.25" customHeight="1" x14ac:dyDescent="0.2">
      <c r="A20" s="74"/>
      <c r="B20" s="74"/>
      <c r="C20" s="74"/>
      <c r="D20" s="74"/>
      <c r="E20" s="74"/>
      <c r="F20" s="74"/>
      <c r="G20" s="74"/>
      <c r="H20" s="74"/>
    </row>
    <row r="21" spans="1:8" ht="18.75" customHeight="1" x14ac:dyDescent="0.2">
      <c r="A21" s="74" t="s">
        <v>632</v>
      </c>
      <c r="B21" s="74"/>
      <c r="C21" s="74"/>
      <c r="D21" s="74"/>
      <c r="E21" s="74"/>
      <c r="F21" s="74"/>
      <c r="G21" s="74"/>
      <c r="H21" s="74"/>
    </row>
  </sheetData>
  <mergeCells count="5">
    <mergeCell ref="A3:J3"/>
    <mergeCell ref="A18:G18"/>
    <mergeCell ref="A16:H16"/>
    <mergeCell ref="A10:A11"/>
    <mergeCell ref="G9:H9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2"/>
  <sheetViews>
    <sheetView tabSelected="1" topLeftCell="A4" workbookViewId="0">
      <selection activeCell="E13" sqref="E13"/>
    </sheetView>
  </sheetViews>
  <sheetFormatPr defaultColWidth="9.140625" defaultRowHeight="15.75" x14ac:dyDescent="0.25"/>
  <cols>
    <col min="1" max="1" width="9.42578125" style="1" customWidth="1"/>
    <col min="2" max="2" width="21.28515625" style="1" customWidth="1"/>
    <col min="3" max="3" width="11" style="1" customWidth="1"/>
    <col min="4" max="4" width="13.42578125" style="1" customWidth="1"/>
    <col min="5" max="5" width="49.42578125" style="1" customWidth="1"/>
    <col min="6" max="6" width="14.42578125" style="1" customWidth="1"/>
    <col min="7" max="7" width="11.5703125" style="1" customWidth="1"/>
    <col min="8" max="8" width="13" style="1" customWidth="1"/>
    <col min="9" max="16384" width="9.140625" style="1"/>
  </cols>
  <sheetData>
    <row r="1" spans="1:8" x14ac:dyDescent="0.25">
      <c r="A1" s="5" t="s">
        <v>635</v>
      </c>
    </row>
    <row r="2" spans="1:8" ht="18.75" x14ac:dyDescent="0.3">
      <c r="A2" s="2"/>
      <c r="D2" s="289"/>
    </row>
    <row r="3" spans="1:8" x14ac:dyDescent="0.25">
      <c r="A3" s="1" t="s">
        <v>286</v>
      </c>
    </row>
    <row r="4" spans="1:8" ht="21" thickBot="1" x14ac:dyDescent="0.35">
      <c r="A4" s="324" t="s">
        <v>462</v>
      </c>
      <c r="B4" s="324"/>
      <c r="C4" s="324"/>
      <c r="D4" s="324"/>
      <c r="E4" s="324"/>
      <c r="F4" s="324"/>
      <c r="G4" s="324"/>
    </row>
    <row r="5" spans="1:8" ht="48" thickTop="1" x14ac:dyDescent="0.25">
      <c r="A5" s="20" t="s">
        <v>463</v>
      </c>
      <c r="B5" s="21" t="s">
        <v>464</v>
      </c>
      <c r="C5" s="21" t="s">
        <v>405</v>
      </c>
      <c r="D5" s="21" t="s">
        <v>465</v>
      </c>
      <c r="E5" s="22" t="s">
        <v>466</v>
      </c>
      <c r="F5" s="22" t="s">
        <v>406</v>
      </c>
      <c r="G5" s="23" t="s">
        <v>433</v>
      </c>
    </row>
    <row r="6" spans="1:8" x14ac:dyDescent="0.25">
      <c r="A6" s="35" t="s">
        <v>467</v>
      </c>
      <c r="B6" s="31" t="str">
        <f>VLOOKUP(LEFT(A6,2),$A$16:$D$22,2,0)</f>
        <v>Đĩa cứng</v>
      </c>
      <c r="C6" s="241">
        <f>VLOOKUP(LEFT(A6,2),$A$16:$D$22,IF(C18,3,4),0)</f>
        <v>49</v>
      </c>
      <c r="D6" s="36">
        <v>60</v>
      </c>
      <c r="E6" s="242">
        <v>1</v>
      </c>
      <c r="F6" s="1">
        <f>D6*(C6+E6)</f>
        <v>3000</v>
      </c>
    </row>
    <row r="7" spans="1:8" x14ac:dyDescent="0.25">
      <c r="A7" s="35" t="s">
        <v>468</v>
      </c>
      <c r="B7" s="31" t="str">
        <f t="shared" ref="B7:B13" si="0">VLOOKUP(LEFT(A7,2),$A$16:$D$22,2,0)</f>
        <v>Đĩa mềm</v>
      </c>
      <c r="C7" s="241">
        <f t="shared" ref="C7:C13" si="1">VLOOKUP(LEFT(A7,2),$A$16:$D$22,IF(C19,3,4),0)</f>
        <v>2.5</v>
      </c>
      <c r="D7" s="36">
        <v>70</v>
      </c>
      <c r="E7" s="242">
        <v>1</v>
      </c>
      <c r="F7" s="1">
        <f t="shared" ref="F7:F13" si="2">D7*(C7+E7)</f>
        <v>245</v>
      </c>
    </row>
    <row r="8" spans="1:8" x14ac:dyDescent="0.25">
      <c r="A8" s="35" t="s">
        <v>469</v>
      </c>
      <c r="B8" s="31" t="str">
        <f t="shared" si="0"/>
        <v>Mouse</v>
      </c>
      <c r="C8" s="241">
        <f t="shared" si="1"/>
        <v>3</v>
      </c>
      <c r="D8" s="36">
        <v>30</v>
      </c>
      <c r="E8" s="242">
        <v>1</v>
      </c>
      <c r="F8" s="1">
        <f t="shared" si="2"/>
        <v>120</v>
      </c>
    </row>
    <row r="9" spans="1:8" x14ac:dyDescent="0.25">
      <c r="A9" s="35" t="s">
        <v>470</v>
      </c>
      <c r="B9" s="31" t="str">
        <f t="shared" si="0"/>
        <v>SD Ram</v>
      </c>
      <c r="C9" s="241">
        <f t="shared" si="1"/>
        <v>13</v>
      </c>
      <c r="D9" s="36">
        <v>120</v>
      </c>
      <c r="E9" s="242">
        <v>1</v>
      </c>
      <c r="F9" s="1">
        <f t="shared" si="2"/>
        <v>1680</v>
      </c>
    </row>
    <row r="10" spans="1:8" x14ac:dyDescent="0.25">
      <c r="A10" s="35" t="s">
        <v>471</v>
      </c>
      <c r="B10" s="31" t="str">
        <f t="shared" si="0"/>
        <v>DD Ram</v>
      </c>
      <c r="C10" s="241">
        <f t="shared" si="1"/>
        <v>27</v>
      </c>
      <c r="D10" s="36">
        <v>100</v>
      </c>
      <c r="E10" s="242">
        <v>1</v>
      </c>
      <c r="F10" s="1">
        <f t="shared" si="2"/>
        <v>2800</v>
      </c>
    </row>
    <row r="11" spans="1:8" x14ac:dyDescent="0.25">
      <c r="A11" s="35" t="s">
        <v>472</v>
      </c>
      <c r="B11" s="31" t="str">
        <f t="shared" si="0"/>
        <v>Đĩa cứng</v>
      </c>
      <c r="C11" s="241">
        <f t="shared" si="1"/>
        <v>50</v>
      </c>
      <c r="D11" s="36">
        <v>50</v>
      </c>
      <c r="E11" s="242">
        <v>1</v>
      </c>
      <c r="F11" s="1">
        <f t="shared" si="2"/>
        <v>2550</v>
      </c>
    </row>
    <row r="12" spans="1:8" x14ac:dyDescent="0.25">
      <c r="A12" s="35" t="s">
        <v>473</v>
      </c>
      <c r="B12" s="31" t="str">
        <f t="shared" si="0"/>
        <v>Mouse</v>
      </c>
      <c r="C12" s="241">
        <f t="shared" si="1"/>
        <v>3.5</v>
      </c>
      <c r="D12" s="36">
        <v>65</v>
      </c>
      <c r="E12" s="242">
        <v>1</v>
      </c>
      <c r="F12" s="1">
        <f t="shared" si="2"/>
        <v>292.5</v>
      </c>
    </row>
    <row r="13" spans="1:8" ht="16.5" thickBot="1" x14ac:dyDescent="0.3">
      <c r="A13" s="38" t="s">
        <v>474</v>
      </c>
      <c r="B13" s="31" t="str">
        <f t="shared" si="0"/>
        <v>DD Ram</v>
      </c>
      <c r="C13" s="241">
        <f t="shared" si="1"/>
        <v>30</v>
      </c>
      <c r="D13" s="39">
        <v>20</v>
      </c>
      <c r="E13" s="242">
        <v>1</v>
      </c>
      <c r="F13" s="1">
        <f t="shared" si="2"/>
        <v>620</v>
      </c>
    </row>
    <row r="14" spans="1:8" ht="36.75" customHeight="1" thickTop="1" x14ac:dyDescent="0.25">
      <c r="A14" s="325" t="s">
        <v>493</v>
      </c>
      <c r="B14" s="325"/>
      <c r="C14" s="325"/>
      <c r="D14" s="325"/>
      <c r="E14" s="325"/>
      <c r="F14" s="325"/>
      <c r="G14" s="325"/>
      <c r="H14" s="3"/>
    </row>
    <row r="15" spans="1:8" ht="20.25" customHeight="1" thickBot="1" x14ac:dyDescent="0.3">
      <c r="A15" s="335" t="s">
        <v>405</v>
      </c>
      <c r="B15" s="335"/>
      <c r="C15" s="335"/>
      <c r="D15" s="335"/>
    </row>
    <row r="16" spans="1:8" ht="16.5" thickTop="1" x14ac:dyDescent="0.25">
      <c r="A16" s="326" t="s">
        <v>463</v>
      </c>
      <c r="B16" s="328" t="s">
        <v>464</v>
      </c>
      <c r="C16" s="330" t="s">
        <v>405</v>
      </c>
      <c r="D16" s="331"/>
      <c r="F16" s="332" t="s">
        <v>491</v>
      </c>
      <c r="G16" s="331"/>
    </row>
    <row r="17" spans="1:7" x14ac:dyDescent="0.25">
      <c r="A17" s="327"/>
      <c r="B17" s="329"/>
      <c r="C17" s="45">
        <v>1</v>
      </c>
      <c r="D17" s="46">
        <v>2</v>
      </c>
      <c r="F17" s="333" t="s">
        <v>492</v>
      </c>
      <c r="G17" s="334"/>
    </row>
    <row r="18" spans="1:7" x14ac:dyDescent="0.25">
      <c r="A18" s="35" t="s">
        <v>476</v>
      </c>
      <c r="B18" s="36" t="s">
        <v>480</v>
      </c>
      <c r="C18" s="36">
        <v>49</v>
      </c>
      <c r="D18" s="41">
        <v>50</v>
      </c>
      <c r="F18" s="35" t="s">
        <v>476</v>
      </c>
      <c r="G18" s="264"/>
    </row>
    <row r="19" spans="1:7" x14ac:dyDescent="0.25">
      <c r="A19" s="35" t="s">
        <v>475</v>
      </c>
      <c r="B19" s="36" t="s">
        <v>481</v>
      </c>
      <c r="C19" s="36">
        <v>2.5</v>
      </c>
      <c r="D19" s="41">
        <v>3</v>
      </c>
      <c r="F19" s="35" t="s">
        <v>475</v>
      </c>
      <c r="G19" s="264"/>
    </row>
    <row r="20" spans="1:7" x14ac:dyDescent="0.25">
      <c r="A20" s="35" t="s">
        <v>477</v>
      </c>
      <c r="B20" s="36" t="s">
        <v>482</v>
      </c>
      <c r="C20" s="36">
        <v>3</v>
      </c>
      <c r="D20" s="41">
        <v>3.5</v>
      </c>
      <c r="F20" s="35" t="s">
        <v>477</v>
      </c>
      <c r="G20" s="264"/>
    </row>
    <row r="21" spans="1:7" x14ac:dyDescent="0.25">
      <c r="A21" s="35" t="s">
        <v>478</v>
      </c>
      <c r="B21" s="36" t="s">
        <v>483</v>
      </c>
      <c r="C21" s="36">
        <v>13</v>
      </c>
      <c r="D21" s="41">
        <v>15</v>
      </c>
      <c r="F21" s="35" t="s">
        <v>478</v>
      </c>
      <c r="G21" s="264"/>
    </row>
    <row r="22" spans="1:7" ht="16.5" thickBot="1" x14ac:dyDescent="0.3">
      <c r="A22" s="38" t="s">
        <v>479</v>
      </c>
      <c r="B22" s="39" t="s">
        <v>484</v>
      </c>
      <c r="C22" s="39">
        <v>27</v>
      </c>
      <c r="D22" s="42">
        <v>30</v>
      </c>
      <c r="F22" s="38" t="s">
        <v>479</v>
      </c>
      <c r="G22" s="265"/>
    </row>
    <row r="23" spans="1:7" ht="16.5" thickTop="1" x14ac:dyDescent="0.25"/>
    <row r="24" spans="1:7" x14ac:dyDescent="0.25">
      <c r="A24" s="58" t="s">
        <v>287</v>
      </c>
      <c r="B24" s="15"/>
      <c r="C24" s="15"/>
      <c r="D24" s="15"/>
      <c r="E24" s="15"/>
      <c r="F24" s="15"/>
      <c r="G24" s="15"/>
    </row>
    <row r="25" spans="1:7" ht="16.5" customHeight="1" x14ac:dyDescent="0.25">
      <c r="A25" s="15" t="s">
        <v>485</v>
      </c>
      <c r="B25" s="15"/>
      <c r="C25" s="15"/>
      <c r="D25" s="15"/>
      <c r="E25" s="15"/>
      <c r="F25" s="15"/>
      <c r="G25" s="15"/>
    </row>
    <row r="26" spans="1:7" ht="20.25" customHeight="1" x14ac:dyDescent="0.25">
      <c r="A26" s="15" t="s">
        <v>486</v>
      </c>
      <c r="B26" s="15"/>
      <c r="C26" s="15"/>
      <c r="D26" s="15"/>
      <c r="E26" s="15"/>
      <c r="F26" s="15"/>
      <c r="G26" s="15"/>
    </row>
    <row r="27" spans="1:7" ht="21" customHeight="1" x14ac:dyDescent="0.25">
      <c r="A27" s="15" t="s">
        <v>487</v>
      </c>
      <c r="B27" s="15"/>
      <c r="C27" s="15"/>
      <c r="D27" s="15"/>
      <c r="E27" s="15"/>
      <c r="F27" s="15"/>
      <c r="G27" s="15"/>
    </row>
    <row r="28" spans="1:7" x14ac:dyDescent="0.25">
      <c r="A28" s="16" t="s">
        <v>488</v>
      </c>
      <c r="B28" s="15"/>
      <c r="C28" s="15"/>
      <c r="D28" s="15"/>
      <c r="E28" s="15"/>
      <c r="F28" s="15"/>
      <c r="G28" s="15"/>
    </row>
    <row r="29" spans="1:7" ht="21.75" customHeight="1" x14ac:dyDescent="0.25">
      <c r="A29" s="15" t="s">
        <v>489</v>
      </c>
      <c r="B29" s="15"/>
      <c r="C29" s="15"/>
      <c r="D29" s="15"/>
      <c r="E29" s="15"/>
      <c r="F29" s="15"/>
      <c r="G29" s="15"/>
    </row>
    <row r="30" spans="1:7" ht="35.25" customHeight="1" x14ac:dyDescent="0.25">
      <c r="A30" s="323" t="s">
        <v>490</v>
      </c>
      <c r="B30" s="323"/>
      <c r="C30" s="323"/>
      <c r="D30" s="323"/>
      <c r="E30" s="323"/>
      <c r="F30" s="323"/>
      <c r="G30" s="323"/>
    </row>
    <row r="31" spans="1:7" ht="19.5" customHeight="1" x14ac:dyDescent="0.25">
      <c r="A31" s="15" t="s">
        <v>215</v>
      </c>
      <c r="B31" s="15"/>
      <c r="C31" s="15"/>
      <c r="D31" s="15"/>
      <c r="E31" s="15"/>
      <c r="F31" s="15"/>
      <c r="G31" s="15"/>
    </row>
    <row r="32" spans="1:7" ht="20.25" customHeight="1" x14ac:dyDescent="0.25">
      <c r="A32" s="15" t="s">
        <v>634</v>
      </c>
      <c r="B32" s="15"/>
      <c r="C32" s="15"/>
      <c r="D32" s="15"/>
      <c r="E32" s="15"/>
      <c r="F32" s="15"/>
      <c r="G32" s="15"/>
    </row>
  </sheetData>
  <mergeCells count="9">
    <mergeCell ref="A30:G30"/>
    <mergeCell ref="A4:G4"/>
    <mergeCell ref="A14:G14"/>
    <mergeCell ref="A16:A17"/>
    <mergeCell ref="B16:B17"/>
    <mergeCell ref="C16:D16"/>
    <mergeCell ref="F16:G16"/>
    <mergeCell ref="F17:G17"/>
    <mergeCell ref="A15:D15"/>
  </mergeCells>
  <phoneticPr fontId="2" type="noConversion"/>
  <pageMargins left="0.75" right="0.25" top="0.5" bottom="0.5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E13" sqref="E13"/>
    </sheetView>
  </sheetViews>
  <sheetFormatPr defaultColWidth="9.140625" defaultRowHeight="15.75" x14ac:dyDescent="0.25"/>
  <cols>
    <col min="1" max="1" width="10.5703125" style="174" customWidth="1"/>
    <col min="2" max="2" width="13.42578125" style="174" customWidth="1"/>
    <col min="3" max="3" width="12.140625" style="174" customWidth="1"/>
    <col min="4" max="4" width="13.42578125" style="174" customWidth="1"/>
    <col min="5" max="5" width="11.7109375" style="174" customWidth="1"/>
    <col min="6" max="7" width="14.42578125" style="174" customWidth="1"/>
    <col min="8" max="8" width="11.5703125" style="174" customWidth="1"/>
    <col min="9" max="16384" width="9.140625" style="174"/>
  </cols>
  <sheetData>
    <row r="1" spans="1:9" x14ac:dyDescent="0.25">
      <c r="A1" s="173" t="s">
        <v>636</v>
      </c>
      <c r="H1" s="284"/>
      <c r="I1" s="73"/>
    </row>
    <row r="2" spans="1:9" ht="18.75" x14ac:dyDescent="0.3">
      <c r="A2" s="175"/>
      <c r="D2" s="289"/>
      <c r="E2" s="1"/>
      <c r="F2" s="1"/>
      <c r="G2" s="1"/>
      <c r="H2" s="1"/>
      <c r="I2" s="1"/>
    </row>
    <row r="3" spans="1:9" x14ac:dyDescent="0.25">
      <c r="A3" s="174" t="s">
        <v>286</v>
      </c>
    </row>
    <row r="4" spans="1:9" ht="16.5" thickBot="1" x14ac:dyDescent="0.3">
      <c r="A4" s="336" t="s">
        <v>514</v>
      </c>
      <c r="B4" s="336"/>
      <c r="C4" s="336"/>
      <c r="D4" s="336"/>
      <c r="E4" s="336"/>
      <c r="F4" s="336"/>
      <c r="G4" s="336"/>
      <c r="H4" s="336"/>
    </row>
    <row r="5" spans="1:9" ht="16.5" thickTop="1" x14ac:dyDescent="0.25">
      <c r="A5" s="176" t="s">
        <v>495</v>
      </c>
      <c r="B5" s="177" t="s">
        <v>496</v>
      </c>
      <c r="C5" s="177" t="s">
        <v>497</v>
      </c>
      <c r="D5" s="177" t="s">
        <v>505</v>
      </c>
      <c r="E5" s="178" t="s">
        <v>498</v>
      </c>
      <c r="F5" s="178" t="s">
        <v>499</v>
      </c>
      <c r="G5" s="179" t="s">
        <v>405</v>
      </c>
      <c r="H5" s="180" t="s">
        <v>500</v>
      </c>
    </row>
    <row r="6" spans="1:9" x14ac:dyDescent="0.25">
      <c r="A6" s="181">
        <v>39003</v>
      </c>
      <c r="B6" s="182">
        <v>0.54230324074074077</v>
      </c>
      <c r="C6" s="182">
        <v>0.54370370370370369</v>
      </c>
      <c r="D6" s="421">
        <f>C6-B6</f>
        <v>1.4004629629629228E-3</v>
      </c>
      <c r="E6" s="183"/>
      <c r="F6" s="184" t="s">
        <v>508</v>
      </c>
      <c r="G6" s="185">
        <f>VLOOKUP(F6,$A$11:$B$16,2,0)</f>
        <v>1000</v>
      </c>
      <c r="H6" s="186"/>
    </row>
    <row r="7" spans="1:9" x14ac:dyDescent="0.25">
      <c r="A7" s="181">
        <v>39007</v>
      </c>
      <c r="B7" s="182">
        <v>0.84571759259259249</v>
      </c>
      <c r="C7" s="182">
        <v>0.84653935185185192</v>
      </c>
      <c r="D7" s="421">
        <f t="shared" ref="D7:D9" si="0">C7-B7</f>
        <v>8.2175925925942472E-4</v>
      </c>
      <c r="E7" s="183"/>
      <c r="F7" s="184" t="s">
        <v>501</v>
      </c>
      <c r="G7" s="185">
        <f t="shared" ref="G7:G9" si="1">VLOOKUP(F7,$A$11:$B$16,2,0)</f>
        <v>1100</v>
      </c>
      <c r="H7" s="186"/>
    </row>
    <row r="8" spans="1:9" x14ac:dyDescent="0.25">
      <c r="A8" s="187">
        <v>39008</v>
      </c>
      <c r="B8" s="188">
        <v>0.3439814814814815</v>
      </c>
      <c r="C8" s="188">
        <v>0.35289351851851852</v>
      </c>
      <c r="D8" s="421">
        <f t="shared" si="0"/>
        <v>8.9120370370370239E-3</v>
      </c>
      <c r="E8" s="183"/>
      <c r="F8" s="189" t="s">
        <v>508</v>
      </c>
      <c r="G8" s="185">
        <f t="shared" si="1"/>
        <v>1000</v>
      </c>
      <c r="H8" s="186"/>
    </row>
    <row r="9" spans="1:9" ht="16.5" thickBot="1" x14ac:dyDescent="0.3">
      <c r="A9" s="190">
        <v>39009</v>
      </c>
      <c r="B9" s="191">
        <v>0.59603009259259265</v>
      </c>
      <c r="C9" s="191">
        <v>0.59752314814814811</v>
      </c>
      <c r="D9" s="421">
        <f t="shared" si="0"/>
        <v>1.4930555555554559E-3</v>
      </c>
      <c r="E9" s="183"/>
      <c r="F9" s="192" t="s">
        <v>502</v>
      </c>
      <c r="G9" s="185">
        <f t="shared" si="1"/>
        <v>1100</v>
      </c>
      <c r="H9" s="186"/>
    </row>
    <row r="10" spans="1:9" ht="17.25" customHeight="1" thickTop="1" thickBot="1" x14ac:dyDescent="0.3">
      <c r="A10" s="337"/>
      <c r="B10" s="337"/>
      <c r="C10" s="337"/>
      <c r="D10" s="337"/>
      <c r="E10" s="337"/>
      <c r="F10" s="337"/>
      <c r="G10" s="337"/>
      <c r="H10" s="337"/>
      <c r="I10" s="193"/>
    </row>
    <row r="11" spans="1:9" ht="20.25" customHeight="1" thickTop="1" x14ac:dyDescent="0.25">
      <c r="A11" s="339" t="s">
        <v>405</v>
      </c>
      <c r="B11" s="340"/>
      <c r="C11" s="175"/>
      <c r="D11" s="341" t="s">
        <v>491</v>
      </c>
      <c r="E11" s="342"/>
    </row>
    <row r="12" spans="1:9" ht="20.25" customHeight="1" thickBot="1" x14ac:dyDescent="0.3">
      <c r="A12" s="194" t="s">
        <v>504</v>
      </c>
      <c r="B12" s="195" t="s">
        <v>339</v>
      </c>
      <c r="C12" s="175"/>
      <c r="D12" s="343" t="s">
        <v>511</v>
      </c>
      <c r="E12" s="344"/>
    </row>
    <row r="13" spans="1:9" ht="20.25" customHeight="1" thickTop="1" x14ac:dyDescent="0.25">
      <c r="A13" s="196" t="s">
        <v>502</v>
      </c>
      <c r="B13" s="197">
        <v>1100</v>
      </c>
      <c r="C13" s="175"/>
      <c r="D13" s="198" t="s">
        <v>512</v>
      </c>
      <c r="E13" s="199"/>
    </row>
    <row r="14" spans="1:9" ht="20.25" customHeight="1" x14ac:dyDescent="0.25">
      <c r="A14" s="184" t="s">
        <v>508</v>
      </c>
      <c r="B14" s="184">
        <v>1000</v>
      </c>
      <c r="C14" s="175"/>
      <c r="D14" s="198" t="s">
        <v>513</v>
      </c>
      <c r="E14" s="199"/>
    </row>
    <row r="15" spans="1:9" ht="20.25" customHeight="1" x14ac:dyDescent="0.25">
      <c r="A15" s="200" t="s">
        <v>501</v>
      </c>
      <c r="B15" s="184">
        <v>1100</v>
      </c>
      <c r="C15" s="175"/>
      <c r="D15" s="198" t="s">
        <v>501</v>
      </c>
      <c r="E15" s="199"/>
    </row>
    <row r="16" spans="1:9" ht="20.25" customHeight="1" thickBot="1" x14ac:dyDescent="0.3">
      <c r="A16" s="184" t="s">
        <v>507</v>
      </c>
      <c r="B16" s="184">
        <v>3250</v>
      </c>
      <c r="C16" s="175"/>
      <c r="D16" s="201" t="s">
        <v>507</v>
      </c>
      <c r="E16" s="202"/>
    </row>
    <row r="17" spans="1:8" ht="16.5" thickTop="1" x14ac:dyDescent="0.25">
      <c r="A17" s="209" t="s">
        <v>287</v>
      </c>
      <c r="B17" s="210"/>
      <c r="C17" s="210"/>
      <c r="D17" s="210"/>
      <c r="E17" s="211"/>
      <c r="F17" s="210"/>
      <c r="G17" s="210"/>
      <c r="H17" s="210"/>
    </row>
    <row r="18" spans="1:8" ht="19.5" customHeight="1" x14ac:dyDescent="0.25">
      <c r="A18" s="210" t="s">
        <v>503</v>
      </c>
      <c r="B18" s="210"/>
      <c r="C18" s="210"/>
      <c r="D18" s="210"/>
      <c r="E18" s="210"/>
      <c r="F18" s="210"/>
      <c r="G18" s="210"/>
      <c r="H18" s="210"/>
    </row>
    <row r="19" spans="1:8" ht="36.75" customHeight="1" x14ac:dyDescent="0.25">
      <c r="A19" s="338" t="s">
        <v>506</v>
      </c>
      <c r="B19" s="338"/>
      <c r="C19" s="338"/>
      <c r="D19" s="338"/>
      <c r="E19" s="338"/>
      <c r="F19" s="338"/>
      <c r="G19" s="338"/>
      <c r="H19" s="338"/>
    </row>
    <row r="20" spans="1:8" ht="20.25" customHeight="1" x14ac:dyDescent="0.25">
      <c r="A20" s="210" t="s">
        <v>509</v>
      </c>
      <c r="B20" s="210"/>
      <c r="C20" s="210"/>
      <c r="D20" s="210"/>
      <c r="E20" s="210"/>
      <c r="F20" s="210"/>
      <c r="G20" s="210"/>
      <c r="H20" s="210"/>
    </row>
    <row r="21" spans="1:8" ht="19.5" customHeight="1" x14ac:dyDescent="0.25">
      <c r="A21" s="210" t="s">
        <v>510</v>
      </c>
      <c r="B21" s="210"/>
      <c r="C21" s="210"/>
      <c r="D21" s="210"/>
      <c r="E21" s="210"/>
      <c r="F21" s="210"/>
      <c r="G21" s="210"/>
      <c r="H21" s="210"/>
    </row>
    <row r="22" spans="1:8" ht="19.5" customHeight="1" x14ac:dyDescent="0.25">
      <c r="A22" s="210" t="s">
        <v>216</v>
      </c>
      <c r="B22" s="210"/>
      <c r="C22" s="210"/>
      <c r="D22" s="210"/>
      <c r="E22" s="210"/>
      <c r="F22" s="210"/>
      <c r="G22" s="210"/>
      <c r="H22" s="210"/>
    </row>
    <row r="23" spans="1:8" ht="20.25" customHeight="1" x14ac:dyDescent="0.25">
      <c r="A23" s="210" t="s">
        <v>254</v>
      </c>
      <c r="B23" s="210"/>
      <c r="C23" s="210"/>
      <c r="D23" s="210"/>
      <c r="E23" s="210"/>
      <c r="F23" s="210"/>
      <c r="G23" s="210"/>
      <c r="H23" s="210"/>
    </row>
  </sheetData>
  <mergeCells count="6">
    <mergeCell ref="A4:H4"/>
    <mergeCell ref="A10:H10"/>
    <mergeCell ref="A19:H19"/>
    <mergeCell ref="A11:B11"/>
    <mergeCell ref="D11:E11"/>
    <mergeCell ref="D12:E12"/>
  </mergeCells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P49"/>
  <sheetViews>
    <sheetView topLeftCell="A4" workbookViewId="0">
      <selection activeCell="D12" sqref="D12"/>
    </sheetView>
  </sheetViews>
  <sheetFormatPr defaultColWidth="9.140625" defaultRowHeight="15.75" x14ac:dyDescent="0.25"/>
  <cols>
    <col min="1" max="1" width="8.85546875" style="61" customWidth="1"/>
    <col min="2" max="2" width="10.5703125" style="61" customWidth="1"/>
    <col min="3" max="3" width="10.42578125" style="61" customWidth="1"/>
    <col min="4" max="4" width="10.85546875" style="61" customWidth="1"/>
    <col min="5" max="5" width="9.28515625" style="61" customWidth="1"/>
    <col min="6" max="6" width="10.28515625" style="61" customWidth="1"/>
    <col min="7" max="7" width="5.28515625" style="61" customWidth="1"/>
    <col min="8" max="8" width="7.5703125" style="61" customWidth="1"/>
    <col min="9" max="9" width="8.85546875" style="61" customWidth="1"/>
    <col min="10" max="11" width="9.140625" style="61"/>
    <col min="12" max="12" width="9.5703125" style="61" customWidth="1"/>
    <col min="13" max="13" width="5.140625" style="61" customWidth="1"/>
    <col min="14" max="15" width="6" style="61" customWidth="1"/>
    <col min="16" max="16" width="5.42578125" style="61" customWidth="1"/>
    <col min="17" max="16384" width="9.140625" style="61"/>
  </cols>
  <sheetData>
    <row r="2" spans="1:16" x14ac:dyDescent="0.25">
      <c r="A2" s="60" t="s">
        <v>637</v>
      </c>
    </row>
    <row r="4" spans="1:16" ht="16.5" thickBot="1" x14ac:dyDescent="0.3">
      <c r="A4" s="345" t="s">
        <v>582</v>
      </c>
      <c r="B4" s="345"/>
      <c r="C4" s="345"/>
      <c r="D4" s="345"/>
      <c r="E4" s="70"/>
      <c r="F4" s="347" t="s">
        <v>583</v>
      </c>
      <c r="G4" s="347"/>
      <c r="H4" s="347"/>
      <c r="I4" s="347"/>
      <c r="J4" s="347"/>
      <c r="K4" s="151"/>
      <c r="L4" s="151"/>
      <c r="M4" s="151"/>
      <c r="N4" s="151"/>
      <c r="O4" s="151"/>
      <c r="P4" s="151"/>
    </row>
    <row r="5" spans="1:16" ht="34.5" customHeight="1" thickTop="1" x14ac:dyDescent="0.25">
      <c r="A5" s="62" t="s">
        <v>584</v>
      </c>
      <c r="B5" s="63" t="s">
        <v>585</v>
      </c>
      <c r="C5" s="63" t="s">
        <v>586</v>
      </c>
      <c r="D5" s="64" t="s">
        <v>587</v>
      </c>
      <c r="F5" s="62" t="s">
        <v>445</v>
      </c>
      <c r="G5" s="152" t="s">
        <v>446</v>
      </c>
      <c r="H5" s="152" t="s">
        <v>447</v>
      </c>
      <c r="I5" s="152" t="s">
        <v>448</v>
      </c>
      <c r="J5" s="153" t="s">
        <v>524</v>
      </c>
    </row>
    <row r="6" spans="1:16" ht="16.5" thickBot="1" x14ac:dyDescent="0.3">
      <c r="A6" s="154" t="s">
        <v>446</v>
      </c>
      <c r="B6" s="155" t="s">
        <v>588</v>
      </c>
      <c r="C6" s="155">
        <v>19</v>
      </c>
      <c r="D6" s="156">
        <v>20</v>
      </c>
      <c r="F6" s="150" t="s">
        <v>589</v>
      </c>
      <c r="G6" s="157">
        <v>25</v>
      </c>
      <c r="H6" s="157">
        <v>23</v>
      </c>
      <c r="I6" s="157">
        <v>21</v>
      </c>
      <c r="J6" s="158">
        <v>19</v>
      </c>
    </row>
    <row r="7" spans="1:16" ht="16.5" thickTop="1" x14ac:dyDescent="0.25">
      <c r="A7" s="154" t="s">
        <v>447</v>
      </c>
      <c r="B7" s="155" t="s">
        <v>590</v>
      </c>
      <c r="C7" s="155">
        <v>17</v>
      </c>
      <c r="D7" s="156">
        <v>18</v>
      </c>
    </row>
    <row r="8" spans="1:16" x14ac:dyDescent="0.25">
      <c r="A8" s="154" t="s">
        <v>448</v>
      </c>
      <c r="B8" s="155" t="s">
        <v>591</v>
      </c>
      <c r="C8" s="155">
        <v>15</v>
      </c>
      <c r="D8" s="156">
        <v>16</v>
      </c>
    </row>
    <row r="9" spans="1:16" ht="16.5" thickBot="1" x14ac:dyDescent="0.3">
      <c r="A9" s="159" t="s">
        <v>524</v>
      </c>
      <c r="B9" s="157" t="s">
        <v>452</v>
      </c>
      <c r="C9" s="157">
        <v>13</v>
      </c>
      <c r="D9" s="158">
        <v>14</v>
      </c>
    </row>
    <row r="10" spans="1:16" ht="24.75" customHeight="1" thickTop="1" x14ac:dyDescent="0.25">
      <c r="A10" s="345" t="s">
        <v>592</v>
      </c>
      <c r="B10" s="345"/>
      <c r="C10" s="345"/>
      <c r="D10" s="345"/>
      <c r="E10" s="345"/>
      <c r="F10" s="345"/>
      <c r="G10" s="345"/>
      <c r="H10" s="345"/>
      <c r="I10" s="345"/>
      <c r="J10" s="345"/>
      <c r="K10" s="345"/>
      <c r="L10" s="345"/>
      <c r="M10" s="345"/>
      <c r="N10" s="345"/>
      <c r="O10" s="345"/>
    </row>
    <row r="11" spans="1:16" ht="37.5" customHeight="1" x14ac:dyDescent="0.25">
      <c r="A11" s="230" t="s">
        <v>593</v>
      </c>
      <c r="B11" s="231" t="s">
        <v>594</v>
      </c>
      <c r="C11" s="231" t="s">
        <v>595</v>
      </c>
      <c r="D11" s="230" t="s">
        <v>585</v>
      </c>
      <c r="E11" s="230" t="s">
        <v>596</v>
      </c>
      <c r="F11" s="230" t="s">
        <v>597</v>
      </c>
      <c r="G11" s="230" t="s">
        <v>451</v>
      </c>
      <c r="H11" s="230" t="s">
        <v>452</v>
      </c>
      <c r="I11" s="230" t="s">
        <v>229</v>
      </c>
      <c r="J11" s="230" t="s">
        <v>230</v>
      </c>
      <c r="K11" s="230" t="s">
        <v>598</v>
      </c>
      <c r="L11" s="230" t="s">
        <v>589</v>
      </c>
      <c r="M11" s="230" t="s">
        <v>231</v>
      </c>
    </row>
    <row r="12" spans="1:16" x14ac:dyDescent="0.25">
      <c r="A12" s="155" t="s">
        <v>604</v>
      </c>
      <c r="B12" s="155" t="s">
        <v>451</v>
      </c>
      <c r="C12" s="155" t="s">
        <v>605</v>
      </c>
      <c r="D12" s="160"/>
      <c r="E12" s="160"/>
      <c r="F12" s="155">
        <v>2</v>
      </c>
      <c r="G12" s="155">
        <v>6</v>
      </c>
      <c r="H12" s="155">
        <v>3</v>
      </c>
      <c r="I12" s="66"/>
      <c r="J12" s="66"/>
      <c r="K12" s="160"/>
      <c r="L12" s="66"/>
      <c r="M12" s="66"/>
    </row>
    <row r="13" spans="1:16" x14ac:dyDescent="0.25">
      <c r="A13" s="155" t="s">
        <v>615</v>
      </c>
      <c r="B13" s="155" t="s">
        <v>616</v>
      </c>
      <c r="C13" s="155" t="s">
        <v>316</v>
      </c>
      <c r="D13" s="160"/>
      <c r="E13" s="160"/>
      <c r="F13" s="155">
        <v>4</v>
      </c>
      <c r="G13" s="155">
        <v>3</v>
      </c>
      <c r="H13" s="155">
        <v>5</v>
      </c>
      <c r="I13" s="66"/>
      <c r="J13" s="66"/>
      <c r="K13" s="160"/>
      <c r="L13" s="66"/>
      <c r="M13" s="66"/>
    </row>
    <row r="14" spans="1:16" x14ac:dyDescent="0.25">
      <c r="A14" s="155" t="s">
        <v>609</v>
      </c>
      <c r="B14" s="155" t="s">
        <v>305</v>
      </c>
      <c r="C14" s="155" t="s">
        <v>610</v>
      </c>
      <c r="D14" s="160"/>
      <c r="E14" s="160"/>
      <c r="F14" s="155">
        <v>5</v>
      </c>
      <c r="G14" s="155">
        <v>4</v>
      </c>
      <c r="H14" s="155">
        <v>4</v>
      </c>
      <c r="I14" s="66"/>
      <c r="J14" s="66"/>
      <c r="K14" s="160"/>
      <c r="L14" s="66"/>
      <c r="M14" s="66"/>
    </row>
    <row r="15" spans="1:16" x14ac:dyDescent="0.25">
      <c r="A15" s="155" t="s">
        <v>599</v>
      </c>
      <c r="B15" s="155" t="s">
        <v>309</v>
      </c>
      <c r="C15" s="155" t="s">
        <v>600</v>
      </c>
      <c r="D15" s="160"/>
      <c r="E15" s="160"/>
      <c r="F15" s="155">
        <v>5</v>
      </c>
      <c r="G15" s="155">
        <v>8</v>
      </c>
      <c r="H15" s="155">
        <v>7</v>
      </c>
      <c r="I15" s="66"/>
      <c r="J15" s="66"/>
      <c r="K15" s="160"/>
      <c r="L15" s="66"/>
      <c r="M15" s="66"/>
    </row>
    <row r="16" spans="1:16" x14ac:dyDescent="0.25">
      <c r="A16" s="155" t="s">
        <v>601</v>
      </c>
      <c r="B16" s="155" t="s">
        <v>602</v>
      </c>
      <c r="C16" s="155" t="s">
        <v>603</v>
      </c>
      <c r="D16" s="160"/>
      <c r="E16" s="160"/>
      <c r="F16" s="155">
        <v>6</v>
      </c>
      <c r="G16" s="155">
        <v>5</v>
      </c>
      <c r="H16" s="155">
        <v>5</v>
      </c>
      <c r="I16" s="66"/>
      <c r="J16" s="66"/>
      <c r="K16" s="160"/>
      <c r="L16" s="66"/>
      <c r="M16" s="66"/>
    </row>
    <row r="17" spans="1:15" x14ac:dyDescent="0.25">
      <c r="A17" s="155" t="s">
        <v>613</v>
      </c>
      <c r="B17" s="155" t="s">
        <v>309</v>
      </c>
      <c r="C17" s="155" t="s">
        <v>614</v>
      </c>
      <c r="D17" s="160"/>
      <c r="E17" s="160"/>
      <c r="F17" s="155">
        <v>8</v>
      </c>
      <c r="G17" s="155">
        <v>6</v>
      </c>
      <c r="H17" s="155">
        <v>5</v>
      </c>
      <c r="I17" s="66"/>
      <c r="J17" s="66"/>
      <c r="K17" s="160"/>
      <c r="L17" s="66"/>
      <c r="M17" s="66"/>
    </row>
    <row r="18" spans="1:15" x14ac:dyDescent="0.25">
      <c r="A18" s="155" t="s">
        <v>606</v>
      </c>
      <c r="B18" s="155" t="s">
        <v>607</v>
      </c>
      <c r="C18" s="155" t="s">
        <v>608</v>
      </c>
      <c r="D18" s="160"/>
      <c r="E18" s="160"/>
      <c r="F18" s="155">
        <v>9</v>
      </c>
      <c r="G18" s="155">
        <v>9</v>
      </c>
      <c r="H18" s="155">
        <v>7</v>
      </c>
      <c r="I18" s="66"/>
      <c r="J18" s="66"/>
      <c r="K18" s="160"/>
      <c r="L18" s="66"/>
      <c r="M18" s="66"/>
    </row>
    <row r="19" spans="1:15" x14ac:dyDescent="0.25">
      <c r="A19" s="155" t="s">
        <v>611</v>
      </c>
      <c r="B19" s="155" t="s">
        <v>313</v>
      </c>
      <c r="C19" s="155" t="s">
        <v>612</v>
      </c>
      <c r="D19" s="160"/>
      <c r="E19" s="160"/>
      <c r="F19" s="155">
        <v>10</v>
      </c>
      <c r="G19" s="155">
        <v>8</v>
      </c>
      <c r="H19" s="155">
        <v>8</v>
      </c>
      <c r="I19" s="66"/>
      <c r="J19" s="66"/>
      <c r="K19" s="160"/>
      <c r="L19" s="66"/>
      <c r="M19" s="66"/>
    </row>
    <row r="20" spans="1:15" x14ac:dyDescent="0.25">
      <c r="A20" s="60" t="s">
        <v>527</v>
      </c>
    </row>
    <row r="21" spans="1:15" ht="14.25" customHeight="1" x14ac:dyDescent="0.25">
      <c r="A21" s="61" t="s">
        <v>617</v>
      </c>
    </row>
    <row r="22" spans="1:15" ht="17.25" customHeight="1" x14ac:dyDescent="0.25">
      <c r="A22" s="61" t="s">
        <v>618</v>
      </c>
    </row>
    <row r="23" spans="1:15" ht="31.5" customHeight="1" x14ac:dyDescent="0.25">
      <c r="A23" s="346" t="s">
        <v>619</v>
      </c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</row>
    <row r="24" spans="1:15" ht="18.75" x14ac:dyDescent="0.3">
      <c r="A24" s="61" t="s">
        <v>620</v>
      </c>
      <c r="C24" s="289"/>
      <c r="D24" s="1"/>
      <c r="E24" s="1"/>
      <c r="F24" s="1"/>
      <c r="G24" s="1"/>
      <c r="H24" s="1"/>
    </row>
    <row r="25" spans="1:15" x14ac:dyDescent="0.25">
      <c r="B25" s="69" t="s">
        <v>621</v>
      </c>
    </row>
    <row r="26" spans="1:15" x14ac:dyDescent="0.25">
      <c r="B26" s="69" t="s">
        <v>622</v>
      </c>
    </row>
    <row r="27" spans="1:15" ht="32.25" customHeight="1" x14ac:dyDescent="0.25">
      <c r="A27" s="346" t="s">
        <v>623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</row>
    <row r="28" spans="1:15" x14ac:dyDescent="0.25">
      <c r="A28" s="61" t="s">
        <v>624</v>
      </c>
    </row>
    <row r="29" spans="1:15" ht="15" customHeight="1" x14ac:dyDescent="0.25">
      <c r="A29" s="61" t="s">
        <v>625</v>
      </c>
    </row>
    <row r="30" spans="1:15" ht="16.5" customHeight="1" x14ac:dyDescent="0.25">
      <c r="A30" s="61" t="s">
        <v>626</v>
      </c>
    </row>
    <row r="31" spans="1:15" x14ac:dyDescent="0.25">
      <c r="A31" s="69" t="s">
        <v>627</v>
      </c>
    </row>
    <row r="32" spans="1:15" x14ac:dyDescent="0.25">
      <c r="A32" s="61" t="s">
        <v>628</v>
      </c>
    </row>
    <row r="33" spans="1:15" x14ac:dyDescent="0.25">
      <c r="A33" s="346" t="s">
        <v>257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</row>
    <row r="34" spans="1:15" ht="15" customHeight="1" x14ac:dyDescent="0.25">
      <c r="A34" s="61" t="s">
        <v>629</v>
      </c>
    </row>
    <row r="35" spans="1:15" x14ac:dyDescent="0.25">
      <c r="A35" s="61" t="s">
        <v>630</v>
      </c>
    </row>
    <row r="36" spans="1:15" x14ac:dyDescent="0.25">
      <c r="A36" s="61" t="s">
        <v>258</v>
      </c>
    </row>
    <row r="37" spans="1:15" x14ac:dyDescent="0.25">
      <c r="A37" s="61" t="s">
        <v>638</v>
      </c>
    </row>
    <row r="38" spans="1:15" ht="16.5" thickBot="1" x14ac:dyDescent="0.3">
      <c r="A38" s="61" t="s">
        <v>211</v>
      </c>
    </row>
    <row r="39" spans="1:15" ht="31.5" customHeight="1" thickTop="1" x14ac:dyDescent="0.25">
      <c r="D39" s="161" t="s">
        <v>237</v>
      </c>
      <c r="E39" s="152" t="s">
        <v>238</v>
      </c>
      <c r="F39" s="351" t="s">
        <v>631</v>
      </c>
      <c r="G39" s="352"/>
    </row>
    <row r="40" spans="1:15" ht="28.5" customHeight="1" thickBot="1" x14ac:dyDescent="0.3">
      <c r="B40" s="77"/>
      <c r="C40" s="162"/>
      <c r="D40" s="163"/>
      <c r="E40" s="164"/>
      <c r="F40" s="349"/>
      <c r="G40" s="350"/>
    </row>
    <row r="41" spans="1:15" customFormat="1" ht="16.5" thickTop="1" x14ac:dyDescent="0.25">
      <c r="A41" s="77" t="s">
        <v>668</v>
      </c>
    </row>
    <row r="42" spans="1:15" ht="20.25" customHeight="1" x14ac:dyDescent="0.25">
      <c r="A42" s="61" t="s">
        <v>252</v>
      </c>
      <c r="B42" s="77"/>
      <c r="C42" s="77"/>
      <c r="D42" s="71"/>
      <c r="E42" s="71"/>
      <c r="F42" s="71"/>
      <c r="G42" s="71"/>
      <c r="H42" s="71"/>
      <c r="I42" s="71"/>
      <c r="J42" s="71"/>
      <c r="K42" s="71"/>
    </row>
    <row r="43" spans="1:15" ht="27.75" customHeight="1" x14ac:dyDescent="0.25">
      <c r="A43" s="230" t="s">
        <v>593</v>
      </c>
    </row>
    <row r="44" spans="1:15" x14ac:dyDescent="0.25">
      <c r="A44" s="155" t="s">
        <v>259</v>
      </c>
    </row>
    <row r="45" spans="1:15" x14ac:dyDescent="0.25">
      <c r="A45" s="348" t="s">
        <v>261</v>
      </c>
      <c r="B45" s="348"/>
      <c r="C45" s="348"/>
      <c r="D45" s="348"/>
      <c r="E45" s="348"/>
      <c r="F45" s="348"/>
      <c r="G45" s="348"/>
      <c r="H45" s="348"/>
      <c r="I45" s="348"/>
      <c r="J45" s="348"/>
      <c r="K45" s="348"/>
      <c r="L45" s="348"/>
      <c r="M45" s="348"/>
    </row>
    <row r="46" spans="1:15" ht="31.5" x14ac:dyDescent="0.25">
      <c r="A46" s="230" t="s">
        <v>593</v>
      </c>
      <c r="B46" s="231" t="s">
        <v>594</v>
      </c>
      <c r="C46" s="231" t="s">
        <v>595</v>
      </c>
      <c r="D46" s="230" t="s">
        <v>585</v>
      </c>
      <c r="E46" s="230" t="s">
        <v>596</v>
      </c>
      <c r="F46" s="230" t="s">
        <v>597</v>
      </c>
      <c r="G46" s="230" t="s">
        <v>451</v>
      </c>
      <c r="H46" s="230" t="s">
        <v>452</v>
      </c>
      <c r="I46" s="230" t="s">
        <v>229</v>
      </c>
      <c r="J46" s="230" t="s">
        <v>230</v>
      </c>
      <c r="K46" s="230" t="s">
        <v>598</v>
      </c>
      <c r="L46" s="230" t="s">
        <v>589</v>
      </c>
      <c r="M46" s="230" t="s">
        <v>231</v>
      </c>
    </row>
    <row r="47" spans="1:15" x14ac:dyDescent="0.25">
      <c r="A47" s="155" t="s">
        <v>615</v>
      </c>
      <c r="B47" s="155" t="s">
        <v>616</v>
      </c>
      <c r="C47" s="155" t="s">
        <v>316</v>
      </c>
      <c r="D47" s="160" t="s">
        <v>588</v>
      </c>
      <c r="E47" s="160">
        <v>2</v>
      </c>
      <c r="F47" s="155">
        <v>4</v>
      </c>
      <c r="G47" s="155">
        <v>3</v>
      </c>
      <c r="H47" s="155">
        <v>5</v>
      </c>
      <c r="I47" s="66">
        <v>20</v>
      </c>
      <c r="J47" s="66">
        <v>12</v>
      </c>
      <c r="K47" s="160" t="s">
        <v>396</v>
      </c>
      <c r="L47" s="66">
        <v>25</v>
      </c>
      <c r="M47" s="66" t="s">
        <v>239</v>
      </c>
    </row>
    <row r="48" spans="1:15" x14ac:dyDescent="0.25">
      <c r="A48" s="155" t="s">
        <v>609</v>
      </c>
      <c r="B48" s="155" t="s">
        <v>305</v>
      </c>
      <c r="C48" s="155" t="s">
        <v>610</v>
      </c>
      <c r="D48" s="160" t="s">
        <v>588</v>
      </c>
      <c r="E48" s="160">
        <v>2</v>
      </c>
      <c r="F48" s="155">
        <v>5</v>
      </c>
      <c r="G48" s="155">
        <v>4</v>
      </c>
      <c r="H48" s="155">
        <v>4</v>
      </c>
      <c r="I48" s="66">
        <v>20</v>
      </c>
      <c r="J48" s="66">
        <v>13</v>
      </c>
      <c r="K48" s="160" t="s">
        <v>396</v>
      </c>
      <c r="L48" s="66">
        <v>25</v>
      </c>
      <c r="M48" s="66" t="s">
        <v>239</v>
      </c>
    </row>
    <row r="49" spans="1:13" x14ac:dyDescent="0.25">
      <c r="A49" s="155" t="s">
        <v>599</v>
      </c>
      <c r="B49" s="155" t="s">
        <v>309</v>
      </c>
      <c r="C49" s="155" t="s">
        <v>600</v>
      </c>
      <c r="D49" s="160" t="s">
        <v>588</v>
      </c>
      <c r="E49" s="160">
        <v>1</v>
      </c>
      <c r="F49" s="155">
        <v>5</v>
      </c>
      <c r="G49" s="155">
        <v>8</v>
      </c>
      <c r="H49" s="155">
        <v>7</v>
      </c>
      <c r="I49" s="66">
        <v>19</v>
      </c>
      <c r="J49" s="66">
        <v>20</v>
      </c>
      <c r="K49" s="160" t="s">
        <v>260</v>
      </c>
      <c r="L49" s="66">
        <v>25</v>
      </c>
      <c r="M49" s="66" t="s">
        <v>239</v>
      </c>
    </row>
  </sheetData>
  <mergeCells count="9">
    <mergeCell ref="A4:D4"/>
    <mergeCell ref="A10:O10"/>
    <mergeCell ref="A23:O23"/>
    <mergeCell ref="F4:J4"/>
    <mergeCell ref="A45:M45"/>
    <mergeCell ref="A27:O27"/>
    <mergeCell ref="A33:O33"/>
    <mergeCell ref="F40:G40"/>
    <mergeCell ref="F39:G39"/>
  </mergeCells>
  <phoneticPr fontId="0" type="noConversion"/>
  <pageMargins left="0.75" right="0.75" top="0.5" bottom="0.5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9"/>
  <sheetViews>
    <sheetView topLeftCell="A10" workbookViewId="0">
      <selection activeCell="I5" sqref="I5"/>
    </sheetView>
  </sheetViews>
  <sheetFormatPr defaultColWidth="15.140625" defaultRowHeight="15.75" x14ac:dyDescent="0.2"/>
  <cols>
    <col min="1" max="1" width="5.140625" style="249" customWidth="1"/>
    <col min="2" max="2" width="7.7109375" style="249" customWidth="1"/>
    <col min="3" max="3" width="14" style="249" customWidth="1"/>
    <col min="4" max="4" width="11.28515625" style="249" customWidth="1"/>
    <col min="5" max="5" width="7.28515625" style="249" customWidth="1"/>
    <col min="6" max="6" width="7.140625" style="249" customWidth="1"/>
    <col min="7" max="7" width="16.5703125" style="249" customWidth="1"/>
    <col min="8" max="8" width="33.140625" style="249" customWidth="1"/>
    <col min="9" max="9" width="15.28515625" style="249" customWidth="1"/>
    <col min="10" max="10" width="14.140625" style="249" customWidth="1"/>
    <col min="11" max="11" width="15.140625" style="249" customWidth="1"/>
    <col min="12" max="12" width="4.28515625" style="249" customWidth="1"/>
    <col min="13" max="13" width="5.5703125" style="249" customWidth="1"/>
    <col min="14" max="16384" width="15.140625" style="249"/>
  </cols>
  <sheetData>
    <row r="1" spans="1:10" x14ac:dyDescent="0.2">
      <c r="A1" s="248" t="s">
        <v>639</v>
      </c>
    </row>
    <row r="3" spans="1:10" x14ac:dyDescent="0.2">
      <c r="A3" s="251"/>
      <c r="B3" s="251"/>
      <c r="C3" s="251"/>
      <c r="D3" s="251"/>
      <c r="E3" s="251"/>
      <c r="F3" s="251"/>
      <c r="G3" s="251"/>
      <c r="H3" s="251"/>
      <c r="I3" s="251"/>
      <c r="J3" s="251"/>
    </row>
    <row r="4" spans="1:10" x14ac:dyDescent="0.2">
      <c r="F4" s="252" t="s">
        <v>640</v>
      </c>
      <c r="G4" s="263">
        <v>15800</v>
      </c>
    </row>
    <row r="5" spans="1:10" ht="31.5" x14ac:dyDescent="0.2">
      <c r="A5" s="47" t="s">
        <v>380</v>
      </c>
      <c r="B5" s="47" t="s">
        <v>641</v>
      </c>
      <c r="C5" s="47" t="s">
        <v>271</v>
      </c>
      <c r="D5" s="47" t="s">
        <v>642</v>
      </c>
      <c r="E5" s="47" t="s">
        <v>643</v>
      </c>
      <c r="F5" s="47" t="s">
        <v>644</v>
      </c>
      <c r="G5" s="47" t="s">
        <v>272</v>
      </c>
      <c r="H5" s="47" t="s">
        <v>645</v>
      </c>
      <c r="I5" s="47" t="s">
        <v>646</v>
      </c>
      <c r="J5" s="47" t="s">
        <v>410</v>
      </c>
    </row>
    <row r="6" spans="1:10" x14ac:dyDescent="0.2">
      <c r="A6" s="253">
        <v>4</v>
      </c>
      <c r="B6" s="254" t="s">
        <v>650</v>
      </c>
      <c r="C6" s="146" t="str">
        <f>VLOOKUP(B6,$A$18:$E$25,2,0)</f>
        <v>Máy điện thoại</v>
      </c>
      <c r="D6" s="255">
        <v>38364</v>
      </c>
      <c r="E6" s="253" t="s">
        <v>652</v>
      </c>
      <c r="F6" s="253"/>
      <c r="G6" s="256">
        <v>45</v>
      </c>
      <c r="H6" s="257"/>
      <c r="I6" s="258"/>
      <c r="J6" s="259"/>
    </row>
    <row r="7" spans="1:10" x14ac:dyDescent="0.2">
      <c r="A7" s="253">
        <v>8</v>
      </c>
      <c r="B7" s="254" t="s">
        <v>650</v>
      </c>
      <c r="C7" s="146" t="str">
        <f t="shared" ref="C7:C15" si="0">VLOOKUP(B7,$A$18:$E$25,2,0)</f>
        <v>Máy điện thoại</v>
      </c>
      <c r="D7" s="255">
        <v>38380</v>
      </c>
      <c r="E7" s="253"/>
      <c r="F7" s="253" t="s">
        <v>652</v>
      </c>
      <c r="G7" s="256">
        <v>15</v>
      </c>
      <c r="H7" s="257"/>
      <c r="I7" s="258"/>
      <c r="J7" s="259"/>
    </row>
    <row r="8" spans="1:10" x14ac:dyDescent="0.2">
      <c r="A8" s="253">
        <v>3</v>
      </c>
      <c r="B8" s="254" t="s">
        <v>649</v>
      </c>
      <c r="C8" s="146" t="str">
        <f t="shared" si="0"/>
        <v>Máy lạnh</v>
      </c>
      <c r="D8" s="255">
        <v>38355</v>
      </c>
      <c r="E8" s="253" t="s">
        <v>652</v>
      </c>
      <c r="F8" s="253"/>
      <c r="G8" s="256">
        <v>25</v>
      </c>
      <c r="H8" s="257"/>
      <c r="I8" s="258"/>
      <c r="J8" s="259"/>
    </row>
    <row r="9" spans="1:10" x14ac:dyDescent="0.2">
      <c r="A9" s="253">
        <v>6</v>
      </c>
      <c r="B9" s="254" t="s">
        <v>649</v>
      </c>
      <c r="C9" s="146" t="str">
        <f t="shared" si="0"/>
        <v>Máy lạnh</v>
      </c>
      <c r="D9" s="255">
        <v>38358</v>
      </c>
      <c r="E9" s="253"/>
      <c r="F9" s="253" t="s">
        <v>652</v>
      </c>
      <c r="G9" s="256">
        <v>10</v>
      </c>
      <c r="H9" s="257"/>
      <c r="I9" s="258"/>
      <c r="J9" s="259"/>
    </row>
    <row r="10" spans="1:10" x14ac:dyDescent="0.2">
      <c r="A10" s="253">
        <v>7</v>
      </c>
      <c r="B10" s="254" t="s">
        <v>648</v>
      </c>
      <c r="C10" s="146" t="str">
        <f t="shared" si="0"/>
        <v>Máy photo</v>
      </c>
      <c r="D10" s="255">
        <v>38372</v>
      </c>
      <c r="E10" s="253" t="s">
        <v>652</v>
      </c>
      <c r="F10" s="253"/>
      <c r="G10" s="256">
        <v>50</v>
      </c>
      <c r="H10" s="257"/>
      <c r="I10" s="258"/>
      <c r="J10" s="259"/>
    </row>
    <row r="11" spans="1:10" x14ac:dyDescent="0.2">
      <c r="A11" s="253">
        <v>2</v>
      </c>
      <c r="B11" s="254" t="s">
        <v>648</v>
      </c>
      <c r="C11" s="146" t="str">
        <f t="shared" si="0"/>
        <v>Máy photo</v>
      </c>
      <c r="D11" s="255">
        <v>38354</v>
      </c>
      <c r="E11" s="253"/>
      <c r="F11" s="253" t="s">
        <v>652</v>
      </c>
      <c r="G11" s="256">
        <v>30</v>
      </c>
      <c r="H11" s="257"/>
      <c r="I11" s="258"/>
      <c r="J11" s="259"/>
    </row>
    <row r="12" spans="1:10" x14ac:dyDescent="0.2">
      <c r="A12" s="253">
        <v>9</v>
      </c>
      <c r="B12" s="254" t="s">
        <v>651</v>
      </c>
      <c r="C12" s="146" t="str">
        <f t="shared" si="0"/>
        <v>Tủ lạnh</v>
      </c>
      <c r="D12" s="255">
        <v>38369</v>
      </c>
      <c r="E12" s="253" t="s">
        <v>652</v>
      </c>
      <c r="F12" s="253"/>
      <c r="G12" s="256">
        <v>30</v>
      </c>
      <c r="H12" s="257"/>
      <c r="I12" s="258"/>
      <c r="J12" s="259"/>
    </row>
    <row r="13" spans="1:10" x14ac:dyDescent="0.2">
      <c r="A13" s="253">
        <v>10</v>
      </c>
      <c r="B13" s="254" t="s">
        <v>651</v>
      </c>
      <c r="C13" s="146" t="str">
        <f t="shared" si="0"/>
        <v>Tủ lạnh</v>
      </c>
      <c r="D13" s="255">
        <v>38372</v>
      </c>
      <c r="E13" s="253"/>
      <c r="F13" s="253" t="s">
        <v>652</v>
      </c>
      <c r="G13" s="256">
        <v>8</v>
      </c>
      <c r="H13" s="257"/>
      <c r="I13" s="258"/>
      <c r="J13" s="259"/>
    </row>
    <row r="14" spans="1:10" x14ac:dyDescent="0.2">
      <c r="A14" s="253">
        <v>1</v>
      </c>
      <c r="B14" s="254" t="s">
        <v>647</v>
      </c>
      <c r="C14" s="146" t="str">
        <f t="shared" si="0"/>
        <v>Ti vi</v>
      </c>
      <c r="D14" s="255">
        <v>38370</v>
      </c>
      <c r="E14" s="253" t="s">
        <v>652</v>
      </c>
      <c r="F14" s="253"/>
      <c r="G14" s="256">
        <v>50</v>
      </c>
      <c r="H14" s="257"/>
      <c r="I14" s="258"/>
      <c r="J14" s="259"/>
    </row>
    <row r="15" spans="1:10" x14ac:dyDescent="0.2">
      <c r="A15" s="253">
        <v>5</v>
      </c>
      <c r="B15" s="254" t="s">
        <v>647</v>
      </c>
      <c r="C15" s="146" t="str">
        <f t="shared" si="0"/>
        <v>Ti vi</v>
      </c>
      <c r="D15" s="255">
        <v>38357</v>
      </c>
      <c r="E15" s="253"/>
      <c r="F15" s="253" t="s">
        <v>652</v>
      </c>
      <c r="G15" s="256">
        <v>15</v>
      </c>
      <c r="H15" s="257"/>
      <c r="I15" s="258"/>
      <c r="J15" s="259"/>
    </row>
    <row r="16" spans="1:10" x14ac:dyDescent="0.2">
      <c r="E16" s="360" t="s">
        <v>411</v>
      </c>
      <c r="F16" s="361"/>
      <c r="G16" s="281"/>
      <c r="H16" s="281"/>
      <c r="I16" s="282"/>
      <c r="J16" s="283"/>
    </row>
    <row r="18" spans="1:10" x14ac:dyDescent="0.2">
      <c r="A18" s="362" t="s">
        <v>709</v>
      </c>
      <c r="B18" s="363"/>
      <c r="C18" s="363"/>
      <c r="D18" s="363"/>
      <c r="E18" s="364"/>
    </row>
    <row r="19" spans="1:10" x14ac:dyDescent="0.2">
      <c r="A19" s="357" t="s">
        <v>653</v>
      </c>
      <c r="B19" s="358"/>
      <c r="C19" s="358"/>
      <c r="D19" s="358"/>
      <c r="E19" s="359"/>
      <c r="G19" s="362" t="s">
        <v>710</v>
      </c>
      <c r="H19" s="363"/>
      <c r="I19" s="363"/>
      <c r="J19" s="364"/>
    </row>
    <row r="20" spans="1:10" ht="31.5" x14ac:dyDescent="0.2">
      <c r="A20" s="147" t="s">
        <v>336</v>
      </c>
      <c r="B20" s="357" t="s">
        <v>337</v>
      </c>
      <c r="C20" s="359"/>
      <c r="D20" s="148" t="s">
        <v>365</v>
      </c>
      <c r="E20" s="148" t="s">
        <v>366</v>
      </c>
      <c r="F20" s="149"/>
      <c r="G20" s="147" t="s">
        <v>336</v>
      </c>
      <c r="H20" s="357" t="s">
        <v>658</v>
      </c>
      <c r="I20" s="359"/>
      <c r="J20" s="148" t="s">
        <v>657</v>
      </c>
    </row>
    <row r="21" spans="1:10" x14ac:dyDescent="0.2">
      <c r="A21" s="254" t="s">
        <v>647</v>
      </c>
      <c r="B21" s="355" t="s">
        <v>654</v>
      </c>
      <c r="C21" s="356"/>
      <c r="D21" s="254">
        <v>200</v>
      </c>
      <c r="E21" s="254">
        <v>220</v>
      </c>
      <c r="G21" s="254" t="s">
        <v>647</v>
      </c>
      <c r="H21" s="353"/>
      <c r="I21" s="354"/>
      <c r="J21" s="259"/>
    </row>
    <row r="22" spans="1:10" x14ac:dyDescent="0.2">
      <c r="A22" s="254" t="s">
        <v>649</v>
      </c>
      <c r="B22" s="355" t="s">
        <v>526</v>
      </c>
      <c r="C22" s="356"/>
      <c r="D22" s="254">
        <v>250</v>
      </c>
      <c r="E22" s="254">
        <v>270</v>
      </c>
      <c r="G22" s="254" t="s">
        <v>649</v>
      </c>
      <c r="H22" s="353"/>
      <c r="I22" s="354"/>
      <c r="J22" s="259"/>
    </row>
    <row r="23" spans="1:10" x14ac:dyDescent="0.2">
      <c r="A23" s="254" t="s">
        <v>648</v>
      </c>
      <c r="B23" s="355" t="s">
        <v>655</v>
      </c>
      <c r="C23" s="356"/>
      <c r="D23" s="254">
        <v>450</v>
      </c>
      <c r="E23" s="254">
        <v>480</v>
      </c>
      <c r="G23" s="254" t="s">
        <v>648</v>
      </c>
      <c r="H23" s="353"/>
      <c r="I23" s="354"/>
      <c r="J23" s="259"/>
    </row>
    <row r="24" spans="1:10" x14ac:dyDescent="0.2">
      <c r="A24" s="254" t="s">
        <v>651</v>
      </c>
      <c r="B24" s="355" t="s">
        <v>525</v>
      </c>
      <c r="C24" s="356"/>
      <c r="D24" s="254">
        <v>280</v>
      </c>
      <c r="E24" s="254">
        <v>300</v>
      </c>
      <c r="G24" s="254" t="s">
        <v>651</v>
      </c>
      <c r="H24" s="353"/>
      <c r="I24" s="354"/>
      <c r="J24" s="259"/>
    </row>
    <row r="25" spans="1:10" x14ac:dyDescent="0.2">
      <c r="A25" s="254" t="s">
        <v>650</v>
      </c>
      <c r="B25" s="355" t="s">
        <v>656</v>
      </c>
      <c r="C25" s="356"/>
      <c r="D25" s="254">
        <v>150</v>
      </c>
      <c r="E25" s="254">
        <v>180</v>
      </c>
      <c r="G25" s="254" t="s">
        <v>650</v>
      </c>
      <c r="H25" s="353"/>
      <c r="I25" s="354"/>
      <c r="J25" s="259"/>
    </row>
    <row r="27" spans="1:10" x14ac:dyDescent="0.2">
      <c r="A27" s="260" t="s">
        <v>659</v>
      </c>
      <c r="B27" s="261"/>
      <c r="C27" s="261"/>
      <c r="D27" s="261"/>
      <c r="E27" s="261"/>
      <c r="F27" s="261"/>
      <c r="G27" s="261"/>
      <c r="H27" s="261"/>
      <c r="I27" s="261"/>
      <c r="J27" s="261"/>
    </row>
    <row r="28" spans="1:10" x14ac:dyDescent="0.2">
      <c r="A28" s="262" t="s">
        <v>661</v>
      </c>
      <c r="B28" s="261"/>
      <c r="C28" s="261"/>
      <c r="D28" s="261"/>
      <c r="E28" s="261"/>
      <c r="F28" s="261"/>
      <c r="G28" s="261"/>
      <c r="H28" s="261"/>
      <c r="I28" s="261"/>
      <c r="J28" s="261"/>
    </row>
    <row r="29" spans="1:10" x14ac:dyDescent="0.2">
      <c r="A29" s="260" t="s">
        <v>527</v>
      </c>
      <c r="B29" s="261"/>
      <c r="C29" s="261"/>
      <c r="D29" s="261"/>
      <c r="E29" s="261"/>
      <c r="F29" s="261"/>
      <c r="G29" s="261"/>
      <c r="H29" s="261"/>
      <c r="I29" s="261"/>
      <c r="J29" s="261"/>
    </row>
    <row r="30" spans="1:10" x14ac:dyDescent="0.2">
      <c r="A30" s="261" t="s">
        <v>660</v>
      </c>
      <c r="B30" s="261"/>
      <c r="C30" s="261"/>
      <c r="D30" s="261"/>
      <c r="E30" s="261"/>
      <c r="F30" s="261"/>
      <c r="G30" s="261"/>
      <c r="H30" s="261"/>
      <c r="I30" s="261"/>
      <c r="J30" s="261"/>
    </row>
    <row r="31" spans="1:10" x14ac:dyDescent="0.2">
      <c r="A31" s="261" t="s">
        <v>662</v>
      </c>
      <c r="B31" s="261"/>
      <c r="C31" s="261"/>
      <c r="D31" s="261"/>
      <c r="E31" s="261"/>
      <c r="F31" s="261"/>
      <c r="G31" s="261"/>
      <c r="H31" s="261"/>
      <c r="I31" s="261"/>
      <c r="J31" s="261"/>
    </row>
    <row r="32" spans="1:10" x14ac:dyDescent="0.2">
      <c r="A32" s="261" t="s">
        <v>663</v>
      </c>
      <c r="B32" s="261"/>
      <c r="C32" s="261"/>
      <c r="D32" s="261"/>
      <c r="E32" s="261"/>
      <c r="F32" s="261"/>
      <c r="G32" s="261"/>
      <c r="H32" s="261"/>
      <c r="I32" s="261"/>
      <c r="J32" s="261"/>
    </row>
    <row r="33" spans="1:10" x14ac:dyDescent="0.2">
      <c r="A33" s="261" t="s">
        <v>664</v>
      </c>
      <c r="B33" s="261"/>
      <c r="C33" s="261"/>
      <c r="D33" s="261"/>
      <c r="E33" s="261"/>
      <c r="F33" s="261"/>
      <c r="G33" s="261"/>
      <c r="H33" s="261"/>
      <c r="I33" s="261"/>
      <c r="J33" s="261"/>
    </row>
    <row r="34" spans="1:10" x14ac:dyDescent="0.2">
      <c r="A34" s="261" t="s">
        <v>212</v>
      </c>
      <c r="B34" s="261"/>
      <c r="C34" s="261"/>
      <c r="D34" s="261"/>
      <c r="E34" s="261"/>
      <c r="F34" s="261"/>
      <c r="G34" s="261"/>
      <c r="H34" s="261"/>
      <c r="I34" s="261"/>
      <c r="J34" s="261"/>
    </row>
    <row r="35" spans="1:10" x14ac:dyDescent="0.2">
      <c r="A35" s="261" t="s">
        <v>250</v>
      </c>
      <c r="B35" s="261"/>
      <c r="C35" s="261"/>
      <c r="D35" s="261"/>
      <c r="E35" s="261"/>
      <c r="F35" s="261"/>
      <c r="G35" s="261"/>
      <c r="H35" s="261"/>
      <c r="I35" s="261"/>
      <c r="J35" s="261"/>
    </row>
    <row r="36" spans="1:10" ht="35.25" customHeight="1" x14ac:dyDescent="0.2">
      <c r="A36" s="261" t="s">
        <v>665</v>
      </c>
      <c r="B36" s="261"/>
      <c r="C36" s="261"/>
      <c r="D36" s="261"/>
      <c r="E36" s="261"/>
      <c r="F36" s="261"/>
      <c r="G36" s="261"/>
      <c r="H36" s="261"/>
      <c r="I36" s="261"/>
      <c r="J36" s="261"/>
    </row>
    <row r="37" spans="1:10" x14ac:dyDescent="0.2">
      <c r="A37" s="261" t="s">
        <v>666</v>
      </c>
      <c r="B37" s="261"/>
      <c r="C37" s="261"/>
      <c r="D37" s="261"/>
      <c r="E37" s="261"/>
      <c r="F37" s="261"/>
      <c r="G37" s="261"/>
      <c r="H37" s="261"/>
      <c r="I37" s="261"/>
      <c r="J37" s="261"/>
    </row>
    <row r="38" spans="1:10" x14ac:dyDescent="0.2">
      <c r="A38" s="261" t="s">
        <v>667</v>
      </c>
      <c r="B38" s="261"/>
      <c r="C38" s="261"/>
      <c r="D38" s="261"/>
      <c r="E38" s="261"/>
      <c r="F38" s="261"/>
      <c r="G38" s="261"/>
      <c r="H38" s="261"/>
      <c r="I38" s="261"/>
      <c r="J38" s="261"/>
    </row>
    <row r="39" spans="1:10" x14ac:dyDescent="0.2">
      <c r="A39" s="261" t="s">
        <v>217</v>
      </c>
      <c r="B39" s="261"/>
      <c r="C39" s="261"/>
      <c r="D39" s="261"/>
      <c r="E39" s="261"/>
      <c r="F39" s="261"/>
      <c r="G39" s="261"/>
      <c r="H39" s="261"/>
      <c r="I39" s="261"/>
      <c r="J39" s="261"/>
    </row>
    <row r="40" spans="1:10" x14ac:dyDescent="0.2">
      <c r="A40" s="261" t="s">
        <v>669</v>
      </c>
      <c r="B40" s="261"/>
      <c r="C40" s="261"/>
      <c r="D40" s="261"/>
      <c r="E40" s="261"/>
      <c r="F40" s="261"/>
      <c r="G40" s="261"/>
      <c r="H40" s="261"/>
      <c r="I40" s="261"/>
      <c r="J40" s="261"/>
    </row>
    <row r="41" spans="1:10" x14ac:dyDescent="0.2">
      <c r="A41" s="261" t="s">
        <v>670</v>
      </c>
      <c r="B41" s="261"/>
      <c r="C41" s="261"/>
      <c r="D41" s="261"/>
      <c r="E41" s="261"/>
      <c r="F41" s="261"/>
      <c r="G41" s="261"/>
      <c r="H41" s="261"/>
      <c r="I41" s="261"/>
      <c r="J41" s="261"/>
    </row>
    <row r="42" spans="1:10" x14ac:dyDescent="0.2">
      <c r="A42" s="261" t="s">
        <v>251</v>
      </c>
      <c r="B42" s="261"/>
      <c r="C42" s="261"/>
      <c r="D42" s="261"/>
      <c r="E42" s="261"/>
      <c r="F42" s="261"/>
      <c r="G42" s="261"/>
      <c r="H42" s="261"/>
      <c r="I42" s="261"/>
      <c r="J42" s="261"/>
    </row>
    <row r="43" spans="1:10" ht="31.5" x14ac:dyDescent="0.2">
      <c r="A43" s="47" t="s">
        <v>380</v>
      </c>
      <c r="B43" s="47" t="s">
        <v>641</v>
      </c>
      <c r="C43" s="47" t="s">
        <v>271</v>
      </c>
      <c r="D43" s="47" t="s">
        <v>642</v>
      </c>
      <c r="E43" s="47" t="s">
        <v>643</v>
      </c>
      <c r="F43" s="47" t="s">
        <v>644</v>
      </c>
      <c r="G43" s="47" t="s">
        <v>272</v>
      </c>
      <c r="H43" s="47" t="s">
        <v>645</v>
      </c>
      <c r="I43" s="47" t="s">
        <v>646</v>
      </c>
      <c r="J43" s="47" t="s">
        <v>410</v>
      </c>
    </row>
    <row r="44" spans="1:10" x14ac:dyDescent="0.2">
      <c r="A44" s="253">
        <v>2</v>
      </c>
      <c r="B44" s="254" t="s">
        <v>648</v>
      </c>
      <c r="C44" s="146" t="s">
        <v>655</v>
      </c>
      <c r="D44" s="255">
        <v>38354</v>
      </c>
      <c r="E44" s="253"/>
      <c r="F44" s="253" t="s">
        <v>652</v>
      </c>
      <c r="G44" s="256">
        <v>30</v>
      </c>
      <c r="H44" s="257">
        <v>480</v>
      </c>
      <c r="I44" s="258">
        <v>227520000</v>
      </c>
      <c r="J44" s="259" t="s">
        <v>233</v>
      </c>
    </row>
    <row r="45" spans="1:10" x14ac:dyDescent="0.2">
      <c r="A45" s="253">
        <v>3</v>
      </c>
      <c r="B45" s="254" t="s">
        <v>649</v>
      </c>
      <c r="C45" s="146" t="s">
        <v>526</v>
      </c>
      <c r="D45" s="255">
        <v>38355</v>
      </c>
      <c r="E45" s="253" t="s">
        <v>652</v>
      </c>
      <c r="F45" s="253"/>
      <c r="G45" s="256">
        <v>25</v>
      </c>
      <c r="H45" s="257">
        <v>250</v>
      </c>
      <c r="I45" s="258">
        <v>98750000</v>
      </c>
      <c r="J45" s="259" t="s">
        <v>233</v>
      </c>
    </row>
    <row r="46" spans="1:10" x14ac:dyDescent="0.2">
      <c r="A46" s="253">
        <v>5</v>
      </c>
      <c r="B46" s="254" t="s">
        <v>647</v>
      </c>
      <c r="C46" s="146" t="s">
        <v>654</v>
      </c>
      <c r="D46" s="255">
        <v>38357</v>
      </c>
      <c r="E46" s="253"/>
      <c r="F46" s="253" t="s">
        <v>652</v>
      </c>
      <c r="G46" s="256">
        <v>15</v>
      </c>
      <c r="H46" s="257">
        <v>220</v>
      </c>
      <c r="I46" s="258">
        <v>52140000</v>
      </c>
      <c r="J46" s="259" t="s">
        <v>233</v>
      </c>
    </row>
    <row r="47" spans="1:10" x14ac:dyDescent="0.2">
      <c r="A47" s="253">
        <v>6</v>
      </c>
      <c r="B47" s="254" t="s">
        <v>649</v>
      </c>
      <c r="C47" s="146" t="s">
        <v>526</v>
      </c>
      <c r="D47" s="255">
        <v>38358</v>
      </c>
      <c r="E47" s="253"/>
      <c r="F47" s="253" t="s">
        <v>652</v>
      </c>
      <c r="G47" s="256">
        <v>10</v>
      </c>
      <c r="H47" s="257">
        <v>270</v>
      </c>
      <c r="I47" s="258">
        <v>42660000</v>
      </c>
      <c r="J47" s="259" t="s">
        <v>233</v>
      </c>
    </row>
    <row r="48" spans="1:10" x14ac:dyDescent="0.2">
      <c r="A48" s="253">
        <v>4</v>
      </c>
      <c r="B48" s="254" t="s">
        <v>650</v>
      </c>
      <c r="C48" s="146" t="s">
        <v>656</v>
      </c>
      <c r="D48" s="255">
        <v>38364</v>
      </c>
      <c r="E48" s="253" t="s">
        <v>652</v>
      </c>
      <c r="F48" s="253"/>
      <c r="G48" s="256">
        <v>45</v>
      </c>
      <c r="H48" s="257">
        <v>150</v>
      </c>
      <c r="I48" s="258">
        <v>106650000</v>
      </c>
      <c r="J48" s="259" t="s">
        <v>232</v>
      </c>
    </row>
    <row r="49" spans="2:7" ht="18.75" x14ac:dyDescent="0.3">
      <c r="B49" s="289"/>
      <c r="C49" s="1"/>
      <c r="D49" s="1"/>
      <c r="E49" s="1"/>
      <c r="F49" s="1"/>
      <c r="G49" s="1"/>
    </row>
  </sheetData>
  <mergeCells count="16">
    <mergeCell ref="A19:E19"/>
    <mergeCell ref="E16:F16"/>
    <mergeCell ref="B20:C20"/>
    <mergeCell ref="B21:C21"/>
    <mergeCell ref="H20:I20"/>
    <mergeCell ref="H21:I21"/>
    <mergeCell ref="G19:J19"/>
    <mergeCell ref="A18:E18"/>
    <mergeCell ref="H22:I22"/>
    <mergeCell ref="H23:I23"/>
    <mergeCell ref="H24:I24"/>
    <mergeCell ref="H25:I25"/>
    <mergeCell ref="B22:C22"/>
    <mergeCell ref="B23:C23"/>
    <mergeCell ref="B24:C24"/>
    <mergeCell ref="B25:C25"/>
  </mergeCells>
  <phoneticPr fontId="2" type="noConversion"/>
  <pageMargins left="0.5" right="0.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52"/>
  <sheetViews>
    <sheetView topLeftCell="A16" workbookViewId="0">
      <selection activeCell="O53" sqref="O53"/>
    </sheetView>
  </sheetViews>
  <sheetFormatPr defaultColWidth="9.140625" defaultRowHeight="15.75" x14ac:dyDescent="0.25"/>
  <cols>
    <col min="1" max="1" width="9.140625" style="13"/>
    <col min="2" max="2" width="10.7109375" style="13" customWidth="1"/>
    <col min="3" max="3" width="10.5703125" style="13" customWidth="1"/>
    <col min="4" max="4" width="11" style="13" customWidth="1"/>
    <col min="5" max="5" width="11.7109375" style="13" customWidth="1"/>
    <col min="6" max="6" width="11.28515625" style="13" customWidth="1"/>
    <col min="7" max="7" width="14" style="13" customWidth="1"/>
    <col min="8" max="8" width="9.85546875" style="13" customWidth="1"/>
    <col min="9" max="16384" width="9.140625" style="13"/>
  </cols>
  <sheetData>
    <row r="1" spans="1:9" x14ac:dyDescent="0.25">
      <c r="A1" s="126" t="s">
        <v>671</v>
      </c>
    </row>
    <row r="5" spans="1:9" x14ac:dyDescent="0.25">
      <c r="A5" s="139" t="s">
        <v>672</v>
      </c>
      <c r="B5" s="139" t="s">
        <v>337</v>
      </c>
      <c r="C5" s="139" t="s">
        <v>673</v>
      </c>
      <c r="D5" s="139" t="s">
        <v>674</v>
      </c>
      <c r="E5" s="139" t="s">
        <v>275</v>
      </c>
      <c r="F5" s="139" t="s">
        <v>368</v>
      </c>
      <c r="G5" s="139" t="s">
        <v>675</v>
      </c>
      <c r="H5" s="139" t="s">
        <v>676</v>
      </c>
    </row>
    <row r="6" spans="1:9" x14ac:dyDescent="0.25">
      <c r="A6" s="145" t="s">
        <v>679</v>
      </c>
      <c r="B6" s="144" t="str">
        <f t="shared" ref="B6:B14" si="0">VLOOKUP(LEFT(A6,1),$A$18:$C$22,2,0)</f>
        <v>Gấm T.hải</v>
      </c>
      <c r="C6" s="145">
        <v>250</v>
      </c>
      <c r="D6" s="165"/>
      <c r="E6" s="165"/>
      <c r="F6" s="165"/>
      <c r="G6" s="165"/>
      <c r="H6" s="165"/>
    </row>
    <row r="7" spans="1:9" x14ac:dyDescent="0.25">
      <c r="A7" s="145" t="s">
        <v>224</v>
      </c>
      <c r="B7" s="144" t="str">
        <f t="shared" si="0"/>
        <v>Vải Katê</v>
      </c>
      <c r="C7" s="145">
        <v>120</v>
      </c>
      <c r="D7" s="165"/>
      <c r="E7" s="165"/>
      <c r="F7" s="165"/>
      <c r="G7" s="165"/>
      <c r="H7" s="165"/>
    </row>
    <row r="8" spans="1:9" x14ac:dyDescent="0.25">
      <c r="A8" s="145" t="s">
        <v>678</v>
      </c>
      <c r="B8" s="144" t="str">
        <f t="shared" si="0"/>
        <v>Vải Katê</v>
      </c>
      <c r="C8" s="145">
        <v>180</v>
      </c>
      <c r="D8" s="165"/>
      <c r="E8" s="165"/>
      <c r="F8" s="165"/>
      <c r="G8" s="165"/>
      <c r="H8" s="165"/>
    </row>
    <row r="9" spans="1:9" x14ac:dyDescent="0.25">
      <c r="A9" s="145" t="s">
        <v>682</v>
      </c>
      <c r="B9" s="144" t="str">
        <f t="shared" si="0"/>
        <v>Vải Katê</v>
      </c>
      <c r="C9" s="145">
        <v>220</v>
      </c>
      <c r="D9" s="165"/>
      <c r="E9" s="165"/>
      <c r="F9" s="165"/>
      <c r="G9" s="165"/>
      <c r="H9" s="165"/>
    </row>
    <row r="10" spans="1:9" x14ac:dyDescent="0.25">
      <c r="A10" s="145" t="s">
        <v>681</v>
      </c>
      <c r="B10" s="144" t="str">
        <f t="shared" si="0"/>
        <v>Vải Silk</v>
      </c>
      <c r="C10" s="145">
        <v>180</v>
      </c>
      <c r="D10" s="165"/>
      <c r="E10" s="165"/>
      <c r="F10" s="165"/>
      <c r="G10" s="165"/>
      <c r="H10" s="165"/>
    </row>
    <row r="11" spans="1:9" x14ac:dyDescent="0.25">
      <c r="A11" s="145" t="s">
        <v>677</v>
      </c>
      <c r="B11" s="144" t="str">
        <f t="shared" si="0"/>
        <v>Vải Silk</v>
      </c>
      <c r="C11" s="145">
        <v>200</v>
      </c>
      <c r="D11" s="165"/>
      <c r="E11" s="165"/>
      <c r="F11" s="165"/>
      <c r="G11" s="165"/>
      <c r="H11" s="165"/>
    </row>
    <row r="12" spans="1:9" x14ac:dyDescent="0.25">
      <c r="A12" s="145" t="s">
        <v>223</v>
      </c>
      <c r="B12" s="144" t="str">
        <f t="shared" si="0"/>
        <v>Vải Tole</v>
      </c>
      <c r="C12" s="145">
        <v>150</v>
      </c>
      <c r="D12" s="165"/>
      <c r="E12" s="165"/>
      <c r="F12" s="165"/>
      <c r="G12" s="165"/>
      <c r="H12" s="165"/>
    </row>
    <row r="13" spans="1:9" x14ac:dyDescent="0.25">
      <c r="A13" s="145" t="s">
        <v>680</v>
      </c>
      <c r="B13" s="144" t="str">
        <f t="shared" si="0"/>
        <v>Vải xô</v>
      </c>
      <c r="C13" s="145">
        <v>140</v>
      </c>
      <c r="D13" s="165"/>
      <c r="E13" s="165"/>
      <c r="F13" s="165"/>
      <c r="G13" s="165"/>
      <c r="H13" s="165"/>
    </row>
    <row r="14" spans="1:9" x14ac:dyDescent="0.25">
      <c r="A14" s="145" t="s">
        <v>683</v>
      </c>
      <c r="B14" s="144" t="str">
        <f t="shared" si="0"/>
        <v>Vải xô</v>
      </c>
      <c r="C14" s="145">
        <v>150</v>
      </c>
      <c r="D14" s="165"/>
      <c r="E14" s="165"/>
      <c r="F14" s="165"/>
      <c r="G14" s="165"/>
      <c r="H14" s="165"/>
    </row>
    <row r="15" spans="1:9" ht="18.75" x14ac:dyDescent="0.3">
      <c r="B15" s="14"/>
      <c r="F15" s="289"/>
      <c r="G15" s="1"/>
      <c r="H15" s="1"/>
      <c r="I15" s="1"/>
    </row>
    <row r="16" spans="1:9" x14ac:dyDescent="0.25">
      <c r="A16" s="126" t="s">
        <v>684</v>
      </c>
      <c r="E16" s="126" t="s">
        <v>699</v>
      </c>
    </row>
    <row r="17" spans="1:9" x14ac:dyDescent="0.25">
      <c r="A17" s="166" t="s">
        <v>685</v>
      </c>
      <c r="B17" s="166" t="s">
        <v>337</v>
      </c>
      <c r="C17" s="166" t="s">
        <v>696</v>
      </c>
      <c r="D17" s="127"/>
      <c r="E17" s="166" t="s">
        <v>697</v>
      </c>
      <c r="F17" s="167">
        <v>1</v>
      </c>
      <c r="G17" s="167">
        <v>4</v>
      </c>
      <c r="H17" s="167">
        <v>9</v>
      </c>
    </row>
    <row r="18" spans="1:9" x14ac:dyDescent="0.25">
      <c r="A18" s="145" t="s">
        <v>686</v>
      </c>
      <c r="B18" s="145" t="s">
        <v>691</v>
      </c>
      <c r="C18" s="145">
        <v>7000</v>
      </c>
      <c r="E18" s="166" t="s">
        <v>698</v>
      </c>
      <c r="F18" s="168">
        <v>1.2E-2</v>
      </c>
      <c r="G18" s="168">
        <v>1.4999999999999999E-2</v>
      </c>
      <c r="H18" s="168">
        <v>1.7500000000000002E-2</v>
      </c>
    </row>
    <row r="19" spans="1:9" x14ac:dyDescent="0.25">
      <c r="A19" s="145" t="s">
        <v>687</v>
      </c>
      <c r="B19" s="145" t="s">
        <v>692</v>
      </c>
      <c r="C19" s="145">
        <v>75000</v>
      </c>
    </row>
    <row r="20" spans="1:9" x14ac:dyDescent="0.25">
      <c r="A20" s="145" t="s">
        <v>688</v>
      </c>
      <c r="B20" s="145" t="s">
        <v>693</v>
      </c>
      <c r="C20" s="145">
        <v>12000</v>
      </c>
    </row>
    <row r="21" spans="1:9" x14ac:dyDescent="0.25">
      <c r="A21" s="145" t="s">
        <v>689</v>
      </c>
      <c r="B21" s="145" t="s">
        <v>694</v>
      </c>
      <c r="C21" s="145">
        <v>30000</v>
      </c>
    </row>
    <row r="22" spans="1:9" x14ac:dyDescent="0.25">
      <c r="A22" s="145" t="s">
        <v>690</v>
      </c>
      <c r="B22" s="145" t="s">
        <v>695</v>
      </c>
      <c r="C22" s="145">
        <v>35000</v>
      </c>
    </row>
    <row r="24" spans="1:9" x14ac:dyDescent="0.25">
      <c r="B24" s="126" t="s">
        <v>491</v>
      </c>
    </row>
    <row r="25" spans="1:9" x14ac:dyDescent="0.25">
      <c r="B25" s="365" t="s">
        <v>465</v>
      </c>
      <c r="C25" s="366"/>
      <c r="D25" s="367"/>
    </row>
    <row r="26" spans="1:9" x14ac:dyDescent="0.25">
      <c r="B26" s="169" t="s">
        <v>700</v>
      </c>
      <c r="C26" s="144" t="s">
        <v>701</v>
      </c>
      <c r="D26" s="144" t="s">
        <v>702</v>
      </c>
    </row>
    <row r="27" spans="1:9" x14ac:dyDescent="0.25">
      <c r="B27" s="169" t="s">
        <v>691</v>
      </c>
      <c r="C27" s="170"/>
      <c r="D27" s="170"/>
    </row>
    <row r="28" spans="1:9" x14ac:dyDescent="0.25">
      <c r="B28" s="169" t="s">
        <v>693</v>
      </c>
      <c r="C28" s="170"/>
      <c r="D28" s="170"/>
    </row>
    <row r="29" spans="1:9" x14ac:dyDescent="0.25">
      <c r="A29" s="107" t="s">
        <v>703</v>
      </c>
      <c r="B29" s="108"/>
      <c r="C29" s="108"/>
      <c r="D29" s="108"/>
      <c r="E29" s="108"/>
      <c r="F29" s="108"/>
      <c r="G29" s="108"/>
      <c r="H29" s="108"/>
      <c r="I29" s="108"/>
    </row>
    <row r="30" spans="1:9" x14ac:dyDescent="0.25">
      <c r="A30" s="140" t="s">
        <v>780</v>
      </c>
      <c r="B30" s="108"/>
      <c r="C30" s="108"/>
      <c r="D30" s="108"/>
      <c r="E30" s="108"/>
      <c r="F30" s="108"/>
      <c r="G30" s="108"/>
      <c r="H30" s="108"/>
      <c r="I30" s="108"/>
    </row>
    <row r="31" spans="1:9" x14ac:dyDescent="0.25">
      <c r="A31" s="108" t="s">
        <v>781</v>
      </c>
      <c r="B31" s="108"/>
      <c r="C31" s="108"/>
      <c r="D31" s="108"/>
      <c r="E31" s="108"/>
      <c r="F31" s="108"/>
      <c r="G31" s="108"/>
      <c r="H31" s="108"/>
      <c r="I31" s="108"/>
    </row>
    <row r="32" spans="1:9" x14ac:dyDescent="0.25">
      <c r="A32" s="140" t="s">
        <v>704</v>
      </c>
      <c r="B32" s="108"/>
      <c r="C32" s="108"/>
      <c r="D32" s="108"/>
      <c r="E32" s="108"/>
      <c r="F32" s="108"/>
      <c r="G32" s="108"/>
      <c r="H32" s="108"/>
      <c r="I32" s="108"/>
    </row>
    <row r="33" spans="1:9" x14ac:dyDescent="0.25">
      <c r="A33" s="108" t="s">
        <v>705</v>
      </c>
      <c r="B33" s="108"/>
      <c r="C33" s="108"/>
      <c r="D33" s="108"/>
      <c r="E33" s="108"/>
      <c r="F33" s="108"/>
      <c r="G33" s="108"/>
      <c r="H33" s="108"/>
      <c r="I33" s="108"/>
    </row>
    <row r="34" spans="1:9" x14ac:dyDescent="0.25">
      <c r="A34" s="107" t="s">
        <v>659</v>
      </c>
      <c r="B34" s="108"/>
      <c r="C34" s="108"/>
      <c r="D34" s="108"/>
      <c r="E34" s="108"/>
      <c r="F34" s="108"/>
      <c r="G34" s="108"/>
      <c r="H34" s="108"/>
      <c r="I34" s="108"/>
    </row>
    <row r="35" spans="1:9" x14ac:dyDescent="0.25">
      <c r="A35" s="171" t="s">
        <v>706</v>
      </c>
      <c r="B35" s="108"/>
      <c r="C35" s="108"/>
      <c r="D35" s="108"/>
      <c r="E35" s="108"/>
      <c r="F35" s="108"/>
      <c r="G35" s="108"/>
      <c r="H35" s="108"/>
      <c r="I35" s="108"/>
    </row>
    <row r="36" spans="1:9" x14ac:dyDescent="0.25">
      <c r="A36" s="171" t="s">
        <v>707</v>
      </c>
      <c r="B36" s="108"/>
      <c r="C36" s="108"/>
      <c r="D36" s="108"/>
      <c r="E36" s="108"/>
      <c r="F36" s="108"/>
      <c r="G36" s="108"/>
      <c r="H36" s="108"/>
      <c r="I36" s="108"/>
    </row>
    <row r="37" spans="1:9" x14ac:dyDescent="0.25">
      <c r="A37" s="171" t="s">
        <v>708</v>
      </c>
      <c r="B37" s="108"/>
      <c r="C37" s="108"/>
      <c r="D37" s="108"/>
      <c r="E37" s="108"/>
      <c r="F37" s="108"/>
      <c r="G37" s="108"/>
      <c r="H37" s="108"/>
      <c r="I37" s="108"/>
    </row>
    <row r="38" spans="1:9" x14ac:dyDescent="0.25">
      <c r="A38" s="172" t="s">
        <v>527</v>
      </c>
      <c r="B38" s="108"/>
      <c r="C38" s="108"/>
      <c r="D38" s="108"/>
      <c r="E38" s="108"/>
      <c r="F38" s="108"/>
      <c r="G38" s="108"/>
      <c r="H38" s="108"/>
      <c r="I38" s="108"/>
    </row>
    <row r="39" spans="1:9" ht="14.25" customHeight="1" x14ac:dyDescent="0.25">
      <c r="A39" s="108" t="s">
        <v>711</v>
      </c>
      <c r="B39" s="108"/>
      <c r="C39" s="108"/>
      <c r="D39" s="108"/>
      <c r="E39" s="108"/>
      <c r="F39" s="108"/>
      <c r="G39" s="108"/>
      <c r="H39" s="108"/>
      <c r="I39" s="108"/>
    </row>
    <row r="40" spans="1:9" ht="14.25" customHeight="1" x14ac:dyDescent="0.25">
      <c r="A40" s="108" t="s">
        <v>712</v>
      </c>
      <c r="B40" s="108"/>
      <c r="C40" s="108"/>
      <c r="D40" s="108"/>
      <c r="E40" s="108"/>
      <c r="F40" s="108"/>
      <c r="G40" s="108"/>
      <c r="H40" s="108"/>
      <c r="I40" s="108"/>
    </row>
    <row r="41" spans="1:9" ht="14.25" customHeight="1" x14ac:dyDescent="0.25">
      <c r="A41" s="108"/>
      <c r="B41" s="140" t="s">
        <v>713</v>
      </c>
      <c r="C41" s="108"/>
      <c r="D41" s="108"/>
      <c r="E41" s="108"/>
      <c r="F41" s="108"/>
      <c r="G41" s="108"/>
      <c r="H41" s="108"/>
      <c r="I41" s="108"/>
    </row>
    <row r="42" spans="1:9" ht="14.25" customHeight="1" x14ac:dyDescent="0.25">
      <c r="A42" s="108" t="s">
        <v>714</v>
      </c>
      <c r="B42" s="108"/>
      <c r="C42" s="108"/>
      <c r="D42" s="108"/>
      <c r="E42" s="108"/>
      <c r="F42" s="108"/>
      <c r="G42" s="108"/>
      <c r="H42" s="108"/>
      <c r="I42" s="108"/>
    </row>
    <row r="43" spans="1:9" ht="14.25" customHeight="1" x14ac:dyDescent="0.25">
      <c r="A43" s="108"/>
      <c r="B43" s="140" t="s">
        <v>715</v>
      </c>
      <c r="C43" s="108"/>
      <c r="D43" s="108"/>
      <c r="E43" s="108"/>
      <c r="F43" s="108"/>
      <c r="G43" s="108"/>
      <c r="H43" s="108"/>
      <c r="I43" s="108"/>
    </row>
    <row r="44" spans="1:9" ht="14.25" customHeight="1" x14ac:dyDescent="0.25">
      <c r="A44" s="108" t="s">
        <v>716</v>
      </c>
      <c r="B44" s="108"/>
      <c r="C44" s="108"/>
      <c r="D44" s="108"/>
      <c r="E44" s="108"/>
      <c r="F44" s="108"/>
      <c r="G44" s="108"/>
      <c r="H44" s="108"/>
      <c r="I44" s="108"/>
    </row>
    <row r="45" spans="1:9" ht="14.25" customHeight="1" x14ac:dyDescent="0.25">
      <c r="A45" s="108"/>
      <c r="B45" s="140" t="s">
        <v>717</v>
      </c>
      <c r="C45" s="108"/>
      <c r="D45" s="108"/>
      <c r="E45" s="108"/>
      <c r="F45" s="108"/>
      <c r="G45" s="108"/>
      <c r="H45" s="108"/>
      <c r="I45" s="108"/>
    </row>
    <row r="46" spans="1:9" ht="14.25" customHeight="1" x14ac:dyDescent="0.25">
      <c r="A46" s="108"/>
      <c r="B46" s="108" t="s">
        <v>234</v>
      </c>
      <c r="C46" s="108"/>
      <c r="D46" s="108"/>
      <c r="E46" s="108"/>
      <c r="F46" s="108"/>
      <c r="G46" s="108"/>
      <c r="H46" s="108"/>
      <c r="I46" s="108"/>
    </row>
    <row r="47" spans="1:9" ht="14.25" customHeight="1" x14ac:dyDescent="0.25">
      <c r="A47" s="108" t="s">
        <v>718</v>
      </c>
      <c r="B47" s="108"/>
      <c r="C47" s="108"/>
      <c r="D47" s="108"/>
      <c r="E47" s="108"/>
      <c r="F47" s="108"/>
      <c r="G47" s="108"/>
      <c r="H47" s="108"/>
      <c r="I47" s="108"/>
    </row>
    <row r="48" spans="1:9" ht="16.5" customHeight="1" x14ac:dyDescent="0.25">
      <c r="A48" s="108" t="s">
        <v>782</v>
      </c>
      <c r="B48" s="108"/>
      <c r="C48" s="108"/>
      <c r="D48" s="108"/>
      <c r="E48" s="108"/>
      <c r="F48" s="108"/>
      <c r="G48" s="108"/>
      <c r="H48" s="108"/>
      <c r="I48" s="108"/>
    </row>
    <row r="49" spans="1:9" ht="16.5" customHeight="1" x14ac:dyDescent="0.25">
      <c r="A49" s="108" t="s">
        <v>783</v>
      </c>
      <c r="B49" s="108"/>
      <c r="C49" s="108"/>
      <c r="D49" s="108"/>
      <c r="E49" s="108"/>
      <c r="F49" s="108"/>
      <c r="G49" s="108"/>
      <c r="H49" s="108"/>
      <c r="I49" s="108"/>
    </row>
    <row r="50" spans="1:9" ht="15.75" customHeight="1" x14ac:dyDescent="0.25">
      <c r="A50" s="108" t="s">
        <v>719</v>
      </c>
      <c r="B50" s="108"/>
      <c r="C50" s="108"/>
      <c r="D50" s="108"/>
      <c r="E50" s="108"/>
      <c r="F50" s="108"/>
      <c r="G50" s="108"/>
      <c r="H50" s="108"/>
      <c r="I50" s="108"/>
    </row>
    <row r="51" spans="1:9" ht="17.25" customHeight="1" x14ac:dyDescent="0.25">
      <c r="A51" s="108" t="s">
        <v>218</v>
      </c>
      <c r="B51" s="108"/>
      <c r="C51" s="108"/>
      <c r="D51" s="108"/>
      <c r="E51" s="108"/>
      <c r="F51" s="108"/>
      <c r="G51" s="108"/>
      <c r="H51" s="108"/>
      <c r="I51" s="108"/>
    </row>
    <row r="52" spans="1:9" ht="16.5" customHeight="1" x14ac:dyDescent="0.25">
      <c r="A52" s="108" t="s">
        <v>253</v>
      </c>
      <c r="B52" s="108"/>
      <c r="C52" s="108"/>
      <c r="D52" s="108"/>
      <c r="E52" s="108"/>
      <c r="F52" s="108"/>
      <c r="G52" s="108"/>
      <c r="H52" s="108"/>
      <c r="I52" s="108"/>
    </row>
  </sheetData>
  <mergeCells count="1">
    <mergeCell ref="B25:D25"/>
  </mergeCells>
  <phoneticPr fontId="2" type="noConversion"/>
  <pageMargins left="0.5" right="0.5" top="0.25" bottom="0.25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47"/>
  <sheetViews>
    <sheetView workbookViewId="0">
      <selection activeCell="F4" sqref="F4"/>
    </sheetView>
  </sheetViews>
  <sheetFormatPr defaultColWidth="9.140625" defaultRowHeight="15.75" x14ac:dyDescent="0.25"/>
  <cols>
    <col min="1" max="1" width="12.28515625" style="13" customWidth="1"/>
    <col min="2" max="2" width="9.7109375" style="13" customWidth="1"/>
    <col min="3" max="3" width="9.140625" style="13"/>
    <col min="4" max="4" width="9.5703125" style="13" customWidth="1"/>
    <col min="5" max="5" width="11.28515625" style="13" bestFit="1" customWidth="1"/>
    <col min="6" max="6" width="9.140625" style="13"/>
    <col min="7" max="7" width="7.7109375" style="13" customWidth="1"/>
    <col min="8" max="8" width="9.140625" style="13"/>
    <col min="9" max="9" width="15" style="13" customWidth="1"/>
    <col min="10" max="10" width="7.28515625" style="13" customWidth="1"/>
    <col min="11" max="11" width="7" style="13" customWidth="1"/>
    <col min="12" max="12" width="11" style="13" customWidth="1"/>
    <col min="13" max="13" width="7" style="13" customWidth="1"/>
    <col min="14" max="15" width="6.85546875" style="13" customWidth="1"/>
    <col min="16" max="16384" width="9.140625" style="13"/>
  </cols>
  <sheetData>
    <row r="1" spans="1:16" ht="18.75" x14ac:dyDescent="0.3">
      <c r="A1" s="126" t="s">
        <v>723</v>
      </c>
      <c r="K1" s="289"/>
      <c r="L1" s="1"/>
      <c r="M1" s="1"/>
      <c r="N1" s="1"/>
      <c r="O1" s="1"/>
      <c r="P1" s="1"/>
    </row>
    <row r="2" spans="1:16" x14ac:dyDescent="0.25">
      <c r="D2" s="98" t="s">
        <v>269</v>
      </c>
      <c r="E2" s="203"/>
      <c r="F2" s="14"/>
      <c r="G2" s="14"/>
      <c r="H2" s="14"/>
      <c r="I2" s="14"/>
    </row>
    <row r="3" spans="1:16" ht="47.25" customHeight="1" x14ac:dyDescent="0.25">
      <c r="A3" s="47" t="s">
        <v>380</v>
      </c>
      <c r="B3" s="47" t="s">
        <v>727</v>
      </c>
      <c r="C3" s="47" t="s">
        <v>728</v>
      </c>
      <c r="D3" s="47" t="s">
        <v>729</v>
      </c>
      <c r="E3" s="47" t="s">
        <v>730</v>
      </c>
      <c r="F3" s="47" t="s">
        <v>225</v>
      </c>
      <c r="G3" s="47" t="s">
        <v>226</v>
      </c>
      <c r="H3" s="47" t="s">
        <v>544</v>
      </c>
      <c r="I3" s="47" t="s">
        <v>227</v>
      </c>
      <c r="J3" s="47" t="s">
        <v>326</v>
      </c>
      <c r="K3" s="47" t="s">
        <v>275</v>
      </c>
      <c r="L3" s="47" t="s">
        <v>731</v>
      </c>
    </row>
    <row r="4" spans="1:16" x14ac:dyDescent="0.25">
      <c r="A4" s="48">
        <v>1</v>
      </c>
      <c r="B4" s="49" t="s">
        <v>308</v>
      </c>
      <c r="C4" s="48" t="s">
        <v>740</v>
      </c>
      <c r="D4" s="204" t="s">
        <v>750</v>
      </c>
      <c r="E4" s="48">
        <v>300</v>
      </c>
      <c r="F4" s="205"/>
      <c r="G4" s="206"/>
      <c r="H4" s="205"/>
      <c r="I4" s="206"/>
      <c r="J4" s="205"/>
      <c r="K4" s="205"/>
      <c r="L4" s="206"/>
    </row>
    <row r="5" spans="1:16" x14ac:dyDescent="0.25">
      <c r="A5" s="48">
        <v>2</v>
      </c>
      <c r="B5" s="49" t="s">
        <v>732</v>
      </c>
      <c r="C5" s="48" t="s">
        <v>741</v>
      </c>
      <c r="D5" s="204" t="s">
        <v>751</v>
      </c>
      <c r="E5" s="48">
        <v>150</v>
      </c>
      <c r="F5" s="205"/>
      <c r="G5" s="206"/>
      <c r="H5" s="205"/>
      <c r="I5" s="206"/>
      <c r="J5" s="205"/>
      <c r="K5" s="205"/>
      <c r="L5" s="206"/>
    </row>
    <row r="6" spans="1:16" x14ac:dyDescent="0.25">
      <c r="A6" s="48">
        <v>3</v>
      </c>
      <c r="B6" s="49" t="s">
        <v>733</v>
      </c>
      <c r="C6" s="48" t="s">
        <v>742</v>
      </c>
      <c r="D6" s="204" t="s">
        <v>752</v>
      </c>
      <c r="E6" s="48">
        <v>100</v>
      </c>
      <c r="F6" s="205"/>
      <c r="G6" s="206"/>
      <c r="H6" s="205"/>
      <c r="I6" s="206"/>
      <c r="J6" s="205"/>
      <c r="K6" s="205"/>
      <c r="L6" s="206"/>
    </row>
    <row r="7" spans="1:16" x14ac:dyDescent="0.25">
      <c r="A7" s="48">
        <v>4</v>
      </c>
      <c r="B7" s="49" t="s">
        <v>734</v>
      </c>
      <c r="C7" s="48" t="s">
        <v>743</v>
      </c>
      <c r="D7" s="204" t="s">
        <v>753</v>
      </c>
      <c r="E7" s="48">
        <v>100</v>
      </c>
      <c r="F7" s="205"/>
      <c r="G7" s="206"/>
      <c r="H7" s="205"/>
      <c r="I7" s="206"/>
      <c r="J7" s="205"/>
      <c r="K7" s="205"/>
      <c r="L7" s="206"/>
    </row>
    <row r="8" spans="1:16" x14ac:dyDescent="0.25">
      <c r="A8" s="48">
        <v>5</v>
      </c>
      <c r="B8" s="49" t="s">
        <v>735</v>
      </c>
      <c r="C8" s="48" t="s">
        <v>744</v>
      </c>
      <c r="D8" s="204" t="s">
        <v>754</v>
      </c>
      <c r="E8" s="48">
        <v>180</v>
      </c>
      <c r="F8" s="205"/>
      <c r="G8" s="206"/>
      <c r="H8" s="205"/>
      <c r="I8" s="206"/>
      <c r="J8" s="205"/>
      <c r="K8" s="205"/>
      <c r="L8" s="206"/>
    </row>
    <row r="9" spans="1:16" x14ac:dyDescent="0.25">
      <c r="A9" s="48">
        <v>6</v>
      </c>
      <c r="B9" s="49" t="s">
        <v>736</v>
      </c>
      <c r="C9" s="48" t="s">
        <v>745</v>
      </c>
      <c r="D9" s="204" t="s">
        <v>754</v>
      </c>
      <c r="E9" s="48">
        <v>390</v>
      </c>
      <c r="F9" s="205"/>
      <c r="G9" s="206"/>
      <c r="H9" s="205"/>
      <c r="I9" s="206"/>
      <c r="J9" s="205"/>
      <c r="K9" s="205"/>
      <c r="L9" s="206"/>
    </row>
    <row r="10" spans="1:16" x14ac:dyDescent="0.25">
      <c r="A10" s="48">
        <v>7</v>
      </c>
      <c r="B10" s="49" t="s">
        <v>612</v>
      </c>
      <c r="C10" s="48" t="s">
        <v>746</v>
      </c>
      <c r="D10" s="204" t="s">
        <v>750</v>
      </c>
      <c r="E10" s="48">
        <v>300</v>
      </c>
      <c r="F10" s="205"/>
      <c r="G10" s="206"/>
      <c r="H10" s="205"/>
      <c r="I10" s="206"/>
      <c r="J10" s="205"/>
      <c r="K10" s="205"/>
      <c r="L10" s="206"/>
    </row>
    <row r="11" spans="1:16" x14ac:dyDescent="0.25">
      <c r="A11" s="48">
        <v>8</v>
      </c>
      <c r="B11" s="49" t="s">
        <v>737</v>
      </c>
      <c r="C11" s="48" t="s">
        <v>747</v>
      </c>
      <c r="D11" s="204" t="s">
        <v>756</v>
      </c>
      <c r="E11" s="48">
        <v>120</v>
      </c>
      <c r="F11" s="205"/>
      <c r="G11" s="206"/>
      <c r="H11" s="205"/>
      <c r="I11" s="206"/>
      <c r="J11" s="205"/>
      <c r="K11" s="205"/>
      <c r="L11" s="206"/>
    </row>
    <row r="12" spans="1:16" x14ac:dyDescent="0.25">
      <c r="A12" s="48">
        <v>9</v>
      </c>
      <c r="B12" s="49" t="s">
        <v>738</v>
      </c>
      <c r="C12" s="48" t="s">
        <v>748</v>
      </c>
      <c r="D12" s="204" t="s">
        <v>757</v>
      </c>
      <c r="E12" s="48">
        <v>100</v>
      </c>
      <c r="F12" s="205"/>
      <c r="G12" s="206"/>
      <c r="H12" s="205"/>
      <c r="I12" s="206"/>
      <c r="J12" s="205"/>
      <c r="K12" s="205"/>
      <c r="L12" s="206"/>
    </row>
    <row r="13" spans="1:16" x14ac:dyDescent="0.25">
      <c r="A13" s="48">
        <v>10</v>
      </c>
      <c r="B13" s="49" t="s">
        <v>739</v>
      </c>
      <c r="C13" s="48" t="s">
        <v>749</v>
      </c>
      <c r="D13" s="204" t="s">
        <v>755</v>
      </c>
      <c r="E13" s="48">
        <v>290</v>
      </c>
      <c r="F13" s="205"/>
      <c r="G13" s="206"/>
      <c r="H13" s="205"/>
      <c r="I13" s="206"/>
      <c r="J13" s="205"/>
      <c r="K13" s="205"/>
      <c r="L13" s="206"/>
    </row>
    <row r="14" spans="1:16" x14ac:dyDescent="0.25">
      <c r="A14" s="368" t="s">
        <v>760</v>
      </c>
      <c r="B14" s="368"/>
      <c r="C14" s="368"/>
      <c r="D14" s="236"/>
      <c r="E14" s="369" t="s">
        <v>767</v>
      </c>
      <c r="F14" s="369"/>
      <c r="G14" s="369"/>
      <c r="H14" s="369"/>
      <c r="I14" s="369"/>
      <c r="J14" s="369"/>
      <c r="K14" s="369"/>
      <c r="L14" s="369"/>
    </row>
    <row r="15" spans="1:16" x14ac:dyDescent="0.25">
      <c r="A15" s="233"/>
      <c r="B15" s="233" t="s">
        <v>761</v>
      </c>
      <c r="C15" s="233" t="s">
        <v>762</v>
      </c>
      <c r="E15" s="234" t="s">
        <v>768</v>
      </c>
      <c r="F15" s="235">
        <v>1</v>
      </c>
      <c r="G15" s="235">
        <v>2</v>
      </c>
      <c r="H15" s="235">
        <v>3</v>
      </c>
      <c r="I15" s="235">
        <v>4</v>
      </c>
      <c r="J15" s="235">
        <v>5</v>
      </c>
      <c r="K15" s="235">
        <v>6</v>
      </c>
      <c r="L15" s="235">
        <v>7</v>
      </c>
    </row>
    <row r="16" spans="1:16" x14ac:dyDescent="0.25">
      <c r="A16" s="48" t="s">
        <v>763</v>
      </c>
      <c r="B16" s="49">
        <v>180</v>
      </c>
      <c r="C16" s="48">
        <v>185</v>
      </c>
      <c r="E16" s="204" t="s">
        <v>769</v>
      </c>
      <c r="F16" s="50">
        <v>1.02</v>
      </c>
      <c r="G16" s="50">
        <v>1.06</v>
      </c>
      <c r="H16" s="50">
        <v>1.1299999999999999</v>
      </c>
      <c r="I16" s="50">
        <v>1.2</v>
      </c>
      <c r="J16" s="50">
        <v>1.28</v>
      </c>
      <c r="K16" s="50">
        <v>1.36</v>
      </c>
      <c r="L16" s="50">
        <v>1.45</v>
      </c>
    </row>
    <row r="17" spans="1:10" x14ac:dyDescent="0.25">
      <c r="A17" s="48" t="s">
        <v>764</v>
      </c>
      <c r="B17" s="49">
        <v>110</v>
      </c>
      <c r="C17" s="48">
        <v>120</v>
      </c>
    </row>
    <row r="18" spans="1:10" x14ac:dyDescent="0.25">
      <c r="A18" s="48" t="s">
        <v>765</v>
      </c>
      <c r="B18" s="49">
        <v>150</v>
      </c>
      <c r="C18" s="48">
        <v>150</v>
      </c>
      <c r="D18" s="207"/>
      <c r="E18" s="14"/>
      <c r="F18" s="14"/>
      <c r="G18" s="14"/>
      <c r="H18" s="14"/>
      <c r="I18" s="14"/>
      <c r="J18" s="14"/>
    </row>
    <row r="19" spans="1:10" x14ac:dyDescent="0.25">
      <c r="A19" s="48" t="s">
        <v>766</v>
      </c>
      <c r="B19" s="49">
        <v>200</v>
      </c>
      <c r="C19" s="48">
        <v>215</v>
      </c>
      <c r="D19" s="207"/>
    </row>
    <row r="20" spans="1:10" ht="16.5" customHeight="1" x14ac:dyDescent="0.25">
      <c r="A20" s="208" t="s">
        <v>255</v>
      </c>
      <c r="B20" s="108"/>
      <c r="C20" s="108"/>
      <c r="D20" s="108"/>
      <c r="E20" s="108"/>
      <c r="F20" s="108"/>
      <c r="G20" s="108"/>
      <c r="H20" s="108"/>
      <c r="I20" s="108"/>
    </row>
    <row r="21" spans="1:10" x14ac:dyDescent="0.25">
      <c r="A21" s="108" t="s">
        <v>758</v>
      </c>
      <c r="B21" s="108"/>
      <c r="C21" s="108"/>
      <c r="D21" s="108"/>
      <c r="E21" s="108"/>
      <c r="F21" s="108"/>
      <c r="G21" s="108"/>
      <c r="H21" s="108"/>
      <c r="I21" s="108"/>
    </row>
    <row r="22" spans="1:10" x14ac:dyDescent="0.25">
      <c r="A22" s="108" t="s">
        <v>227</v>
      </c>
      <c r="B22" s="108"/>
      <c r="C22" s="108"/>
      <c r="D22" s="108"/>
      <c r="E22" s="108"/>
      <c r="F22" s="108"/>
      <c r="G22" s="108"/>
      <c r="H22" s="108"/>
      <c r="I22" s="108"/>
    </row>
    <row r="23" spans="1:10" ht="17.25" customHeight="1" x14ac:dyDescent="0.25">
      <c r="A23" s="108" t="s">
        <v>759</v>
      </c>
      <c r="B23" s="108"/>
      <c r="C23" s="108"/>
      <c r="D23" s="108"/>
      <c r="E23" s="108"/>
      <c r="F23" s="108"/>
      <c r="G23" s="108"/>
      <c r="H23" s="108"/>
      <c r="I23" s="108"/>
    </row>
    <row r="24" spans="1:10" x14ac:dyDescent="0.25">
      <c r="A24" s="108" t="s">
        <v>228</v>
      </c>
      <c r="B24" s="108"/>
      <c r="C24" s="108"/>
      <c r="D24" s="108"/>
      <c r="E24" s="108"/>
      <c r="F24" s="108"/>
      <c r="G24" s="108"/>
      <c r="H24" s="108"/>
      <c r="I24" s="108"/>
    </row>
    <row r="25" spans="1:10" ht="18" customHeight="1" x14ac:dyDescent="0.25">
      <c r="A25" s="108" t="s">
        <v>770</v>
      </c>
      <c r="B25" s="108"/>
      <c r="C25" s="108"/>
      <c r="D25" s="108"/>
      <c r="E25" s="108"/>
      <c r="F25" s="108"/>
      <c r="G25" s="108"/>
      <c r="H25" s="108"/>
      <c r="I25" s="108"/>
    </row>
    <row r="26" spans="1:10" x14ac:dyDescent="0.25">
      <c r="A26" s="108" t="s">
        <v>771</v>
      </c>
      <c r="B26" s="108"/>
      <c r="C26" s="108"/>
      <c r="D26" s="108"/>
      <c r="E26" s="108"/>
      <c r="F26" s="108"/>
      <c r="G26" s="108"/>
      <c r="H26" s="108"/>
      <c r="I26" s="108"/>
    </row>
    <row r="27" spans="1:10" x14ac:dyDescent="0.25">
      <c r="A27" s="108" t="s">
        <v>772</v>
      </c>
      <c r="B27" s="108"/>
      <c r="C27" s="108"/>
      <c r="D27" s="108"/>
      <c r="E27" s="108"/>
      <c r="F27" s="108"/>
      <c r="G27" s="108"/>
      <c r="H27" s="108"/>
      <c r="I27" s="108"/>
    </row>
    <row r="28" spans="1:10" ht="18" customHeight="1" x14ac:dyDescent="0.25">
      <c r="A28" s="108" t="s">
        <v>779</v>
      </c>
      <c r="B28" s="108"/>
      <c r="C28" s="108"/>
      <c r="D28" s="108"/>
      <c r="E28" s="108"/>
      <c r="F28" s="108"/>
      <c r="G28" s="108"/>
      <c r="H28" s="108"/>
      <c r="I28" s="108"/>
    </row>
    <row r="29" spans="1:10" ht="18" customHeight="1" x14ac:dyDescent="0.25">
      <c r="A29" s="108" t="s">
        <v>773</v>
      </c>
      <c r="B29" s="108"/>
      <c r="C29" s="108"/>
      <c r="D29" s="108"/>
      <c r="E29" s="108"/>
      <c r="F29" s="108"/>
      <c r="G29" s="108"/>
      <c r="H29" s="108"/>
      <c r="I29" s="108"/>
    </row>
    <row r="30" spans="1:10" x14ac:dyDescent="0.25">
      <c r="A30" s="108" t="s">
        <v>774</v>
      </c>
      <c r="B30" s="108"/>
      <c r="C30" s="108"/>
      <c r="D30" s="108"/>
      <c r="E30" s="108"/>
      <c r="F30" s="108"/>
      <c r="G30" s="108"/>
      <c r="H30" s="108"/>
      <c r="I30" s="108"/>
    </row>
    <row r="31" spans="1:10" ht="17.25" customHeight="1" x14ac:dyDescent="0.25">
      <c r="A31" s="108" t="s">
        <v>775</v>
      </c>
      <c r="B31" s="108"/>
      <c r="C31" s="108"/>
      <c r="D31" s="108"/>
      <c r="E31" s="108"/>
      <c r="F31" s="108"/>
      <c r="G31" s="108"/>
      <c r="H31" s="108"/>
      <c r="I31" s="108"/>
    </row>
    <row r="32" spans="1:10" x14ac:dyDescent="0.25">
      <c r="A32" s="108" t="s">
        <v>776</v>
      </c>
      <c r="B32" s="108"/>
      <c r="C32" s="108"/>
      <c r="D32" s="108"/>
      <c r="E32" s="108"/>
      <c r="F32" s="108"/>
      <c r="G32" s="108"/>
      <c r="H32" s="108"/>
      <c r="I32" s="108"/>
    </row>
    <row r="33" spans="1:12" ht="15.75" customHeight="1" x14ac:dyDescent="0.25">
      <c r="A33" s="108" t="s">
        <v>262</v>
      </c>
      <c r="B33" s="108"/>
      <c r="C33" s="108"/>
      <c r="D33" s="108"/>
      <c r="E33" s="108"/>
      <c r="F33" s="108"/>
      <c r="G33" s="108"/>
      <c r="H33" s="108"/>
      <c r="I33" s="108"/>
    </row>
    <row r="34" spans="1:12" x14ac:dyDescent="0.25">
      <c r="A34" s="108" t="s">
        <v>263</v>
      </c>
      <c r="B34" s="108"/>
      <c r="C34" s="108"/>
      <c r="D34" s="108"/>
      <c r="E34" s="108"/>
      <c r="F34" s="108"/>
      <c r="G34" s="108"/>
      <c r="H34" s="108"/>
      <c r="I34" s="108"/>
    </row>
    <row r="35" spans="1:12" ht="18" customHeight="1" x14ac:dyDescent="0.25">
      <c r="A35" s="108" t="s">
        <v>777</v>
      </c>
      <c r="B35" s="108"/>
      <c r="C35" s="108"/>
      <c r="D35" s="108"/>
      <c r="E35" s="108"/>
      <c r="F35" s="108"/>
      <c r="G35" s="108"/>
      <c r="H35" s="108"/>
      <c r="I35" s="108"/>
    </row>
    <row r="36" spans="1:12" ht="18" customHeight="1" x14ac:dyDescent="0.25">
      <c r="A36" s="108" t="s">
        <v>265</v>
      </c>
      <c r="B36" s="108"/>
      <c r="C36" s="108"/>
      <c r="D36" s="108"/>
      <c r="E36" s="108"/>
      <c r="F36" s="108"/>
      <c r="G36" s="108"/>
      <c r="H36" s="108"/>
      <c r="I36" s="108"/>
    </row>
    <row r="37" spans="1:12" ht="18.75" customHeight="1" x14ac:dyDescent="0.25">
      <c r="A37" s="108" t="s">
        <v>778</v>
      </c>
      <c r="B37" s="108"/>
      <c r="C37" s="108"/>
      <c r="D37" s="108"/>
      <c r="E37" s="108"/>
      <c r="F37" s="108"/>
      <c r="G37" s="108"/>
      <c r="H37" s="108"/>
      <c r="I37" s="108"/>
    </row>
    <row r="38" spans="1:12" ht="18" customHeight="1" x14ac:dyDescent="0.25">
      <c r="A38" s="108" t="s">
        <v>256</v>
      </c>
      <c r="B38" s="108"/>
      <c r="C38" s="108"/>
      <c r="D38" s="108"/>
      <c r="E38" s="108"/>
      <c r="F38" s="108"/>
      <c r="G38" s="108"/>
      <c r="H38" s="108"/>
      <c r="I38" s="108"/>
    </row>
    <row r="39" spans="1:12" x14ac:dyDescent="0.25">
      <c r="A39" s="370" t="s">
        <v>264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</row>
    <row r="40" spans="1:12" x14ac:dyDescent="0.25">
      <c r="A40" s="13" t="s">
        <v>235</v>
      </c>
    </row>
    <row r="41" spans="1:12" ht="31.5" x14ac:dyDescent="0.25">
      <c r="A41" s="47" t="s">
        <v>227</v>
      </c>
    </row>
    <row r="42" spans="1:12" x14ac:dyDescent="0.25">
      <c r="A42" s="232" t="s">
        <v>266</v>
      </c>
    </row>
    <row r="43" spans="1:12" ht="47.25" x14ac:dyDescent="0.25">
      <c r="A43" s="47" t="s">
        <v>380</v>
      </c>
      <c r="B43" s="47" t="s">
        <v>727</v>
      </c>
      <c r="C43" s="47" t="s">
        <v>728</v>
      </c>
      <c r="D43" s="47" t="s">
        <v>729</v>
      </c>
      <c r="E43" s="47" t="s">
        <v>730</v>
      </c>
      <c r="F43" s="47" t="s">
        <v>225</v>
      </c>
      <c r="G43" s="47" t="s">
        <v>226</v>
      </c>
      <c r="H43" s="47" t="s">
        <v>544</v>
      </c>
      <c r="I43" s="47" t="s">
        <v>227</v>
      </c>
      <c r="J43" s="47" t="s">
        <v>326</v>
      </c>
      <c r="K43" s="47" t="s">
        <v>275</v>
      </c>
      <c r="L43" s="47" t="s">
        <v>731</v>
      </c>
    </row>
    <row r="44" spans="1:12" x14ac:dyDescent="0.25">
      <c r="A44" s="48">
        <v>1</v>
      </c>
      <c r="B44" s="49" t="s">
        <v>308</v>
      </c>
      <c r="C44" s="48" t="s">
        <v>740</v>
      </c>
      <c r="D44" s="204" t="s">
        <v>750</v>
      </c>
      <c r="E44" s="48">
        <v>300</v>
      </c>
      <c r="F44" s="205">
        <v>54000</v>
      </c>
      <c r="G44" s="206">
        <v>2700</v>
      </c>
      <c r="H44" s="205">
        <v>1.2</v>
      </c>
      <c r="I44" s="206">
        <v>54000</v>
      </c>
      <c r="J44" s="205">
        <v>10800</v>
      </c>
      <c r="K44" s="205">
        <v>12600</v>
      </c>
      <c r="L44" s="206">
        <v>40500</v>
      </c>
    </row>
    <row r="45" spans="1:12" x14ac:dyDescent="0.25">
      <c r="A45" s="48">
        <v>6</v>
      </c>
      <c r="B45" s="49" t="s">
        <v>736</v>
      </c>
      <c r="C45" s="48" t="s">
        <v>745</v>
      </c>
      <c r="D45" s="204" t="s">
        <v>754</v>
      </c>
      <c r="E45" s="48">
        <v>390</v>
      </c>
      <c r="F45" s="205">
        <v>58500</v>
      </c>
      <c r="G45" s="206">
        <v>2925</v>
      </c>
      <c r="H45" s="205">
        <v>1.06</v>
      </c>
      <c r="I45" s="206">
        <v>58500</v>
      </c>
      <c r="J45" s="205">
        <v>11700</v>
      </c>
      <c r="K45" s="205">
        <v>13950</v>
      </c>
      <c r="L45" s="206">
        <v>43875</v>
      </c>
    </row>
    <row r="46" spans="1:12" x14ac:dyDescent="0.25">
      <c r="A46" s="48">
        <v>7</v>
      </c>
      <c r="B46" s="49" t="s">
        <v>612</v>
      </c>
      <c r="C46" s="48" t="s">
        <v>746</v>
      </c>
      <c r="D46" s="204" t="s">
        <v>750</v>
      </c>
      <c r="E46" s="48">
        <v>300</v>
      </c>
      <c r="F46" s="205">
        <v>54000</v>
      </c>
      <c r="G46" s="206">
        <v>2700</v>
      </c>
      <c r="H46" s="205">
        <v>1.02</v>
      </c>
      <c r="I46" s="206">
        <v>54000</v>
      </c>
      <c r="J46" s="205">
        <v>10800</v>
      </c>
      <c r="K46" s="205">
        <v>12600</v>
      </c>
      <c r="L46" s="206">
        <v>40500</v>
      </c>
    </row>
    <row r="47" spans="1:12" x14ac:dyDescent="0.25">
      <c r="A47" s="48">
        <v>10</v>
      </c>
      <c r="B47" s="49" t="s">
        <v>739</v>
      </c>
      <c r="C47" s="48" t="s">
        <v>749</v>
      </c>
      <c r="D47" s="204" t="s">
        <v>755</v>
      </c>
      <c r="E47" s="48">
        <v>290</v>
      </c>
      <c r="F47" s="205">
        <v>58000</v>
      </c>
      <c r="G47" s="206">
        <v>0</v>
      </c>
      <c r="H47" s="205">
        <v>1.1299999999999999</v>
      </c>
      <c r="I47" s="206">
        <v>58000</v>
      </c>
      <c r="J47" s="205">
        <v>11600</v>
      </c>
      <c r="K47" s="205">
        <v>13800</v>
      </c>
      <c r="L47" s="206">
        <v>46400</v>
      </c>
    </row>
  </sheetData>
  <mergeCells count="3">
    <mergeCell ref="A14:C14"/>
    <mergeCell ref="E14:L14"/>
    <mergeCell ref="A39:L39"/>
  </mergeCells>
  <phoneticPr fontId="2" type="noConversion"/>
  <pageMargins left="0.5" right="0.5" top="0.5" bottom="0.5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44"/>
  <sheetViews>
    <sheetView topLeftCell="A4" workbookViewId="0">
      <selection activeCell="C10" sqref="C10"/>
    </sheetView>
  </sheetViews>
  <sheetFormatPr defaultColWidth="9.140625" defaultRowHeight="15" x14ac:dyDescent="0.25"/>
  <cols>
    <col min="1" max="1" width="10.140625" style="7" customWidth="1"/>
    <col min="2" max="2" width="16.7109375" style="7" customWidth="1"/>
    <col min="3" max="3" width="30.5703125" style="7" customWidth="1"/>
    <col min="4" max="4" width="9.7109375" style="7" customWidth="1"/>
    <col min="5" max="5" width="10.140625" style="7" customWidth="1"/>
    <col min="6" max="6" width="9.140625" style="7"/>
    <col min="7" max="7" width="12.7109375" style="7" customWidth="1"/>
    <col min="8" max="8" width="18.140625" style="7" customWidth="1"/>
    <col min="9" max="9" width="9.42578125" style="7" customWidth="1"/>
    <col min="10" max="10" width="10.140625" style="7" bestFit="1" customWidth="1"/>
    <col min="11" max="13" width="9.140625" style="7"/>
    <col min="14" max="14" width="12.28515625" style="7" customWidth="1"/>
    <col min="15" max="16384" width="9.140625" style="7"/>
  </cols>
  <sheetData>
    <row r="1" spans="1:15" ht="18.75" x14ac:dyDescent="0.3">
      <c r="A1" s="6" t="s">
        <v>784</v>
      </c>
      <c r="J1" s="289"/>
      <c r="K1" s="1"/>
      <c r="L1" s="1"/>
      <c r="M1" s="1"/>
      <c r="N1" s="1"/>
      <c r="O1" s="1"/>
    </row>
    <row r="2" spans="1:15" ht="15.75" x14ac:dyDescent="0.25">
      <c r="A2" s="6"/>
    </row>
    <row r="3" spans="1:15" ht="20.25" x14ac:dyDescent="0.3">
      <c r="A3" s="371" t="s">
        <v>785</v>
      </c>
      <c r="B3" s="371"/>
      <c r="C3" s="371"/>
      <c r="D3" s="371"/>
      <c r="E3" s="371"/>
      <c r="F3" s="371"/>
      <c r="G3" s="371"/>
      <c r="H3" s="371"/>
      <c r="I3" s="371"/>
    </row>
    <row r="4" spans="1:15" ht="19.5" x14ac:dyDescent="0.3">
      <c r="A4" s="238" t="s">
        <v>267</v>
      </c>
      <c r="B4" s="3">
        <f ca="1">YEAR(TODAY())</f>
        <v>2024</v>
      </c>
      <c r="C4" s="237"/>
      <c r="D4" s="237"/>
      <c r="E4" s="237"/>
      <c r="F4" s="237"/>
      <c r="G4" s="237"/>
      <c r="H4" s="237"/>
      <c r="I4" s="237"/>
    </row>
    <row r="5" spans="1:15" ht="15.75" x14ac:dyDescent="0.25">
      <c r="G5" s="382" t="s">
        <v>789</v>
      </c>
      <c r="H5" s="382"/>
    </row>
    <row r="6" spans="1:15" s="1" customFormat="1" ht="31.5" x14ac:dyDescent="0.25">
      <c r="A6" s="43" t="s">
        <v>672</v>
      </c>
      <c r="B6" s="43" t="s">
        <v>337</v>
      </c>
      <c r="C6" s="43" t="s">
        <v>786</v>
      </c>
      <c r="D6" s="43" t="s">
        <v>673</v>
      </c>
      <c r="E6" s="43" t="s">
        <v>787</v>
      </c>
      <c r="F6" s="43" t="s">
        <v>788</v>
      </c>
      <c r="G6" s="44" t="s">
        <v>520</v>
      </c>
      <c r="H6" s="43" t="s">
        <v>674</v>
      </c>
      <c r="I6" s="10"/>
    </row>
    <row r="7" spans="1:15" s="1" customFormat="1" ht="15.75" x14ac:dyDescent="0.25">
      <c r="A7" s="57" t="s">
        <v>790</v>
      </c>
      <c r="B7" s="57" t="str">
        <f t="shared" ref="B7:B13" si="0">VLOOKUP(LEFT(A7,4),$A$15:$F$19,2,0)</f>
        <v>Thép tròn 20mm</v>
      </c>
      <c r="C7" s="31"/>
      <c r="D7" s="54">
        <v>50</v>
      </c>
      <c r="E7" s="55">
        <v>38811</v>
      </c>
      <c r="F7" s="54">
        <f t="shared" ref="F7" si="1">D7*VLOOKUP(LEFT(A7,4),$A$15:$F$19, IF(RIGHT(A7,1)="C",5,6),0)</f>
        <v>22500</v>
      </c>
      <c r="G7" s="31"/>
      <c r="H7" s="241"/>
      <c r="I7" s="11"/>
    </row>
    <row r="8" spans="1:15" s="1" customFormat="1" ht="15.75" x14ac:dyDescent="0.25">
      <c r="A8" s="57" t="s">
        <v>792</v>
      </c>
      <c r="B8" s="57" t="str">
        <f t="shared" si="0"/>
        <v>Thép tròn 20mm</v>
      </c>
      <c r="C8" s="31"/>
      <c r="D8" s="54">
        <v>36</v>
      </c>
      <c r="E8" s="55">
        <v>38831</v>
      </c>
      <c r="F8" s="54">
        <f>D8*VLOOKUP(LEFT(A8,4),$A$15:$F$19, IF(RIGHT(A8,1)="C",5,6),0)</f>
        <v>14400</v>
      </c>
      <c r="G8" s="31"/>
      <c r="H8" s="241"/>
      <c r="I8" s="11"/>
    </row>
    <row r="9" spans="1:15" s="1" customFormat="1" ht="15.75" x14ac:dyDescent="0.25">
      <c r="A9" s="57" t="s">
        <v>7</v>
      </c>
      <c r="B9" s="57" t="str">
        <f t="shared" si="0"/>
        <v>Thép góc 5x5mm</v>
      </c>
      <c r="C9" s="31"/>
      <c r="D9" s="54">
        <v>70</v>
      </c>
      <c r="E9" s="55">
        <v>38839</v>
      </c>
      <c r="F9" s="54">
        <f>D9*VLOOKUP(LEFT(A9,4),$A$15:$F$19, IF(RIGHT(A9,1)="C",5,6),0)</f>
        <v>36400</v>
      </c>
      <c r="G9" s="31"/>
      <c r="H9" s="241"/>
      <c r="I9" s="11"/>
    </row>
    <row r="10" spans="1:15" s="1" customFormat="1" ht="15.75" x14ac:dyDescent="0.25">
      <c r="A10" s="57" t="s">
        <v>793</v>
      </c>
      <c r="B10" s="57" t="str">
        <f t="shared" si="0"/>
        <v>Thép góc 5x5mm</v>
      </c>
      <c r="C10" s="31"/>
      <c r="D10" s="54">
        <v>12</v>
      </c>
      <c r="E10" s="55">
        <v>38861</v>
      </c>
      <c r="F10" s="54">
        <f>D10*VLOOKUP(LEFT(A10,4),$A$15:$F$19, IF(RIGHT(A10,1)="C",5,6),0)</f>
        <v>5640</v>
      </c>
      <c r="G10" s="31"/>
      <c r="H10" s="241"/>
      <c r="I10" s="11"/>
    </row>
    <row r="11" spans="1:15" s="1" customFormat="1" ht="15.75" x14ac:dyDescent="0.25">
      <c r="A11" s="57" t="s">
        <v>0</v>
      </c>
      <c r="B11" s="57" t="str">
        <f t="shared" si="0"/>
        <v>Thép tấm 10mm</v>
      </c>
      <c r="C11" s="31"/>
      <c r="D11" s="54">
        <v>60</v>
      </c>
      <c r="E11" s="55">
        <v>38863</v>
      </c>
      <c r="F11" s="54">
        <f>D11*VLOOKUP(LEFT(A11,4),$A$15:$F$19, IF(RIGHT(A11,1)="C",5,6),0)</f>
        <v>38400</v>
      </c>
      <c r="G11" s="31"/>
      <c r="H11" s="241"/>
      <c r="I11" s="11"/>
    </row>
    <row r="12" spans="1:15" s="1" customFormat="1" ht="15.75" x14ac:dyDescent="0.25">
      <c r="A12" s="57" t="s">
        <v>791</v>
      </c>
      <c r="B12" s="57" t="str">
        <f t="shared" si="0"/>
        <v>Thép tấm 10mm</v>
      </c>
      <c r="C12" s="31"/>
      <c r="D12" s="54">
        <v>45</v>
      </c>
      <c r="E12" s="55">
        <v>38849</v>
      </c>
      <c r="F12" s="54">
        <f>D12*VLOOKUP(LEFT(A12,4),$A$15:$F$19, IF(RIGHT(A12,1)="C",5,6),0)</f>
        <v>31500</v>
      </c>
      <c r="G12" s="31"/>
      <c r="H12" s="241"/>
      <c r="I12" s="11"/>
    </row>
    <row r="13" spans="1:15" s="1" customFormat="1" ht="15.75" x14ac:dyDescent="0.25">
      <c r="A13" s="57" t="s">
        <v>791</v>
      </c>
      <c r="B13" s="57" t="str">
        <f t="shared" si="0"/>
        <v>Thép tấm 10mm</v>
      </c>
      <c r="C13" s="31"/>
      <c r="D13" s="54">
        <v>35</v>
      </c>
      <c r="E13" s="55">
        <v>38822</v>
      </c>
      <c r="F13" s="54">
        <f>D13*VLOOKUP(LEFT(A13,4),$A$15:$F$19, IF(RIGHT(A13,1)="C",5,6),0)</f>
        <v>24500</v>
      </c>
      <c r="G13" s="31"/>
      <c r="H13" s="241"/>
      <c r="I13" s="11"/>
    </row>
    <row r="14" spans="1:15" s="1" customFormat="1" ht="15.75" x14ac:dyDescent="0.25">
      <c r="A14" s="12" t="s">
        <v>684</v>
      </c>
      <c r="H14" s="12" t="s">
        <v>699</v>
      </c>
    </row>
    <row r="15" spans="1:15" s="1" customFormat="1" ht="15.75" customHeight="1" x14ac:dyDescent="0.25">
      <c r="A15" s="376" t="s">
        <v>1</v>
      </c>
      <c r="B15" s="372" t="s">
        <v>337</v>
      </c>
      <c r="C15" s="373"/>
      <c r="D15" s="380" t="s">
        <v>786</v>
      </c>
      <c r="E15" s="378" t="s">
        <v>339</v>
      </c>
      <c r="F15" s="379"/>
      <c r="H15" s="43" t="s">
        <v>786</v>
      </c>
      <c r="I15" s="43" t="s">
        <v>14</v>
      </c>
      <c r="J15" s="43" t="s">
        <v>15</v>
      </c>
    </row>
    <row r="16" spans="1:15" s="1" customFormat="1" ht="16.5" customHeight="1" x14ac:dyDescent="0.25">
      <c r="A16" s="377"/>
      <c r="B16" s="374"/>
      <c r="C16" s="375"/>
      <c r="D16" s="381"/>
      <c r="E16" s="43" t="s">
        <v>2</v>
      </c>
      <c r="F16" s="43" t="s">
        <v>3</v>
      </c>
      <c r="H16" s="54" t="s">
        <v>11</v>
      </c>
      <c r="I16" s="56" t="s">
        <v>16</v>
      </c>
      <c r="J16" s="54">
        <v>120</v>
      </c>
    </row>
    <row r="17" spans="1:10" s="1" customFormat="1" ht="15.75" x14ac:dyDescent="0.25">
      <c r="A17" s="54" t="s">
        <v>4</v>
      </c>
      <c r="B17" s="56" t="s">
        <v>8</v>
      </c>
      <c r="C17" s="56"/>
      <c r="D17" s="54" t="s">
        <v>11</v>
      </c>
      <c r="E17" s="54">
        <v>450</v>
      </c>
      <c r="F17" s="54">
        <v>400</v>
      </c>
      <c r="H17" s="54" t="s">
        <v>12</v>
      </c>
      <c r="I17" s="56" t="s">
        <v>17</v>
      </c>
      <c r="J17" s="54">
        <v>100</v>
      </c>
    </row>
    <row r="18" spans="1:10" s="1" customFormat="1" ht="15.75" x14ac:dyDescent="0.25">
      <c r="A18" s="54" t="s">
        <v>5</v>
      </c>
      <c r="B18" s="56" t="s">
        <v>9</v>
      </c>
      <c r="C18" s="56"/>
      <c r="D18" s="54" t="s">
        <v>12</v>
      </c>
      <c r="E18" s="54">
        <v>700</v>
      </c>
      <c r="F18" s="54">
        <v>640</v>
      </c>
      <c r="H18" s="54" t="s">
        <v>13</v>
      </c>
      <c r="I18" s="56" t="s">
        <v>18</v>
      </c>
      <c r="J18" s="54">
        <v>150</v>
      </c>
    </row>
    <row r="19" spans="1:10" s="1" customFormat="1" ht="15.75" x14ac:dyDescent="0.25">
      <c r="A19" s="54" t="s">
        <v>6</v>
      </c>
      <c r="B19" s="56" t="s">
        <v>10</v>
      </c>
      <c r="C19" s="56"/>
      <c r="D19" s="54" t="s">
        <v>13</v>
      </c>
      <c r="E19" s="54">
        <v>520</v>
      </c>
      <c r="F19" s="54">
        <v>470</v>
      </c>
    </row>
    <row r="20" spans="1:10" x14ac:dyDescent="0.25">
      <c r="H20"/>
    </row>
    <row r="21" spans="1:10" s="1" customFormat="1" ht="15.75" x14ac:dyDescent="0.25">
      <c r="A21" s="8" t="s">
        <v>659</v>
      </c>
      <c r="H21"/>
    </row>
    <row r="22" spans="1:10" s="1" customFormat="1" ht="15.75" x14ac:dyDescent="0.25">
      <c r="A22" s="9" t="s">
        <v>19</v>
      </c>
      <c r="H22"/>
    </row>
    <row r="23" spans="1:10" s="1" customFormat="1" ht="15.75" x14ac:dyDescent="0.25">
      <c r="A23" s="9"/>
      <c r="H23"/>
    </row>
    <row r="24" spans="1:10" s="1" customFormat="1" ht="15.75" x14ac:dyDescent="0.25">
      <c r="A24" s="8" t="s">
        <v>527</v>
      </c>
      <c r="H24"/>
    </row>
    <row r="25" spans="1:10" s="1" customFormat="1" ht="15.75" x14ac:dyDescent="0.25">
      <c r="A25" s="1" t="s">
        <v>26</v>
      </c>
      <c r="H25"/>
    </row>
    <row r="26" spans="1:10" s="1" customFormat="1" ht="15.75" x14ac:dyDescent="0.25">
      <c r="A26" s="1" t="s">
        <v>27</v>
      </c>
      <c r="H26"/>
    </row>
    <row r="27" spans="1:10" s="1" customFormat="1" ht="15.75" x14ac:dyDescent="0.25">
      <c r="A27" s="1" t="s">
        <v>28</v>
      </c>
      <c r="H27"/>
    </row>
    <row r="28" spans="1:10" s="1" customFormat="1" ht="15.75" x14ac:dyDescent="0.25">
      <c r="A28" s="1" t="s">
        <v>29</v>
      </c>
    </row>
    <row r="29" spans="1:10" s="1" customFormat="1" ht="15.75" x14ac:dyDescent="0.25">
      <c r="B29" s="4" t="s">
        <v>21</v>
      </c>
    </row>
    <row r="30" spans="1:10" s="1" customFormat="1" ht="15.75" x14ac:dyDescent="0.25">
      <c r="B30" s="1" t="s">
        <v>20</v>
      </c>
    </row>
    <row r="31" spans="1:10" s="1" customFormat="1" ht="15.75" x14ac:dyDescent="0.25">
      <c r="A31" s="1" t="s">
        <v>30</v>
      </c>
    </row>
    <row r="32" spans="1:10" s="1" customFormat="1" ht="15.75" x14ac:dyDescent="0.25">
      <c r="B32" s="4" t="s">
        <v>22</v>
      </c>
    </row>
    <row r="33" spans="1:8" s="1" customFormat="1" ht="15.75" x14ac:dyDescent="0.25">
      <c r="A33" s="1" t="s">
        <v>31</v>
      </c>
    </row>
    <row r="34" spans="1:8" s="1" customFormat="1" ht="15.75" x14ac:dyDescent="0.25">
      <c r="A34" s="1" t="s">
        <v>23</v>
      </c>
    </row>
    <row r="35" spans="1:8" s="1" customFormat="1" ht="15.75" x14ac:dyDescent="0.25">
      <c r="A35" s="1" t="s">
        <v>32</v>
      </c>
    </row>
    <row r="36" spans="1:8" s="1" customFormat="1" ht="15.75" x14ac:dyDescent="0.25">
      <c r="A36" s="1" t="s">
        <v>33</v>
      </c>
    </row>
    <row r="37" spans="1:8" s="1" customFormat="1" ht="15.75" x14ac:dyDescent="0.25">
      <c r="A37" s="1" t="s">
        <v>213</v>
      </c>
    </row>
    <row r="38" spans="1:8" s="1" customFormat="1" ht="15.75" x14ac:dyDescent="0.25">
      <c r="B38" s="45" t="s">
        <v>786</v>
      </c>
      <c r="C38" s="383" t="s">
        <v>24</v>
      </c>
      <c r="D38" s="383"/>
      <c r="E38" s="383" t="s">
        <v>25</v>
      </c>
      <c r="F38" s="383"/>
    </row>
    <row r="39" spans="1:8" s="1" customFormat="1" ht="15.75" x14ac:dyDescent="0.25">
      <c r="B39" s="54" t="s">
        <v>12</v>
      </c>
      <c r="C39" s="384"/>
      <c r="D39" s="384"/>
      <c r="E39" s="384"/>
      <c r="F39" s="384"/>
    </row>
    <row r="40" spans="1:8" s="1" customFormat="1" ht="15.75" x14ac:dyDescent="0.25">
      <c r="B40" s="54" t="s">
        <v>13</v>
      </c>
      <c r="C40" s="384"/>
      <c r="D40" s="384"/>
      <c r="E40" s="384"/>
      <c r="F40" s="384"/>
    </row>
    <row r="41" spans="1:8" s="1" customFormat="1" ht="15.75" x14ac:dyDescent="0.25">
      <c r="A41" s="1" t="s">
        <v>34</v>
      </c>
    </row>
    <row r="42" spans="1:8" ht="31.5" x14ac:dyDescent="0.25">
      <c r="A42" s="43" t="s">
        <v>672</v>
      </c>
      <c r="B42" s="43" t="s">
        <v>337</v>
      </c>
      <c r="C42" s="43" t="s">
        <v>786</v>
      </c>
      <c r="D42" s="43" t="s">
        <v>673</v>
      </c>
      <c r="E42" s="43" t="s">
        <v>787</v>
      </c>
      <c r="F42" s="43" t="s">
        <v>788</v>
      </c>
      <c r="G42" s="44" t="s">
        <v>520</v>
      </c>
      <c r="H42" s="43" t="s">
        <v>674</v>
      </c>
    </row>
    <row r="43" spans="1:8" ht="15.75" x14ac:dyDescent="0.25">
      <c r="A43" s="57" t="s">
        <v>793</v>
      </c>
      <c r="B43" s="57" t="s">
        <v>10</v>
      </c>
      <c r="C43" s="31" t="s">
        <v>13</v>
      </c>
      <c r="D43" s="54">
        <v>12</v>
      </c>
      <c r="E43" s="55">
        <v>38861</v>
      </c>
      <c r="F43" s="54">
        <v>5640</v>
      </c>
      <c r="G43" s="31">
        <v>1800</v>
      </c>
      <c r="H43" s="31">
        <v>372</v>
      </c>
    </row>
    <row r="44" spans="1:8" ht="15.75" x14ac:dyDescent="0.25">
      <c r="A44" s="57" t="s">
        <v>0</v>
      </c>
      <c r="B44" s="57" t="s">
        <v>9</v>
      </c>
      <c r="C44" s="31" t="s">
        <v>12</v>
      </c>
      <c r="D44" s="54">
        <v>60</v>
      </c>
      <c r="E44" s="55">
        <v>38863</v>
      </c>
      <c r="F44" s="54">
        <v>38400</v>
      </c>
      <c r="G44" s="31">
        <v>6000</v>
      </c>
      <c r="H44" s="31">
        <v>2220</v>
      </c>
    </row>
  </sheetData>
  <mergeCells count="12">
    <mergeCell ref="C38:D38"/>
    <mergeCell ref="E38:F38"/>
    <mergeCell ref="C39:D39"/>
    <mergeCell ref="C40:D40"/>
    <mergeCell ref="E39:F39"/>
    <mergeCell ref="E40:F40"/>
    <mergeCell ref="A3:I3"/>
    <mergeCell ref="B15:C16"/>
    <mergeCell ref="A15:A16"/>
    <mergeCell ref="E15:F15"/>
    <mergeCell ref="D15:D16"/>
    <mergeCell ref="G5:H5"/>
  </mergeCells>
  <phoneticPr fontId="2" type="noConversion"/>
  <pageMargins left="0.5" right="0.25" top="0.75" bottom="0.75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50"/>
  <sheetViews>
    <sheetView topLeftCell="A43" workbookViewId="0">
      <selection activeCell="D4" sqref="D4:H4"/>
    </sheetView>
  </sheetViews>
  <sheetFormatPr defaultColWidth="9.140625" defaultRowHeight="15.75" x14ac:dyDescent="0.2"/>
  <cols>
    <col min="1" max="1" width="6.85546875" style="73" customWidth="1"/>
    <col min="2" max="2" width="10.140625" style="73" customWidth="1"/>
    <col min="3" max="3" width="17.7109375" style="73" customWidth="1"/>
    <col min="4" max="4" width="20.85546875" style="73" customWidth="1"/>
    <col min="5" max="5" width="9.140625" style="73"/>
    <col min="6" max="6" width="10.85546875" style="73" customWidth="1"/>
    <col min="7" max="7" width="10.5703125" style="73" customWidth="1"/>
    <col min="8" max="8" width="10.42578125" style="73" customWidth="1"/>
    <col min="9" max="9" width="8.42578125" style="73" customWidth="1"/>
    <col min="10" max="10" width="13.42578125" style="73" customWidth="1"/>
    <col min="11" max="11" width="12" style="73" customWidth="1"/>
    <col min="12" max="12" width="16" style="73" customWidth="1"/>
    <col min="13" max="13" width="20" style="73" customWidth="1"/>
    <col min="14" max="16384" width="9.140625" style="73"/>
  </cols>
  <sheetData>
    <row r="1" spans="1:14" ht="18.75" x14ac:dyDescent="0.3">
      <c r="A1" s="266" t="s">
        <v>35</v>
      </c>
      <c r="I1" s="289"/>
      <c r="J1" s="1"/>
      <c r="K1" s="1"/>
      <c r="L1" s="1"/>
      <c r="M1" s="1"/>
      <c r="N1" s="1"/>
    </row>
    <row r="3" spans="1:14" ht="22.5" x14ac:dyDescent="0.2">
      <c r="A3" s="385" t="s">
        <v>36</v>
      </c>
      <c r="B3" s="386"/>
      <c r="C3" s="386"/>
      <c r="D3" s="386"/>
      <c r="E3" s="386"/>
      <c r="F3" s="386"/>
      <c r="G3" s="386"/>
      <c r="H3" s="387"/>
    </row>
    <row r="4" spans="1:14" x14ac:dyDescent="0.2">
      <c r="A4" s="388" t="s">
        <v>37</v>
      </c>
      <c r="B4" s="389"/>
      <c r="C4" s="389"/>
      <c r="D4" s="389" t="s">
        <v>38</v>
      </c>
      <c r="E4" s="389"/>
      <c r="F4" s="389"/>
      <c r="G4" s="389"/>
      <c r="H4" s="390"/>
    </row>
    <row r="5" spans="1:14" ht="47.25" x14ac:dyDescent="0.2">
      <c r="A5" s="43" t="s">
        <v>380</v>
      </c>
      <c r="B5" s="44" t="s">
        <v>39</v>
      </c>
      <c r="C5" s="44" t="s">
        <v>40</v>
      </c>
      <c r="D5" s="43" t="s">
        <v>41</v>
      </c>
      <c r="E5" s="44" t="s">
        <v>42</v>
      </c>
      <c r="F5" s="43" t="s">
        <v>43</v>
      </c>
      <c r="G5" s="44" t="s">
        <v>44</v>
      </c>
      <c r="H5" s="43" t="s">
        <v>45</v>
      </c>
    </row>
    <row r="6" spans="1:14" x14ac:dyDescent="0.2">
      <c r="A6" s="93">
        <v>2</v>
      </c>
      <c r="B6" s="93" t="s">
        <v>47</v>
      </c>
      <c r="C6" s="267"/>
      <c r="D6" s="267"/>
      <c r="E6" s="268">
        <v>0.34722222222222227</v>
      </c>
      <c r="F6" s="269"/>
      <c r="G6" s="270"/>
      <c r="H6" s="94"/>
    </row>
    <row r="7" spans="1:14" x14ac:dyDescent="0.2">
      <c r="A7" s="93">
        <v>10</v>
      </c>
      <c r="B7" s="93" t="s">
        <v>55</v>
      </c>
      <c r="C7" s="267"/>
      <c r="D7" s="267"/>
      <c r="E7" s="268">
        <v>0.34791666666666665</v>
      </c>
      <c r="F7" s="269"/>
      <c r="G7" s="270"/>
      <c r="H7" s="94"/>
    </row>
    <row r="8" spans="1:14" x14ac:dyDescent="0.2">
      <c r="A8" s="93">
        <v>6</v>
      </c>
      <c r="B8" s="93" t="s">
        <v>51</v>
      </c>
      <c r="C8" s="267"/>
      <c r="D8" s="267"/>
      <c r="E8" s="268">
        <v>0.34861111111111115</v>
      </c>
      <c r="F8" s="269"/>
      <c r="G8" s="270"/>
      <c r="H8" s="94"/>
    </row>
    <row r="9" spans="1:14" x14ac:dyDescent="0.2">
      <c r="A9" s="93">
        <v>8</v>
      </c>
      <c r="B9" s="93" t="s">
        <v>53</v>
      </c>
      <c r="C9" s="267"/>
      <c r="D9" s="267"/>
      <c r="E9" s="268">
        <v>0.35138888888888892</v>
      </c>
      <c r="F9" s="269"/>
      <c r="G9" s="270"/>
      <c r="H9" s="94"/>
    </row>
    <row r="10" spans="1:14" x14ac:dyDescent="0.2">
      <c r="A10" s="93">
        <v>7</v>
      </c>
      <c r="B10" s="93" t="s">
        <v>52</v>
      </c>
      <c r="C10" s="267"/>
      <c r="D10" s="267"/>
      <c r="E10" s="268">
        <v>0.3520833333333333</v>
      </c>
      <c r="F10" s="269"/>
      <c r="G10" s="270"/>
      <c r="H10" s="94"/>
    </row>
    <row r="11" spans="1:14" x14ac:dyDescent="0.2">
      <c r="A11" s="93">
        <v>1</v>
      </c>
      <c r="B11" s="93" t="s">
        <v>46</v>
      </c>
      <c r="C11" s="267"/>
      <c r="D11" s="267"/>
      <c r="E11" s="268">
        <v>0.35416666666666669</v>
      </c>
      <c r="F11" s="269"/>
      <c r="G11" s="270"/>
      <c r="H11" s="94"/>
    </row>
    <row r="12" spans="1:14" x14ac:dyDescent="0.2">
      <c r="A12" s="93">
        <v>4</v>
      </c>
      <c r="B12" s="93" t="s">
        <v>49</v>
      </c>
      <c r="C12" s="267"/>
      <c r="D12" s="267"/>
      <c r="E12" s="268">
        <v>0.35555555555555557</v>
      </c>
      <c r="F12" s="269"/>
      <c r="G12" s="270"/>
      <c r="H12" s="94"/>
    </row>
    <row r="13" spans="1:14" x14ac:dyDescent="0.2">
      <c r="A13" s="93">
        <v>5</v>
      </c>
      <c r="B13" s="93" t="s">
        <v>50</v>
      </c>
      <c r="C13" s="267"/>
      <c r="D13" s="267"/>
      <c r="E13" s="268">
        <v>0.3576388888888889</v>
      </c>
      <c r="F13" s="269"/>
      <c r="G13" s="270"/>
      <c r="H13" s="94"/>
    </row>
    <row r="14" spans="1:14" x14ac:dyDescent="0.2">
      <c r="A14" s="93">
        <v>3</v>
      </c>
      <c r="B14" s="93" t="s">
        <v>48</v>
      </c>
      <c r="C14" s="267"/>
      <c r="D14" s="267"/>
      <c r="E14" s="268">
        <v>0.36458333333333331</v>
      </c>
      <c r="F14" s="269"/>
      <c r="G14" s="270"/>
      <c r="H14" s="94"/>
    </row>
    <row r="15" spans="1:14" x14ac:dyDescent="0.2">
      <c r="A15" s="93">
        <v>9</v>
      </c>
      <c r="B15" s="93" t="s">
        <v>54</v>
      </c>
      <c r="C15" s="267"/>
      <c r="D15" s="267"/>
      <c r="E15" s="268">
        <v>0.375</v>
      </c>
      <c r="F15" s="269"/>
      <c r="G15" s="270"/>
      <c r="H15" s="94"/>
    </row>
    <row r="16" spans="1:14" s="250" customFormat="1" ht="12.75" x14ac:dyDescent="0.2"/>
    <row r="17" spans="1:9" x14ac:dyDescent="0.2">
      <c r="A17" s="398" t="s">
        <v>56</v>
      </c>
      <c r="B17" s="399"/>
      <c r="C17" s="399"/>
      <c r="D17" s="400"/>
      <c r="F17" s="239"/>
    </row>
    <row r="18" spans="1:9" x14ac:dyDescent="0.2">
      <c r="A18" s="43" t="s">
        <v>57</v>
      </c>
      <c r="B18" s="378" t="s">
        <v>58</v>
      </c>
      <c r="C18" s="396"/>
      <c r="D18" s="379"/>
      <c r="F18" s="391" t="s">
        <v>104</v>
      </c>
      <c r="G18" s="43" t="s">
        <v>66</v>
      </c>
      <c r="H18" s="378" t="s">
        <v>67</v>
      </c>
      <c r="I18" s="379"/>
    </row>
    <row r="19" spans="1:9" x14ac:dyDescent="0.2">
      <c r="A19" s="59" t="s">
        <v>59</v>
      </c>
      <c r="B19" s="394" t="s">
        <v>62</v>
      </c>
      <c r="C19" s="397"/>
      <c r="D19" s="395"/>
      <c r="F19" s="392"/>
      <c r="G19" s="93" t="s">
        <v>68</v>
      </c>
      <c r="H19" s="394" t="s">
        <v>78</v>
      </c>
      <c r="I19" s="395"/>
    </row>
    <row r="20" spans="1:9" x14ac:dyDescent="0.2">
      <c r="A20" s="59" t="s">
        <v>60</v>
      </c>
      <c r="B20" s="394" t="s">
        <v>63</v>
      </c>
      <c r="C20" s="397"/>
      <c r="D20" s="395"/>
      <c r="F20" s="392"/>
      <c r="G20" s="93" t="s">
        <v>69</v>
      </c>
      <c r="H20" s="394" t="s">
        <v>79</v>
      </c>
      <c r="I20" s="395"/>
    </row>
    <row r="21" spans="1:9" x14ac:dyDescent="0.2">
      <c r="A21" s="59" t="s">
        <v>61</v>
      </c>
      <c r="B21" s="394" t="s">
        <v>64</v>
      </c>
      <c r="C21" s="397"/>
      <c r="D21" s="395"/>
      <c r="F21" s="392"/>
      <c r="G21" s="93" t="s">
        <v>70</v>
      </c>
      <c r="H21" s="394" t="s">
        <v>80</v>
      </c>
      <c r="I21" s="395"/>
    </row>
    <row r="22" spans="1:9" x14ac:dyDescent="0.2">
      <c r="A22" s="59" t="s">
        <v>512</v>
      </c>
      <c r="B22" s="394" t="s">
        <v>65</v>
      </c>
      <c r="C22" s="397"/>
      <c r="D22" s="395"/>
      <c r="F22" s="392"/>
      <c r="G22" s="93" t="s">
        <v>71</v>
      </c>
      <c r="H22" s="394" t="s">
        <v>81</v>
      </c>
      <c r="I22" s="395"/>
    </row>
    <row r="23" spans="1:9" x14ac:dyDescent="0.2">
      <c r="F23" s="392"/>
      <c r="G23" s="93" t="s">
        <v>72</v>
      </c>
      <c r="H23" s="394" t="s">
        <v>82</v>
      </c>
      <c r="I23" s="395"/>
    </row>
    <row r="24" spans="1:9" x14ac:dyDescent="0.2">
      <c r="A24" s="271" t="s">
        <v>659</v>
      </c>
      <c r="F24" s="392"/>
      <c r="G24" s="93" t="s">
        <v>73</v>
      </c>
      <c r="H24" s="394" t="s">
        <v>83</v>
      </c>
      <c r="I24" s="395"/>
    </row>
    <row r="25" spans="1:9" x14ac:dyDescent="0.2">
      <c r="A25" s="272" t="s">
        <v>88</v>
      </c>
      <c r="F25" s="392"/>
      <c r="G25" s="93" t="s">
        <v>74</v>
      </c>
      <c r="H25" s="394" t="s">
        <v>84</v>
      </c>
      <c r="I25" s="395"/>
    </row>
    <row r="26" spans="1:9" x14ac:dyDescent="0.2">
      <c r="A26" s="273" t="s">
        <v>89</v>
      </c>
      <c r="F26" s="392"/>
      <c r="G26" s="93" t="s">
        <v>75</v>
      </c>
      <c r="H26" s="394" t="s">
        <v>85</v>
      </c>
      <c r="I26" s="395"/>
    </row>
    <row r="27" spans="1:9" x14ac:dyDescent="0.2">
      <c r="F27" s="392"/>
      <c r="G27" s="93" t="s">
        <v>76</v>
      </c>
      <c r="H27" s="394" t="s">
        <v>86</v>
      </c>
      <c r="I27" s="395"/>
    </row>
    <row r="28" spans="1:9" x14ac:dyDescent="0.2">
      <c r="A28" s="271" t="s">
        <v>527</v>
      </c>
      <c r="F28" s="393"/>
      <c r="G28" s="93" t="s">
        <v>77</v>
      </c>
      <c r="H28" s="394" t="s">
        <v>87</v>
      </c>
      <c r="I28" s="395"/>
    </row>
    <row r="29" spans="1:9" x14ac:dyDescent="0.2">
      <c r="A29" s="73" t="s">
        <v>90</v>
      </c>
    </row>
    <row r="30" spans="1:9" x14ac:dyDescent="0.2">
      <c r="A30" s="73" t="s">
        <v>91</v>
      </c>
    </row>
    <row r="31" spans="1:9" x14ac:dyDescent="0.2">
      <c r="A31" s="73" t="s">
        <v>92</v>
      </c>
    </row>
    <row r="32" spans="1:9" x14ac:dyDescent="0.2">
      <c r="A32" s="73" t="s">
        <v>93</v>
      </c>
    </row>
    <row r="33" spans="1:8" x14ac:dyDescent="0.2">
      <c r="A33" s="73" t="s">
        <v>94</v>
      </c>
    </row>
    <row r="34" spans="1:8" x14ac:dyDescent="0.2">
      <c r="A34" s="73" t="s">
        <v>95</v>
      </c>
    </row>
    <row r="35" spans="1:8" x14ac:dyDescent="0.2">
      <c r="A35" s="73" t="s">
        <v>96</v>
      </c>
    </row>
    <row r="36" spans="1:8" x14ac:dyDescent="0.2">
      <c r="A36" s="43" t="s">
        <v>57</v>
      </c>
      <c r="B36" s="378" t="s">
        <v>97</v>
      </c>
      <c r="C36" s="379"/>
      <c r="D36" s="43" t="s">
        <v>98</v>
      </c>
      <c r="E36" s="73" t="s">
        <v>102</v>
      </c>
    </row>
    <row r="37" spans="1:8" x14ac:dyDescent="0.2">
      <c r="A37" s="59" t="s">
        <v>512</v>
      </c>
      <c r="B37" s="401"/>
      <c r="C37" s="402"/>
      <c r="D37" s="247"/>
      <c r="E37" s="73" t="s">
        <v>103</v>
      </c>
    </row>
    <row r="38" spans="1:8" x14ac:dyDescent="0.2">
      <c r="A38" s="59" t="s">
        <v>60</v>
      </c>
      <c r="B38" s="401"/>
      <c r="C38" s="402"/>
      <c r="D38" s="247"/>
      <c r="E38" s="73" t="s">
        <v>99</v>
      </c>
    </row>
    <row r="39" spans="1:8" x14ac:dyDescent="0.2">
      <c r="A39" s="59" t="s">
        <v>59</v>
      </c>
      <c r="B39" s="401"/>
      <c r="C39" s="402"/>
      <c r="D39" s="247"/>
      <c r="E39" s="73" t="s">
        <v>100</v>
      </c>
    </row>
    <row r="40" spans="1:8" x14ac:dyDescent="0.2">
      <c r="A40" s="59" t="s">
        <v>61</v>
      </c>
      <c r="B40" s="401"/>
      <c r="C40" s="402"/>
      <c r="D40" s="247"/>
    </row>
    <row r="42" spans="1:8" x14ac:dyDescent="0.2">
      <c r="A42" s="73" t="s">
        <v>101</v>
      </c>
    </row>
    <row r="43" spans="1:8" x14ac:dyDescent="0.2">
      <c r="A43" s="73" t="s">
        <v>105</v>
      </c>
    </row>
    <row r="44" spans="1:8" x14ac:dyDescent="0.2">
      <c r="D44" s="18"/>
    </row>
    <row r="45" spans="1:8" x14ac:dyDescent="0.2">
      <c r="D45" s="19"/>
    </row>
    <row r="47" spans="1:8" ht="47.25" x14ac:dyDescent="0.2">
      <c r="A47" s="43" t="s">
        <v>380</v>
      </c>
      <c r="B47" s="44" t="s">
        <v>39</v>
      </c>
      <c r="C47" s="44" t="s">
        <v>40</v>
      </c>
      <c r="D47" s="43" t="s">
        <v>41</v>
      </c>
      <c r="E47" s="44" t="s">
        <v>42</v>
      </c>
      <c r="F47" s="43" t="s">
        <v>43</v>
      </c>
      <c r="G47" s="44" t="s">
        <v>44</v>
      </c>
      <c r="H47" s="43" t="s">
        <v>45</v>
      </c>
    </row>
    <row r="48" spans="1:8" x14ac:dyDescent="0.2">
      <c r="A48" s="93">
        <v>2</v>
      </c>
      <c r="B48" s="93" t="s">
        <v>47</v>
      </c>
      <c r="C48" s="267" t="s">
        <v>87</v>
      </c>
      <c r="D48" s="267" t="s">
        <v>62</v>
      </c>
      <c r="E48" s="268">
        <v>0.34722222222222227</v>
      </c>
      <c r="F48" s="269">
        <v>9.7222222222222265E-2</v>
      </c>
      <c r="G48" s="270">
        <v>51.428571428571423</v>
      </c>
      <c r="H48" s="94">
        <v>1</v>
      </c>
    </row>
    <row r="49" spans="1:8" x14ac:dyDescent="0.2">
      <c r="A49" s="93">
        <v>10</v>
      </c>
      <c r="B49" s="93" t="s">
        <v>55</v>
      </c>
      <c r="C49" s="267" t="s">
        <v>86</v>
      </c>
      <c r="D49" s="267" t="s">
        <v>65</v>
      </c>
      <c r="E49" s="268">
        <v>0.34791666666666665</v>
      </c>
      <c r="F49" s="269">
        <v>9.7916666666666652E-2</v>
      </c>
      <c r="G49" s="270">
        <v>51.063829787234042</v>
      </c>
      <c r="H49" s="94">
        <v>2</v>
      </c>
    </row>
    <row r="50" spans="1:8" x14ac:dyDescent="0.2">
      <c r="A50" s="93">
        <v>6</v>
      </c>
      <c r="B50" s="93" t="s">
        <v>51</v>
      </c>
      <c r="C50" s="267" t="s">
        <v>82</v>
      </c>
      <c r="D50" s="267" t="s">
        <v>63</v>
      </c>
      <c r="E50" s="268">
        <v>0.34861111111111115</v>
      </c>
      <c r="F50" s="269">
        <v>9.8611111111111149E-2</v>
      </c>
      <c r="G50" s="270">
        <v>50.704225352112672</v>
      </c>
      <c r="H50" s="94">
        <v>3</v>
      </c>
    </row>
  </sheetData>
  <dataConsolidate/>
  <mergeCells count="26">
    <mergeCell ref="H23:I23"/>
    <mergeCell ref="H20:I20"/>
    <mergeCell ref="H25:I25"/>
    <mergeCell ref="H24:I24"/>
    <mergeCell ref="B40:C40"/>
    <mergeCell ref="B21:D21"/>
    <mergeCell ref="B36:C36"/>
    <mergeCell ref="B37:C37"/>
    <mergeCell ref="B38:C38"/>
    <mergeCell ref="B39:C39"/>
    <mergeCell ref="A3:H3"/>
    <mergeCell ref="A4:C4"/>
    <mergeCell ref="D4:H4"/>
    <mergeCell ref="F18:F28"/>
    <mergeCell ref="H19:I19"/>
    <mergeCell ref="B18:D18"/>
    <mergeCell ref="H28:I28"/>
    <mergeCell ref="B19:D19"/>
    <mergeCell ref="H21:I21"/>
    <mergeCell ref="B20:D20"/>
    <mergeCell ref="A17:D17"/>
    <mergeCell ref="H27:I27"/>
    <mergeCell ref="H18:I18"/>
    <mergeCell ref="H26:I26"/>
    <mergeCell ref="H22:I22"/>
    <mergeCell ref="B22:D22"/>
  </mergeCells>
  <phoneticPr fontId="2" type="noConversion"/>
  <pageMargins left="0.75" right="0.5" top="0.5" bottom="0.5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P52"/>
  <sheetViews>
    <sheetView zoomScaleNormal="100" workbookViewId="0">
      <selection activeCell="E5" sqref="E5"/>
    </sheetView>
  </sheetViews>
  <sheetFormatPr defaultColWidth="9.140625" defaultRowHeight="15.75" x14ac:dyDescent="0.2"/>
  <cols>
    <col min="1" max="1" width="7.7109375" style="73" customWidth="1"/>
    <col min="2" max="2" width="16.28515625" style="73" customWidth="1"/>
    <col min="3" max="4" width="9.140625" style="73"/>
    <col min="5" max="5" width="9.5703125" style="73" customWidth="1"/>
    <col min="6" max="6" width="10.5703125" style="73" customWidth="1"/>
    <col min="7" max="7" width="11.5703125" style="73" customWidth="1"/>
    <col min="8" max="8" width="10.5703125" style="73" customWidth="1"/>
    <col min="9" max="9" width="15.85546875" style="73" customWidth="1"/>
    <col min="10" max="10" width="2.85546875" style="73" customWidth="1"/>
    <col min="11" max="16384" width="9.140625" style="73"/>
  </cols>
  <sheetData>
    <row r="1" spans="1:16" ht="18.75" x14ac:dyDescent="0.3">
      <c r="A1" s="266" t="s">
        <v>106</v>
      </c>
      <c r="K1" s="289"/>
      <c r="L1" s="1"/>
      <c r="M1" s="1"/>
      <c r="N1" s="1"/>
      <c r="O1" s="1"/>
      <c r="P1" s="1"/>
    </row>
    <row r="2" spans="1:16" ht="20.25" x14ac:dyDescent="0.2">
      <c r="A2" s="403" t="s">
        <v>107</v>
      </c>
      <c r="B2" s="403"/>
      <c r="C2" s="403"/>
      <c r="D2" s="403"/>
      <c r="E2" s="403"/>
      <c r="F2" s="403"/>
      <c r="G2" s="403"/>
      <c r="H2" s="403"/>
      <c r="I2" s="403"/>
    </row>
    <row r="3" spans="1:16" x14ac:dyDescent="0.2">
      <c r="A3" s="404" t="s">
        <v>800</v>
      </c>
      <c r="B3" s="404" t="s">
        <v>799</v>
      </c>
      <c r="C3" s="404" t="s">
        <v>798</v>
      </c>
      <c r="D3" s="404" t="s">
        <v>797</v>
      </c>
      <c r="E3" s="329" t="s">
        <v>108</v>
      </c>
      <c r="F3" s="329"/>
      <c r="G3" s="404" t="s">
        <v>500</v>
      </c>
      <c r="H3" s="404" t="s">
        <v>795</v>
      </c>
      <c r="I3" s="404" t="s">
        <v>796</v>
      </c>
    </row>
    <row r="4" spans="1:16" x14ac:dyDescent="0.2">
      <c r="A4" s="404"/>
      <c r="B4" s="404"/>
      <c r="C4" s="404"/>
      <c r="D4" s="404"/>
      <c r="E4" s="43" t="s">
        <v>794</v>
      </c>
      <c r="F4" s="43" t="s">
        <v>109</v>
      </c>
      <c r="G4" s="404"/>
      <c r="H4" s="404"/>
      <c r="I4" s="404"/>
      <c r="L4" s="280"/>
    </row>
    <row r="5" spans="1:16" x14ac:dyDescent="0.2">
      <c r="A5" s="247" t="s">
        <v>110</v>
      </c>
      <c r="B5" s="274"/>
      <c r="C5" s="275">
        <v>0.375</v>
      </c>
      <c r="D5" s="275">
        <v>0.4375</v>
      </c>
      <c r="E5" s="59"/>
      <c r="F5" s="59"/>
      <c r="G5" s="59"/>
      <c r="H5" s="59"/>
      <c r="I5" s="59"/>
    </row>
    <row r="6" spans="1:16" x14ac:dyDescent="0.2">
      <c r="A6" s="247" t="s">
        <v>111</v>
      </c>
      <c r="B6" s="274"/>
      <c r="C6" s="275">
        <v>0.37847222222222227</v>
      </c>
      <c r="D6" s="275">
        <v>0.41666666666666669</v>
      </c>
      <c r="E6" s="59"/>
      <c r="F6" s="59"/>
      <c r="G6" s="59"/>
      <c r="H6" s="59"/>
      <c r="I6" s="59"/>
    </row>
    <row r="7" spans="1:16" x14ac:dyDescent="0.2">
      <c r="A7" s="247" t="s">
        <v>112</v>
      </c>
      <c r="B7" s="274"/>
      <c r="C7" s="275">
        <v>0.58333333333333337</v>
      </c>
      <c r="D7" s="275">
        <v>0.59375</v>
      </c>
      <c r="E7" s="59"/>
      <c r="F7" s="59"/>
      <c r="G7" s="59"/>
      <c r="H7" s="59"/>
      <c r="I7" s="59"/>
    </row>
    <row r="8" spans="1:16" x14ac:dyDescent="0.2">
      <c r="A8" s="247" t="s">
        <v>113</v>
      </c>
      <c r="B8" s="274"/>
      <c r="C8" s="275">
        <v>0.64583333333333337</v>
      </c>
      <c r="D8" s="275">
        <v>0.75</v>
      </c>
      <c r="E8" s="59"/>
      <c r="F8" s="59"/>
      <c r="G8" s="59"/>
      <c r="H8" s="59"/>
      <c r="I8" s="59"/>
    </row>
    <row r="9" spans="1:16" x14ac:dyDescent="0.2">
      <c r="A9" s="247" t="s">
        <v>114</v>
      </c>
      <c r="B9" s="274"/>
      <c r="C9" s="275">
        <v>0.79166666666666663</v>
      </c>
      <c r="D9" s="275">
        <v>0.85416666666666663</v>
      </c>
      <c r="E9" s="59"/>
      <c r="F9" s="59"/>
      <c r="G9" s="59"/>
      <c r="H9" s="59"/>
      <c r="I9" s="59"/>
    </row>
    <row r="10" spans="1:16" x14ac:dyDescent="0.2">
      <c r="A10" s="247" t="s">
        <v>111</v>
      </c>
      <c r="B10" s="274"/>
      <c r="C10" s="275">
        <v>0.4375</v>
      </c>
      <c r="D10" s="275">
        <v>0.64583333333333337</v>
      </c>
      <c r="E10" s="59"/>
      <c r="F10" s="59"/>
      <c r="G10" s="59"/>
      <c r="H10" s="59"/>
      <c r="I10" s="59"/>
    </row>
    <row r="11" spans="1:16" x14ac:dyDescent="0.2">
      <c r="A11" s="247" t="s">
        <v>115</v>
      </c>
      <c r="B11" s="274"/>
      <c r="C11" s="275">
        <v>0.75694444444444453</v>
      </c>
      <c r="D11" s="275">
        <v>0.84375</v>
      </c>
      <c r="E11" s="59"/>
      <c r="F11" s="59"/>
      <c r="G11" s="59"/>
      <c r="H11" s="59"/>
      <c r="I11" s="59"/>
    </row>
    <row r="12" spans="1:16" x14ac:dyDescent="0.2">
      <c r="A12" s="247" t="s">
        <v>116</v>
      </c>
      <c r="B12" s="274"/>
      <c r="C12" s="275">
        <v>0.70833333333333337</v>
      </c>
      <c r="D12" s="275">
        <v>0.71875</v>
      </c>
      <c r="E12" s="59"/>
      <c r="F12" s="59"/>
      <c r="G12" s="59"/>
      <c r="H12" s="59"/>
      <c r="I12" s="59"/>
    </row>
    <row r="13" spans="1:16" x14ac:dyDescent="0.2">
      <c r="A13" s="247" t="s">
        <v>117</v>
      </c>
      <c r="B13" s="274"/>
      <c r="C13" s="275">
        <v>0.375</v>
      </c>
      <c r="D13" s="275">
        <v>0.45833333333333331</v>
      </c>
      <c r="E13" s="59"/>
      <c r="F13" s="59"/>
      <c r="G13" s="59"/>
      <c r="H13" s="59"/>
      <c r="I13" s="59"/>
    </row>
    <row r="14" spans="1:16" x14ac:dyDescent="0.2">
      <c r="A14" s="405" t="s">
        <v>684</v>
      </c>
      <c r="B14" s="405"/>
      <c r="C14" s="405"/>
      <c r="D14" s="405"/>
      <c r="E14" s="279"/>
      <c r="F14" s="405" t="s">
        <v>491</v>
      </c>
      <c r="G14" s="405"/>
      <c r="H14" s="405"/>
      <c r="I14" s="405"/>
    </row>
    <row r="15" spans="1:16" x14ac:dyDescent="0.2">
      <c r="A15" s="408" t="s">
        <v>118</v>
      </c>
      <c r="B15" s="408"/>
      <c r="C15" s="137" t="s">
        <v>119</v>
      </c>
      <c r="D15" s="137" t="s">
        <v>688</v>
      </c>
      <c r="F15" s="137" t="s">
        <v>122</v>
      </c>
      <c r="G15" s="137" t="s">
        <v>123</v>
      </c>
      <c r="H15" s="409" t="s">
        <v>124</v>
      </c>
      <c r="I15" s="410"/>
    </row>
    <row r="16" spans="1:16" x14ac:dyDescent="0.2">
      <c r="A16" s="407" t="s">
        <v>120</v>
      </c>
      <c r="B16" s="407"/>
      <c r="C16" s="247">
        <v>4000</v>
      </c>
      <c r="D16" s="247">
        <v>3000</v>
      </c>
      <c r="F16" s="247" t="s">
        <v>125</v>
      </c>
      <c r="G16" s="59"/>
      <c r="H16" s="406"/>
      <c r="I16" s="406"/>
    </row>
    <row r="17" spans="1:9" x14ac:dyDescent="0.2">
      <c r="A17" s="407" t="s">
        <v>121</v>
      </c>
      <c r="B17" s="407"/>
      <c r="C17" s="247">
        <v>100</v>
      </c>
      <c r="D17" s="247">
        <v>50</v>
      </c>
      <c r="F17" s="247" t="s">
        <v>126</v>
      </c>
      <c r="G17" s="59"/>
      <c r="H17" s="406"/>
      <c r="I17" s="406"/>
    </row>
    <row r="18" spans="1:9" x14ac:dyDescent="0.2">
      <c r="F18" s="247" t="s">
        <v>127</v>
      </c>
      <c r="G18" s="59"/>
      <c r="H18" s="406"/>
      <c r="I18" s="406"/>
    </row>
    <row r="19" spans="1:9" x14ac:dyDescent="0.2">
      <c r="A19" s="277" t="s">
        <v>659</v>
      </c>
      <c r="B19" s="276"/>
      <c r="C19" s="276"/>
      <c r="D19" s="276"/>
      <c r="E19" s="276"/>
      <c r="F19" s="276"/>
      <c r="G19" s="276"/>
      <c r="H19" s="276"/>
      <c r="I19" s="276"/>
    </row>
    <row r="20" spans="1:9" x14ac:dyDescent="0.2">
      <c r="A20" s="278" t="s">
        <v>128</v>
      </c>
      <c r="B20" s="276"/>
      <c r="C20" s="276"/>
      <c r="D20" s="276"/>
      <c r="E20" s="276"/>
      <c r="F20" s="276"/>
      <c r="G20" s="276"/>
      <c r="H20" s="276"/>
      <c r="I20" s="276"/>
    </row>
    <row r="21" spans="1:9" x14ac:dyDescent="0.2">
      <c r="A21" s="278" t="s">
        <v>129</v>
      </c>
      <c r="B21" s="276"/>
      <c r="C21" s="276"/>
      <c r="D21" s="276"/>
      <c r="E21" s="276"/>
      <c r="F21" s="276"/>
      <c r="G21" s="276"/>
      <c r="H21" s="276"/>
      <c r="I21" s="276"/>
    </row>
    <row r="22" spans="1:9" ht="18" customHeight="1" x14ac:dyDescent="0.2">
      <c r="A22" s="277" t="s">
        <v>527</v>
      </c>
      <c r="B22" s="276"/>
      <c r="C22" s="276"/>
      <c r="D22" s="276"/>
      <c r="E22" s="276"/>
      <c r="F22" s="276"/>
      <c r="G22" s="276"/>
      <c r="H22" s="276"/>
      <c r="I22" s="276"/>
    </row>
    <row r="23" spans="1:9" ht="18.75" customHeight="1" x14ac:dyDescent="0.2">
      <c r="A23" s="276" t="s">
        <v>130</v>
      </c>
      <c r="B23" s="276"/>
      <c r="C23" s="276"/>
      <c r="D23" s="276"/>
      <c r="E23" s="276"/>
      <c r="F23" s="276"/>
      <c r="G23" s="276"/>
      <c r="H23" s="276"/>
      <c r="I23" s="276"/>
    </row>
    <row r="24" spans="1:9" ht="18.75" customHeight="1" x14ac:dyDescent="0.2">
      <c r="A24" s="276" t="s">
        <v>131</v>
      </c>
      <c r="B24" s="276"/>
      <c r="C24" s="276"/>
      <c r="D24" s="276"/>
      <c r="E24" s="276"/>
      <c r="F24" s="276"/>
      <c r="G24" s="276"/>
      <c r="H24" s="276"/>
      <c r="I24" s="276"/>
    </row>
    <row r="25" spans="1:9" x14ac:dyDescent="0.2">
      <c r="A25" s="276" t="s">
        <v>132</v>
      </c>
      <c r="B25" s="276"/>
      <c r="C25" s="276"/>
      <c r="D25" s="276"/>
      <c r="E25" s="276"/>
      <c r="F25" s="276"/>
      <c r="G25" s="276"/>
      <c r="H25" s="276"/>
      <c r="I25" s="276"/>
    </row>
    <row r="26" spans="1:9" ht="19.5" customHeight="1" x14ac:dyDescent="0.2">
      <c r="A26" s="276" t="s">
        <v>133</v>
      </c>
      <c r="B26" s="276"/>
      <c r="C26" s="276"/>
      <c r="D26" s="276"/>
      <c r="E26" s="276"/>
      <c r="F26" s="276"/>
      <c r="G26" s="276"/>
      <c r="H26" s="276"/>
      <c r="I26" s="276"/>
    </row>
    <row r="27" spans="1:9" x14ac:dyDescent="0.2">
      <c r="A27" s="276" t="s">
        <v>134</v>
      </c>
      <c r="B27" s="276"/>
      <c r="C27" s="276"/>
      <c r="D27" s="276"/>
      <c r="E27" s="276"/>
      <c r="F27" s="276"/>
      <c r="G27" s="276"/>
      <c r="H27" s="276"/>
      <c r="I27" s="276"/>
    </row>
    <row r="28" spans="1:9" ht="19.5" customHeight="1" x14ac:dyDescent="0.2">
      <c r="A28" s="276" t="s">
        <v>135</v>
      </c>
      <c r="B28" s="276"/>
      <c r="C28" s="276"/>
      <c r="D28" s="276"/>
      <c r="E28" s="276"/>
      <c r="F28" s="276"/>
      <c r="G28" s="276"/>
      <c r="H28" s="276"/>
      <c r="I28" s="276"/>
    </row>
    <row r="29" spans="1:9" x14ac:dyDescent="0.2">
      <c r="A29" s="278" t="s">
        <v>136</v>
      </c>
      <c r="B29" s="276"/>
      <c r="C29" s="276"/>
      <c r="D29" s="276"/>
      <c r="E29" s="276"/>
      <c r="F29" s="276"/>
      <c r="G29" s="276"/>
      <c r="H29" s="276"/>
      <c r="I29" s="276"/>
    </row>
    <row r="30" spans="1:9" x14ac:dyDescent="0.2">
      <c r="A30" s="276" t="s">
        <v>137</v>
      </c>
      <c r="B30" s="276"/>
      <c r="C30" s="276"/>
      <c r="D30" s="276"/>
      <c r="E30" s="276"/>
      <c r="F30" s="276"/>
      <c r="G30" s="276"/>
      <c r="H30" s="276"/>
      <c r="I30" s="276"/>
    </row>
    <row r="31" spans="1:9" x14ac:dyDescent="0.2">
      <c r="A31" s="276" t="s">
        <v>138</v>
      </c>
      <c r="B31" s="276"/>
      <c r="C31" s="276"/>
      <c r="D31" s="276"/>
      <c r="E31" s="276"/>
      <c r="F31" s="276"/>
      <c r="G31" s="276"/>
      <c r="H31" s="276"/>
      <c r="I31" s="276"/>
    </row>
    <row r="32" spans="1:9" x14ac:dyDescent="0.2">
      <c r="A32" s="276" t="s">
        <v>139</v>
      </c>
      <c r="B32" s="276"/>
      <c r="C32" s="276"/>
      <c r="D32" s="276"/>
      <c r="E32" s="276"/>
      <c r="F32" s="276"/>
      <c r="G32" s="276"/>
      <c r="H32" s="276"/>
      <c r="I32" s="276"/>
    </row>
    <row r="33" spans="1:9" ht="20.25" customHeight="1" x14ac:dyDescent="0.2">
      <c r="A33" s="276" t="s">
        <v>140</v>
      </c>
      <c r="B33" s="276"/>
      <c r="C33" s="276"/>
      <c r="D33" s="276"/>
      <c r="E33" s="276"/>
      <c r="F33" s="276"/>
      <c r="G33" s="276"/>
      <c r="H33" s="276"/>
      <c r="I33" s="276"/>
    </row>
    <row r="34" spans="1:9" ht="18.75" customHeight="1" x14ac:dyDescent="0.2">
      <c r="A34" s="276" t="s">
        <v>141</v>
      </c>
      <c r="B34" s="276"/>
      <c r="C34" s="276"/>
      <c r="D34" s="276"/>
      <c r="E34" s="276"/>
      <c r="F34" s="276"/>
      <c r="G34" s="276"/>
      <c r="H34" s="276"/>
      <c r="I34" s="276"/>
    </row>
    <row r="35" spans="1:9" ht="21" customHeight="1" x14ac:dyDescent="0.2">
      <c r="A35" s="276" t="s">
        <v>142</v>
      </c>
      <c r="B35" s="276"/>
      <c r="C35" s="276"/>
      <c r="D35" s="276"/>
      <c r="E35" s="276"/>
      <c r="F35" s="276"/>
      <c r="G35" s="276"/>
      <c r="H35" s="276"/>
      <c r="I35" s="276"/>
    </row>
    <row r="36" spans="1:9" ht="19.5" customHeight="1" x14ac:dyDescent="0.2">
      <c r="A36" s="276" t="s">
        <v>219</v>
      </c>
      <c r="B36" s="276"/>
      <c r="C36" s="276"/>
      <c r="D36" s="276"/>
      <c r="E36" s="276"/>
      <c r="F36" s="276"/>
      <c r="G36" s="276"/>
      <c r="H36" s="276"/>
      <c r="I36" s="276"/>
    </row>
    <row r="37" spans="1:9" ht="19.5" customHeight="1" x14ac:dyDescent="0.2">
      <c r="A37" s="276" t="s">
        <v>143</v>
      </c>
      <c r="B37" s="276"/>
      <c r="C37" s="276"/>
      <c r="D37" s="276"/>
      <c r="E37" s="276"/>
      <c r="F37" s="276"/>
      <c r="G37" s="276"/>
      <c r="H37" s="276"/>
      <c r="I37" s="276"/>
    </row>
    <row r="38" spans="1:9" x14ac:dyDescent="0.2">
      <c r="A38" s="250"/>
      <c r="B38" s="250"/>
      <c r="C38" s="250"/>
      <c r="D38" s="250"/>
      <c r="E38" s="250"/>
      <c r="F38" s="250"/>
      <c r="G38" s="250"/>
      <c r="H38" s="250"/>
      <c r="I38" s="250"/>
    </row>
    <row r="40" spans="1:9" ht="15.75" customHeight="1" x14ac:dyDescent="0.2"/>
    <row r="41" spans="1:9" ht="15.75" customHeight="1" x14ac:dyDescent="0.2"/>
    <row r="47" spans="1:9" s="250" customFormat="1" ht="12.75" x14ac:dyDescent="0.2"/>
    <row r="48" spans="1:9" s="250" customFormat="1" ht="12.75" x14ac:dyDescent="0.2"/>
    <row r="49" s="250" customFormat="1" ht="12.75" x14ac:dyDescent="0.2"/>
    <row r="52" ht="15.75" customHeight="1" x14ac:dyDescent="0.2"/>
  </sheetData>
  <mergeCells count="18">
    <mergeCell ref="F14:I14"/>
    <mergeCell ref="A14:D14"/>
    <mergeCell ref="H18:I18"/>
    <mergeCell ref="A16:B16"/>
    <mergeCell ref="A17:B17"/>
    <mergeCell ref="A15:B15"/>
    <mergeCell ref="H15:I15"/>
    <mergeCell ref="H16:I16"/>
    <mergeCell ref="H17:I17"/>
    <mergeCell ref="E3:F3"/>
    <mergeCell ref="A2:I2"/>
    <mergeCell ref="A3:A4"/>
    <mergeCell ref="B3:B4"/>
    <mergeCell ref="C3:C4"/>
    <mergeCell ref="D3:D4"/>
    <mergeCell ref="G3:G4"/>
    <mergeCell ref="H3:H4"/>
    <mergeCell ref="I3:I4"/>
  </mergeCells>
  <phoneticPr fontId="2" type="noConversion"/>
  <pageMargins left="0.23622047244094491" right="0.23622047244094491" top="0.23622047244094491" bottom="0.23622047244094491" header="0.51181102362204722" footer="0.51181102362204722"/>
  <pageSetup paperSize="9" orientation="portrait" r:id="rId1"/>
  <headerFooter alignWithMargins="0"/>
  <ignoredErrors>
    <ignoredError sqref="F16:F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5"/>
  <sheetViews>
    <sheetView topLeftCell="A4" workbookViewId="0">
      <selection activeCell="M10" sqref="M10"/>
    </sheetView>
  </sheetViews>
  <sheetFormatPr defaultColWidth="9.140625" defaultRowHeight="15.75" x14ac:dyDescent="0.25"/>
  <cols>
    <col min="1" max="1" width="4" style="13" customWidth="1"/>
    <col min="2" max="2" width="13.140625" style="13" customWidth="1"/>
    <col min="3" max="3" width="7.42578125" style="13" customWidth="1"/>
    <col min="4" max="4" width="8" style="13" customWidth="1"/>
    <col min="5" max="5" width="9.85546875" style="13" customWidth="1"/>
    <col min="6" max="6" width="8.140625" style="13" customWidth="1"/>
    <col min="7" max="7" width="9.28515625" style="13" customWidth="1"/>
    <col min="8" max="8" width="9.85546875" style="13" customWidth="1"/>
    <col min="9" max="9" width="13.85546875" style="13" customWidth="1"/>
    <col min="10" max="10" width="10.42578125" style="13" customWidth="1"/>
    <col min="11" max="16384" width="9.140625" style="13"/>
  </cols>
  <sheetData>
    <row r="1" spans="1:13" x14ac:dyDescent="0.25">
      <c r="A1" s="96" t="s">
        <v>295</v>
      </c>
      <c r="B1" s="97"/>
      <c r="C1" s="97"/>
      <c r="D1" s="97"/>
      <c r="E1" s="97"/>
      <c r="F1" s="97"/>
      <c r="G1" s="97"/>
      <c r="H1" s="284"/>
      <c r="I1" s="73"/>
      <c r="J1" s="97"/>
      <c r="K1" s="14"/>
      <c r="L1" s="14"/>
      <c r="M1" s="14"/>
    </row>
    <row r="2" spans="1:13" ht="18.75" x14ac:dyDescent="0.3">
      <c r="A2" s="13" t="s">
        <v>286</v>
      </c>
      <c r="F2" s="289"/>
      <c r="G2" s="1"/>
      <c r="H2" s="1"/>
      <c r="I2" s="1"/>
      <c r="J2" s="1"/>
      <c r="K2" s="1"/>
    </row>
    <row r="3" spans="1:13" x14ac:dyDescent="0.25">
      <c r="A3" s="302" t="s">
        <v>240</v>
      </c>
      <c r="B3" s="302"/>
      <c r="C3" s="302"/>
      <c r="D3" s="302"/>
      <c r="E3" s="302"/>
      <c r="F3" s="302"/>
      <c r="G3" s="302"/>
      <c r="H3" s="302"/>
      <c r="I3" s="98" t="s">
        <v>269</v>
      </c>
      <c r="J3" s="116"/>
    </row>
    <row r="4" spans="1:13" ht="63" x14ac:dyDescent="0.25">
      <c r="A4" s="109" t="s">
        <v>270</v>
      </c>
      <c r="B4" s="110" t="s">
        <v>296</v>
      </c>
      <c r="C4" s="111" t="s">
        <v>297</v>
      </c>
      <c r="D4" s="111" t="s">
        <v>298</v>
      </c>
      <c r="E4" s="111" t="s">
        <v>299</v>
      </c>
      <c r="F4" s="111" t="s">
        <v>300</v>
      </c>
      <c r="G4" s="111" t="s">
        <v>333</v>
      </c>
      <c r="H4" s="111" t="s">
        <v>301</v>
      </c>
      <c r="I4" s="111" t="s">
        <v>326</v>
      </c>
      <c r="J4" s="111" t="s">
        <v>302</v>
      </c>
    </row>
    <row r="5" spans="1:13" x14ac:dyDescent="0.25">
      <c r="A5" s="115">
        <v>1</v>
      </c>
      <c r="B5" s="113" t="s">
        <v>303</v>
      </c>
      <c r="C5" s="114" t="s">
        <v>304</v>
      </c>
      <c r="D5" s="114" t="s">
        <v>320</v>
      </c>
      <c r="E5" s="114">
        <v>1000</v>
      </c>
      <c r="F5" s="114">
        <v>24</v>
      </c>
      <c r="G5" s="115">
        <f>IF(D8="GĐ",500,IF(D9="PGĐ",400,IF(D7="TP",300,IF(D11="KT",250,100))))</f>
        <v>500</v>
      </c>
      <c r="H5" s="115">
        <f>E5*F5</f>
        <v>24000</v>
      </c>
      <c r="I5" s="115">
        <f>IF(     (G5+H5)*2/3   &lt;    25000,(G5+H5)*2/3, 25000)</f>
        <v>16333.333333333334</v>
      </c>
      <c r="J5" s="115">
        <f>G5+H5-I5</f>
        <v>8166.6666666666661</v>
      </c>
    </row>
    <row r="6" spans="1:13" x14ac:dyDescent="0.25">
      <c r="A6" s="115">
        <v>2</v>
      </c>
      <c r="B6" s="113" t="s">
        <v>305</v>
      </c>
      <c r="C6" s="113" t="s">
        <v>306</v>
      </c>
      <c r="D6" s="113" t="s">
        <v>321</v>
      </c>
      <c r="E6" s="113">
        <v>1000</v>
      </c>
      <c r="F6" s="113">
        <v>30</v>
      </c>
      <c r="G6" s="115">
        <f t="shared" ref="G6:G13" si="0">IF(D9="GĐ",500,IF(D10="PGĐ",400,IF(D8="TP",300,IF(D12="KT",250,100))))</f>
        <v>100</v>
      </c>
      <c r="H6" s="115">
        <f t="shared" ref="H6:H13" si="1">E6*F6</f>
        <v>30000</v>
      </c>
      <c r="I6" s="115">
        <f t="shared" ref="I6:I13" si="2">IF(     (G6+H6)*2/3   &lt;    25000,(G6+H6)*2/3, 25000)</f>
        <v>20066.666666666668</v>
      </c>
      <c r="J6" s="115">
        <f t="shared" ref="J6:J13" si="3">G6+H6-I6</f>
        <v>10033.333333333332</v>
      </c>
    </row>
    <row r="7" spans="1:13" x14ac:dyDescent="0.25">
      <c r="A7" s="115">
        <v>3</v>
      </c>
      <c r="B7" s="113" t="s">
        <v>307</v>
      </c>
      <c r="C7" s="113" t="s">
        <v>308</v>
      </c>
      <c r="D7" s="113" t="s">
        <v>322</v>
      </c>
      <c r="E7" s="113">
        <v>3000</v>
      </c>
      <c r="F7" s="113">
        <v>25</v>
      </c>
      <c r="G7" s="115">
        <f t="shared" si="0"/>
        <v>100</v>
      </c>
      <c r="H7" s="115">
        <f t="shared" si="1"/>
        <v>75000</v>
      </c>
      <c r="I7" s="115">
        <f t="shared" si="2"/>
        <v>25000</v>
      </c>
      <c r="J7" s="115">
        <f t="shared" si="3"/>
        <v>50100</v>
      </c>
    </row>
    <row r="8" spans="1:13" x14ac:dyDescent="0.25">
      <c r="A8" s="115">
        <v>4</v>
      </c>
      <c r="B8" s="113" t="s">
        <v>309</v>
      </c>
      <c r="C8" s="113" t="s">
        <v>310</v>
      </c>
      <c r="D8" s="113" t="s">
        <v>323</v>
      </c>
      <c r="E8" s="113">
        <v>5000</v>
      </c>
      <c r="F8" s="113">
        <v>28</v>
      </c>
      <c r="G8" s="115">
        <f t="shared" si="0"/>
        <v>300</v>
      </c>
      <c r="H8" s="115">
        <f t="shared" si="1"/>
        <v>140000</v>
      </c>
      <c r="I8" s="115">
        <f t="shared" si="2"/>
        <v>25000</v>
      </c>
      <c r="J8" s="115">
        <f t="shared" si="3"/>
        <v>115300</v>
      </c>
    </row>
    <row r="9" spans="1:13" x14ac:dyDescent="0.25">
      <c r="A9" s="115">
        <v>5</v>
      </c>
      <c r="B9" s="113" t="s">
        <v>311</v>
      </c>
      <c r="C9" s="113" t="s">
        <v>312</v>
      </c>
      <c r="D9" s="113" t="s">
        <v>324</v>
      </c>
      <c r="E9" s="113">
        <v>4000</v>
      </c>
      <c r="F9" s="113">
        <v>26</v>
      </c>
      <c r="G9" s="115">
        <f t="shared" si="0"/>
        <v>100</v>
      </c>
      <c r="H9" s="115">
        <f t="shared" si="1"/>
        <v>104000</v>
      </c>
      <c r="I9" s="115">
        <f t="shared" si="2"/>
        <v>25000</v>
      </c>
      <c r="J9" s="115">
        <f t="shared" si="3"/>
        <v>79100</v>
      </c>
    </row>
    <row r="10" spans="1:13" x14ac:dyDescent="0.25">
      <c r="A10" s="115">
        <v>6</v>
      </c>
      <c r="B10" s="113" t="s">
        <v>313</v>
      </c>
      <c r="C10" s="113" t="s">
        <v>314</v>
      </c>
      <c r="D10" s="113" t="s">
        <v>322</v>
      </c>
      <c r="E10" s="113">
        <v>2000</v>
      </c>
      <c r="F10" s="113">
        <v>29</v>
      </c>
      <c r="G10" s="115">
        <f t="shared" si="0"/>
        <v>300</v>
      </c>
      <c r="H10" s="115">
        <f t="shared" si="1"/>
        <v>58000</v>
      </c>
      <c r="I10" s="115">
        <f t="shared" si="2"/>
        <v>25000</v>
      </c>
      <c r="J10" s="115">
        <f t="shared" si="3"/>
        <v>33300</v>
      </c>
    </row>
    <row r="11" spans="1:13" x14ac:dyDescent="0.25">
      <c r="A11" s="115">
        <v>7</v>
      </c>
      <c r="B11" s="113" t="s">
        <v>315</v>
      </c>
      <c r="C11" s="113" t="s">
        <v>316</v>
      </c>
      <c r="D11" s="113" t="s">
        <v>325</v>
      </c>
      <c r="E11" s="113">
        <v>1000</v>
      </c>
      <c r="F11" s="113">
        <v>30</v>
      </c>
      <c r="G11" s="115">
        <f t="shared" si="0"/>
        <v>100</v>
      </c>
      <c r="H11" s="115">
        <f t="shared" si="1"/>
        <v>30000</v>
      </c>
      <c r="I11" s="115">
        <f t="shared" si="2"/>
        <v>20066.666666666668</v>
      </c>
      <c r="J11" s="115">
        <f t="shared" si="3"/>
        <v>10033.333333333332</v>
      </c>
    </row>
    <row r="12" spans="1:13" x14ac:dyDescent="0.25">
      <c r="A12" s="115">
        <v>8</v>
      </c>
      <c r="B12" s="113" t="s">
        <v>309</v>
      </c>
      <c r="C12" s="117" t="s">
        <v>317</v>
      </c>
      <c r="D12" s="113" t="s">
        <v>322</v>
      </c>
      <c r="E12" s="113">
        <v>3000</v>
      </c>
      <c r="F12" s="113">
        <v>30</v>
      </c>
      <c r="G12" s="115">
        <f t="shared" si="0"/>
        <v>100</v>
      </c>
      <c r="H12" s="115">
        <f t="shared" si="1"/>
        <v>90000</v>
      </c>
      <c r="I12" s="115">
        <f t="shared" si="2"/>
        <v>25000</v>
      </c>
      <c r="J12" s="115">
        <f t="shared" si="3"/>
        <v>65100</v>
      </c>
    </row>
    <row r="13" spans="1:13" x14ac:dyDescent="0.25">
      <c r="A13" s="115">
        <v>9</v>
      </c>
      <c r="B13" s="113" t="s">
        <v>318</v>
      </c>
      <c r="C13" s="113" t="s">
        <v>319</v>
      </c>
      <c r="D13" s="113" t="s">
        <v>320</v>
      </c>
      <c r="E13" s="113">
        <v>1000</v>
      </c>
      <c r="F13" s="113">
        <v>26</v>
      </c>
      <c r="G13" s="115">
        <f t="shared" si="0"/>
        <v>100</v>
      </c>
      <c r="H13" s="115">
        <f t="shared" si="1"/>
        <v>26000</v>
      </c>
      <c r="I13" s="115">
        <f t="shared" si="2"/>
        <v>17400</v>
      </c>
      <c r="J13" s="115">
        <f t="shared" si="3"/>
        <v>8700</v>
      </c>
    </row>
    <row r="14" spans="1:13" x14ac:dyDescent="0.25">
      <c r="D14" s="301" t="s">
        <v>285</v>
      </c>
      <c r="E14" s="301"/>
      <c r="F14" s="301"/>
      <c r="G14" s="118">
        <f>SUM($G$5:$G$13)</f>
        <v>1700</v>
      </c>
      <c r="H14" s="118">
        <f>SUM($H$5:$H$13)</f>
        <v>577000</v>
      </c>
      <c r="I14" s="118">
        <f>SUM($I$5:$I$13)</f>
        <v>198866.66666666666</v>
      </c>
      <c r="J14" s="118">
        <f>SUM($J$5:$J$13)</f>
        <v>379833.33333333331</v>
      </c>
      <c r="K14" s="119"/>
    </row>
    <row r="15" spans="1:13" x14ac:dyDescent="0.25">
      <c r="D15" s="301" t="s">
        <v>327</v>
      </c>
      <c r="E15" s="301"/>
      <c r="F15" s="301"/>
      <c r="G15" s="118">
        <f>AVERAGE($G$5:$G$13)</f>
        <v>188.88888888888889</v>
      </c>
      <c r="H15" s="118">
        <f>AVERAGE($H$5:$H$13)</f>
        <v>64111.111111111109</v>
      </c>
      <c r="I15" s="118">
        <f>AVERAGE(I5:I13)</f>
        <v>22096.296296296296</v>
      </c>
      <c r="J15" s="118">
        <f t="shared" ref="J15" si="4">AVERAGE($G$5:$G$13)</f>
        <v>188.88888888888889</v>
      </c>
    </row>
    <row r="16" spans="1:13" x14ac:dyDescent="0.25">
      <c r="D16" s="301" t="s">
        <v>328</v>
      </c>
      <c r="E16" s="301"/>
      <c r="F16" s="301"/>
      <c r="G16" s="118">
        <f>MAX(G5:H13)</f>
        <v>140000</v>
      </c>
      <c r="H16" s="118">
        <f>MAX(H5:H13)</f>
        <v>140000</v>
      </c>
      <c r="I16" s="118">
        <f>MAX(I5:I13)</f>
        <v>25000</v>
      </c>
      <c r="J16" s="118">
        <f>MAX(J5:J13)</f>
        <v>115300</v>
      </c>
    </row>
    <row r="17" spans="1:21" x14ac:dyDescent="0.25">
      <c r="D17" s="301" t="s">
        <v>329</v>
      </c>
      <c r="E17" s="301"/>
      <c r="F17" s="301"/>
      <c r="G17" s="118">
        <f>MIN($G$5:$G$13)</f>
        <v>100</v>
      </c>
      <c r="H17" s="118">
        <f>MIN(H5:H13)</f>
        <v>24000</v>
      </c>
      <c r="I17" s="118">
        <f>MIN(I5:I13)</f>
        <v>16333.333333333334</v>
      </c>
      <c r="J17" s="118">
        <f>MIN(J5:J13)</f>
        <v>8166.6666666666661</v>
      </c>
    </row>
    <row r="18" spans="1:21" x14ac:dyDescent="0.25">
      <c r="A18" s="120" t="s">
        <v>287</v>
      </c>
      <c r="B18" s="121"/>
      <c r="C18" s="121"/>
      <c r="D18" s="121"/>
      <c r="E18" s="121"/>
      <c r="F18" s="121"/>
      <c r="G18" s="121"/>
      <c r="H18" s="121"/>
      <c r="I18" s="121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</row>
    <row r="19" spans="1:21" x14ac:dyDescent="0.25">
      <c r="A19" s="121" t="s">
        <v>288</v>
      </c>
      <c r="B19" s="121"/>
      <c r="C19" s="121"/>
      <c r="D19" s="121"/>
      <c r="E19" s="121"/>
      <c r="F19" s="121"/>
      <c r="G19" s="121"/>
      <c r="H19" s="121"/>
      <c r="I19" s="121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</row>
    <row r="20" spans="1:21" ht="15.75" customHeight="1" x14ac:dyDescent="0.25">
      <c r="A20" s="121" t="s">
        <v>332</v>
      </c>
      <c r="B20" s="121"/>
      <c r="C20" s="121"/>
      <c r="D20" s="121"/>
      <c r="E20" s="121"/>
      <c r="F20" s="121"/>
      <c r="G20" s="121"/>
      <c r="H20" s="121"/>
      <c r="I20" s="121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</row>
    <row r="21" spans="1:21" x14ac:dyDescent="0.25">
      <c r="A21" s="121" t="s">
        <v>330</v>
      </c>
      <c r="B21" s="121"/>
      <c r="C21" s="121"/>
      <c r="D21" s="121"/>
      <c r="E21" s="121"/>
      <c r="F21" s="121"/>
      <c r="G21" s="121"/>
      <c r="H21" s="121"/>
      <c r="I21" s="121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</row>
    <row r="22" spans="1:21" ht="15.75" customHeight="1" x14ac:dyDescent="0.25">
      <c r="A22" s="121" t="s">
        <v>331</v>
      </c>
      <c r="B22" s="121"/>
      <c r="C22" s="121"/>
      <c r="D22" s="121"/>
      <c r="E22" s="121"/>
      <c r="F22" s="121"/>
      <c r="G22" s="121"/>
      <c r="H22" s="121"/>
      <c r="I22" s="121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</row>
    <row r="23" spans="1:21" x14ac:dyDescent="0.25">
      <c r="A23" s="121" t="s">
        <v>378</v>
      </c>
      <c r="B23" s="121"/>
      <c r="C23" s="121"/>
      <c r="D23" s="121"/>
      <c r="E23" s="121"/>
      <c r="F23" s="121"/>
      <c r="G23" s="121"/>
      <c r="H23" s="121"/>
      <c r="I23" s="121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</row>
    <row r="24" spans="1:21" x14ac:dyDescent="0.25">
      <c r="A24" s="121" t="s">
        <v>334</v>
      </c>
      <c r="B24" s="121"/>
      <c r="C24" s="121"/>
      <c r="D24" s="121"/>
      <c r="E24" s="121"/>
      <c r="F24" s="121"/>
      <c r="G24" s="121"/>
      <c r="H24" s="121"/>
      <c r="I24" s="121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</row>
    <row r="25" spans="1:21" x14ac:dyDescent="0.25">
      <c r="A25" s="121" t="s">
        <v>244</v>
      </c>
      <c r="B25" s="121"/>
      <c r="C25" s="121"/>
      <c r="D25" s="121"/>
      <c r="E25" s="121"/>
      <c r="F25" s="121"/>
      <c r="G25" s="121"/>
      <c r="H25" s="121"/>
      <c r="I25" s="121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</row>
  </sheetData>
  <mergeCells count="5">
    <mergeCell ref="D17:F17"/>
    <mergeCell ref="A3:H3"/>
    <mergeCell ref="D14:F14"/>
    <mergeCell ref="D15:F15"/>
    <mergeCell ref="D16:F16"/>
  </mergeCells>
  <phoneticPr fontId="2" type="noConversion"/>
  <pageMargins left="0.75" right="0.75" top="0.5" bottom="0.5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J49"/>
  <sheetViews>
    <sheetView topLeftCell="A7" zoomScaleNormal="100" workbookViewId="0">
      <selection activeCell="N14" sqref="N14"/>
    </sheetView>
  </sheetViews>
  <sheetFormatPr defaultColWidth="9.140625" defaultRowHeight="15.75" x14ac:dyDescent="0.25"/>
  <cols>
    <col min="1" max="1" width="9.140625" style="1"/>
    <col min="2" max="2" width="12.7109375" style="1" customWidth="1"/>
    <col min="3" max="3" width="9.140625" style="1"/>
    <col min="4" max="5" width="11.28515625" style="1" bestFit="1" customWidth="1"/>
    <col min="6" max="6" width="8" style="1" customWidth="1"/>
    <col min="7" max="7" width="11.42578125" style="1" customWidth="1"/>
    <col min="8" max="8" width="9.140625" style="1"/>
    <col min="9" max="9" width="8.5703125" style="1" customWidth="1"/>
    <col min="10" max="10" width="10.42578125" style="1" customWidth="1"/>
    <col min="11" max="16384" width="9.140625" style="1"/>
  </cols>
  <sheetData>
    <row r="1" spans="1:10" x14ac:dyDescent="0.25">
      <c r="A1" s="6" t="s">
        <v>144</v>
      </c>
    </row>
    <row r="2" spans="1:10" ht="30" customHeight="1" thickBot="1" x14ac:dyDescent="0.4">
      <c r="A2" s="411" t="s">
        <v>145</v>
      </c>
      <c r="B2" s="411"/>
      <c r="C2" s="411"/>
      <c r="D2" s="411"/>
      <c r="E2" s="411"/>
      <c r="F2" s="411"/>
      <c r="G2" s="411"/>
      <c r="H2" s="411"/>
      <c r="I2" s="411"/>
      <c r="J2" s="411"/>
    </row>
    <row r="3" spans="1:10" ht="34.5" customHeight="1" thickTop="1" x14ac:dyDescent="0.25">
      <c r="A3" s="20" t="s">
        <v>146</v>
      </c>
      <c r="B3" s="21" t="s">
        <v>147</v>
      </c>
      <c r="C3" s="21" t="s">
        <v>148</v>
      </c>
      <c r="D3" s="21" t="s">
        <v>149</v>
      </c>
      <c r="E3" s="21" t="s">
        <v>150</v>
      </c>
      <c r="F3" s="22" t="s">
        <v>196</v>
      </c>
      <c r="G3" s="22" t="s">
        <v>197</v>
      </c>
      <c r="H3" s="21" t="s">
        <v>151</v>
      </c>
      <c r="I3" s="21" t="s">
        <v>152</v>
      </c>
      <c r="J3" s="23" t="s">
        <v>198</v>
      </c>
    </row>
    <row r="4" spans="1:10" x14ac:dyDescent="0.25">
      <c r="A4" s="32" t="s">
        <v>157</v>
      </c>
      <c r="B4" s="33" t="s">
        <v>161</v>
      </c>
      <c r="C4" s="33" t="s">
        <v>163</v>
      </c>
      <c r="D4" s="34">
        <v>38971</v>
      </c>
      <c r="E4" s="34">
        <v>38975</v>
      </c>
      <c r="F4" s="24">
        <f>(E4-D4)+1</f>
        <v>5</v>
      </c>
      <c r="G4" s="25"/>
      <c r="H4" s="25"/>
      <c r="I4" s="25"/>
      <c r="J4" s="26"/>
    </row>
    <row r="5" spans="1:10" x14ac:dyDescent="0.25">
      <c r="A5" s="35" t="s">
        <v>312</v>
      </c>
      <c r="B5" s="36" t="s">
        <v>17</v>
      </c>
      <c r="C5" s="36" t="s">
        <v>163</v>
      </c>
      <c r="D5" s="37">
        <v>38961</v>
      </c>
      <c r="E5" s="37">
        <v>38965</v>
      </c>
      <c r="F5" s="24">
        <f t="shared" ref="F5:F13" si="0">(E5-D5)+1</f>
        <v>5</v>
      </c>
      <c r="G5" s="25"/>
      <c r="H5" s="25"/>
      <c r="I5" s="25"/>
      <c r="J5" s="26"/>
    </row>
    <row r="6" spans="1:10" x14ac:dyDescent="0.25">
      <c r="A6" s="35" t="s">
        <v>155</v>
      </c>
      <c r="B6" s="36" t="s">
        <v>159</v>
      </c>
      <c r="C6" s="36" t="s">
        <v>168</v>
      </c>
      <c r="D6" s="37">
        <v>38981</v>
      </c>
      <c r="E6" s="37">
        <v>38990</v>
      </c>
      <c r="F6" s="24">
        <f t="shared" si="0"/>
        <v>10</v>
      </c>
      <c r="G6" s="25"/>
      <c r="H6" s="25"/>
      <c r="I6" s="25"/>
      <c r="J6" s="26"/>
    </row>
    <row r="7" spans="1:10" x14ac:dyDescent="0.25">
      <c r="A7" s="35" t="s">
        <v>317</v>
      </c>
      <c r="B7" s="36" t="s">
        <v>17</v>
      </c>
      <c r="C7" s="36" t="s">
        <v>220</v>
      </c>
      <c r="D7" s="37">
        <v>38970</v>
      </c>
      <c r="E7" s="37">
        <v>38975</v>
      </c>
      <c r="F7" s="24">
        <f t="shared" si="0"/>
        <v>6</v>
      </c>
      <c r="G7" s="25"/>
      <c r="H7" s="25"/>
      <c r="I7" s="25"/>
      <c r="J7" s="26"/>
    </row>
    <row r="8" spans="1:10" x14ac:dyDescent="0.25">
      <c r="A8" s="35" t="s">
        <v>612</v>
      </c>
      <c r="B8" s="36" t="s">
        <v>159</v>
      </c>
      <c r="C8" s="36" t="s">
        <v>166</v>
      </c>
      <c r="D8" s="37">
        <v>38962</v>
      </c>
      <c r="E8" s="37">
        <v>38965</v>
      </c>
      <c r="F8" s="24">
        <f t="shared" si="0"/>
        <v>4</v>
      </c>
      <c r="G8" s="25"/>
      <c r="H8" s="25"/>
      <c r="I8" s="25"/>
      <c r="J8" s="26"/>
    </row>
    <row r="9" spans="1:10" x14ac:dyDescent="0.25">
      <c r="A9" s="35" t="s">
        <v>739</v>
      </c>
      <c r="B9" s="36" t="s">
        <v>159</v>
      </c>
      <c r="C9" s="36" t="s">
        <v>167</v>
      </c>
      <c r="D9" s="37">
        <v>38972</v>
      </c>
      <c r="E9" s="37">
        <v>38980</v>
      </c>
      <c r="F9" s="24">
        <f t="shared" si="0"/>
        <v>9</v>
      </c>
      <c r="G9" s="25"/>
      <c r="H9" s="25"/>
      <c r="I9" s="25"/>
      <c r="J9" s="26"/>
    </row>
    <row r="10" spans="1:10" x14ac:dyDescent="0.25">
      <c r="A10" s="35" t="s">
        <v>158</v>
      </c>
      <c r="B10" s="36" t="s">
        <v>162</v>
      </c>
      <c r="C10" s="36" t="s">
        <v>167</v>
      </c>
      <c r="D10" s="37">
        <v>38961</v>
      </c>
      <c r="E10" s="37">
        <v>38966</v>
      </c>
      <c r="F10" s="24">
        <f t="shared" si="0"/>
        <v>6</v>
      </c>
      <c r="G10" s="25"/>
      <c r="H10" s="25"/>
      <c r="I10" s="25"/>
      <c r="J10" s="26"/>
    </row>
    <row r="11" spans="1:10" x14ac:dyDescent="0.25">
      <c r="A11" s="35" t="s">
        <v>153</v>
      </c>
      <c r="B11" s="36" t="s">
        <v>17</v>
      </c>
      <c r="C11" s="36" t="s">
        <v>164</v>
      </c>
      <c r="D11" s="37">
        <v>38981</v>
      </c>
      <c r="E11" s="37">
        <v>38985</v>
      </c>
      <c r="F11" s="24">
        <f t="shared" si="0"/>
        <v>5</v>
      </c>
      <c r="G11" s="25"/>
      <c r="H11" s="25"/>
      <c r="I11" s="25"/>
      <c r="J11" s="26"/>
    </row>
    <row r="12" spans="1:10" x14ac:dyDescent="0.25">
      <c r="A12" s="35" t="s">
        <v>154</v>
      </c>
      <c r="B12" s="36" t="s">
        <v>17</v>
      </c>
      <c r="C12" s="36" t="s">
        <v>165</v>
      </c>
      <c r="D12" s="37">
        <v>38970</v>
      </c>
      <c r="E12" s="37">
        <v>38974</v>
      </c>
      <c r="F12" s="24">
        <f t="shared" si="0"/>
        <v>5</v>
      </c>
      <c r="G12" s="25"/>
      <c r="H12" s="25"/>
      <c r="I12" s="25"/>
      <c r="J12" s="26"/>
    </row>
    <row r="13" spans="1:10" ht="16.5" thickBot="1" x14ac:dyDescent="0.3">
      <c r="A13" s="38" t="s">
        <v>156</v>
      </c>
      <c r="B13" s="39" t="s">
        <v>160</v>
      </c>
      <c r="C13" s="39" t="s">
        <v>169</v>
      </c>
      <c r="D13" s="40">
        <v>38966</v>
      </c>
      <c r="E13" s="40">
        <v>38969</v>
      </c>
      <c r="F13" s="24">
        <f t="shared" si="0"/>
        <v>4</v>
      </c>
      <c r="G13" s="29"/>
      <c r="H13" s="29"/>
      <c r="I13" s="29"/>
      <c r="J13" s="30"/>
    </row>
    <row r="14" spans="1:10" ht="19.5" thickTop="1" x14ac:dyDescent="0.3">
      <c r="D14" s="289"/>
    </row>
    <row r="15" spans="1:10" ht="16.5" thickBot="1" x14ac:dyDescent="0.3">
      <c r="A15" s="12" t="s">
        <v>170</v>
      </c>
      <c r="G15" s="12" t="s">
        <v>176</v>
      </c>
    </row>
    <row r="16" spans="1:10" ht="17.25" thickTop="1" thickBot="1" x14ac:dyDescent="0.3">
      <c r="A16" s="285"/>
      <c r="B16" s="287" t="s">
        <v>171</v>
      </c>
      <c r="C16" s="416" t="s">
        <v>446</v>
      </c>
      <c r="D16" s="416" t="s">
        <v>447</v>
      </c>
      <c r="E16" s="418" t="s">
        <v>448</v>
      </c>
      <c r="G16" s="166" t="s">
        <v>171</v>
      </c>
      <c r="H16" s="139" t="s">
        <v>177</v>
      </c>
      <c r="I16" s="139" t="s">
        <v>178</v>
      </c>
      <c r="J16" s="139" t="s">
        <v>179</v>
      </c>
    </row>
    <row r="17" spans="1:10" ht="16.5" thickTop="1" x14ac:dyDescent="0.25">
      <c r="A17" s="288" t="s">
        <v>172</v>
      </c>
      <c r="B17" s="286"/>
      <c r="C17" s="417"/>
      <c r="D17" s="417"/>
      <c r="E17" s="419"/>
      <c r="G17" s="113" t="s">
        <v>518</v>
      </c>
      <c r="H17" s="112">
        <v>15</v>
      </c>
      <c r="I17" s="112">
        <v>10</v>
      </c>
      <c r="J17" s="112">
        <v>5</v>
      </c>
    </row>
    <row r="18" spans="1:10" x14ac:dyDescent="0.25">
      <c r="A18" s="412" t="s">
        <v>173</v>
      </c>
      <c r="B18" s="413"/>
      <c r="C18" s="36">
        <v>40</v>
      </c>
      <c r="D18" s="36">
        <v>35</v>
      </c>
      <c r="E18" s="41">
        <v>30</v>
      </c>
    </row>
    <row r="19" spans="1:10" x14ac:dyDescent="0.25">
      <c r="A19" s="412" t="s">
        <v>174</v>
      </c>
      <c r="B19" s="413"/>
      <c r="C19" s="36">
        <v>30</v>
      </c>
      <c r="D19" s="36">
        <v>25</v>
      </c>
      <c r="E19" s="41">
        <v>20</v>
      </c>
      <c r="G19" s="420" t="s">
        <v>180</v>
      </c>
      <c r="H19" s="420"/>
      <c r="I19" s="420"/>
      <c r="J19" s="420"/>
    </row>
    <row r="20" spans="1:10" ht="16.5" thickBot="1" x14ac:dyDescent="0.3">
      <c r="A20" s="414" t="s">
        <v>175</v>
      </c>
      <c r="B20" s="415"/>
      <c r="C20" s="39">
        <v>20</v>
      </c>
      <c r="D20" s="39">
        <v>15</v>
      </c>
      <c r="E20" s="42">
        <v>10</v>
      </c>
      <c r="G20" s="166" t="s">
        <v>171</v>
      </c>
      <c r="H20" s="139" t="s">
        <v>446</v>
      </c>
      <c r="I20" s="139" t="s">
        <v>447</v>
      </c>
      <c r="J20" s="139" t="s">
        <v>448</v>
      </c>
    </row>
    <row r="21" spans="1:10" ht="16.5" thickTop="1" x14ac:dyDescent="0.25">
      <c r="G21" s="112" t="s">
        <v>173</v>
      </c>
      <c r="H21" s="167"/>
      <c r="I21" s="167"/>
      <c r="J21" s="167"/>
    </row>
    <row r="22" spans="1:10" x14ac:dyDescent="0.25">
      <c r="G22" s="112" t="s">
        <v>174</v>
      </c>
      <c r="H22" s="167"/>
      <c r="I22" s="167"/>
      <c r="J22" s="167"/>
    </row>
    <row r="23" spans="1:10" x14ac:dyDescent="0.25">
      <c r="A23" s="17" t="s">
        <v>659</v>
      </c>
      <c r="B23" s="15"/>
      <c r="C23" s="15"/>
      <c r="D23" s="15"/>
      <c r="E23" s="15"/>
      <c r="F23" s="15"/>
      <c r="G23" s="15"/>
      <c r="H23" s="15"/>
      <c r="I23" s="15"/>
      <c r="J23" s="15"/>
    </row>
    <row r="24" spans="1:10" x14ac:dyDescent="0.25">
      <c r="A24" s="16" t="s">
        <v>181</v>
      </c>
      <c r="B24" s="15"/>
      <c r="C24" s="15"/>
      <c r="D24" s="15"/>
      <c r="E24" s="15"/>
      <c r="F24" s="15"/>
      <c r="G24" s="15"/>
      <c r="H24" s="15"/>
      <c r="I24" s="15"/>
      <c r="J24" s="15"/>
    </row>
    <row r="25" spans="1:10" x14ac:dyDescent="0.25">
      <c r="A25" s="16" t="s">
        <v>182</v>
      </c>
      <c r="B25" s="15"/>
      <c r="C25" s="15"/>
      <c r="D25" s="15"/>
      <c r="E25" s="15"/>
      <c r="F25" s="15"/>
      <c r="G25" s="15"/>
      <c r="H25" s="15"/>
      <c r="I25" s="15"/>
      <c r="J25" s="15"/>
    </row>
    <row r="26" spans="1:10" ht="21" customHeight="1" x14ac:dyDescent="0.25">
      <c r="A26" s="17" t="s">
        <v>527</v>
      </c>
      <c r="B26" s="15"/>
      <c r="C26" s="15"/>
      <c r="D26" s="15"/>
      <c r="E26" s="15"/>
      <c r="F26" s="15"/>
      <c r="G26" s="15"/>
      <c r="H26" s="15"/>
      <c r="I26" s="15"/>
      <c r="J26" s="15"/>
    </row>
    <row r="27" spans="1:10" ht="19.5" customHeight="1" x14ac:dyDescent="0.25">
      <c r="A27" s="15" t="s">
        <v>183</v>
      </c>
      <c r="B27" s="15"/>
      <c r="C27" s="15"/>
      <c r="D27" s="15"/>
      <c r="E27" s="15"/>
      <c r="F27" s="15"/>
      <c r="G27" s="15"/>
      <c r="H27" s="15"/>
      <c r="I27" s="15"/>
      <c r="J27" s="15"/>
    </row>
    <row r="28" spans="1:10" ht="19.5" customHeight="1" x14ac:dyDescent="0.25">
      <c r="A28" s="15" t="s">
        <v>184</v>
      </c>
      <c r="B28" s="15"/>
      <c r="C28" s="15"/>
      <c r="D28" s="15"/>
      <c r="E28" s="15"/>
      <c r="F28" s="15"/>
      <c r="G28" s="15"/>
      <c r="H28" s="15"/>
      <c r="I28" s="15"/>
      <c r="J28" s="15"/>
    </row>
    <row r="29" spans="1:10" x14ac:dyDescent="0.25">
      <c r="A29" s="15" t="s">
        <v>185</v>
      </c>
      <c r="B29" s="15"/>
      <c r="C29" s="15"/>
      <c r="D29" s="15"/>
      <c r="E29" s="15"/>
      <c r="F29" s="15"/>
      <c r="G29" s="15"/>
      <c r="H29" s="15"/>
      <c r="I29" s="15"/>
      <c r="J29" s="15"/>
    </row>
    <row r="30" spans="1:10" ht="21" customHeight="1" x14ac:dyDescent="0.25">
      <c r="A30" s="15" t="s">
        <v>186</v>
      </c>
      <c r="B30" s="15"/>
      <c r="C30" s="15"/>
      <c r="D30" s="15"/>
      <c r="E30" s="15"/>
      <c r="F30" s="15"/>
      <c r="G30" s="15"/>
      <c r="H30" s="15"/>
      <c r="I30" s="15"/>
      <c r="J30" s="15"/>
    </row>
    <row r="31" spans="1:10" x14ac:dyDescent="0.25">
      <c r="A31" s="15" t="s">
        <v>187</v>
      </c>
      <c r="B31" s="15"/>
      <c r="C31" s="15"/>
      <c r="D31" s="15"/>
      <c r="E31" s="15"/>
      <c r="F31" s="15"/>
      <c r="G31" s="15"/>
      <c r="H31" s="15"/>
      <c r="I31" s="15"/>
      <c r="J31" s="15"/>
    </row>
    <row r="32" spans="1:10" ht="20.25" customHeight="1" x14ac:dyDescent="0.25">
      <c r="A32" s="15" t="s">
        <v>188</v>
      </c>
      <c r="B32" s="15"/>
      <c r="C32" s="15"/>
      <c r="D32" s="15"/>
      <c r="E32" s="15"/>
      <c r="F32" s="15"/>
      <c r="G32" s="15"/>
      <c r="H32" s="15"/>
      <c r="I32" s="15"/>
      <c r="J32" s="15"/>
    </row>
    <row r="33" spans="1:10" x14ac:dyDescent="0.25">
      <c r="A33" s="15"/>
      <c r="B33" s="16" t="s">
        <v>189</v>
      </c>
      <c r="C33" s="15"/>
      <c r="D33" s="15"/>
      <c r="E33" s="15"/>
      <c r="F33" s="15"/>
      <c r="G33" s="15"/>
      <c r="H33" s="15"/>
      <c r="I33" s="15"/>
      <c r="J33" s="15"/>
    </row>
    <row r="34" spans="1:10" x14ac:dyDescent="0.25">
      <c r="A34" s="15"/>
      <c r="B34" s="15" t="s">
        <v>190</v>
      </c>
      <c r="C34" s="15"/>
      <c r="D34" s="15"/>
      <c r="E34" s="15"/>
      <c r="F34" s="15"/>
      <c r="G34" s="15"/>
      <c r="H34" s="15"/>
      <c r="I34" s="15"/>
      <c r="J34" s="15"/>
    </row>
    <row r="35" spans="1:10" ht="18.75" customHeight="1" x14ac:dyDescent="0.25">
      <c r="A35" s="15" t="s">
        <v>191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 ht="21" customHeight="1" x14ac:dyDescent="0.25">
      <c r="A36" s="15" t="s">
        <v>192</v>
      </c>
      <c r="B36" s="15"/>
      <c r="C36" s="15"/>
      <c r="D36" s="15"/>
      <c r="E36" s="15"/>
      <c r="F36" s="15"/>
      <c r="G36" s="15"/>
      <c r="H36" s="15"/>
      <c r="I36" s="15"/>
      <c r="J36" s="15"/>
    </row>
    <row r="37" spans="1:10" ht="19.5" customHeight="1" x14ac:dyDescent="0.25">
      <c r="A37" s="15" t="s">
        <v>193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 t="s">
        <v>194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 ht="19.5" customHeight="1" x14ac:dyDescent="0.25">
      <c r="A39" s="15" t="s">
        <v>214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ht="21" customHeight="1" x14ac:dyDescent="0.25">
      <c r="A40" s="15" t="s">
        <v>195</v>
      </c>
      <c r="B40" s="15"/>
      <c r="C40" s="15"/>
      <c r="D40" s="15"/>
      <c r="E40" s="15"/>
      <c r="F40" s="15"/>
      <c r="G40" s="15"/>
      <c r="H40" s="15"/>
      <c r="I40" s="15"/>
      <c r="J40" s="15"/>
    </row>
    <row r="42" spans="1:10" x14ac:dyDescent="0.25">
      <c r="B42"/>
      <c r="C42"/>
    </row>
    <row r="43" spans="1:10" ht="16.5" thickBot="1" x14ac:dyDescent="0.3">
      <c r="B43"/>
      <c r="C43"/>
    </row>
    <row r="44" spans="1:10" ht="32.25" thickTop="1" x14ac:dyDescent="0.25">
      <c r="A44" s="20" t="s">
        <v>146</v>
      </c>
      <c r="B44" s="21" t="s">
        <v>147</v>
      </c>
      <c r="C44" s="21" t="s">
        <v>148</v>
      </c>
      <c r="D44" s="21" t="s">
        <v>149</v>
      </c>
      <c r="E44" s="21" t="s">
        <v>150</v>
      </c>
      <c r="F44" s="22" t="s">
        <v>196</v>
      </c>
      <c r="G44" s="22" t="s">
        <v>197</v>
      </c>
      <c r="H44" s="21" t="s">
        <v>151</v>
      </c>
      <c r="I44" s="21" t="s">
        <v>152</v>
      </c>
      <c r="J44" s="23" t="s">
        <v>198</v>
      </c>
    </row>
    <row r="45" spans="1:10" x14ac:dyDescent="0.25">
      <c r="A45" s="35" t="s">
        <v>312</v>
      </c>
      <c r="B45" s="36" t="s">
        <v>17</v>
      </c>
      <c r="C45" s="36" t="s">
        <v>163</v>
      </c>
      <c r="D45" s="37">
        <v>38961</v>
      </c>
      <c r="E45" s="37">
        <v>38965</v>
      </c>
      <c r="F45" s="27">
        <v>5</v>
      </c>
      <c r="G45" s="25">
        <v>200</v>
      </c>
      <c r="H45" s="25">
        <v>75000</v>
      </c>
      <c r="I45" s="25">
        <v>10</v>
      </c>
      <c r="J45" s="26">
        <v>75210</v>
      </c>
    </row>
    <row r="46" spans="1:10" x14ac:dyDescent="0.25">
      <c r="A46" s="35" t="s">
        <v>317</v>
      </c>
      <c r="B46" s="36" t="s">
        <v>17</v>
      </c>
      <c r="C46" s="36" t="s">
        <v>220</v>
      </c>
      <c r="D46" s="37">
        <v>38970</v>
      </c>
      <c r="E46" s="37">
        <v>38975</v>
      </c>
      <c r="F46" s="27">
        <v>6</v>
      </c>
      <c r="G46" s="25">
        <v>210</v>
      </c>
      <c r="H46" s="25">
        <v>60000</v>
      </c>
      <c r="I46" s="25">
        <v>12</v>
      </c>
      <c r="J46" s="26">
        <v>60222</v>
      </c>
    </row>
    <row r="47" spans="1:10" x14ac:dyDescent="0.25">
      <c r="A47" s="35" t="s">
        <v>154</v>
      </c>
      <c r="B47" s="36" t="s">
        <v>17</v>
      </c>
      <c r="C47" s="36" t="s">
        <v>165</v>
      </c>
      <c r="D47" s="37">
        <v>38970</v>
      </c>
      <c r="E47" s="37">
        <v>38974</v>
      </c>
      <c r="F47" s="27">
        <v>5</v>
      </c>
      <c r="G47" s="25">
        <v>125</v>
      </c>
      <c r="H47" s="25">
        <v>75000</v>
      </c>
      <c r="I47" s="25">
        <v>10</v>
      </c>
      <c r="J47" s="26">
        <v>75135</v>
      </c>
    </row>
    <row r="48" spans="1:10" ht="16.5" thickBot="1" x14ac:dyDescent="0.3">
      <c r="A48" s="38" t="s">
        <v>156</v>
      </c>
      <c r="B48" s="39" t="s">
        <v>160</v>
      </c>
      <c r="C48" s="39" t="s">
        <v>169</v>
      </c>
      <c r="D48" s="40">
        <v>38966</v>
      </c>
      <c r="E48" s="40">
        <v>38969</v>
      </c>
      <c r="F48" s="28">
        <v>4</v>
      </c>
      <c r="G48" s="29">
        <v>100</v>
      </c>
      <c r="H48" s="29">
        <v>40000</v>
      </c>
      <c r="I48" s="29">
        <v>8</v>
      </c>
      <c r="J48" s="30">
        <v>40108</v>
      </c>
    </row>
    <row r="49" ht="16.5" thickTop="1" x14ac:dyDescent="0.25"/>
  </sheetData>
  <mergeCells count="8">
    <mergeCell ref="A2:J2"/>
    <mergeCell ref="A18:B18"/>
    <mergeCell ref="A19:B19"/>
    <mergeCell ref="A20:B20"/>
    <mergeCell ref="C16:C17"/>
    <mergeCell ref="D16:D17"/>
    <mergeCell ref="E16:E17"/>
    <mergeCell ref="G19:J19"/>
  </mergeCells>
  <phoneticPr fontId="2" type="noConversion"/>
  <pageMargins left="0.25" right="0.25" top="0.75" bottom="0.75" header="0.3" footer="0.3"/>
  <pageSetup paperSize="9" fitToWidth="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2"/>
  <sheetViews>
    <sheetView workbookViewId="0">
      <selection activeCell="E6" sqref="E6"/>
    </sheetView>
  </sheetViews>
  <sheetFormatPr defaultColWidth="9.140625" defaultRowHeight="15.75" x14ac:dyDescent="0.25"/>
  <cols>
    <col min="1" max="1" width="8.7109375" style="61" customWidth="1"/>
    <col min="2" max="2" width="21" style="61" customWidth="1"/>
    <col min="3" max="3" width="10.28515625" style="61" customWidth="1"/>
    <col min="4" max="4" width="20.5703125" style="61" customWidth="1"/>
    <col min="5" max="5" width="13.7109375" style="61" customWidth="1"/>
    <col min="6" max="6" width="21.5703125" style="61" customWidth="1"/>
    <col min="7" max="7" width="11.5703125" style="61" customWidth="1"/>
    <col min="8" max="8" width="21.28515625" style="61" customWidth="1"/>
    <col min="9" max="9" width="12.5703125" style="61" customWidth="1"/>
    <col min="10" max="14" width="9.140625" style="61"/>
    <col min="15" max="15" width="5.28515625" style="61" customWidth="1"/>
    <col min="16" max="16384" width="9.140625" style="61"/>
  </cols>
  <sheetData>
    <row r="1" spans="1:13" x14ac:dyDescent="0.25">
      <c r="A1" s="76" t="s">
        <v>335</v>
      </c>
      <c r="B1" s="85"/>
      <c r="C1" s="85"/>
      <c r="D1" s="85"/>
      <c r="E1" s="284"/>
      <c r="F1" s="73"/>
      <c r="G1" s="71"/>
      <c r="H1" s="71"/>
      <c r="I1" s="71"/>
      <c r="J1" s="71"/>
      <c r="K1" s="71"/>
      <c r="L1" s="71"/>
      <c r="M1" s="71"/>
    </row>
    <row r="2" spans="1:13" x14ac:dyDescent="0.25">
      <c r="A2" s="61" t="s">
        <v>286</v>
      </c>
    </row>
    <row r="3" spans="1:13" ht="16.5" thickBot="1" x14ac:dyDescent="0.3">
      <c r="A3" s="305" t="s">
        <v>294</v>
      </c>
      <c r="B3" s="305"/>
      <c r="C3" s="305"/>
      <c r="D3" s="305"/>
      <c r="E3" s="305"/>
      <c r="F3" s="305"/>
      <c r="G3" s="85"/>
      <c r="H3" s="292"/>
      <c r="J3" s="13"/>
      <c r="K3" s="13"/>
    </row>
    <row r="4" spans="1:13" ht="16.5" thickBot="1" x14ac:dyDescent="0.3">
      <c r="D4" s="78"/>
      <c r="E4" s="71"/>
      <c r="J4" s="13"/>
    </row>
    <row r="5" spans="1:13" ht="48" thickTop="1" x14ac:dyDescent="0.25">
      <c r="A5" s="79" t="s">
        <v>336</v>
      </c>
      <c r="B5" s="80" t="s">
        <v>337</v>
      </c>
      <c r="C5" s="80" t="s">
        <v>338</v>
      </c>
      <c r="D5" s="80" t="s">
        <v>339</v>
      </c>
      <c r="E5" s="80" t="s">
        <v>340</v>
      </c>
      <c r="F5" s="81" t="s">
        <v>341</v>
      </c>
      <c r="G5" s="86"/>
      <c r="H5" s="293"/>
    </row>
    <row r="6" spans="1:13" x14ac:dyDescent="0.25">
      <c r="A6" s="65" t="s">
        <v>342</v>
      </c>
      <c r="B6" s="66" t="s">
        <v>350</v>
      </c>
      <c r="C6" s="66">
        <v>12</v>
      </c>
      <c r="D6" s="290">
        <v>2500000</v>
      </c>
      <c r="E6" s="83">
        <f>D6*C6*IF(C6&gt;10,5%,IF(AND(C6&gt;=8,C6&lt;=10),2%,IF(AND(C6&gt;=5,C6&lt;8),1%,IF(C6&lt;5,0))))</f>
        <v>1500000</v>
      </c>
      <c r="F6" s="84">
        <f>D6*C6-E6</f>
        <v>28500000</v>
      </c>
      <c r="G6" s="71"/>
      <c r="H6" s="293"/>
      <c r="I6" s="13"/>
    </row>
    <row r="7" spans="1:13" x14ac:dyDescent="0.25">
      <c r="A7" s="65" t="s">
        <v>343</v>
      </c>
      <c r="B7" s="66" t="s">
        <v>351</v>
      </c>
      <c r="C7" s="66">
        <v>4</v>
      </c>
      <c r="D7" s="290">
        <v>2500000</v>
      </c>
      <c r="E7" s="83">
        <f t="shared" ref="E7:E13" si="0">D7*C7*IF(C7&gt;10,5%,IF(AND(C7&gt;=8,C7&lt;=10),2%,IF(AND(C7&gt;=5,C7&lt;8),1%,IF(C7&lt;5,0))))</f>
        <v>0</v>
      </c>
      <c r="F7" s="84">
        <f t="shared" ref="F7:F13" si="1">D7*C7-E7</f>
        <v>10000000</v>
      </c>
      <c r="G7" s="71"/>
      <c r="H7" s="71"/>
      <c r="I7" s="13"/>
    </row>
    <row r="8" spans="1:13" x14ac:dyDescent="0.25">
      <c r="A8" s="65" t="s">
        <v>344</v>
      </c>
      <c r="B8" s="66" t="s">
        <v>352</v>
      </c>
      <c r="C8" s="66">
        <v>5</v>
      </c>
      <c r="D8" s="290">
        <v>3000000</v>
      </c>
      <c r="E8" s="83">
        <f t="shared" si="0"/>
        <v>150000</v>
      </c>
      <c r="F8" s="84">
        <f t="shared" si="1"/>
        <v>14850000</v>
      </c>
      <c r="G8" s="71"/>
      <c r="H8" s="71"/>
    </row>
    <row r="9" spans="1:13" x14ac:dyDescent="0.25">
      <c r="A9" s="65" t="s">
        <v>345</v>
      </c>
      <c r="B9" s="66" t="s">
        <v>353</v>
      </c>
      <c r="C9" s="66">
        <v>8</v>
      </c>
      <c r="D9" s="290">
        <v>1500000</v>
      </c>
      <c r="E9" s="83">
        <f t="shared" si="0"/>
        <v>240000</v>
      </c>
      <c r="F9" s="84">
        <f t="shared" si="1"/>
        <v>11760000</v>
      </c>
      <c r="G9" s="71"/>
      <c r="H9" s="71"/>
    </row>
    <row r="10" spans="1:13" x14ac:dyDescent="0.25">
      <c r="A10" s="65" t="s">
        <v>346</v>
      </c>
      <c r="B10" s="66" t="s">
        <v>354</v>
      </c>
      <c r="C10" s="66">
        <v>9</v>
      </c>
      <c r="D10" s="290">
        <v>5000000</v>
      </c>
      <c r="E10" s="83">
        <f t="shared" si="0"/>
        <v>900000</v>
      </c>
      <c r="F10" s="84">
        <f t="shared" si="1"/>
        <v>44100000</v>
      </c>
      <c r="G10" s="71"/>
      <c r="H10" s="71"/>
    </row>
    <row r="11" spans="1:13" x14ac:dyDescent="0.25">
      <c r="A11" s="65" t="s">
        <v>347</v>
      </c>
      <c r="B11" s="66" t="s">
        <v>355</v>
      </c>
      <c r="C11" s="66">
        <v>1</v>
      </c>
      <c r="D11" s="290">
        <v>4500000</v>
      </c>
      <c r="E11" s="83">
        <f t="shared" si="0"/>
        <v>0</v>
      </c>
      <c r="F11" s="84">
        <f t="shared" si="1"/>
        <v>4500000</v>
      </c>
      <c r="G11" s="71"/>
      <c r="H11" s="71"/>
    </row>
    <row r="12" spans="1:13" x14ac:dyDescent="0.25">
      <c r="A12" s="65" t="s">
        <v>348</v>
      </c>
      <c r="B12" s="66" t="s">
        <v>356</v>
      </c>
      <c r="C12" s="66">
        <v>8</v>
      </c>
      <c r="D12" s="290">
        <v>5550000</v>
      </c>
      <c r="E12" s="83">
        <f t="shared" si="0"/>
        <v>888000</v>
      </c>
      <c r="F12" s="84">
        <f t="shared" si="1"/>
        <v>43512000</v>
      </c>
      <c r="G12" s="71"/>
      <c r="H12" s="71"/>
    </row>
    <row r="13" spans="1:13" x14ac:dyDescent="0.25">
      <c r="A13" s="65" t="s">
        <v>349</v>
      </c>
      <c r="B13" s="66" t="s">
        <v>357</v>
      </c>
      <c r="C13" s="90">
        <v>12</v>
      </c>
      <c r="D13" s="291">
        <v>6000000</v>
      </c>
      <c r="E13" s="83">
        <f t="shared" si="0"/>
        <v>3600000</v>
      </c>
      <c r="F13" s="84">
        <f t="shared" si="1"/>
        <v>68400000</v>
      </c>
      <c r="G13" s="71"/>
      <c r="H13" s="71"/>
    </row>
    <row r="14" spans="1:13" ht="16.5" thickBot="1" x14ac:dyDescent="0.3">
      <c r="A14" s="303" t="s">
        <v>285</v>
      </c>
      <c r="B14" s="304"/>
      <c r="C14" s="304"/>
      <c r="D14" s="304"/>
      <c r="E14" s="83">
        <f>SUM(E6:E13)</f>
        <v>7278000</v>
      </c>
      <c r="F14" s="91">
        <f>SUM(F6:F13)</f>
        <v>225622000</v>
      </c>
      <c r="H14" s="71"/>
    </row>
    <row r="15" spans="1:13" ht="16.5" thickTop="1" x14ac:dyDescent="0.25">
      <c r="A15" s="87" t="s">
        <v>287</v>
      </c>
      <c r="B15" s="88"/>
      <c r="C15" s="88"/>
      <c r="D15" s="88"/>
      <c r="E15" s="88"/>
      <c r="F15" s="88"/>
      <c r="G15" s="88"/>
    </row>
    <row r="16" spans="1:13" x14ac:dyDescent="0.25">
      <c r="A16" s="88" t="s">
        <v>358</v>
      </c>
      <c r="B16" s="88"/>
      <c r="C16" s="88"/>
      <c r="D16" s="88"/>
      <c r="E16" s="88"/>
      <c r="F16" s="88"/>
      <c r="G16" s="88"/>
    </row>
    <row r="17" spans="1:26" x14ac:dyDescent="0.25">
      <c r="A17" s="88" t="s">
        <v>359</v>
      </c>
      <c r="B17" s="88"/>
      <c r="C17" s="88"/>
      <c r="D17" s="88"/>
      <c r="E17" s="88"/>
      <c r="F17" s="88"/>
      <c r="G17" s="88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spans="1:26" x14ac:dyDescent="0.25">
      <c r="A18" s="88" t="s">
        <v>360</v>
      </c>
      <c r="B18" s="88"/>
      <c r="C18" s="88"/>
      <c r="D18" s="88"/>
      <c r="E18" s="88"/>
      <c r="F18" s="88"/>
      <c r="G18" s="88"/>
    </row>
    <row r="19" spans="1:26" x14ac:dyDescent="0.25">
      <c r="A19" s="88" t="s">
        <v>361</v>
      </c>
      <c r="B19" s="88"/>
      <c r="C19" s="88"/>
      <c r="D19" s="88"/>
      <c r="E19" s="88"/>
      <c r="F19" s="88"/>
      <c r="G19" s="88"/>
    </row>
    <row r="20" spans="1:26" x14ac:dyDescent="0.25">
      <c r="A20" s="88" t="s">
        <v>362</v>
      </c>
      <c r="B20" s="88"/>
      <c r="C20" s="88"/>
      <c r="D20" s="88"/>
      <c r="E20" s="88"/>
      <c r="F20" s="88"/>
      <c r="G20" s="88"/>
    </row>
    <row r="21" spans="1:26" x14ac:dyDescent="0.25">
      <c r="A21" s="88" t="s">
        <v>241</v>
      </c>
      <c r="B21" s="88"/>
      <c r="C21" s="88"/>
      <c r="D21" s="88"/>
      <c r="E21" s="88"/>
      <c r="F21" s="88"/>
      <c r="G21" s="88"/>
    </row>
    <row r="22" spans="1:26" ht="18.75" x14ac:dyDescent="0.3">
      <c r="C22" s="289"/>
      <c r="D22" s="1"/>
      <c r="E22" s="1"/>
      <c r="F22" s="1"/>
      <c r="G22" s="1"/>
      <c r="H22" s="1"/>
    </row>
  </sheetData>
  <mergeCells count="2">
    <mergeCell ref="A14:D14"/>
    <mergeCell ref="A3:F3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workbookViewId="0">
      <selection activeCell="E21" sqref="E21"/>
    </sheetView>
  </sheetViews>
  <sheetFormatPr defaultColWidth="9.140625" defaultRowHeight="15.75" x14ac:dyDescent="0.25"/>
  <cols>
    <col min="1" max="1" width="9.85546875" style="61" customWidth="1"/>
    <col min="2" max="2" width="9.42578125" style="61" customWidth="1"/>
    <col min="3" max="3" width="16.85546875" style="61" customWidth="1"/>
    <col min="4" max="5" width="13.28515625" style="61" customWidth="1"/>
    <col min="6" max="6" width="19.42578125" style="61" customWidth="1"/>
    <col min="7" max="7" width="11.5703125" style="61" customWidth="1"/>
    <col min="8" max="8" width="14.42578125" style="61" customWidth="1"/>
    <col min="9" max="16384" width="9.140625" style="61"/>
  </cols>
  <sheetData>
    <row r="1" spans="1:13" x14ac:dyDescent="0.25">
      <c r="A1" s="76" t="s">
        <v>363</v>
      </c>
      <c r="B1" s="77"/>
      <c r="C1" s="77"/>
      <c r="D1" s="77"/>
      <c r="E1" s="77"/>
      <c r="F1" s="284"/>
      <c r="G1" s="73"/>
      <c r="H1" s="71"/>
      <c r="I1" s="71"/>
      <c r="J1" s="71"/>
      <c r="K1" s="71"/>
      <c r="L1" s="71"/>
      <c r="M1" s="71"/>
    </row>
    <row r="2" spans="1:13" ht="18.75" x14ac:dyDescent="0.3">
      <c r="A2" s="61" t="s">
        <v>286</v>
      </c>
      <c r="F2" s="289"/>
      <c r="G2" s="1"/>
      <c r="H2" s="1"/>
      <c r="I2" s="1"/>
      <c r="J2" s="1"/>
      <c r="K2" s="1"/>
    </row>
    <row r="3" spans="1:13" x14ac:dyDescent="0.25">
      <c r="A3" s="296" t="s">
        <v>364</v>
      </c>
      <c r="B3" s="296"/>
      <c r="C3" s="296"/>
      <c r="D3" s="296"/>
      <c r="E3" s="296"/>
      <c r="F3" s="296"/>
      <c r="G3" s="85"/>
      <c r="H3" s="85"/>
    </row>
    <row r="4" spans="1:13" ht="31.5" x14ac:dyDescent="0.25">
      <c r="A4" s="92" t="s">
        <v>336</v>
      </c>
      <c r="B4" s="92" t="s">
        <v>365</v>
      </c>
      <c r="C4" s="92" t="s">
        <v>366</v>
      </c>
      <c r="D4" s="92" t="s">
        <v>339</v>
      </c>
      <c r="E4" s="92" t="s">
        <v>367</v>
      </c>
      <c r="F4" s="123" t="s">
        <v>368</v>
      </c>
      <c r="G4" s="86"/>
      <c r="H4" s="86"/>
    </row>
    <row r="5" spans="1:13" x14ac:dyDescent="0.25">
      <c r="A5" s="66" t="s">
        <v>369</v>
      </c>
      <c r="B5" s="66">
        <v>1000</v>
      </c>
      <c r="C5" s="213">
        <f>IF(LEFT(A5,1)="A",60%*B5,IF(LEFT(A5,1)="B",70%*B5))</f>
        <v>600</v>
      </c>
      <c r="D5" s="213">
        <f>IF(RIGHT(A5,1)="Y",110000,IF(RIGHT(A5,1)="N",135000))</f>
        <v>110000</v>
      </c>
      <c r="E5" s="213">
        <f>C5*D5</f>
        <v>66000000</v>
      </c>
      <c r="F5" s="132">
        <f>E5*IF(AND(LEFT(A5,1)="A",IF(RIGHT(A5,1)="Y",8%,11%)),IF(RIGHT(A5,1)="Y",17%,22%))</f>
        <v>11220000</v>
      </c>
      <c r="G5" s="71"/>
      <c r="H5" s="13"/>
    </row>
    <row r="6" spans="1:13" x14ac:dyDescent="0.25">
      <c r="A6" s="66" t="s">
        <v>370</v>
      </c>
      <c r="B6" s="66">
        <v>2500</v>
      </c>
      <c r="C6" s="213">
        <f t="shared" ref="C6:C9" si="0">IF(LEFT(A6,1)="A",60%*B6,IF(LEFT(A6,1)="B",70%*B6))</f>
        <v>1750</v>
      </c>
      <c r="D6" s="213">
        <f t="shared" ref="D6:D9" si="1">IF(RIGHT(A6,1)="Y",110000,IF(RIGHT(A6,1)="N",135000))</f>
        <v>135000</v>
      </c>
      <c r="E6" s="213">
        <f t="shared" ref="E6:E9" si="2">C6*D6</f>
        <v>236250000</v>
      </c>
      <c r="F6" s="132">
        <f t="shared" ref="F6:F9" si="3">E6*IF(AND(LEFT(A6,1)="A",IF(RIGHT(A6,1)="Y",8%,11%)),IF(RIGHT(A6,1)="Y",17%,22%))</f>
        <v>0</v>
      </c>
      <c r="G6" s="71"/>
      <c r="H6" s="14"/>
    </row>
    <row r="7" spans="1:13" x14ac:dyDescent="0.25">
      <c r="A7" s="66" t="s">
        <v>371</v>
      </c>
      <c r="B7" s="66">
        <v>4582</v>
      </c>
      <c r="C7" s="213">
        <f t="shared" si="0"/>
        <v>3207.3999999999996</v>
      </c>
      <c r="D7" s="213">
        <f t="shared" si="1"/>
        <v>110000</v>
      </c>
      <c r="E7" s="213">
        <f t="shared" si="2"/>
        <v>352813999.99999994</v>
      </c>
      <c r="F7" s="132">
        <f t="shared" si="3"/>
        <v>0</v>
      </c>
      <c r="G7" s="71"/>
      <c r="H7" s="71"/>
    </row>
    <row r="8" spans="1:13" x14ac:dyDescent="0.25">
      <c r="A8" s="66" t="s">
        <v>372</v>
      </c>
      <c r="B8" s="66">
        <v>1400</v>
      </c>
      <c r="C8" s="213">
        <f t="shared" si="0"/>
        <v>840</v>
      </c>
      <c r="D8" s="213">
        <f t="shared" si="1"/>
        <v>135000</v>
      </c>
      <c r="E8" s="213">
        <f t="shared" si="2"/>
        <v>113400000</v>
      </c>
      <c r="F8" s="132">
        <f t="shared" si="3"/>
        <v>24948000</v>
      </c>
      <c r="G8" s="71"/>
      <c r="H8" s="71"/>
    </row>
    <row r="9" spans="1:13" x14ac:dyDescent="0.25">
      <c r="A9" s="66" t="s">
        <v>373</v>
      </c>
      <c r="B9" s="66">
        <v>1650</v>
      </c>
      <c r="C9" s="213">
        <f t="shared" si="0"/>
        <v>1155</v>
      </c>
      <c r="D9" s="213">
        <f t="shared" si="1"/>
        <v>110000</v>
      </c>
      <c r="E9" s="213">
        <f t="shared" si="2"/>
        <v>127050000</v>
      </c>
      <c r="F9" s="132">
        <f t="shared" si="3"/>
        <v>0</v>
      </c>
      <c r="G9" s="71"/>
      <c r="H9" s="71"/>
    </row>
    <row r="10" spans="1:13" x14ac:dyDescent="0.25">
      <c r="A10" s="82" t="s">
        <v>287</v>
      </c>
      <c r="B10" s="72"/>
      <c r="C10" s="72"/>
      <c r="D10" s="72"/>
      <c r="E10" s="72"/>
      <c r="F10" s="72"/>
      <c r="G10" s="72"/>
    </row>
    <row r="11" spans="1:13" ht="45.75" customHeight="1" x14ac:dyDescent="0.25">
      <c r="A11" s="306" t="s">
        <v>374</v>
      </c>
      <c r="B11" s="306"/>
      <c r="C11" s="306"/>
      <c r="D11" s="306"/>
      <c r="E11" s="306"/>
      <c r="F11" s="306"/>
      <c r="G11" s="72"/>
    </row>
    <row r="12" spans="1:13" ht="48" customHeight="1" x14ac:dyDescent="0.25">
      <c r="A12" s="306" t="s">
        <v>375</v>
      </c>
      <c r="B12" s="306"/>
      <c r="C12" s="306"/>
      <c r="D12" s="306"/>
      <c r="E12" s="306"/>
      <c r="F12" s="306"/>
      <c r="G12" s="72"/>
    </row>
    <row r="13" spans="1:13" x14ac:dyDescent="0.25">
      <c r="A13" s="72" t="s">
        <v>376</v>
      </c>
      <c r="B13" s="72"/>
      <c r="C13" s="72"/>
      <c r="D13" s="72"/>
      <c r="E13" s="72"/>
      <c r="F13" s="72"/>
      <c r="G13" s="72"/>
    </row>
    <row r="14" spans="1:13" ht="84" customHeight="1" x14ac:dyDescent="0.25">
      <c r="A14" s="307" t="s">
        <v>377</v>
      </c>
      <c r="B14" s="307"/>
      <c r="C14" s="307"/>
      <c r="D14" s="307"/>
      <c r="E14" s="307"/>
      <c r="F14" s="307"/>
      <c r="G14" s="307"/>
    </row>
    <row r="15" spans="1:13" x14ac:dyDescent="0.25">
      <c r="A15" s="72" t="s">
        <v>242</v>
      </c>
      <c r="B15" s="72"/>
      <c r="C15" s="72"/>
      <c r="D15" s="72"/>
      <c r="E15" s="72"/>
      <c r="F15" s="72"/>
      <c r="G15" s="72"/>
    </row>
  </sheetData>
  <mergeCells count="4">
    <mergeCell ref="A12:F12"/>
    <mergeCell ref="A14:G14"/>
    <mergeCell ref="A3:F3"/>
    <mergeCell ref="A11:F11"/>
  </mergeCells>
  <phoneticPr fontId="2" type="noConversion"/>
  <pageMargins left="1" right="0.75" top="0.5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4"/>
  <sheetViews>
    <sheetView workbookViewId="0">
      <selection activeCell="H7" sqref="H7:H11"/>
    </sheetView>
  </sheetViews>
  <sheetFormatPr defaultColWidth="9.140625" defaultRowHeight="15.75" x14ac:dyDescent="0.25"/>
  <cols>
    <col min="1" max="1" width="7.7109375" style="13" customWidth="1"/>
    <col min="2" max="2" width="20.85546875" style="13" bestFit="1" customWidth="1"/>
    <col min="3" max="3" width="8" style="13" customWidth="1"/>
    <col min="4" max="4" width="8.28515625" style="13" customWidth="1"/>
    <col min="5" max="5" width="10.28515625" style="13" customWidth="1"/>
    <col min="6" max="6" width="8.28515625" style="13" customWidth="1"/>
    <col min="7" max="7" width="7.28515625" style="13" customWidth="1"/>
    <col min="8" max="8" width="13.140625" style="13" customWidth="1"/>
    <col min="9" max="16384" width="9.140625" style="13"/>
  </cols>
  <sheetData>
    <row r="1" spans="1:9" x14ac:dyDescent="0.25">
      <c r="A1" s="96" t="s">
        <v>379</v>
      </c>
      <c r="B1" s="97"/>
      <c r="C1" s="97"/>
      <c r="D1" s="97"/>
      <c r="E1" s="97"/>
      <c r="F1" s="97"/>
      <c r="G1" s="97"/>
      <c r="H1" s="284"/>
      <c r="I1" s="73"/>
    </row>
    <row r="2" spans="1:9" x14ac:dyDescent="0.25">
      <c r="A2" s="14"/>
      <c r="B2" s="14"/>
      <c r="C2" s="14"/>
      <c r="D2" s="14"/>
      <c r="E2" s="14"/>
      <c r="F2" s="14"/>
    </row>
    <row r="3" spans="1:9" x14ac:dyDescent="0.25">
      <c r="A3" s="13" t="s">
        <v>286</v>
      </c>
    </row>
    <row r="4" spans="1:9" x14ac:dyDescent="0.25">
      <c r="A4" s="309" t="s">
        <v>381</v>
      </c>
      <c r="B4" s="309"/>
      <c r="C4" s="309"/>
      <c r="D4" s="309"/>
      <c r="E4" s="309"/>
      <c r="F4" s="309"/>
      <c r="G4" s="309"/>
      <c r="H4" s="309"/>
    </row>
    <row r="5" spans="1:9" ht="39" customHeight="1" x14ac:dyDescent="0.25">
      <c r="A5" s="308" t="s">
        <v>380</v>
      </c>
      <c r="B5" s="308" t="s">
        <v>401</v>
      </c>
      <c r="C5" s="308" t="s">
        <v>382</v>
      </c>
      <c r="D5" s="308"/>
      <c r="E5" s="310" t="s">
        <v>385</v>
      </c>
      <c r="F5" s="310" t="s">
        <v>386</v>
      </c>
      <c r="G5" s="308" t="s">
        <v>387</v>
      </c>
      <c r="H5" s="310" t="s">
        <v>388</v>
      </c>
    </row>
    <row r="6" spans="1:9" x14ac:dyDescent="0.25">
      <c r="A6" s="308"/>
      <c r="B6" s="308"/>
      <c r="C6" s="124" t="s">
        <v>383</v>
      </c>
      <c r="D6" s="124" t="s">
        <v>384</v>
      </c>
      <c r="E6" s="310"/>
      <c r="F6" s="310"/>
      <c r="G6" s="308"/>
      <c r="H6" s="310"/>
    </row>
    <row r="7" spans="1:9" x14ac:dyDescent="0.25">
      <c r="A7" s="102">
        <v>1</v>
      </c>
      <c r="B7" s="102" t="s">
        <v>389</v>
      </c>
      <c r="C7" s="102">
        <v>45</v>
      </c>
      <c r="D7" s="102">
        <v>75</v>
      </c>
      <c r="E7" s="125">
        <f>IF(C7&gt;10,C7/10,C7)</f>
        <v>4.5</v>
      </c>
      <c r="F7" s="125">
        <f>IF(D7&gt;10,D7/10,D7)</f>
        <v>7.5</v>
      </c>
      <c r="G7" s="125">
        <f>(E7+F7)/2</f>
        <v>6</v>
      </c>
      <c r="H7" s="125" t="str">
        <f>VLOOKUP(G7,$A$13:$B$17,2,1)</f>
        <v>Trung bình</v>
      </c>
    </row>
    <row r="8" spans="1:9" x14ac:dyDescent="0.25">
      <c r="A8" s="102">
        <v>2</v>
      </c>
      <c r="B8" s="102" t="s">
        <v>390</v>
      </c>
      <c r="C8" s="102">
        <v>4</v>
      </c>
      <c r="D8" s="102">
        <v>4.5</v>
      </c>
      <c r="E8" s="125">
        <f t="shared" ref="E8:E11" si="0">IF(C8&gt;10,C8/10,C8)</f>
        <v>4</v>
      </c>
      <c r="F8" s="125">
        <f t="shared" ref="F8:F11" si="1">IF(D8&gt;10,D8/10,D8)</f>
        <v>4.5</v>
      </c>
      <c r="G8" s="125">
        <f t="shared" ref="G8:G11" si="2">(E8+F8)/2</f>
        <v>4.25</v>
      </c>
      <c r="H8" s="125" t="str">
        <f t="shared" ref="H8:H11" si="3">VLOOKUP(G8,$A$13:$B$17,2,1)</f>
        <v>Rớt</v>
      </c>
    </row>
    <row r="9" spans="1:9" x14ac:dyDescent="0.25">
      <c r="A9" s="102">
        <v>3</v>
      </c>
      <c r="B9" s="102" t="s">
        <v>391</v>
      </c>
      <c r="C9" s="102">
        <v>56</v>
      </c>
      <c r="D9" s="102">
        <v>56</v>
      </c>
      <c r="E9" s="125">
        <f t="shared" si="0"/>
        <v>5.6</v>
      </c>
      <c r="F9" s="125">
        <f t="shared" si="1"/>
        <v>5.6</v>
      </c>
      <c r="G9" s="125">
        <f t="shared" si="2"/>
        <v>5.6</v>
      </c>
      <c r="H9" s="125" t="str">
        <f t="shared" si="3"/>
        <v>Trung bình</v>
      </c>
    </row>
    <row r="10" spans="1:9" x14ac:dyDescent="0.25">
      <c r="A10" s="102">
        <v>4</v>
      </c>
      <c r="B10" s="102" t="s">
        <v>392</v>
      </c>
      <c r="C10" s="102">
        <v>7.5</v>
      </c>
      <c r="D10" s="102">
        <v>6.5</v>
      </c>
      <c r="E10" s="125">
        <f t="shared" si="0"/>
        <v>7.5</v>
      </c>
      <c r="F10" s="125">
        <f t="shared" si="1"/>
        <v>6.5</v>
      </c>
      <c r="G10" s="125">
        <f t="shared" si="2"/>
        <v>7</v>
      </c>
      <c r="H10" s="125" t="str">
        <f t="shared" si="3"/>
        <v>Trung bình</v>
      </c>
    </row>
    <row r="11" spans="1:9" x14ac:dyDescent="0.25">
      <c r="A11" s="102">
        <v>5</v>
      </c>
      <c r="B11" s="102" t="s">
        <v>393</v>
      </c>
      <c r="C11" s="102">
        <v>89</v>
      </c>
      <c r="D11" s="102">
        <v>80</v>
      </c>
      <c r="E11" s="125">
        <f t="shared" si="0"/>
        <v>8.9</v>
      </c>
      <c r="F11" s="125">
        <f t="shared" si="1"/>
        <v>8</v>
      </c>
      <c r="G11" s="125">
        <f t="shared" si="2"/>
        <v>8.4499999999999993</v>
      </c>
      <c r="H11" s="125" t="str">
        <f t="shared" si="3"/>
        <v>Khá</v>
      </c>
    </row>
    <row r="12" spans="1:9" ht="18.75" x14ac:dyDescent="0.3">
      <c r="A12" s="309" t="s">
        <v>400</v>
      </c>
      <c r="B12" s="309"/>
      <c r="C12" s="289"/>
      <c r="D12" s="1"/>
      <c r="E12" s="1"/>
      <c r="F12" s="1"/>
      <c r="G12" s="1"/>
      <c r="H12" s="1"/>
    </row>
    <row r="13" spans="1:9" x14ac:dyDescent="0.25">
      <c r="A13" s="124" t="s">
        <v>394</v>
      </c>
      <c r="B13" s="124" t="s">
        <v>395</v>
      </c>
    </row>
    <row r="14" spans="1:9" x14ac:dyDescent="0.25">
      <c r="A14" s="49">
        <v>0</v>
      </c>
      <c r="B14" s="49" t="s">
        <v>396</v>
      </c>
    </row>
    <row r="15" spans="1:9" x14ac:dyDescent="0.25">
      <c r="A15" s="49">
        <v>5</v>
      </c>
      <c r="B15" s="49" t="s">
        <v>397</v>
      </c>
    </row>
    <row r="16" spans="1:9" x14ac:dyDescent="0.25">
      <c r="A16" s="49">
        <v>8</v>
      </c>
      <c r="B16" s="49" t="s">
        <v>398</v>
      </c>
    </row>
    <row r="17" spans="1:6" x14ac:dyDescent="0.25">
      <c r="A17" s="49">
        <v>10</v>
      </c>
      <c r="B17" s="49" t="s">
        <v>399</v>
      </c>
    </row>
    <row r="19" spans="1:6" x14ac:dyDescent="0.25">
      <c r="A19" s="107" t="s">
        <v>287</v>
      </c>
      <c r="B19" s="108"/>
      <c r="C19" s="108"/>
      <c r="D19" s="108"/>
      <c r="E19" s="108"/>
      <c r="F19" s="108"/>
    </row>
    <row r="20" spans="1:6" ht="18" customHeight="1" x14ac:dyDescent="0.25">
      <c r="A20" s="108" t="s">
        <v>202</v>
      </c>
      <c r="B20" s="108"/>
      <c r="C20" s="108"/>
      <c r="D20" s="108"/>
      <c r="E20" s="108"/>
      <c r="F20" s="108"/>
    </row>
    <row r="21" spans="1:6" ht="18.75" customHeight="1" x14ac:dyDescent="0.25">
      <c r="A21" s="108" t="s">
        <v>203</v>
      </c>
      <c r="B21" s="108"/>
      <c r="C21" s="108"/>
      <c r="D21" s="108"/>
      <c r="E21" s="108"/>
      <c r="F21" s="108"/>
    </row>
    <row r="22" spans="1:6" ht="18.75" customHeight="1" x14ac:dyDescent="0.25">
      <c r="A22" s="108" t="s">
        <v>204</v>
      </c>
      <c r="B22" s="108"/>
      <c r="C22" s="108"/>
      <c r="D22" s="108"/>
      <c r="E22" s="108"/>
      <c r="F22" s="108"/>
    </row>
    <row r="23" spans="1:6" ht="18.75" customHeight="1" x14ac:dyDescent="0.25">
      <c r="A23" s="108" t="s">
        <v>205</v>
      </c>
      <c r="B23" s="108"/>
      <c r="C23" s="108"/>
      <c r="D23" s="108"/>
      <c r="E23" s="108"/>
      <c r="F23" s="108"/>
    </row>
    <row r="24" spans="1:6" ht="19.5" customHeight="1" x14ac:dyDescent="0.25">
      <c r="A24" s="108" t="s">
        <v>245</v>
      </c>
      <c r="B24" s="108"/>
      <c r="C24" s="108"/>
      <c r="D24" s="108"/>
      <c r="E24" s="108"/>
      <c r="F24" s="108"/>
    </row>
  </sheetData>
  <mergeCells count="9">
    <mergeCell ref="C5:D5"/>
    <mergeCell ref="A12:B12"/>
    <mergeCell ref="A4:H4"/>
    <mergeCell ref="A5:A6"/>
    <mergeCell ref="B5:B6"/>
    <mergeCell ref="E5:E6"/>
    <mergeCell ref="F5:F6"/>
    <mergeCell ref="G5:G6"/>
    <mergeCell ref="H5:H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6"/>
  <sheetViews>
    <sheetView workbookViewId="0">
      <selection activeCell="H11" sqref="H11"/>
    </sheetView>
  </sheetViews>
  <sheetFormatPr defaultColWidth="9.140625" defaultRowHeight="15.75" x14ac:dyDescent="0.25"/>
  <cols>
    <col min="1" max="1" width="16.5703125" style="13" customWidth="1"/>
    <col min="2" max="2" width="10.42578125" style="13" customWidth="1"/>
    <col min="3" max="3" width="9.85546875" style="13" customWidth="1"/>
    <col min="4" max="4" width="23.140625" style="13" customWidth="1"/>
    <col min="5" max="5" width="15.7109375" style="13" customWidth="1"/>
    <col min="6" max="6" width="11" style="13" customWidth="1"/>
    <col min="7" max="8" width="14.5703125" style="13" customWidth="1"/>
    <col min="9" max="16384" width="9.140625" style="13"/>
  </cols>
  <sheetData>
    <row r="1" spans="1:9" x14ac:dyDescent="0.25">
      <c r="A1" s="126" t="s">
        <v>402</v>
      </c>
      <c r="B1" s="127"/>
      <c r="C1" s="127"/>
      <c r="D1" s="127"/>
      <c r="E1" s="127"/>
      <c r="F1" s="127"/>
      <c r="G1" s="284"/>
      <c r="H1" s="73"/>
    </row>
    <row r="2" spans="1:9" ht="16.5" thickBot="1" x14ac:dyDescent="0.3">
      <c r="A2" s="311" t="s">
        <v>515</v>
      </c>
      <c r="B2" s="311"/>
      <c r="C2" s="311"/>
      <c r="D2" s="311"/>
      <c r="E2" s="311"/>
      <c r="F2" s="311"/>
      <c r="G2" s="311"/>
      <c r="H2" s="311"/>
    </row>
    <row r="3" spans="1:9" ht="32.25" thickTop="1" x14ac:dyDescent="0.25">
      <c r="A3" s="95" t="s">
        <v>516</v>
      </c>
      <c r="B3" s="128" t="s">
        <v>517</v>
      </c>
      <c r="C3" s="128" t="s">
        <v>338</v>
      </c>
      <c r="D3" s="129" t="s">
        <v>518</v>
      </c>
      <c r="E3" s="128" t="s">
        <v>519</v>
      </c>
      <c r="F3" s="128" t="s">
        <v>368</v>
      </c>
      <c r="G3" s="128" t="s">
        <v>520</v>
      </c>
      <c r="H3" s="130" t="s">
        <v>367</v>
      </c>
    </row>
    <row r="4" spans="1:9" x14ac:dyDescent="0.25">
      <c r="A4" s="131" t="s">
        <v>521</v>
      </c>
      <c r="B4" s="48" t="s">
        <v>446</v>
      </c>
      <c r="C4" s="50">
        <v>25</v>
      </c>
      <c r="D4" s="294">
        <v>400000</v>
      </c>
      <c r="E4" s="132">
        <f>C4*D4</f>
        <v>10000000</v>
      </c>
      <c r="F4" s="132">
        <f>IF(B4="A",10%,IF(B4="B",20%,IF(B4="C",30%,0)*E4))</f>
        <v>0.1</v>
      </c>
      <c r="G4" s="132">
        <f>($E$10/$C$10)*C4*10%</f>
        <v>12659883.720930234</v>
      </c>
      <c r="H4" s="133">
        <f>E4+F4+G4</f>
        <v>22659883.820930235</v>
      </c>
    </row>
    <row r="5" spans="1:9" x14ac:dyDescent="0.25">
      <c r="A5" s="131" t="s">
        <v>522</v>
      </c>
      <c r="B5" s="48" t="s">
        <v>447</v>
      </c>
      <c r="C5" s="50">
        <v>45</v>
      </c>
      <c r="D5" s="294">
        <v>700000</v>
      </c>
      <c r="E5" s="132">
        <f t="shared" ref="E5:E9" si="0">C5*D5</f>
        <v>31500000</v>
      </c>
      <c r="F5" s="132">
        <f t="shared" ref="F5:F9" si="1">IF(B5="A",10%,IF(B5="B",20%,IF(B5="C",30%,0)*E5))</f>
        <v>0.2</v>
      </c>
      <c r="G5" s="132">
        <f t="shared" ref="G5:G9" si="2">($E$10/$C$10)*C5*10%</f>
        <v>22787790.69767442</v>
      </c>
      <c r="H5" s="133">
        <f t="shared" ref="H5:H9" si="3">E5+F5+G5</f>
        <v>54287790.897674419</v>
      </c>
    </row>
    <row r="6" spans="1:9" x14ac:dyDescent="0.25">
      <c r="A6" s="131" t="s">
        <v>526</v>
      </c>
      <c r="B6" s="48" t="s">
        <v>448</v>
      </c>
      <c r="C6" s="50">
        <v>55</v>
      </c>
      <c r="D6" s="294">
        <v>8000000</v>
      </c>
      <c r="E6" s="132">
        <f t="shared" si="0"/>
        <v>440000000</v>
      </c>
      <c r="F6" s="132">
        <f t="shared" si="1"/>
        <v>132000000</v>
      </c>
      <c r="G6" s="132">
        <f t="shared" si="2"/>
        <v>27851744.186046511</v>
      </c>
      <c r="H6" s="133">
        <f t="shared" si="3"/>
        <v>599851744.18604648</v>
      </c>
    </row>
    <row r="7" spans="1:9" x14ac:dyDescent="0.25">
      <c r="A7" s="131" t="s">
        <v>525</v>
      </c>
      <c r="B7" s="48" t="s">
        <v>447</v>
      </c>
      <c r="C7" s="50">
        <v>64</v>
      </c>
      <c r="D7" s="294">
        <v>7000000</v>
      </c>
      <c r="E7" s="132">
        <f t="shared" si="0"/>
        <v>448000000</v>
      </c>
      <c r="F7" s="132">
        <f t="shared" si="1"/>
        <v>0.2</v>
      </c>
      <c r="G7" s="132">
        <f t="shared" si="2"/>
        <v>32409302.325581398</v>
      </c>
      <c r="H7" s="133">
        <f t="shared" si="3"/>
        <v>480409302.52558136</v>
      </c>
    </row>
    <row r="8" spans="1:9" x14ac:dyDescent="0.25">
      <c r="A8" s="131" t="s">
        <v>523</v>
      </c>
      <c r="B8" s="48" t="s">
        <v>524</v>
      </c>
      <c r="C8" s="50">
        <v>75</v>
      </c>
      <c r="D8" s="294">
        <v>5500000</v>
      </c>
      <c r="E8" s="132">
        <f t="shared" si="0"/>
        <v>412500000</v>
      </c>
      <c r="F8" s="132">
        <f t="shared" si="1"/>
        <v>0</v>
      </c>
      <c r="G8" s="132">
        <f t="shared" si="2"/>
        <v>37979651.162790701</v>
      </c>
      <c r="H8" s="133">
        <f t="shared" si="3"/>
        <v>450479651.16279072</v>
      </c>
    </row>
    <row r="9" spans="1:9" x14ac:dyDescent="0.25">
      <c r="A9" s="131" t="s">
        <v>283</v>
      </c>
      <c r="B9" s="48" t="s">
        <v>446</v>
      </c>
      <c r="C9" s="50">
        <v>80</v>
      </c>
      <c r="D9" s="294">
        <v>5000000</v>
      </c>
      <c r="E9" s="132">
        <f t="shared" si="0"/>
        <v>400000000</v>
      </c>
      <c r="F9" s="132">
        <f t="shared" si="1"/>
        <v>0.1</v>
      </c>
      <c r="G9" s="132">
        <f t="shared" si="2"/>
        <v>40511627.906976752</v>
      </c>
      <c r="H9" s="133">
        <f t="shared" si="3"/>
        <v>440511628.00697678</v>
      </c>
    </row>
    <row r="10" spans="1:9" ht="16.5" thickBot="1" x14ac:dyDescent="0.3">
      <c r="A10" s="312" t="s">
        <v>285</v>
      </c>
      <c r="B10" s="313"/>
      <c r="C10" s="134">
        <f t="shared" ref="C10:H10" si="4">SUM(C4:C9)</f>
        <v>344</v>
      </c>
      <c r="D10" s="295">
        <f t="shared" si="4"/>
        <v>26600000</v>
      </c>
      <c r="E10" s="135">
        <f t="shared" si="4"/>
        <v>1742000000</v>
      </c>
      <c r="F10" s="132">
        <f t="shared" si="4"/>
        <v>132000000.59999999</v>
      </c>
      <c r="G10" s="135">
        <f t="shared" si="4"/>
        <v>174200000.00000003</v>
      </c>
      <c r="H10" s="136">
        <f t="shared" si="4"/>
        <v>2048200000.6000001</v>
      </c>
    </row>
    <row r="11" spans="1:9" ht="19.5" thickTop="1" x14ac:dyDescent="0.3">
      <c r="D11" s="289"/>
      <c r="E11" s="1"/>
      <c r="F11" s="1"/>
      <c r="G11" s="1"/>
      <c r="H11" s="1"/>
      <c r="I11" s="1"/>
    </row>
    <row r="12" spans="1:9" x14ac:dyDescent="0.25">
      <c r="A12" s="107" t="s">
        <v>527</v>
      </c>
      <c r="B12" s="108"/>
      <c r="C12" s="108"/>
      <c r="D12" s="108"/>
      <c r="E12" s="108"/>
    </row>
    <row r="13" spans="1:9" x14ac:dyDescent="0.25">
      <c r="A13" s="108" t="s">
        <v>528</v>
      </c>
      <c r="B13" s="108"/>
      <c r="C13" s="108"/>
      <c r="D13" s="108"/>
      <c r="E13" s="108"/>
    </row>
    <row r="14" spans="1:9" x14ac:dyDescent="0.25">
      <c r="A14" s="108" t="s">
        <v>529</v>
      </c>
      <c r="B14" s="108"/>
      <c r="C14" s="108"/>
      <c r="D14" s="108"/>
      <c r="E14" s="108"/>
    </row>
    <row r="15" spans="1:9" x14ac:dyDescent="0.25">
      <c r="A15" s="108" t="s">
        <v>530</v>
      </c>
      <c r="B15" s="108"/>
      <c r="C15" s="108"/>
      <c r="D15" s="108"/>
      <c r="E15" s="108"/>
    </row>
    <row r="16" spans="1:9" x14ac:dyDescent="0.25">
      <c r="A16" s="108" t="s">
        <v>531</v>
      </c>
      <c r="B16" s="108"/>
      <c r="C16" s="108"/>
      <c r="D16" s="108"/>
      <c r="E16" s="108"/>
    </row>
    <row r="17" spans="1:5" x14ac:dyDescent="0.25">
      <c r="A17" s="108" t="s">
        <v>532</v>
      </c>
      <c r="B17" s="108"/>
      <c r="C17" s="108"/>
      <c r="D17" s="108"/>
      <c r="E17" s="108"/>
    </row>
    <row r="18" spans="1:5" x14ac:dyDescent="0.25">
      <c r="A18" s="108" t="s">
        <v>533</v>
      </c>
      <c r="B18" s="108"/>
      <c r="C18" s="108"/>
      <c r="D18" s="108"/>
      <c r="E18" s="108"/>
    </row>
    <row r="19" spans="1:5" x14ac:dyDescent="0.25">
      <c r="A19" s="108" t="s">
        <v>534</v>
      </c>
      <c r="B19" s="108"/>
      <c r="C19" s="108"/>
      <c r="D19" s="108"/>
      <c r="E19" s="108"/>
    </row>
    <row r="20" spans="1:5" x14ac:dyDescent="0.25">
      <c r="A20" s="108" t="s">
        <v>535</v>
      </c>
      <c r="B20" s="108"/>
      <c r="C20" s="108"/>
      <c r="D20" s="108"/>
      <c r="E20" s="108"/>
    </row>
    <row r="21" spans="1:5" x14ac:dyDescent="0.25">
      <c r="A21" s="108" t="s">
        <v>536</v>
      </c>
      <c r="B21" s="108"/>
      <c r="C21" s="108"/>
      <c r="D21" s="108"/>
      <c r="E21" s="108"/>
    </row>
    <row r="22" spans="1:5" x14ac:dyDescent="0.25">
      <c r="A22" s="108" t="s">
        <v>537</v>
      </c>
      <c r="B22" s="108"/>
      <c r="C22" s="108"/>
      <c r="D22" s="108"/>
      <c r="E22" s="108"/>
    </row>
    <row r="23" spans="1:5" x14ac:dyDescent="0.25">
      <c r="A23" s="108" t="s">
        <v>538</v>
      </c>
      <c r="B23" s="108"/>
      <c r="C23" s="108"/>
      <c r="D23" s="108"/>
      <c r="E23" s="108"/>
    </row>
    <row r="24" spans="1:5" x14ac:dyDescent="0.25">
      <c r="A24" s="108" t="s">
        <v>539</v>
      </c>
      <c r="B24" s="108"/>
      <c r="C24" s="108"/>
      <c r="D24" s="108"/>
      <c r="E24" s="108"/>
    </row>
    <row r="25" spans="1:5" x14ac:dyDescent="0.25">
      <c r="A25" s="108" t="s">
        <v>540</v>
      </c>
      <c r="B25" s="108"/>
      <c r="C25" s="108"/>
      <c r="D25" s="108"/>
      <c r="E25" s="108"/>
    </row>
    <row r="26" spans="1:5" x14ac:dyDescent="0.25">
      <c r="A26" s="108" t="s">
        <v>246</v>
      </c>
      <c r="B26" s="108"/>
      <c r="C26" s="108"/>
      <c r="D26" s="108"/>
      <c r="E26" s="108"/>
    </row>
  </sheetData>
  <mergeCells count="2">
    <mergeCell ref="A2:H2"/>
    <mergeCell ref="A10:B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8"/>
  <sheetViews>
    <sheetView workbookViewId="0">
      <selection activeCell="E4" sqref="E4"/>
    </sheetView>
  </sheetViews>
  <sheetFormatPr defaultColWidth="9.140625" defaultRowHeight="15.75" x14ac:dyDescent="0.25"/>
  <cols>
    <col min="1" max="1" width="9.140625" style="61"/>
    <col min="2" max="3" width="9.28515625" style="61" bestFit="1" customWidth="1"/>
    <col min="4" max="4" width="13.85546875" style="61" customWidth="1"/>
    <col min="5" max="5" width="10.28515625" style="61" bestFit="1" customWidth="1"/>
    <col min="6" max="6" width="11.5703125" style="61" customWidth="1"/>
    <col min="7" max="7" width="10.28515625" style="61" bestFit="1" customWidth="1"/>
    <col min="8" max="16384" width="9.140625" style="61"/>
  </cols>
  <sheetData>
    <row r="1" spans="1:9" x14ac:dyDescent="0.25">
      <c r="A1" s="60" t="s">
        <v>426</v>
      </c>
    </row>
    <row r="2" spans="1:9" ht="18.75" x14ac:dyDescent="0.3">
      <c r="D2" s="289"/>
      <c r="E2" s="1"/>
      <c r="F2" s="1"/>
      <c r="G2" s="1"/>
      <c r="H2" s="1"/>
      <c r="I2" s="1"/>
    </row>
    <row r="3" spans="1:9" x14ac:dyDescent="0.25">
      <c r="A3" s="314"/>
      <c r="B3" s="305"/>
      <c r="C3" s="305"/>
      <c r="D3" s="305"/>
      <c r="E3" s="305"/>
      <c r="F3" s="305"/>
      <c r="G3" s="305"/>
    </row>
    <row r="4" spans="1:9" ht="16.5" thickBot="1" x14ac:dyDescent="0.3">
      <c r="D4" s="214" t="s">
        <v>269</v>
      </c>
      <c r="E4" s="83">
        <f ca="1">DAY(TODAY())</f>
        <v>3</v>
      </c>
    </row>
    <row r="5" spans="1:9" ht="32.25" thickTop="1" x14ac:dyDescent="0.25">
      <c r="A5" s="62" t="s">
        <v>541</v>
      </c>
      <c r="B5" s="63" t="s">
        <v>542</v>
      </c>
      <c r="C5" s="63" t="s">
        <v>543</v>
      </c>
      <c r="D5" s="63" t="s">
        <v>544</v>
      </c>
      <c r="E5" s="63" t="s">
        <v>406</v>
      </c>
      <c r="F5" s="63" t="s">
        <v>545</v>
      </c>
      <c r="G5" s="64" t="s">
        <v>277</v>
      </c>
    </row>
    <row r="6" spans="1:9" x14ac:dyDescent="0.25">
      <c r="A6" s="65" t="s">
        <v>548</v>
      </c>
      <c r="B6" s="66">
        <v>400</v>
      </c>
      <c r="C6" s="66">
        <v>1500</v>
      </c>
      <c r="D6" s="144">
        <f>IF(A6="KD",3,IF(A6="NN",5,IF(A6="TT",4,2)))</f>
        <v>3</v>
      </c>
      <c r="E6" s="83">
        <f>(C6-B6)*D6*550</f>
        <v>1815000</v>
      </c>
      <c r="F6" s="144">
        <f>IF(C6-B6&lt;50,0,IF(AND(50&lt;=C6-B6,C6-B6&lt;=100),E6*35%,IF(C6-B6&gt;100,E6*100%)))</f>
        <v>1815000</v>
      </c>
      <c r="G6" s="240">
        <f>F6+E6</f>
        <v>3630000</v>
      </c>
    </row>
    <row r="7" spans="1:9" x14ac:dyDescent="0.25">
      <c r="A7" s="65" t="s">
        <v>546</v>
      </c>
      <c r="B7" s="66">
        <v>58</v>
      </c>
      <c r="C7" s="66">
        <v>400</v>
      </c>
      <c r="D7" s="144">
        <f t="shared" ref="D7:D11" si="0">IF(A7="KD",3,IF(A7="NN",5,IF(A7="TT",4,2)))</f>
        <v>5</v>
      </c>
      <c r="E7" s="83">
        <f t="shared" ref="E7:E11" si="1">(C7-B7)*D7*550</f>
        <v>940500</v>
      </c>
      <c r="F7" s="144">
        <f t="shared" ref="F7:F11" si="2">IF(C7-B7&lt;50,0,IF(AND(50&lt;=C7-B7,C7-B7&lt;=100),E7*35%,IF(C7-B7&gt;100,E7*100%)))</f>
        <v>940500</v>
      </c>
      <c r="G7" s="240">
        <f t="shared" ref="G7:G11" si="3">F7+E7</f>
        <v>1881000</v>
      </c>
    </row>
    <row r="8" spans="1:9" x14ac:dyDescent="0.25">
      <c r="A8" s="65" t="s">
        <v>549</v>
      </c>
      <c r="B8" s="66">
        <v>150</v>
      </c>
      <c r="C8" s="66">
        <v>700</v>
      </c>
      <c r="D8" s="144">
        <f t="shared" si="0"/>
        <v>2</v>
      </c>
      <c r="E8" s="83">
        <f t="shared" si="1"/>
        <v>605000</v>
      </c>
      <c r="F8" s="144">
        <f t="shared" si="2"/>
        <v>605000</v>
      </c>
      <c r="G8" s="240">
        <f t="shared" si="3"/>
        <v>1210000</v>
      </c>
    </row>
    <row r="9" spans="1:9" x14ac:dyDescent="0.25">
      <c r="A9" s="65" t="s">
        <v>547</v>
      </c>
      <c r="B9" s="66">
        <v>90</v>
      </c>
      <c r="C9" s="66">
        <v>150</v>
      </c>
      <c r="D9" s="144">
        <f t="shared" si="0"/>
        <v>4</v>
      </c>
      <c r="E9" s="83">
        <f t="shared" si="1"/>
        <v>132000</v>
      </c>
      <c r="F9" s="144">
        <f t="shared" si="2"/>
        <v>46200</v>
      </c>
      <c r="G9" s="240">
        <f t="shared" si="3"/>
        <v>178200</v>
      </c>
    </row>
    <row r="10" spans="1:9" x14ac:dyDescent="0.25">
      <c r="A10" s="65" t="s">
        <v>548</v>
      </c>
      <c r="B10" s="66">
        <v>34</v>
      </c>
      <c r="C10" s="66">
        <v>87</v>
      </c>
      <c r="D10" s="144">
        <f t="shared" si="0"/>
        <v>3</v>
      </c>
      <c r="E10" s="83">
        <f t="shared" si="1"/>
        <v>87450</v>
      </c>
      <c r="F10" s="144">
        <f t="shared" si="2"/>
        <v>30607.499999999996</v>
      </c>
      <c r="G10" s="240">
        <f t="shared" si="3"/>
        <v>118057.5</v>
      </c>
    </row>
    <row r="11" spans="1:9" ht="16.5" thickBot="1" x14ac:dyDescent="0.3">
      <c r="A11" s="67" t="s">
        <v>546</v>
      </c>
      <c r="B11" s="68">
        <v>50</v>
      </c>
      <c r="C11" s="68">
        <v>90</v>
      </c>
      <c r="D11" s="144">
        <f t="shared" si="0"/>
        <v>5</v>
      </c>
      <c r="E11" s="83">
        <f t="shared" si="1"/>
        <v>110000</v>
      </c>
      <c r="F11" s="144">
        <f t="shared" si="2"/>
        <v>0</v>
      </c>
      <c r="G11" s="240">
        <f t="shared" si="3"/>
        <v>110000</v>
      </c>
    </row>
    <row r="12" spans="1:9" ht="16.5" thickTop="1" x14ac:dyDescent="0.25"/>
    <row r="13" spans="1:9" x14ac:dyDescent="0.25">
      <c r="A13" s="215" t="s">
        <v>527</v>
      </c>
      <c r="B13" s="216"/>
      <c r="C13" s="216"/>
      <c r="D13" s="216"/>
      <c r="E13" s="216"/>
      <c r="F13" s="216"/>
      <c r="G13" s="216"/>
      <c r="H13" s="216"/>
    </row>
    <row r="14" spans="1:9" x14ac:dyDescent="0.25">
      <c r="A14" s="216" t="s">
        <v>200</v>
      </c>
      <c r="B14" s="216"/>
      <c r="C14" s="216"/>
      <c r="D14" s="216"/>
      <c r="E14" s="216"/>
      <c r="F14" s="216"/>
      <c r="G14" s="216"/>
      <c r="H14" s="216"/>
    </row>
    <row r="15" spans="1:9" x14ac:dyDescent="0.25">
      <c r="A15" s="216" t="s">
        <v>550</v>
      </c>
      <c r="B15" s="216"/>
      <c r="C15" s="216"/>
      <c r="D15" s="216"/>
      <c r="E15" s="216"/>
      <c r="F15" s="216"/>
      <c r="G15" s="216"/>
      <c r="H15" s="216"/>
    </row>
    <row r="16" spans="1:9" x14ac:dyDescent="0.25">
      <c r="A16" s="216"/>
      <c r="B16" s="217" t="s">
        <v>551</v>
      </c>
      <c r="C16" s="216"/>
      <c r="D16" s="216"/>
      <c r="E16" s="216"/>
      <c r="F16" s="216"/>
      <c r="G16" s="216"/>
      <c r="H16" s="216"/>
    </row>
    <row r="17" spans="1:8" x14ac:dyDescent="0.25">
      <c r="A17" s="216"/>
      <c r="B17" s="217" t="s">
        <v>552</v>
      </c>
      <c r="C17" s="216"/>
      <c r="D17" s="216"/>
      <c r="E17" s="216"/>
      <c r="F17" s="216"/>
      <c r="G17" s="216"/>
      <c r="H17" s="216"/>
    </row>
    <row r="18" spans="1:8" x14ac:dyDescent="0.25">
      <c r="A18" s="216"/>
      <c r="B18" s="217" t="s">
        <v>553</v>
      </c>
      <c r="C18" s="216"/>
      <c r="D18" s="216"/>
      <c r="E18" s="216"/>
      <c r="F18" s="216"/>
      <c r="G18" s="216"/>
      <c r="H18" s="216"/>
    </row>
    <row r="19" spans="1:8" x14ac:dyDescent="0.25">
      <c r="A19" s="216"/>
      <c r="B19" s="217" t="s">
        <v>554</v>
      </c>
      <c r="C19" s="216"/>
      <c r="D19" s="216"/>
      <c r="E19" s="216"/>
      <c r="F19" s="216"/>
      <c r="G19" s="216"/>
      <c r="H19" s="216"/>
    </row>
    <row r="20" spans="1:8" x14ac:dyDescent="0.25">
      <c r="A20" s="216" t="s">
        <v>199</v>
      </c>
      <c r="B20" s="216"/>
      <c r="C20" s="216"/>
      <c r="D20" s="216"/>
      <c r="E20" s="216"/>
      <c r="F20" s="216"/>
      <c r="G20" s="216"/>
      <c r="H20" s="216"/>
    </row>
    <row r="21" spans="1:8" x14ac:dyDescent="0.25">
      <c r="A21" s="216" t="s">
        <v>555</v>
      </c>
      <c r="B21" s="216"/>
      <c r="C21" s="216"/>
      <c r="D21" s="216"/>
      <c r="E21" s="216"/>
      <c r="F21" s="216"/>
      <c r="G21" s="216"/>
      <c r="H21" s="216"/>
    </row>
    <row r="22" spans="1:8" x14ac:dyDescent="0.25">
      <c r="A22" s="216"/>
      <c r="B22" s="217" t="s">
        <v>724</v>
      </c>
      <c r="C22" s="216"/>
      <c r="D22" s="216"/>
      <c r="E22" s="216"/>
      <c r="F22" s="216"/>
      <c r="G22" s="216"/>
      <c r="H22" s="216"/>
    </row>
    <row r="23" spans="1:8" x14ac:dyDescent="0.25">
      <c r="A23" s="216"/>
      <c r="B23" s="217" t="s">
        <v>725</v>
      </c>
      <c r="C23" s="216"/>
      <c r="D23" s="216"/>
      <c r="E23" s="216"/>
      <c r="F23" s="216"/>
      <c r="G23" s="216"/>
      <c r="H23" s="216"/>
    </row>
    <row r="24" spans="1:8" x14ac:dyDescent="0.25">
      <c r="A24" s="216"/>
      <c r="B24" s="217" t="s">
        <v>726</v>
      </c>
      <c r="C24" s="216"/>
      <c r="D24" s="216"/>
      <c r="E24" s="216"/>
      <c r="F24" s="216"/>
      <c r="G24" s="216"/>
      <c r="H24" s="216"/>
    </row>
    <row r="25" spans="1:8" x14ac:dyDescent="0.25">
      <c r="A25" s="216" t="s">
        <v>201</v>
      </c>
      <c r="B25" s="216"/>
      <c r="C25" s="216"/>
      <c r="D25" s="216"/>
      <c r="E25" s="216"/>
      <c r="F25" s="216"/>
      <c r="G25" s="216"/>
      <c r="H25" s="216"/>
    </row>
    <row r="26" spans="1:8" x14ac:dyDescent="0.25">
      <c r="A26" s="216" t="s">
        <v>556</v>
      </c>
      <c r="B26" s="216"/>
      <c r="C26" s="216"/>
      <c r="D26" s="216"/>
      <c r="E26" s="216"/>
      <c r="F26" s="216"/>
      <c r="G26" s="216"/>
      <c r="H26" s="216"/>
    </row>
    <row r="27" spans="1:8" x14ac:dyDescent="0.25">
      <c r="A27" s="216" t="s">
        <v>557</v>
      </c>
      <c r="B27" s="216"/>
      <c r="C27" s="216"/>
      <c r="D27" s="216"/>
      <c r="E27" s="216"/>
      <c r="F27" s="216"/>
      <c r="G27" s="216"/>
      <c r="H27" s="216"/>
    </row>
    <row r="28" spans="1:8" x14ac:dyDescent="0.25">
      <c r="A28" s="216" t="s">
        <v>236</v>
      </c>
      <c r="B28" s="216"/>
      <c r="C28" s="216"/>
      <c r="D28" s="216"/>
      <c r="E28" s="216"/>
      <c r="F28" s="216"/>
      <c r="G28" s="216"/>
      <c r="H28" s="216"/>
    </row>
  </sheetData>
  <mergeCells count="1">
    <mergeCell ref="A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7"/>
  <sheetViews>
    <sheetView workbookViewId="0">
      <selection activeCell="F10" sqref="F10"/>
    </sheetView>
  </sheetViews>
  <sheetFormatPr defaultColWidth="9.140625" defaultRowHeight="15.75" x14ac:dyDescent="0.25"/>
  <cols>
    <col min="1" max="1" width="14.5703125" style="13" customWidth="1"/>
    <col min="2" max="2" width="17.85546875" style="13" customWidth="1"/>
    <col min="3" max="3" width="11.140625" style="13" customWidth="1"/>
    <col min="4" max="4" width="12" style="13" customWidth="1"/>
    <col min="5" max="5" width="10.5703125" style="13" customWidth="1"/>
    <col min="6" max="6" width="10.140625" style="13" customWidth="1"/>
    <col min="7" max="16384" width="9.140625" style="13"/>
  </cols>
  <sheetData>
    <row r="1" spans="1:10" x14ac:dyDescent="0.25">
      <c r="A1" s="96" t="s">
        <v>461</v>
      </c>
      <c r="B1" s="14"/>
      <c r="C1" s="14"/>
      <c r="D1" s="14"/>
      <c r="E1" s="14"/>
      <c r="F1" s="14"/>
      <c r="G1" s="14"/>
      <c r="H1" s="14"/>
    </row>
    <row r="2" spans="1:10" ht="18.75" x14ac:dyDescent="0.3">
      <c r="A2" s="13" t="s">
        <v>286</v>
      </c>
      <c r="E2" s="289"/>
      <c r="F2" s="1"/>
      <c r="G2" s="1"/>
      <c r="H2" s="1"/>
      <c r="I2" s="1"/>
      <c r="J2" s="1"/>
    </row>
    <row r="3" spans="1:10" ht="21" customHeight="1" x14ac:dyDescent="0.25">
      <c r="A3" s="296" t="s">
        <v>403</v>
      </c>
      <c r="B3" s="296"/>
      <c r="C3" s="296"/>
      <c r="D3" s="296"/>
      <c r="E3" s="296"/>
      <c r="F3" s="296"/>
    </row>
    <row r="4" spans="1:10" ht="42.75" customHeight="1" x14ac:dyDescent="0.25">
      <c r="A4" s="47" t="s">
        <v>412</v>
      </c>
      <c r="B4" s="47" t="s">
        <v>413</v>
      </c>
      <c r="C4" s="137" t="s">
        <v>404</v>
      </c>
      <c r="D4" s="137" t="s">
        <v>405</v>
      </c>
      <c r="E4" s="47" t="s">
        <v>410</v>
      </c>
      <c r="F4" s="47" t="s">
        <v>406</v>
      </c>
    </row>
    <row r="5" spans="1:10" x14ac:dyDescent="0.25">
      <c r="A5" s="49" t="s">
        <v>407</v>
      </c>
      <c r="B5" s="144" t="str">
        <f>VLOOKUP(A5,$A$11:$C$15,2,0)</f>
        <v>Xà bông LifeBoy</v>
      </c>
      <c r="C5" s="50">
        <v>19</v>
      </c>
      <c r="D5" s="138">
        <f>VLOOKUP(A5,$A$11:$C$15,3,0)</f>
        <v>4200</v>
      </c>
      <c r="E5" s="138">
        <f>IF(C5&lt;5,0,IF(AND(C5&gt;=5,C5&lt;=9),1,IF(AND(C5&gt;=10,C5&lt;=14),2,IF(AND(C5&gt;=15,C5&lt;=19),3,5))))</f>
        <v>3</v>
      </c>
      <c r="F5" s="145">
        <f>(C5-E5)*D5</f>
        <v>67200</v>
      </c>
      <c r="H5" s="13" t="s">
        <v>811</v>
      </c>
    </row>
    <row r="6" spans="1:10" x14ac:dyDescent="0.25">
      <c r="A6" s="49" t="s">
        <v>408</v>
      </c>
      <c r="B6" s="144" t="str">
        <f t="shared" ref="B6:B8" si="0">VLOOKUP(A6,$A$11:$C$15,2,0)</f>
        <v>Nước</v>
      </c>
      <c r="C6" s="50">
        <v>5</v>
      </c>
      <c r="D6" s="138">
        <f t="shared" ref="D6:D8" si="1">VLOOKUP(A6,$A$11:$C$15,3,0)</f>
        <v>4350</v>
      </c>
      <c r="E6" s="138">
        <f t="shared" ref="E6:E8" si="2">IF(C6&lt;5,0,IF(AND(C6&gt;=5,C6&lt;=9),1,IF(AND(C6&gt;=10,C6&lt;=14),2,IF(AND(C6&gt;=15,C6&lt;=19),3,5))))</f>
        <v>1</v>
      </c>
      <c r="F6" s="145">
        <f t="shared" ref="F6:F8" si="3">(C6-E6)*D6</f>
        <v>17400</v>
      </c>
    </row>
    <row r="7" spans="1:10" x14ac:dyDescent="0.25">
      <c r="A7" s="49" t="s">
        <v>409</v>
      </c>
      <c r="B7" s="144" t="str">
        <f t="shared" si="0"/>
        <v>Thực phẩm</v>
      </c>
      <c r="C7" s="50">
        <v>16</v>
      </c>
      <c r="D7" s="138">
        <f t="shared" si="1"/>
        <v>2000</v>
      </c>
      <c r="E7" s="138">
        <f t="shared" si="2"/>
        <v>3</v>
      </c>
      <c r="F7" s="145">
        <f t="shared" si="3"/>
        <v>26000</v>
      </c>
    </row>
    <row r="8" spans="1:10" x14ac:dyDescent="0.25">
      <c r="A8" s="49" t="s">
        <v>209</v>
      </c>
      <c r="B8" s="144" t="str">
        <f t="shared" si="0"/>
        <v>Súp Knor</v>
      </c>
      <c r="C8" s="50">
        <v>1</v>
      </c>
      <c r="D8" s="138">
        <f t="shared" si="1"/>
        <v>1000</v>
      </c>
      <c r="E8" s="138">
        <f t="shared" si="2"/>
        <v>0</v>
      </c>
      <c r="F8" s="145">
        <f t="shared" si="3"/>
        <v>1000</v>
      </c>
    </row>
    <row r="9" spans="1:10" x14ac:dyDescent="0.25">
      <c r="A9" s="309" t="s">
        <v>411</v>
      </c>
      <c r="B9" s="309"/>
      <c r="C9" s="309"/>
      <c r="D9" s="309"/>
      <c r="E9" s="309"/>
      <c r="F9" s="218">
        <f>SUM(F5:F8)</f>
        <v>111600</v>
      </c>
    </row>
    <row r="10" spans="1:10" x14ac:dyDescent="0.25">
      <c r="A10" s="316" t="s">
        <v>418</v>
      </c>
      <c r="B10" s="316"/>
      <c r="C10" s="316"/>
    </row>
    <row r="11" spans="1:10" x14ac:dyDescent="0.25">
      <c r="A11" s="139" t="s">
        <v>415</v>
      </c>
      <c r="B11" s="139" t="s">
        <v>414</v>
      </c>
      <c r="C11" s="139" t="s">
        <v>339</v>
      </c>
    </row>
    <row r="12" spans="1:10" x14ac:dyDescent="0.25">
      <c r="A12" s="49" t="s">
        <v>407</v>
      </c>
      <c r="B12" s="49" t="s">
        <v>416</v>
      </c>
      <c r="C12" s="49">
        <v>4200</v>
      </c>
    </row>
    <row r="13" spans="1:10" x14ac:dyDescent="0.25">
      <c r="A13" s="49" t="s">
        <v>408</v>
      </c>
      <c r="B13" s="49" t="s">
        <v>221</v>
      </c>
      <c r="C13" s="49">
        <v>4350</v>
      </c>
    </row>
    <row r="14" spans="1:10" x14ac:dyDescent="0.25">
      <c r="A14" s="49" t="s">
        <v>209</v>
      </c>
      <c r="B14" s="49" t="s">
        <v>417</v>
      </c>
      <c r="C14" s="49">
        <v>1000</v>
      </c>
    </row>
    <row r="15" spans="1:10" x14ac:dyDescent="0.25">
      <c r="A15" s="49" t="s">
        <v>409</v>
      </c>
      <c r="B15" s="49" t="s">
        <v>222</v>
      </c>
      <c r="C15" s="49">
        <v>2000</v>
      </c>
    </row>
    <row r="16" spans="1:10" x14ac:dyDescent="0.25">
      <c r="A16" s="107" t="s">
        <v>287</v>
      </c>
      <c r="B16" s="108"/>
      <c r="C16" s="108"/>
      <c r="D16" s="108"/>
      <c r="E16" s="108"/>
      <c r="F16" s="108"/>
      <c r="G16" s="108"/>
    </row>
    <row r="17" spans="1:15" x14ac:dyDescent="0.25">
      <c r="A17" s="108" t="s">
        <v>419</v>
      </c>
      <c r="B17" s="108"/>
      <c r="C17" s="108"/>
      <c r="D17" s="108"/>
      <c r="E17" s="108"/>
      <c r="F17" s="108"/>
      <c r="G17" s="108"/>
    </row>
    <row r="18" spans="1:15" ht="20.25" customHeight="1" x14ac:dyDescent="0.25">
      <c r="A18" s="108" t="s">
        <v>420</v>
      </c>
      <c r="B18" s="108"/>
      <c r="C18" s="108"/>
      <c r="D18" s="108"/>
      <c r="E18" s="108"/>
      <c r="F18" s="108"/>
      <c r="G18" s="108"/>
    </row>
    <row r="19" spans="1:15" ht="33" customHeight="1" x14ac:dyDescent="0.25">
      <c r="A19" s="315" t="s">
        <v>421</v>
      </c>
      <c r="B19" s="315"/>
      <c r="C19" s="315"/>
      <c r="D19" s="315"/>
      <c r="E19" s="315"/>
      <c r="F19" s="315"/>
      <c r="G19" s="315"/>
      <c r="M19" s="13">
        <f>4.999/5</f>
        <v>0.99979999999999991</v>
      </c>
    </row>
    <row r="20" spans="1:15" x14ac:dyDescent="0.25">
      <c r="A20" s="108"/>
      <c r="B20" s="140" t="s">
        <v>422</v>
      </c>
      <c r="C20" s="108"/>
      <c r="D20" s="108"/>
      <c r="E20" s="108"/>
      <c r="F20" s="108"/>
      <c r="G20" s="108"/>
      <c r="J20" s="13" t="s">
        <v>801</v>
      </c>
      <c r="K20" s="13" t="s">
        <v>802</v>
      </c>
      <c r="L20" s="13">
        <v>0</v>
      </c>
      <c r="O20" s="13" t="s">
        <v>810</v>
      </c>
    </row>
    <row r="21" spans="1:15" x14ac:dyDescent="0.25">
      <c r="A21" s="108"/>
      <c r="B21" s="140" t="s">
        <v>423</v>
      </c>
      <c r="C21" s="108"/>
      <c r="D21" s="108"/>
      <c r="E21" s="108"/>
      <c r="F21" s="108"/>
      <c r="G21" s="108"/>
      <c r="I21" s="13" t="s">
        <v>803</v>
      </c>
      <c r="J21" s="13" t="s">
        <v>801</v>
      </c>
      <c r="K21" s="13" t="s">
        <v>804</v>
      </c>
      <c r="L21" s="13">
        <v>1</v>
      </c>
    </row>
    <row r="22" spans="1:15" x14ac:dyDescent="0.25">
      <c r="A22" s="108"/>
      <c r="B22" s="140" t="s">
        <v>424</v>
      </c>
      <c r="C22" s="108"/>
      <c r="D22" s="108"/>
      <c r="E22" s="108"/>
      <c r="F22" s="108"/>
      <c r="G22" s="108"/>
      <c r="I22" s="13" t="s">
        <v>806</v>
      </c>
      <c r="J22" s="13" t="s">
        <v>801</v>
      </c>
      <c r="K22" s="13" t="s">
        <v>805</v>
      </c>
      <c r="L22" s="13">
        <v>2</v>
      </c>
      <c r="N22" s="13">
        <f>INT(14/5)</f>
        <v>2</v>
      </c>
      <c r="O22" s="13">
        <f>INT(10/5)</f>
        <v>2</v>
      </c>
    </row>
    <row r="23" spans="1:15" x14ac:dyDescent="0.25">
      <c r="A23" s="108"/>
      <c r="B23" s="140" t="s">
        <v>425</v>
      </c>
      <c r="C23" s="108"/>
      <c r="D23" s="108"/>
      <c r="E23" s="108"/>
      <c r="F23" s="108"/>
      <c r="G23" s="108"/>
      <c r="I23" s="13" t="s">
        <v>807</v>
      </c>
      <c r="J23" s="13" t="s">
        <v>801</v>
      </c>
      <c r="K23" s="13" t="s">
        <v>808</v>
      </c>
      <c r="L23" s="13">
        <v>3</v>
      </c>
      <c r="N23" s="13">
        <v>3</v>
      </c>
    </row>
    <row r="24" spans="1:15" x14ac:dyDescent="0.25">
      <c r="A24" s="108"/>
      <c r="B24" s="140" t="s">
        <v>210</v>
      </c>
      <c r="C24" s="108"/>
      <c r="D24" s="108"/>
      <c r="E24" s="108"/>
      <c r="F24" s="108"/>
      <c r="G24" s="108"/>
      <c r="I24" s="13" t="s">
        <v>809</v>
      </c>
      <c r="J24" s="13" t="s">
        <v>801</v>
      </c>
      <c r="L24" s="13">
        <v>5</v>
      </c>
    </row>
    <row r="25" spans="1:15" ht="21.75" customHeight="1" x14ac:dyDescent="0.25">
      <c r="A25" s="108" t="s">
        <v>720</v>
      </c>
      <c r="B25" s="108"/>
      <c r="C25" s="108"/>
      <c r="D25" s="108"/>
      <c r="E25" s="108"/>
      <c r="F25" s="108"/>
      <c r="G25" s="108"/>
    </row>
    <row r="26" spans="1:15" ht="23.25" customHeight="1" x14ac:dyDescent="0.25">
      <c r="A26" s="108" t="s">
        <v>247</v>
      </c>
      <c r="B26" s="108"/>
      <c r="C26" s="108"/>
      <c r="D26" s="108"/>
      <c r="E26" s="108"/>
      <c r="F26" s="108"/>
      <c r="G26" s="108"/>
    </row>
    <row r="27" spans="1:15" ht="20.25" customHeight="1" x14ac:dyDescent="0.25">
      <c r="A27" s="108" t="s">
        <v>248</v>
      </c>
      <c r="B27" s="108"/>
      <c r="C27" s="108"/>
      <c r="D27" s="108"/>
      <c r="E27" s="108"/>
      <c r="F27" s="108"/>
      <c r="G27" s="108"/>
    </row>
  </sheetData>
  <mergeCells count="4">
    <mergeCell ref="A19:G19"/>
    <mergeCell ref="A3:F3"/>
    <mergeCell ref="A9:E9"/>
    <mergeCell ref="A10:C10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8"/>
  <sheetViews>
    <sheetView workbookViewId="0">
      <selection activeCell="I17" sqref="I17"/>
    </sheetView>
  </sheetViews>
  <sheetFormatPr defaultColWidth="9.140625" defaultRowHeight="15.75" x14ac:dyDescent="0.25"/>
  <cols>
    <col min="1" max="1" width="11.85546875" style="13" customWidth="1"/>
    <col min="2" max="2" width="9.140625" style="13"/>
    <col min="3" max="3" width="15.5703125" style="13" customWidth="1"/>
    <col min="4" max="4" width="13.28515625" style="13" bestFit="1" customWidth="1"/>
    <col min="5" max="5" width="9.140625" style="13"/>
    <col min="6" max="6" width="42.42578125" style="13" customWidth="1"/>
    <col min="7" max="7" width="10.7109375" style="13" customWidth="1"/>
    <col min="8" max="16384" width="9.140625" style="13"/>
  </cols>
  <sheetData>
    <row r="1" spans="1:12" x14ac:dyDescent="0.25">
      <c r="A1" s="126" t="s">
        <v>494</v>
      </c>
    </row>
    <row r="2" spans="1:12" x14ac:dyDescent="0.25">
      <c r="A2" s="296" t="s">
        <v>558</v>
      </c>
      <c r="B2" s="296"/>
      <c r="C2" s="296"/>
      <c r="D2" s="296"/>
      <c r="E2" s="296"/>
      <c r="F2" s="296"/>
      <c r="G2" s="296"/>
    </row>
    <row r="3" spans="1:12" x14ac:dyDescent="0.25">
      <c r="D3" s="141" t="s">
        <v>559</v>
      </c>
      <c r="E3" s="141">
        <v>15700</v>
      </c>
    </row>
    <row r="4" spans="1:12" ht="47.25" x14ac:dyDescent="0.25">
      <c r="A4" s="123" t="s">
        <v>560</v>
      </c>
      <c r="B4" s="123" t="s">
        <v>561</v>
      </c>
      <c r="C4" s="123" t="s">
        <v>562</v>
      </c>
      <c r="D4" s="123" t="s">
        <v>563</v>
      </c>
      <c r="E4" s="123" t="s">
        <v>564</v>
      </c>
      <c r="F4" s="123" t="s">
        <v>565</v>
      </c>
      <c r="G4" s="123" t="s">
        <v>566</v>
      </c>
    </row>
    <row r="5" spans="1:12" x14ac:dyDescent="0.25">
      <c r="A5" s="102" t="s">
        <v>571</v>
      </c>
      <c r="B5" s="102" t="s">
        <v>446</v>
      </c>
      <c r="C5" s="138">
        <f>VLOOKUP(B5,$A$13:$C$17,2,0)</f>
        <v>200</v>
      </c>
      <c r="D5" s="50">
        <v>1900</v>
      </c>
      <c r="E5" s="138">
        <f>VLOOKUP(B5,$A$13:$C$17,3,0)</f>
        <v>3</v>
      </c>
      <c r="F5" s="138">
        <f>IF(D5="1900"&gt;C5="200",D5-C5*20%*E5,0)</f>
        <v>0</v>
      </c>
      <c r="G5" s="138">
        <f>(E5+F5)*$E$3</f>
        <v>47100</v>
      </c>
    </row>
    <row r="6" spans="1:12" x14ac:dyDescent="0.25">
      <c r="A6" s="102" t="s">
        <v>570</v>
      </c>
      <c r="B6" s="102" t="s">
        <v>447</v>
      </c>
      <c r="C6" s="138">
        <f t="shared" ref="C6:C11" si="0">VLOOKUP(B6,$A$13:$C$17,2,0)</f>
        <v>400</v>
      </c>
      <c r="D6" s="50">
        <v>1580</v>
      </c>
      <c r="E6" s="138">
        <f t="shared" ref="E6:E11" si="1">VLOOKUP(B6,$A$13:$C$17,3,0)</f>
        <v>2</v>
      </c>
      <c r="F6" s="138">
        <f t="shared" ref="F6:F11" si="2">IF(D6="1900"&gt;C6="200",D6-C6*20%*E6,0)</f>
        <v>0</v>
      </c>
      <c r="G6" s="138">
        <f t="shared" ref="G6:G11" si="3">(E6+F6)*$E$3</f>
        <v>31400</v>
      </c>
    </row>
    <row r="7" spans="1:12" x14ac:dyDescent="0.25">
      <c r="A7" s="102" t="s">
        <v>573</v>
      </c>
      <c r="B7" s="102" t="s">
        <v>446</v>
      </c>
      <c r="C7" s="138">
        <f t="shared" si="0"/>
        <v>200</v>
      </c>
      <c r="D7" s="50">
        <v>800</v>
      </c>
      <c r="E7" s="138">
        <f t="shared" si="1"/>
        <v>3</v>
      </c>
      <c r="F7" s="138">
        <f t="shared" si="2"/>
        <v>0</v>
      </c>
      <c r="G7" s="138">
        <f t="shared" si="3"/>
        <v>47100</v>
      </c>
    </row>
    <row r="8" spans="1:12" x14ac:dyDescent="0.25">
      <c r="A8" s="102" t="s">
        <v>569</v>
      </c>
      <c r="B8" s="102" t="s">
        <v>447</v>
      </c>
      <c r="C8" s="138">
        <f t="shared" si="0"/>
        <v>400</v>
      </c>
      <c r="D8" s="50">
        <v>1000</v>
      </c>
      <c r="E8" s="138">
        <f t="shared" si="1"/>
        <v>2</v>
      </c>
      <c r="F8" s="138">
        <f t="shared" si="2"/>
        <v>0</v>
      </c>
      <c r="G8" s="138">
        <f t="shared" si="3"/>
        <v>31400</v>
      </c>
    </row>
    <row r="9" spans="1:12" x14ac:dyDescent="0.25">
      <c r="A9" s="102" t="s">
        <v>567</v>
      </c>
      <c r="B9" s="102" t="s">
        <v>446</v>
      </c>
      <c r="C9" s="138">
        <f t="shared" si="0"/>
        <v>200</v>
      </c>
      <c r="D9" s="50">
        <v>500</v>
      </c>
      <c r="E9" s="138">
        <f t="shared" si="1"/>
        <v>3</v>
      </c>
      <c r="F9" s="138">
        <f t="shared" si="2"/>
        <v>0</v>
      </c>
      <c r="G9" s="138">
        <f t="shared" si="3"/>
        <v>47100</v>
      </c>
    </row>
    <row r="10" spans="1:12" x14ac:dyDescent="0.25">
      <c r="A10" s="102" t="s">
        <v>568</v>
      </c>
      <c r="B10" s="102" t="s">
        <v>448</v>
      </c>
      <c r="C10" s="138">
        <f t="shared" si="0"/>
        <v>600</v>
      </c>
      <c r="D10" s="50">
        <v>350</v>
      </c>
      <c r="E10" s="138">
        <f t="shared" si="1"/>
        <v>1</v>
      </c>
      <c r="F10" s="138">
        <f t="shared" si="2"/>
        <v>0</v>
      </c>
      <c r="G10" s="138">
        <f t="shared" si="3"/>
        <v>15700</v>
      </c>
    </row>
    <row r="11" spans="1:12" x14ac:dyDescent="0.25">
      <c r="A11" s="102" t="s">
        <v>572</v>
      </c>
      <c r="B11" s="102" t="s">
        <v>448</v>
      </c>
      <c r="C11" s="138">
        <f t="shared" si="0"/>
        <v>600</v>
      </c>
      <c r="D11" s="50">
        <v>70</v>
      </c>
      <c r="E11" s="138">
        <f t="shared" si="1"/>
        <v>1</v>
      </c>
      <c r="F11" s="138">
        <f t="shared" si="2"/>
        <v>0</v>
      </c>
      <c r="G11" s="138">
        <f t="shared" si="3"/>
        <v>15700</v>
      </c>
    </row>
    <row r="12" spans="1:12" ht="31.5" customHeight="1" x14ac:dyDescent="0.3">
      <c r="A12" s="317" t="s">
        <v>574</v>
      </c>
      <c r="B12" s="317"/>
      <c r="C12" s="317"/>
      <c r="D12" s="289"/>
      <c r="E12" s="1"/>
      <c r="F12" s="1"/>
      <c r="G12" s="1"/>
      <c r="H12" s="1"/>
      <c r="I12" s="1"/>
    </row>
    <row r="13" spans="1:12" ht="31.5" x14ac:dyDescent="0.25">
      <c r="A13" s="123" t="s">
        <v>561</v>
      </c>
      <c r="B13" s="123" t="s">
        <v>562</v>
      </c>
      <c r="C13" s="123" t="s">
        <v>564</v>
      </c>
    </row>
    <row r="14" spans="1:12" x14ac:dyDescent="0.25">
      <c r="A14" s="49" t="s">
        <v>446</v>
      </c>
      <c r="B14" s="49">
        <v>200</v>
      </c>
      <c r="C14" s="49">
        <v>3</v>
      </c>
    </row>
    <row r="15" spans="1:12" x14ac:dyDescent="0.25">
      <c r="A15" s="49" t="s">
        <v>447</v>
      </c>
      <c r="B15" s="49">
        <v>400</v>
      </c>
      <c r="C15" s="49">
        <v>2</v>
      </c>
    </row>
    <row r="16" spans="1:12" x14ac:dyDescent="0.25">
      <c r="A16" s="49" t="s">
        <v>448</v>
      </c>
      <c r="B16" s="49">
        <v>600</v>
      </c>
      <c r="C16" s="49">
        <v>1</v>
      </c>
    </row>
    <row r="17" spans="1:8" x14ac:dyDescent="0.25">
      <c r="A17" s="49" t="s">
        <v>524</v>
      </c>
      <c r="B17" s="49">
        <v>800</v>
      </c>
      <c r="C17" s="49">
        <v>0.5</v>
      </c>
    </row>
    <row r="18" spans="1:8" x14ac:dyDescent="0.25">
      <c r="A18" s="142" t="s">
        <v>527</v>
      </c>
      <c r="B18" s="122"/>
      <c r="C18" s="122"/>
      <c r="D18" s="122"/>
      <c r="E18" s="122"/>
      <c r="F18" s="122"/>
      <c r="G18" s="122"/>
      <c r="H18" s="122"/>
    </row>
    <row r="19" spans="1:8" x14ac:dyDescent="0.25">
      <c r="A19" s="122" t="s">
        <v>721</v>
      </c>
      <c r="B19" s="122"/>
      <c r="C19" s="122"/>
      <c r="D19" s="122"/>
      <c r="E19" s="122"/>
      <c r="F19" s="122"/>
      <c r="G19" s="122"/>
      <c r="H19" s="122"/>
    </row>
    <row r="20" spans="1:8" x14ac:dyDescent="0.25">
      <c r="A20" s="122" t="s">
        <v>722</v>
      </c>
      <c r="B20" s="122"/>
      <c r="C20" s="122"/>
      <c r="D20" s="122"/>
      <c r="E20" s="122"/>
      <c r="F20" s="122"/>
      <c r="G20" s="122"/>
      <c r="H20" s="122"/>
    </row>
    <row r="21" spans="1:8" x14ac:dyDescent="0.25">
      <c r="A21" s="122" t="s">
        <v>575</v>
      </c>
      <c r="B21" s="122"/>
      <c r="C21" s="122"/>
      <c r="D21" s="122"/>
      <c r="E21" s="122"/>
      <c r="F21" s="122"/>
      <c r="G21" s="122"/>
      <c r="H21" s="122"/>
    </row>
    <row r="22" spans="1:8" x14ac:dyDescent="0.25">
      <c r="A22" s="122"/>
      <c r="B22" s="143" t="s">
        <v>576</v>
      </c>
      <c r="C22" s="122"/>
      <c r="D22" s="122"/>
      <c r="E22" s="122"/>
      <c r="F22" s="122"/>
      <c r="G22" s="122"/>
      <c r="H22" s="122"/>
    </row>
    <row r="23" spans="1:8" x14ac:dyDescent="0.25">
      <c r="A23" s="122"/>
      <c r="B23" s="122" t="s">
        <v>577</v>
      </c>
      <c r="C23" s="122"/>
      <c r="D23" s="122"/>
      <c r="E23" s="122"/>
      <c r="F23" s="122"/>
      <c r="G23" s="122"/>
      <c r="H23" s="122"/>
    </row>
    <row r="24" spans="1:8" x14ac:dyDescent="0.25">
      <c r="A24" s="122"/>
      <c r="B24" s="143" t="s">
        <v>578</v>
      </c>
      <c r="C24" s="122"/>
      <c r="D24" s="122"/>
      <c r="E24" s="122"/>
      <c r="F24" s="122"/>
      <c r="G24" s="122"/>
      <c r="H24" s="122"/>
    </row>
    <row r="25" spans="1:8" x14ac:dyDescent="0.25">
      <c r="A25" s="122" t="s">
        <v>579</v>
      </c>
      <c r="B25" s="122"/>
      <c r="C25" s="122"/>
      <c r="D25" s="122"/>
      <c r="E25" s="122"/>
      <c r="F25" s="122"/>
      <c r="G25" s="122"/>
      <c r="H25" s="122"/>
    </row>
    <row r="26" spans="1:8" x14ac:dyDescent="0.25">
      <c r="A26" s="122"/>
      <c r="B26" s="122" t="s">
        <v>580</v>
      </c>
      <c r="C26" s="122"/>
      <c r="D26" s="122"/>
      <c r="E26" s="122"/>
      <c r="F26" s="122"/>
      <c r="G26" s="122"/>
      <c r="H26" s="122"/>
    </row>
    <row r="27" spans="1:8" x14ac:dyDescent="0.25">
      <c r="A27" s="122" t="s">
        <v>581</v>
      </c>
      <c r="B27" s="122"/>
      <c r="C27" s="122"/>
      <c r="D27" s="122"/>
      <c r="E27" s="122"/>
      <c r="F27" s="122"/>
      <c r="G27" s="122"/>
      <c r="H27" s="122"/>
    </row>
    <row r="28" spans="1:8" x14ac:dyDescent="0.25">
      <c r="A28" s="122" t="s">
        <v>249</v>
      </c>
      <c r="B28" s="122"/>
      <c r="C28" s="122"/>
      <c r="D28" s="122"/>
      <c r="E28" s="122"/>
      <c r="F28" s="122"/>
      <c r="G28" s="122"/>
      <c r="H28" s="122"/>
    </row>
  </sheetData>
  <mergeCells count="2">
    <mergeCell ref="A2:G2"/>
    <mergeCell ref="A12:C12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11</vt:i4>
      </vt:variant>
    </vt:vector>
  </HeadingPairs>
  <TitlesOfParts>
    <vt:vector size="32" baseType="lpstr">
      <vt:lpstr>Bai 1</vt:lpstr>
      <vt:lpstr>Bai 2</vt:lpstr>
      <vt:lpstr>Bai 3</vt:lpstr>
      <vt:lpstr>Bai 4</vt:lpstr>
      <vt:lpstr>Bai 5</vt:lpstr>
      <vt:lpstr>Bai 6</vt:lpstr>
      <vt:lpstr>Bai 7</vt:lpstr>
      <vt:lpstr>Bai 8</vt:lpstr>
      <vt:lpstr>Bai 9</vt:lpstr>
      <vt:lpstr>Bai 10</vt:lpstr>
      <vt:lpstr>Bai 11</vt:lpstr>
      <vt:lpstr>Bai 12</vt:lpstr>
      <vt:lpstr>Bai 13</vt:lpstr>
      <vt:lpstr>Bai 14</vt:lpstr>
      <vt:lpstr>Bai 15</vt:lpstr>
      <vt:lpstr>Bai 16</vt:lpstr>
      <vt:lpstr>Bai 17</vt:lpstr>
      <vt:lpstr>Bai 18</vt:lpstr>
      <vt:lpstr>Bai 19</vt:lpstr>
      <vt:lpstr>Bai 20</vt:lpstr>
      <vt:lpstr>Sheet1</vt:lpstr>
      <vt:lpstr>'Bai 13'!Criteria</vt:lpstr>
      <vt:lpstr>'Bai 16'!Criteria</vt:lpstr>
      <vt:lpstr>'Bai 17'!Criteria</vt:lpstr>
      <vt:lpstr>'Bai 18'!Criteria</vt:lpstr>
      <vt:lpstr>'Bai 20'!Criteria</vt:lpstr>
      <vt:lpstr>'Bai 13'!Extract</vt:lpstr>
      <vt:lpstr>'Bai 14'!Extract</vt:lpstr>
      <vt:lpstr>'Bai 16'!Extract</vt:lpstr>
      <vt:lpstr>'Bai 17'!Extract</vt:lpstr>
      <vt:lpstr>'Bai 18'!Extract</vt:lpstr>
      <vt:lpstr>'Bai 20'!Extract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Hoc Vien 01</cp:lastModifiedBy>
  <cp:lastPrinted>2011-11-08T14:51:18Z</cp:lastPrinted>
  <dcterms:created xsi:type="dcterms:W3CDTF">2005-12-10T04:55:27Z</dcterms:created>
  <dcterms:modified xsi:type="dcterms:W3CDTF">2024-02-03T12:42:41Z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UỲNH BÁ HỌC">
    <vt:lpwstr>HUỲNH BÁ HỌC</vt:lpwstr>
  </property>
</Properties>
</file>