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BA1FA389-B17C-465C-B21E-DC494F6E5A36}" xr6:coauthVersionLast="46" xr6:coauthVersionMax="47" xr10:uidLastSave="{00000000-0000-0000-0000-000000000000}"/>
  <bookViews>
    <workbookView xWindow="-120" yWindow="-120" windowWidth="29040" windowHeight="1584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17" i="12" l="1"/>
  <c r="I16" i="12"/>
  <c r="I15" i="12"/>
  <c r="I14" i="12"/>
  <c r="D17" i="12"/>
  <c r="D16" i="12"/>
  <c r="D15" i="12"/>
  <c r="D14" i="12"/>
  <c r="H5" i="12"/>
  <c r="H6" i="12"/>
  <c r="H7" i="12"/>
  <c r="H8" i="12"/>
  <c r="H9" i="12"/>
  <c r="H10" i="12"/>
  <c r="H11" i="12"/>
  <c r="H12" i="12"/>
  <c r="H13" i="12"/>
  <c r="H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K15" i="2"/>
  <c r="J15" i="2"/>
  <c r="K14" i="2"/>
  <c r="J14" i="2"/>
  <c r="C15" i="7"/>
  <c r="B15" i="7"/>
  <c r="A15" i="7"/>
  <c r="D15" i="7"/>
  <c r="G21" i="13"/>
  <c r="I16" i="1"/>
  <c r="J16" i="1"/>
  <c r="J15" i="1"/>
  <c r="I15" i="1"/>
  <c r="J14" i="1"/>
  <c r="I14" i="1"/>
  <c r="I21" i="13"/>
  <c r="H21" i="13"/>
  <c r="E5" i="12"/>
  <c r="E6" i="12"/>
  <c r="E7" i="12"/>
  <c r="E8" i="12"/>
  <c r="E9" i="12"/>
  <c r="E10" i="12"/>
  <c r="E11" i="12"/>
  <c r="E12" i="12"/>
  <c r="E13" i="12"/>
  <c r="E4" i="12"/>
  <c r="K5" i="12"/>
  <c r="K6" i="12"/>
  <c r="K7" i="12"/>
  <c r="K8" i="12"/>
  <c r="K9" i="12"/>
  <c r="K10" i="12"/>
  <c r="K11" i="12"/>
  <c r="K12" i="12"/>
  <c r="K13" i="12"/>
  <c r="K4" i="12"/>
  <c r="I5" i="12"/>
  <c r="I6" i="12"/>
  <c r="I7" i="12"/>
  <c r="I8" i="12"/>
  <c r="I9" i="12"/>
  <c r="I10" i="12"/>
  <c r="I11" i="12"/>
  <c r="I12" i="12"/>
  <c r="I13" i="12"/>
  <c r="I4" i="12"/>
  <c r="D5" i="12"/>
  <c r="D6" i="12"/>
  <c r="D7" i="12"/>
  <c r="D8" i="12"/>
  <c r="D9" i="12"/>
  <c r="D10" i="12"/>
  <c r="D11" i="12"/>
  <c r="D12" i="12"/>
  <c r="D13" i="12"/>
  <c r="D4" i="12"/>
  <c r="H8" i="2"/>
  <c r="F9" i="2"/>
  <c r="G9" i="2" s="1"/>
  <c r="F4" i="2"/>
  <c r="G4" i="2" s="1"/>
  <c r="J3" i="2"/>
  <c r="F3" i="2" s="1"/>
  <c r="G3" i="2" s="1"/>
  <c r="J9" i="2"/>
  <c r="H9" i="2" s="1"/>
  <c r="J8" i="2"/>
  <c r="F8" i="2" s="1"/>
  <c r="G8" i="2" s="1"/>
  <c r="J5" i="2"/>
  <c r="H5" i="2" s="1"/>
  <c r="J10" i="2"/>
  <c r="H10" i="2" s="1"/>
  <c r="J7" i="2"/>
  <c r="H7" i="2" s="1"/>
  <c r="J4" i="2"/>
  <c r="H4" i="2" s="1"/>
  <c r="J6" i="2"/>
  <c r="H6" i="2" s="1"/>
  <c r="I3" i="2"/>
  <c r="I9" i="2"/>
  <c r="I8" i="2"/>
  <c r="I5" i="2"/>
  <c r="I10" i="2"/>
  <c r="I7" i="2"/>
  <c r="I4" i="2"/>
  <c r="I6" i="2"/>
  <c r="C3" i="2"/>
  <c r="C9" i="2"/>
  <c r="C8" i="2"/>
  <c r="C5" i="2"/>
  <c r="C10" i="2"/>
  <c r="C7" i="2"/>
  <c r="C4" i="2"/>
  <c r="C6" i="2"/>
  <c r="I4" i="7"/>
  <c r="I5" i="7"/>
  <c r="I6" i="7"/>
  <c r="I7" i="7"/>
  <c r="I3" i="7"/>
  <c r="E3" i="1"/>
  <c r="I3" i="1" s="1"/>
  <c r="K3" i="1" s="1"/>
  <c r="K4" i="1"/>
  <c r="K5" i="1"/>
  <c r="K6" i="1"/>
  <c r="K7" i="1"/>
  <c r="K8" i="1"/>
  <c r="K9" i="1"/>
  <c r="K10" i="1"/>
  <c r="J4" i="1"/>
  <c r="J5" i="1"/>
  <c r="J6" i="1"/>
  <c r="J7" i="1"/>
  <c r="J8" i="1"/>
  <c r="J9" i="1"/>
  <c r="J10" i="1"/>
  <c r="J3" i="1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I4" i="1"/>
  <c r="I5" i="1"/>
  <c r="I6" i="1"/>
  <c r="I7" i="1"/>
  <c r="I8" i="1"/>
  <c r="I9" i="1"/>
  <c r="I10" i="1"/>
  <c r="E4" i="1"/>
  <c r="E5" i="1"/>
  <c r="E6" i="1"/>
  <c r="E7" i="1"/>
  <c r="E8" i="1"/>
  <c r="E9" i="1"/>
  <c r="E10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C6" i="13"/>
  <c r="C7" i="13"/>
  <c r="C8" i="13"/>
  <c r="C9" i="13"/>
  <c r="C10" i="13"/>
  <c r="C11" i="13"/>
  <c r="C12" i="13"/>
  <c r="C13" i="13"/>
  <c r="C5" i="13"/>
  <c r="F10" i="2" l="1"/>
  <c r="G10" i="2" s="1"/>
  <c r="H3" i="2"/>
  <c r="F6" i="2"/>
  <c r="G6" i="2" s="1"/>
  <c r="F7" i="2"/>
  <c r="G7" i="2" s="1"/>
  <c r="F5" i="2"/>
  <c r="G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4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<sst xmlns="http://schemas.openxmlformats.org/spreadsheetml/2006/main" count="229" uniqueCount="190">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</sst>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4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25" fillId="0" borderId="1" xfId="0" applyNumberFormat="1" applyFont="1" applyBorder="1"/>
    <xf numFmtId="3" fontId="43" fillId="0" borderId="1" xfId="0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opLeftCell="A4" zoomScale="120" zoomScaleNormal="120" workbookViewId="0">
      <selection activeCell="G21" sqref="G21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82</v>
      </c>
      <c r="B1" s="70"/>
      <c r="C1" s="70"/>
      <c r="D1" s="70"/>
      <c r="E1" s="70"/>
      <c r="F1" s="70"/>
      <c r="G1" s="70"/>
      <c r="H1" s="70"/>
      <c r="I1" s="70"/>
    </row>
    <row r="2" spans="1:10" s="7" customFormat="1" ht="20.100000000000001" customHeight="1" x14ac:dyDescent="0.25">
      <c r="A2" s="10"/>
      <c r="B2" s="10"/>
      <c r="C2" s="12" t="s">
        <v>97</v>
      </c>
      <c r="D2" s="11">
        <v>44344</v>
      </c>
      <c r="E2" s="10"/>
      <c r="F2" s="10"/>
      <c r="G2" s="10"/>
    </row>
    <row r="3" spans="1:10" ht="20.100000000000001" customHeight="1" x14ac:dyDescent="0.2">
      <c r="A3" s="73" t="s">
        <v>83</v>
      </c>
      <c r="B3" s="73" t="s">
        <v>84</v>
      </c>
      <c r="C3" s="66" t="s">
        <v>90</v>
      </c>
      <c r="D3" s="66" t="s">
        <v>91</v>
      </c>
      <c r="E3" s="66" t="s">
        <v>85</v>
      </c>
      <c r="F3" s="68" t="s">
        <v>86</v>
      </c>
      <c r="G3" s="69"/>
      <c r="H3" s="71" t="s">
        <v>87</v>
      </c>
      <c r="I3" s="36" t="s">
        <v>44</v>
      </c>
    </row>
    <row r="4" spans="1:10" ht="20.100000000000001" customHeight="1" x14ac:dyDescent="0.2">
      <c r="A4" s="73"/>
      <c r="B4" s="73"/>
      <c r="C4" s="67"/>
      <c r="D4" s="67"/>
      <c r="E4" s="67"/>
      <c r="F4" s="35" t="s">
        <v>88</v>
      </c>
      <c r="G4" s="35" t="s">
        <v>89</v>
      </c>
      <c r="H4" s="72"/>
      <c r="I4" s="37"/>
    </row>
    <row r="5" spans="1:10" ht="20.100000000000001" customHeight="1" x14ac:dyDescent="0.2">
      <c r="A5" s="2" t="s">
        <v>156</v>
      </c>
      <c r="B5" s="2">
        <v>22</v>
      </c>
      <c r="C5" s="2" t="str">
        <f>IF(LEFT(A5,2)="A1",$B$17,$B$18)</f>
        <v>Tin học A.1</v>
      </c>
      <c r="D5" s="2" t="str">
        <f>IF(MID(A5,3,1)="S","Sáng",IF(MID(A5,3,1)="C","Chiều","Tối"))</f>
        <v>Sáng</v>
      </c>
      <c r="E5" s="27" t="str">
        <f>C5&amp;"-"&amp;D5</f>
        <v>Tin học A.1-Sáng</v>
      </c>
      <c r="F5" s="63" t="str">
        <f>IF(B5&lt;10," ","X")</f>
        <v>X</v>
      </c>
      <c r="G5" s="63" t="str">
        <f>IF(B5&gt;=20,"X"," ")</f>
        <v>X</v>
      </c>
      <c r="H5" s="65">
        <f>IF(MID(A5,3,1)="T",$D$2+2,$D$2)</f>
        <v>44344</v>
      </c>
      <c r="I5" s="27" t="str">
        <f>IF(B5&lt;10,"Hủy"," ")</f>
        <v xml:space="preserve"> </v>
      </c>
    </row>
    <row r="6" spans="1:10" ht="20.100000000000001" customHeight="1" x14ac:dyDescent="0.2">
      <c r="A6" s="2" t="s">
        <v>161</v>
      </c>
      <c r="B6" s="2">
        <v>18</v>
      </c>
      <c r="C6" s="2" t="str">
        <f t="shared" ref="C6:C13" si="0">IF(LEFT(A6,2)="A1",$B$17,$B$18)</f>
        <v>Tin học A.1</v>
      </c>
      <c r="D6" s="2" t="str">
        <f t="shared" ref="D6:D13" si="1">IF(MID(A6,3,1)="S","Sáng",IF(MID(A6,3,1)="C","Chiều","Tối"))</f>
        <v>Tối</v>
      </c>
      <c r="E6" s="27" t="str">
        <f t="shared" ref="E6:E13" si="2">C6&amp;"-"&amp;D6</f>
        <v>Tin học A.1-Tối</v>
      </c>
      <c r="F6" s="63" t="str">
        <f t="shared" ref="F6:F13" si="3">IF(B6&lt;10," ","X")</f>
        <v>X</v>
      </c>
      <c r="G6" s="63" t="str">
        <f t="shared" ref="G6:G13" si="4">IF(B6&gt;=20,"X"," ")</f>
        <v xml:space="preserve"> </v>
      </c>
      <c r="H6" s="65">
        <f t="shared" ref="H6:H13" si="5">IF(MID(A6,3,1)="T",$D$2+2,$D$2)</f>
        <v>44346</v>
      </c>
      <c r="I6" s="27" t="str">
        <f t="shared" ref="I6:I13" si="6">IF(B6&lt;10,"Hủy"," ")</f>
        <v xml:space="preserve"> </v>
      </c>
    </row>
    <row r="7" spans="1:10" ht="20.100000000000001" customHeight="1" x14ac:dyDescent="0.2">
      <c r="A7" s="2" t="s">
        <v>162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7" t="str">
        <f t="shared" si="2"/>
        <v>Tin học A.2-Chiều</v>
      </c>
      <c r="F7" s="63" t="str">
        <f t="shared" si="3"/>
        <v>X</v>
      </c>
      <c r="G7" s="63" t="str">
        <f t="shared" si="4"/>
        <v xml:space="preserve"> </v>
      </c>
      <c r="H7" s="65">
        <f t="shared" si="5"/>
        <v>44344</v>
      </c>
      <c r="I7" s="27" t="str">
        <f t="shared" si="6"/>
        <v xml:space="preserve"> </v>
      </c>
    </row>
    <row r="8" spans="1:10" ht="20.100000000000001" customHeight="1" x14ac:dyDescent="0.2">
      <c r="A8" s="2" t="s">
        <v>163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7" t="str">
        <f t="shared" si="2"/>
        <v>Tin học A.1-Sáng</v>
      </c>
      <c r="F8" s="63" t="str">
        <f t="shared" si="3"/>
        <v>X</v>
      </c>
      <c r="G8" s="63" t="str">
        <f t="shared" si="4"/>
        <v xml:space="preserve"> </v>
      </c>
      <c r="H8" s="65">
        <f t="shared" si="5"/>
        <v>44344</v>
      </c>
      <c r="I8" s="27" t="str">
        <f t="shared" si="6"/>
        <v xml:space="preserve"> </v>
      </c>
    </row>
    <row r="9" spans="1:10" ht="20.100000000000001" customHeight="1" x14ac:dyDescent="0.2">
      <c r="A9" s="2" t="s">
        <v>164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7" t="str">
        <f t="shared" si="2"/>
        <v>Tin học A.1-Chiều</v>
      </c>
      <c r="F9" s="63" t="str">
        <f t="shared" si="3"/>
        <v>X</v>
      </c>
      <c r="G9" s="63" t="str">
        <f t="shared" si="4"/>
        <v>X</v>
      </c>
      <c r="H9" s="65">
        <f t="shared" si="5"/>
        <v>44344</v>
      </c>
      <c r="I9" s="27" t="str">
        <f t="shared" si="6"/>
        <v xml:space="preserve"> </v>
      </c>
    </row>
    <row r="10" spans="1:10" ht="20.100000000000001" customHeight="1" x14ac:dyDescent="0.2">
      <c r="A10" s="2" t="s">
        <v>165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7" t="str">
        <f t="shared" si="2"/>
        <v>Tin học A.1-Sáng</v>
      </c>
      <c r="F10" s="63" t="str">
        <f t="shared" si="3"/>
        <v xml:space="preserve"> </v>
      </c>
      <c r="G10" s="63" t="str">
        <f t="shared" si="4"/>
        <v xml:space="preserve"> </v>
      </c>
      <c r="H10" s="65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166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7" t="str">
        <f t="shared" si="2"/>
        <v>Tin học A.2-Tối</v>
      </c>
      <c r="F11" s="63" t="str">
        <f t="shared" si="3"/>
        <v>X</v>
      </c>
      <c r="G11" s="63" t="str">
        <f t="shared" si="4"/>
        <v xml:space="preserve"> </v>
      </c>
      <c r="H11" s="65">
        <f t="shared" si="5"/>
        <v>44346</v>
      </c>
      <c r="I11" s="27" t="str">
        <f t="shared" si="6"/>
        <v xml:space="preserve"> </v>
      </c>
    </row>
    <row r="12" spans="1:10" ht="20.100000000000001" customHeight="1" x14ac:dyDescent="0.2">
      <c r="A12" s="2" t="s">
        <v>167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7" t="str">
        <f t="shared" si="2"/>
        <v>Tin học A.1-Tối</v>
      </c>
      <c r="F12" s="63" t="str">
        <f t="shared" si="3"/>
        <v>X</v>
      </c>
      <c r="G12" s="63" t="str">
        <f t="shared" si="4"/>
        <v>X</v>
      </c>
      <c r="H12" s="65">
        <f t="shared" si="5"/>
        <v>44346</v>
      </c>
      <c r="I12" s="27" t="str">
        <f t="shared" si="6"/>
        <v xml:space="preserve"> </v>
      </c>
    </row>
    <row r="13" spans="1:10" ht="20.100000000000001" customHeight="1" x14ac:dyDescent="0.2">
      <c r="A13" s="2" t="s">
        <v>168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7" t="str">
        <f t="shared" si="2"/>
        <v>Tin học A.2-Sáng</v>
      </c>
      <c r="F13" s="63" t="str">
        <f t="shared" si="3"/>
        <v xml:space="preserve"> </v>
      </c>
      <c r="G13" s="63" t="str">
        <f t="shared" si="4"/>
        <v xml:space="preserve"> </v>
      </c>
      <c r="H13" s="65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169</v>
      </c>
      <c r="B16" s="35" t="s">
        <v>90</v>
      </c>
      <c r="D16" s="38" t="s">
        <v>170</v>
      </c>
      <c r="E16" s="33" t="s">
        <v>92</v>
      </c>
      <c r="F16" s="33" t="s">
        <v>30</v>
      </c>
      <c r="G16" s="33" t="s">
        <v>71</v>
      </c>
    </row>
    <row r="17" spans="1:9" ht="20.100000000000001" customHeight="1" x14ac:dyDescent="0.2">
      <c r="A17" s="5" t="s">
        <v>157</v>
      </c>
      <c r="B17" s="2" t="s">
        <v>159</v>
      </c>
      <c r="D17" s="39" t="s">
        <v>91</v>
      </c>
      <c r="E17" s="5" t="s">
        <v>93</v>
      </c>
      <c r="F17" s="5" t="s">
        <v>94</v>
      </c>
      <c r="G17" s="5" t="s">
        <v>95</v>
      </c>
    </row>
    <row r="18" spans="1:9" ht="20.100000000000001" customHeight="1" x14ac:dyDescent="0.2">
      <c r="A18" s="5" t="s">
        <v>158</v>
      </c>
      <c r="B18" s="2" t="s">
        <v>160</v>
      </c>
    </row>
    <row r="19" spans="1:9" ht="20.100000000000001" customHeight="1" x14ac:dyDescent="0.25">
      <c r="A19"/>
      <c r="B19"/>
      <c r="F19" s="26" t="s">
        <v>137</v>
      </c>
    </row>
    <row r="20" spans="1:9" ht="20.100000000000001" customHeight="1" x14ac:dyDescent="0.2">
      <c r="A20" s="9" t="s">
        <v>96</v>
      </c>
      <c r="F20" s="39" t="s">
        <v>91</v>
      </c>
      <c r="G20" s="5" t="s">
        <v>93</v>
      </c>
      <c r="H20" s="5" t="s">
        <v>94</v>
      </c>
      <c r="I20" s="5" t="s">
        <v>95</v>
      </c>
    </row>
    <row r="21" spans="1:9" ht="20.100000000000001" customHeight="1" x14ac:dyDescent="0.2">
      <c r="A21" s="1" t="s">
        <v>149</v>
      </c>
      <c r="F21" s="8"/>
      <c r="G21" s="27">
        <f>COUNTIF($D$5:$D$13,"Sáng")</f>
        <v>4</v>
      </c>
      <c r="H21" s="27">
        <f>COUNTIF($D$5:$D$13,"Chiều")</f>
        <v>2</v>
      </c>
      <c r="I21" s="27">
        <f>COUNTIF($D$5:$D$13,"Tối")</f>
        <v>3</v>
      </c>
    </row>
    <row r="22" spans="1:9" ht="20.100000000000001" customHeight="1" x14ac:dyDescent="0.2">
      <c r="A22" s="1" t="s">
        <v>150</v>
      </c>
    </row>
    <row r="23" spans="1:9" ht="20.100000000000001" customHeight="1" x14ac:dyDescent="0.2">
      <c r="A23" s="1" t="s">
        <v>171</v>
      </c>
    </row>
    <row r="24" spans="1:9" ht="20.100000000000001" customHeight="1" x14ac:dyDescent="0.2">
      <c r="A24" s="1" t="s">
        <v>151</v>
      </c>
    </row>
    <row r="25" spans="1:9" ht="20.100000000000001" customHeight="1" x14ac:dyDescent="0.2">
      <c r="A25" s="1" t="s">
        <v>132</v>
      </c>
    </row>
    <row r="26" spans="1:9" ht="20.100000000000001" customHeight="1" x14ac:dyDescent="0.2">
      <c r="A26" s="9" t="s">
        <v>134</v>
      </c>
    </row>
    <row r="27" spans="1:9" ht="20.100000000000001" customHeight="1" x14ac:dyDescent="0.2">
      <c r="A27" s="1" t="s">
        <v>133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I17" sqref="I17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13.140625" style="1" customWidth="1"/>
    <col min="5" max="5" width="15.42578125" style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32" t="str">
        <f>IF(RIGHT(B3,1)="1","Khu vực - 1",IF(RIGHT(B3,1)="2","Khu vực - 2","Khu vực - 3"))</f>
        <v>Khu vực - 1</v>
      </c>
      <c r="E3" s="27" t="str">
        <f t="shared" ref="E3:E10" si="0">IF(MID(B3,3,1)="A","Ngành A",IF(MID(B3,3,1)="B","Ngành B","Ngành C"))</f>
        <v>Ngành A</v>
      </c>
      <c r="F3" s="2">
        <v>9</v>
      </c>
      <c r="G3" s="2">
        <v>7.5</v>
      </c>
      <c r="H3" s="2">
        <v>0</v>
      </c>
      <c r="I3" s="2">
        <f>IF(E3="Ngành A",26,IF(E3="Ngành B",25.5,20))</f>
        <v>26</v>
      </c>
      <c r="J3" s="27">
        <f>IF(D3="Khu vực - 1",0,IF(D3="Khu vực - 2",1,2))+IF(C3="Học sinh",0,IF(C3="Bộ đội",0.5,1))</f>
        <v>0.5</v>
      </c>
      <c r="K3" s="27">
        <f>SUM(F3:I3)</f>
        <v>42.5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1">IF(LEFT(B4,2)="BD","Bộ đội",IF(LEFT(B4,2)="CL","Con liệt sĩ","Học sinh"))</f>
        <v>Học sinh</v>
      </c>
      <c r="D4" s="32" t="str">
        <f t="shared" ref="D4:D10" si="2">IF(RIGHT(B4,1)="1","Khu vực - 1",IF(RIGHT(B4,1)="2","Khu vực - 2","Khu vực - 3"))</f>
        <v>Khu vực - 3</v>
      </c>
      <c r="E4" s="27" t="str">
        <f t="shared" si="0"/>
        <v>Ngành A</v>
      </c>
      <c r="F4" s="2">
        <v>6.5</v>
      </c>
      <c r="G4" s="2">
        <v>7</v>
      </c>
      <c r="H4" s="2">
        <v>6.5</v>
      </c>
      <c r="I4" s="2">
        <f t="shared" ref="I4:I10" si="3">IF(E4="Ngành A",26,IF(E4="Ngành B",25.5,20))</f>
        <v>26</v>
      </c>
      <c r="J4" s="27">
        <f t="shared" ref="J4:J10" si="4">IF(D4="Khu vực - 1",0,IF(D4="Khu vực - 2",1,2))+IF(C4="Học sinh",0,IF(C4="Bộ đội",0.5,1))</f>
        <v>2</v>
      </c>
      <c r="K4" s="27">
        <f t="shared" ref="K4:K10" si="5">SUM(F4:I4)</f>
        <v>46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1"/>
        <v>Con liệt sĩ</v>
      </c>
      <c r="D5" s="32" t="str">
        <f t="shared" si="2"/>
        <v>Khu vực - 3</v>
      </c>
      <c r="E5" s="27" t="str">
        <f t="shared" si="0"/>
        <v>Ngành 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33.5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1"/>
        <v>Học sinh</v>
      </c>
      <c r="D6" s="32" t="str">
        <f t="shared" si="2"/>
        <v>Khu vực - 2</v>
      </c>
      <c r="E6" s="27" t="str">
        <f t="shared" si="0"/>
        <v>Ngành 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45.5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1"/>
        <v>Con liệt sĩ</v>
      </c>
      <c r="D7" s="32" t="str">
        <f t="shared" si="2"/>
        <v>Khu vực - 1</v>
      </c>
      <c r="E7" s="27" t="str">
        <f t="shared" si="0"/>
        <v>Ngành 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45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1"/>
        <v>Bộ đội</v>
      </c>
      <c r="D8" s="32" t="str">
        <f t="shared" si="2"/>
        <v>Khu vực - 3</v>
      </c>
      <c r="E8" s="27" t="str">
        <f t="shared" si="0"/>
        <v>Ngành 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44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1"/>
        <v>Học sinh</v>
      </c>
      <c r="D9" s="32" t="str">
        <f t="shared" si="2"/>
        <v>Khu vực - 2</v>
      </c>
      <c r="E9" s="27" t="str">
        <f t="shared" si="0"/>
        <v>Ngành 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44.5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1"/>
        <v>Con liệt sĩ</v>
      </c>
      <c r="D10" s="32" t="str">
        <f t="shared" si="2"/>
        <v>Khu vực - 2</v>
      </c>
      <c r="E10" s="27" t="str">
        <f t="shared" si="0"/>
        <v>Ngành 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35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34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4"/>
      <c r="G13" s="47"/>
      <c r="H13" s="46" t="s">
        <v>4</v>
      </c>
      <c r="I13" s="46" t="s">
        <v>35</v>
      </c>
      <c r="J13" s="46" t="s">
        <v>36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SUMIF($B$3:$B$10,"???1",$F$3:$F$10)</f>
        <v>18</v>
      </c>
      <c r="J14" s="27">
        <f>SUMIF($B$3:$B$10,"???2",$F$3:$F$10)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SUMIF($B$3:$B$10,"???1",$G$3:$G$10)</f>
        <v>12.5</v>
      </c>
      <c r="J15" s="27">
        <f>SUMIF($B$3:$B$10,"???2",$G$3:$G$10)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SUMIF($B$3:$B$10,"???1",$H$3:$H$10)</f>
        <v>5.5</v>
      </c>
      <c r="J16" s="27">
        <f>SUMIF($B$3:$B$10,"???2",$H$3:$H$10)</f>
        <v>11.5</v>
      </c>
    </row>
    <row r="18" spans="1:10" ht="20.100000000000001" customHeight="1" x14ac:dyDescent="0.2">
      <c r="A18" s="6" t="s">
        <v>155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154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135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80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G26" sqref="G26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5" t="s">
        <v>188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48" t="s">
        <v>179</v>
      </c>
      <c r="B2" s="48" t="s">
        <v>180</v>
      </c>
      <c r="C2" s="49" t="s">
        <v>183</v>
      </c>
      <c r="D2" s="49" t="s">
        <v>184</v>
      </c>
      <c r="E2" s="49" t="s">
        <v>185</v>
      </c>
      <c r="F2" s="49" t="s">
        <v>186</v>
      </c>
      <c r="G2" s="49" t="s">
        <v>187</v>
      </c>
      <c r="H2" s="49" t="s">
        <v>181</v>
      </c>
      <c r="I2" s="48" t="s">
        <v>182</v>
      </c>
    </row>
    <row r="3" spans="1:9" x14ac:dyDescent="0.2">
      <c r="A3" s="51">
        <v>1</v>
      </c>
      <c r="B3" s="52" t="s">
        <v>74</v>
      </c>
      <c r="C3" s="51" t="s">
        <v>29</v>
      </c>
      <c r="D3" s="51">
        <v>9</v>
      </c>
      <c r="E3" s="51">
        <v>10</v>
      </c>
      <c r="F3" s="53">
        <f>(E3*2+D3)/3</f>
        <v>9.6666666666666661</v>
      </c>
      <c r="G3" s="54" t="str">
        <f>IF(F3&lt;5,"Thi lại","Lên lớp")</f>
        <v>Lên lớp</v>
      </c>
      <c r="H3" s="54">
        <f>IF(AND(F3&gt;=9,C3="A"),150000," ")</f>
        <v>150000</v>
      </c>
      <c r="I3" s="54">
        <f>RANK(F3,$F$3:$F$7,0)</f>
        <v>1</v>
      </c>
    </row>
    <row r="4" spans="1:9" x14ac:dyDescent="0.2">
      <c r="A4" s="51">
        <v>2</v>
      </c>
      <c r="B4" s="52" t="s">
        <v>75</v>
      </c>
      <c r="C4" s="51" t="s">
        <v>31</v>
      </c>
      <c r="D4" s="51">
        <v>8</v>
      </c>
      <c r="E4" s="51">
        <v>10</v>
      </c>
      <c r="F4" s="53">
        <f t="shared" ref="F4:F7" si="0">(E4*2+D4)/3</f>
        <v>9.3333333333333339</v>
      </c>
      <c r="G4" s="54" t="str">
        <f t="shared" ref="G4:G7" si="1">IF(F4&lt;5,"Thi lại","Lên lớp")</f>
        <v>Lên lớp</v>
      </c>
      <c r="H4" s="54" t="str">
        <f t="shared" ref="H4:H7" si="2">IF(AND(F4&gt;=9,C4="A"),150000," ")</f>
        <v xml:space="preserve"> </v>
      </c>
      <c r="I4" s="54">
        <f t="shared" ref="I4:I7" si="3">RANK(F4,$F$3:$F$7,0)</f>
        <v>2</v>
      </c>
    </row>
    <row r="5" spans="1:9" x14ac:dyDescent="0.2">
      <c r="A5" s="51">
        <v>3</v>
      </c>
      <c r="B5" s="52" t="s">
        <v>189</v>
      </c>
      <c r="C5" s="51" t="s">
        <v>31</v>
      </c>
      <c r="D5" s="51">
        <v>5</v>
      </c>
      <c r="E5" s="51">
        <v>6</v>
      </c>
      <c r="F5" s="53">
        <f t="shared" si="0"/>
        <v>5.666666666666667</v>
      </c>
      <c r="G5" s="54" t="str">
        <f t="shared" si="1"/>
        <v>Lên lớp</v>
      </c>
      <c r="H5" s="54" t="str">
        <f t="shared" si="2"/>
        <v xml:space="preserve"> </v>
      </c>
      <c r="I5" s="54">
        <f t="shared" si="3"/>
        <v>4</v>
      </c>
    </row>
    <row r="6" spans="1:9" x14ac:dyDescent="0.2">
      <c r="A6" s="51">
        <v>4</v>
      </c>
      <c r="B6" s="52" t="s">
        <v>76</v>
      </c>
      <c r="C6" s="51" t="s">
        <v>29</v>
      </c>
      <c r="D6" s="51">
        <v>8</v>
      </c>
      <c r="E6" s="51">
        <v>2</v>
      </c>
      <c r="F6" s="53">
        <f t="shared" si="0"/>
        <v>4</v>
      </c>
      <c r="G6" s="54" t="str">
        <f t="shared" si="1"/>
        <v>Thi lại</v>
      </c>
      <c r="H6" s="54" t="str">
        <f t="shared" si="2"/>
        <v xml:space="preserve"> </v>
      </c>
      <c r="I6" s="54">
        <f t="shared" si="3"/>
        <v>5</v>
      </c>
    </row>
    <row r="7" spans="1:9" x14ac:dyDescent="0.2">
      <c r="A7" s="51">
        <v>5</v>
      </c>
      <c r="B7" s="52" t="s">
        <v>77</v>
      </c>
      <c r="C7" s="51" t="s">
        <v>31</v>
      </c>
      <c r="D7" s="51">
        <v>10</v>
      </c>
      <c r="E7" s="51">
        <v>9</v>
      </c>
      <c r="F7" s="53">
        <f t="shared" si="0"/>
        <v>9.3333333333333339</v>
      </c>
      <c r="G7" s="54" t="str">
        <f t="shared" si="1"/>
        <v>Lên lớp</v>
      </c>
      <c r="H7" s="54" t="str">
        <f t="shared" si="2"/>
        <v xml:space="preserve"> </v>
      </c>
      <c r="I7" s="54">
        <f t="shared" si="3"/>
        <v>2</v>
      </c>
    </row>
    <row r="9" spans="1:9" x14ac:dyDescent="0.2">
      <c r="A9" s="55"/>
      <c r="B9" s="55"/>
      <c r="C9" s="55"/>
      <c r="D9" s="55"/>
      <c r="E9" s="55"/>
      <c r="F9" s="55"/>
      <c r="G9" s="55"/>
      <c r="H9" s="55"/>
    </row>
    <row r="10" spans="1:9" ht="15" x14ac:dyDescent="0.2">
      <c r="A10" s="56" t="s">
        <v>175</v>
      </c>
      <c r="B10" s="56"/>
      <c r="C10" s="55"/>
      <c r="D10" s="55"/>
      <c r="E10" s="55"/>
      <c r="F10" s="55"/>
      <c r="G10" s="55"/>
      <c r="H10" s="55"/>
    </row>
    <row r="11" spans="1:9" ht="15" x14ac:dyDescent="0.2">
      <c r="A11" s="56" t="s">
        <v>176</v>
      </c>
      <c r="B11" s="56"/>
      <c r="C11" s="55"/>
      <c r="D11" s="55"/>
      <c r="E11" s="55"/>
      <c r="F11" s="55"/>
      <c r="G11" s="55"/>
      <c r="H11" s="55"/>
    </row>
    <row r="12" spans="1:9" ht="15" x14ac:dyDescent="0.2">
      <c r="A12" s="56" t="s">
        <v>177</v>
      </c>
      <c r="B12" s="56"/>
      <c r="C12" s="55"/>
      <c r="D12" s="55"/>
      <c r="E12" s="55"/>
      <c r="F12" s="55"/>
      <c r="G12" s="55"/>
      <c r="H12" s="55"/>
    </row>
    <row r="13" spans="1:9" ht="15" x14ac:dyDescent="0.2">
      <c r="A13" s="57" t="s">
        <v>178</v>
      </c>
      <c r="B13" s="58"/>
    </row>
    <row r="14" spans="1:9" ht="47.25" customHeight="1" x14ac:dyDescent="0.2">
      <c r="A14" s="59" t="s">
        <v>145</v>
      </c>
      <c r="B14" s="60" t="s">
        <v>152</v>
      </c>
      <c r="C14" s="61" t="s">
        <v>146</v>
      </c>
      <c r="D14" s="76" t="s">
        <v>153</v>
      </c>
      <c r="E14" s="76"/>
    </row>
    <row r="15" spans="1:9" x14ac:dyDescent="0.2">
      <c r="A15" s="62">
        <f>COUNTA(B3:B7)</f>
        <v>5</v>
      </c>
      <c r="B15" s="62">
        <f>COUNTIF(F3:F7,MAX(F3:F7))</f>
        <v>1</v>
      </c>
      <c r="C15" s="87">
        <f>SUM(H3:H7)</f>
        <v>150000</v>
      </c>
      <c r="D15" s="77">
        <f>COUNTIF(D3:D7,"&gt;9")</f>
        <v>1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K16" sqref="K16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12.42578125" style="1" customWidth="1"/>
    <col min="7" max="7" width="16.5703125" style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79" t="s">
        <v>37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">
      <c r="A2" s="40" t="s">
        <v>1</v>
      </c>
      <c r="B2" s="40" t="s">
        <v>38</v>
      </c>
      <c r="C2" s="40" t="s">
        <v>39</v>
      </c>
      <c r="D2" s="40" t="s">
        <v>40</v>
      </c>
      <c r="E2" s="40" t="s">
        <v>41</v>
      </c>
      <c r="F2" s="40" t="s">
        <v>42</v>
      </c>
      <c r="G2" s="40" t="s">
        <v>43</v>
      </c>
      <c r="H2" s="40" t="s">
        <v>174</v>
      </c>
      <c r="I2" s="42" t="s">
        <v>70</v>
      </c>
      <c r="J2" s="42" t="s">
        <v>72</v>
      </c>
    </row>
    <row r="3" spans="1:11" ht="20.100000000000001" customHeight="1" x14ac:dyDescent="0.2">
      <c r="A3" s="5">
        <v>2</v>
      </c>
      <c r="B3" s="2" t="s">
        <v>45</v>
      </c>
      <c r="C3" s="2" t="str">
        <f>IF(LEFT(B3,2)="PE","PEPSI",IF(LEFT(B3,2)="CO","COCA COLA",IF(LEFT(B3,2)="SP","SPRITE","FANTA")))</f>
        <v>COCA COLA</v>
      </c>
      <c r="D3" s="5">
        <v>40</v>
      </c>
      <c r="E3" s="2">
        <v>1600</v>
      </c>
      <c r="F3" s="86" t="str">
        <f>IF(AND(LEFT(B3,2)="PE",MID(B3,5,1)="C",D3&gt;=50,J3="Xuất"),5%*D3*E4," ")</f>
        <v xml:space="preserve"> </v>
      </c>
      <c r="G3" s="32">
        <f>IF(F3=" ",D3*E3,D3*E3-F3)</f>
        <v>64000</v>
      </c>
      <c r="H3" s="32" t="str">
        <f>IF(AND(J3="Xuất",D3&gt;=50),"Có quà tặng"," ")</f>
        <v xml:space="preserve"> </v>
      </c>
      <c r="I3" s="27" t="str">
        <f>IF(MID(B3,5,1)="C","Chai","Lon")</f>
        <v>Chai</v>
      </c>
      <c r="J3" s="27" t="str">
        <f>IF(RIGHT(B3,1)="N","Nhập","Xuất")</f>
        <v>Nhập</v>
      </c>
    </row>
    <row r="4" spans="1:11" ht="20.100000000000001" customHeight="1" x14ac:dyDescent="0.2">
      <c r="A4" s="5">
        <v>8</v>
      </c>
      <c r="B4" s="2" t="s">
        <v>51</v>
      </c>
      <c r="C4" s="2" t="str">
        <f>IF(LEFT(B4,2)="PE","PEPSI",IF(LEFT(B4,2)="CO","COCA COLA",IF(LEFT(B4,2)="SP","SPRITE","FANTA")))</f>
        <v>FANTA</v>
      </c>
      <c r="D4" s="5">
        <v>70</v>
      </c>
      <c r="E4" s="2">
        <v>2000</v>
      </c>
      <c r="F4" s="86" t="str">
        <f>IF(AND(LEFT(B4,2)="PE",MID(B4,5,1)="C",D4&gt;=50,J4="Xuất"),5%*D4*E5," ")</f>
        <v xml:space="preserve"> </v>
      </c>
      <c r="G4" s="32">
        <f>IF(F4=" ",D4*E4,D4*E4-F4)</f>
        <v>140000</v>
      </c>
      <c r="H4" s="32" t="str">
        <f>IF(AND(J4="Xuất",D4&gt;=50),"Có quà tặng"," ")</f>
        <v xml:space="preserve"> </v>
      </c>
      <c r="I4" s="27" t="str">
        <f>IF(MID(B4,5,1)="C","Chai","Lon")</f>
        <v>Chai</v>
      </c>
      <c r="J4" s="27" t="str">
        <f>IF(RIGHT(B4,1)="N","Nhập","Xuất")</f>
        <v>Nhập</v>
      </c>
    </row>
    <row r="5" spans="1:11" ht="20.100000000000001" customHeight="1" x14ac:dyDescent="0.2">
      <c r="A5" s="5">
        <v>5</v>
      </c>
      <c r="B5" s="2" t="s">
        <v>48</v>
      </c>
      <c r="C5" s="2" t="str">
        <f>IF(LEFT(B5,2)="PE","PEPSI",IF(LEFT(B5,2)="CO","COCA COLA",IF(LEFT(B5,2)="SP","SPRITE","FANTA")))</f>
        <v>FANTA</v>
      </c>
      <c r="D5" s="5">
        <v>80</v>
      </c>
      <c r="E5" s="2">
        <v>2000</v>
      </c>
      <c r="F5" s="86" t="str">
        <f>IF(AND(LEFT(B5,2)="PE",MID(B5,5,1)="C",D5&gt;=50,J5="Xuất"),5%*D5*E6," ")</f>
        <v xml:space="preserve"> </v>
      </c>
      <c r="G5" s="32">
        <f>IF(F5=" ",D5*E5,D5*E5-F5)</f>
        <v>160000</v>
      </c>
      <c r="H5" s="32" t="str">
        <f>IF(AND(J5="Xuất",D5&gt;=50),"Có quà tặng"," ")</f>
        <v xml:space="preserve"> </v>
      </c>
      <c r="I5" s="27" t="str">
        <f>IF(MID(B5,5,1)="C","Chai","Lon")</f>
        <v>Lon</v>
      </c>
      <c r="J5" s="27" t="str">
        <f>IF(RIGHT(B5,1)="N","Nhập","Xuất")</f>
        <v>Nhập</v>
      </c>
    </row>
    <row r="6" spans="1:11" ht="20.100000000000001" customHeight="1" x14ac:dyDescent="0.2">
      <c r="A6" s="5">
        <v>1</v>
      </c>
      <c r="B6" s="4" t="s">
        <v>73</v>
      </c>
      <c r="C6" s="2" t="str">
        <f>IF(LEFT(B6,2)="PE","PEPSI",IF(LEFT(B6,2)="CO","COCA COLA",IF(LEFT(B6,2)="SP","SPRITE","FANTA")))</f>
        <v>PEPSI</v>
      </c>
      <c r="D6" s="5">
        <v>20</v>
      </c>
      <c r="E6" s="2">
        <v>1400</v>
      </c>
      <c r="F6" s="86" t="str">
        <f>IF(AND(LEFT(B6,2)="PE",MID(B6,5,1)="C",D6&gt;=50,J6="Xuất"),5%*D6*E7," ")</f>
        <v xml:space="preserve"> </v>
      </c>
      <c r="G6" s="32">
        <f>IF(F6=" ",D6*E6,D6*E6-F6)</f>
        <v>28000</v>
      </c>
      <c r="H6" s="32" t="str">
        <f>IF(AND(J6="Xuất",D6&gt;=50),"Có quà tặng"," ")</f>
        <v xml:space="preserve"> </v>
      </c>
      <c r="I6" s="27" t="str">
        <f>IF(MID(B6,5,1)="C","Chai","Lon")</f>
        <v>Lon</v>
      </c>
      <c r="J6" s="27" t="str">
        <f>IF(RIGHT(B6,1)="N","Nhập","Xuất")</f>
        <v>Nhập</v>
      </c>
    </row>
    <row r="7" spans="1:11" ht="20.100000000000001" customHeight="1" x14ac:dyDescent="0.2">
      <c r="A7" s="5">
        <v>7</v>
      </c>
      <c r="B7" s="2" t="s">
        <v>50</v>
      </c>
      <c r="C7" s="2" t="str">
        <f>IF(LEFT(B7,2)="PE","PEPSI",IF(LEFT(B7,2)="CO","COCA COLA",IF(LEFT(B7,2)="SP","SPRITE","FANTA")))</f>
        <v>PEPSI</v>
      </c>
      <c r="D7" s="5">
        <v>50</v>
      </c>
      <c r="E7" s="2">
        <v>1800</v>
      </c>
      <c r="F7" s="86">
        <f>IF(AND(LEFT(B7,2)="PE",MID(B7,5,1)="C",D7&gt;=50,J7="Xuất"),5%*D7*E8," ")</f>
        <v>3500</v>
      </c>
      <c r="G7" s="32">
        <f>IF(F7=" ",D7*E7,D7*E7-F7)</f>
        <v>86500</v>
      </c>
      <c r="H7" s="32" t="str">
        <f>IF(AND(J7="Xuất",D7&gt;=50),"Có quà tặng"," ")</f>
        <v>Có quà tặng</v>
      </c>
      <c r="I7" s="27" t="str">
        <f>IF(MID(B7,5,1)="C","Chai","Lon")</f>
        <v>Chai</v>
      </c>
      <c r="J7" s="27" t="str">
        <f>IF(RIGHT(B7,1)="N","Nhập","Xuất")</f>
        <v>Xuất</v>
      </c>
    </row>
    <row r="8" spans="1:11" ht="20.100000000000001" customHeight="1" x14ac:dyDescent="0.2">
      <c r="A8" s="5">
        <v>4</v>
      </c>
      <c r="B8" s="2" t="s">
        <v>47</v>
      </c>
      <c r="C8" s="2" t="str">
        <f>IF(LEFT(B8,2)="PE","PEPSI",IF(LEFT(B8,2)="CO","COCA COLA",IF(LEFT(B8,2)="SP","SPRITE","FANTA")))</f>
        <v>PEPSI</v>
      </c>
      <c r="D8" s="5">
        <v>80</v>
      </c>
      <c r="E8" s="2">
        <v>1400</v>
      </c>
      <c r="F8" s="86" t="str">
        <f>IF(AND(LEFT(B8,2)="PE",MID(B8,5,1)="C",D8&gt;=50,J8="Xuất"),5%*D8*E9," ")</f>
        <v xml:space="preserve"> </v>
      </c>
      <c r="G8" s="32">
        <f>IF(F8=" ",D8*E8,D8*E8-F8)</f>
        <v>112000</v>
      </c>
      <c r="H8" s="32" t="str">
        <f>IF(AND(J8="Xuất",D8&gt;=50),"Có quà tặng"," ")</f>
        <v xml:space="preserve"> </v>
      </c>
      <c r="I8" s="27" t="str">
        <f>IF(MID(B8,5,1)="C","Chai","Lon")</f>
        <v>Chai</v>
      </c>
      <c r="J8" s="27" t="str">
        <f>IF(RIGHT(B8,1)="N","Nhập","Xuất")</f>
        <v>Nhập</v>
      </c>
    </row>
    <row r="9" spans="1:11" ht="20.100000000000001" customHeight="1" x14ac:dyDescent="0.2">
      <c r="A9" s="5">
        <v>3</v>
      </c>
      <c r="B9" s="2" t="s">
        <v>46</v>
      </c>
      <c r="C9" s="2" t="str">
        <f>IF(LEFT(B9,2)="PE","PEPSI",IF(LEFT(B9,2)="CO","COCA COLA",IF(LEFT(B9,2)="SP","SPRITE","FANTA")))</f>
        <v>SPRITE</v>
      </c>
      <c r="D9" s="5">
        <v>35</v>
      </c>
      <c r="E9" s="2">
        <v>1800</v>
      </c>
      <c r="F9" s="86" t="str">
        <f>IF(AND(LEFT(B9,2)="PE",MID(B9,5,1)="C",D9&gt;=50,J9="Xuất"),5%*D9*E10," ")</f>
        <v xml:space="preserve"> </v>
      </c>
      <c r="G9" s="32">
        <f>IF(F9=" ",D9*E9,D9*E9-F9)</f>
        <v>63000</v>
      </c>
      <c r="H9" s="32" t="str">
        <f>IF(AND(J9="Xuất",D9&gt;=50),"Có quà tặng"," ")</f>
        <v xml:space="preserve"> </v>
      </c>
      <c r="I9" s="27" t="str">
        <f>IF(MID(B9,5,1)="C","Chai","Lon")</f>
        <v>Lon</v>
      </c>
      <c r="J9" s="27" t="str">
        <f>IF(RIGHT(B9,1)="N","Nhập","Xuất")</f>
        <v>Nhập</v>
      </c>
    </row>
    <row r="10" spans="1:11" ht="20.100000000000001" customHeight="1" x14ac:dyDescent="0.2">
      <c r="A10" s="5">
        <v>6</v>
      </c>
      <c r="B10" s="2" t="s">
        <v>49</v>
      </c>
      <c r="C10" s="2" t="str">
        <f>IF(LEFT(B10,2)="PE","PEPSI",IF(LEFT(B10,2)="CO","COCA COLA",IF(LEFT(B10,2)="SP","SPRITE","FANTA")))</f>
        <v>SPRITE</v>
      </c>
      <c r="D10" s="5">
        <v>35</v>
      </c>
      <c r="E10" s="2">
        <v>2300</v>
      </c>
      <c r="F10" s="86" t="str">
        <f>IF(AND(LEFT(B10,2)="PE",MID(B10,5,1)="C",D10&gt;=50,J10="Xuất"),5%*D10*E11," ")</f>
        <v xml:space="preserve"> </v>
      </c>
      <c r="G10" s="32">
        <f>IF(F10=" ",D10*E10,D10*E10-F10)</f>
        <v>80500</v>
      </c>
      <c r="H10" s="32" t="str">
        <f>IF(AND(J10="Xuất",D10&gt;=50),"Có quà tặng"," ")</f>
        <v xml:space="preserve"> </v>
      </c>
      <c r="I10" s="27" t="str">
        <f>IF(MID(B10,5,1)="C","Chai","Lon")</f>
        <v>Lon</v>
      </c>
      <c r="J10" s="27" t="str">
        <f>IF(RIGHT(B10,1)="N","Nhập","Xuất")</f>
        <v>Xuất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68</v>
      </c>
    </row>
    <row r="13" spans="1:11" ht="20.100000000000001" customHeight="1" x14ac:dyDescent="0.2">
      <c r="A13" s="78" t="s">
        <v>52</v>
      </c>
      <c r="B13" s="78" t="s">
        <v>39</v>
      </c>
      <c r="C13" s="78" t="s">
        <v>41</v>
      </c>
      <c r="D13" s="78"/>
      <c r="F13" s="41" t="s">
        <v>63</v>
      </c>
      <c r="G13" s="41" t="s">
        <v>64</v>
      </c>
      <c r="I13" s="41" t="s">
        <v>69</v>
      </c>
      <c r="J13" s="41" t="s">
        <v>61</v>
      </c>
      <c r="K13" s="41" t="s">
        <v>62</v>
      </c>
    </row>
    <row r="14" spans="1:11" ht="20.100000000000001" customHeight="1" x14ac:dyDescent="0.2">
      <c r="A14" s="78"/>
      <c r="B14" s="78"/>
      <c r="C14" s="40" t="s">
        <v>61</v>
      </c>
      <c r="D14" s="40" t="s">
        <v>62</v>
      </c>
      <c r="F14" s="5" t="s">
        <v>65</v>
      </c>
      <c r="G14" s="2" t="s">
        <v>66</v>
      </c>
      <c r="I14" s="2" t="s">
        <v>57</v>
      </c>
      <c r="J14" s="27">
        <f>COUNTIF($B$3:$B$10,"PE???N")</f>
        <v>2</v>
      </c>
      <c r="K14" s="27">
        <f>COUNTIF($B$3:$B$10,"PE???X")</f>
        <v>1</v>
      </c>
    </row>
    <row r="15" spans="1:11" ht="20.100000000000001" customHeight="1" x14ac:dyDescent="0.2">
      <c r="A15" s="5" t="s">
        <v>53</v>
      </c>
      <c r="B15" s="2" t="s">
        <v>57</v>
      </c>
      <c r="C15" s="2">
        <v>1400</v>
      </c>
      <c r="D15" s="2">
        <v>1800</v>
      </c>
      <c r="F15" s="5" t="s">
        <v>30</v>
      </c>
      <c r="G15" s="2" t="s">
        <v>67</v>
      </c>
      <c r="I15" s="2" t="s">
        <v>58</v>
      </c>
      <c r="J15" s="27">
        <f>COUNTIF($B$3:$B$10,"CO???N")</f>
        <v>1</v>
      </c>
      <c r="K15" s="27">
        <f>COUNTIF($B$3:$B$10,"CO???X")</f>
        <v>0</v>
      </c>
    </row>
    <row r="16" spans="1:11" ht="20.100000000000001" customHeight="1" x14ac:dyDescent="0.2">
      <c r="A16" s="5" t="s">
        <v>54</v>
      </c>
      <c r="B16" s="2" t="s">
        <v>58</v>
      </c>
      <c r="C16" s="2">
        <v>1600</v>
      </c>
      <c r="D16" s="2">
        <v>2000</v>
      </c>
    </row>
    <row r="17" spans="1:4" ht="20.100000000000001" customHeight="1" x14ac:dyDescent="0.2">
      <c r="A17" s="5" t="s">
        <v>55</v>
      </c>
      <c r="B17" s="2" t="s">
        <v>59</v>
      </c>
      <c r="C17" s="2">
        <v>1800</v>
      </c>
      <c r="D17" s="2">
        <v>2300</v>
      </c>
    </row>
    <row r="18" spans="1:4" ht="20.100000000000001" customHeight="1" x14ac:dyDescent="0.2">
      <c r="A18" s="5" t="s">
        <v>56</v>
      </c>
      <c r="B18" s="2" t="s">
        <v>60</v>
      </c>
      <c r="C18" s="2">
        <v>2000</v>
      </c>
      <c r="D18" s="2">
        <v>2500</v>
      </c>
    </row>
    <row r="20" spans="1:4" ht="20.100000000000001" customHeight="1" x14ac:dyDescent="0.2">
      <c r="A20" s="23" t="s">
        <v>130</v>
      </c>
    </row>
    <row r="21" spans="1:4" ht="20.100000000000001" customHeight="1" x14ac:dyDescent="0.2">
      <c r="A21" s="23"/>
      <c r="B21" s="1" t="s">
        <v>173</v>
      </c>
    </row>
    <row r="22" spans="1:4" ht="20.100000000000001" customHeight="1" x14ac:dyDescent="0.2">
      <c r="B22" s="1" t="s">
        <v>147</v>
      </c>
    </row>
    <row r="23" spans="1:4" ht="20.100000000000001" customHeight="1" x14ac:dyDescent="0.2">
      <c r="B23" s="1" t="s">
        <v>81</v>
      </c>
      <c r="C23" s="1" t="s">
        <v>148</v>
      </c>
    </row>
    <row r="24" spans="1:4" ht="20.100000000000001" customHeight="1" x14ac:dyDescent="0.2">
      <c r="A24" s="1" t="s">
        <v>78</v>
      </c>
    </row>
    <row r="25" spans="1:4" ht="20.100000000000001" customHeight="1" x14ac:dyDescent="0.2">
      <c r="A25" s="1" t="s">
        <v>142</v>
      </c>
    </row>
    <row r="26" spans="1:4" ht="20.100000000000001" customHeight="1" x14ac:dyDescent="0.2">
      <c r="A26" s="1" t="s">
        <v>144</v>
      </c>
    </row>
    <row r="27" spans="1:4" ht="20.100000000000001" customHeight="1" x14ac:dyDescent="0.2">
      <c r="A27" s="1" t="s">
        <v>143</v>
      </c>
    </row>
    <row r="28" spans="1:4" ht="20.100000000000001" customHeight="1" x14ac:dyDescent="0.2">
      <c r="A28" s="26" t="s">
        <v>136</v>
      </c>
    </row>
    <row r="29" spans="1:4" ht="20.100000000000001" customHeight="1" x14ac:dyDescent="0.2">
      <c r="A29" s="1" t="s">
        <v>131</v>
      </c>
    </row>
  </sheetData>
  <sortState xmlns:xlrd2="http://schemas.microsoft.com/office/spreadsheetml/2017/richdata2" ref="A3:J10">
    <sortCondition ref="B3:B10"/>
    <sortCondition descending="1" ref="D3:D10"/>
  </sortState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workbookViewId="0">
      <selection activeCell="I18" sqref="I18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118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98</v>
      </c>
      <c r="C2" s="85"/>
      <c r="D2" s="43" t="s">
        <v>99</v>
      </c>
      <c r="E2" s="80" t="s">
        <v>113</v>
      </c>
      <c r="F2" s="80"/>
      <c r="G2" s="80"/>
      <c r="H2" s="80"/>
      <c r="I2" s="43" t="s">
        <v>108</v>
      </c>
      <c r="J2" s="43" t="s">
        <v>109</v>
      </c>
      <c r="K2" s="43" t="s">
        <v>112</v>
      </c>
    </row>
    <row r="3" spans="1:11" x14ac:dyDescent="0.2">
      <c r="A3" s="82"/>
      <c r="B3" s="44" t="s">
        <v>101</v>
      </c>
      <c r="C3" s="44" t="s">
        <v>102</v>
      </c>
      <c r="D3" s="45" t="s">
        <v>100</v>
      </c>
      <c r="E3" s="44" t="s">
        <v>103</v>
      </c>
      <c r="F3" s="44" t="s">
        <v>104</v>
      </c>
      <c r="G3" s="44" t="s">
        <v>105</v>
      </c>
      <c r="H3" s="44" t="s">
        <v>106</v>
      </c>
      <c r="I3" s="45" t="s">
        <v>107</v>
      </c>
      <c r="J3" s="45" t="s">
        <v>110</v>
      </c>
      <c r="K3" s="45" t="s">
        <v>111</v>
      </c>
    </row>
    <row r="4" spans="1:11" x14ac:dyDescent="0.2">
      <c r="A4" s="5">
        <v>1</v>
      </c>
      <c r="B4" s="2">
        <v>50</v>
      </c>
      <c r="C4" s="2">
        <v>230</v>
      </c>
      <c r="D4" s="31">
        <f>C4-B4</f>
        <v>180</v>
      </c>
      <c r="E4" s="31">
        <f>IF(D4&gt;100,100,D4)</f>
        <v>100</v>
      </c>
      <c r="F4" s="31">
        <f>IF(D4&lt;=100,0,IF(D4&gt;150,50,D4-100))</f>
        <v>50</v>
      </c>
      <c r="G4" s="31">
        <f>IF(D4&lt;=150,0,IF(D4&gt;250,100,D4-150))</f>
        <v>30</v>
      </c>
      <c r="H4" s="31">
        <f>D4-(E4+F4+G4)</f>
        <v>0</v>
      </c>
      <c r="I4" s="31">
        <f>IF(AND(D4&gt;=251,D4&lt;=349),100000,IF(D4&gt;=350,200000,0))</f>
        <v>0</v>
      </c>
      <c r="J4" s="27" t="s">
        <v>33</v>
      </c>
      <c r="K4" s="27" t="str">
        <f>IF(I4&gt;0,"Phạt tiền"," ")</f>
        <v xml:space="preserve"> </v>
      </c>
    </row>
    <row r="5" spans="1:11" x14ac:dyDescent="0.2">
      <c r="A5" s="5">
        <v>2</v>
      </c>
      <c r="B5" s="2">
        <v>76</v>
      </c>
      <c r="C5" s="2">
        <v>155</v>
      </c>
      <c r="D5" s="31">
        <f t="shared" ref="D5:D13" si="0">C5-B5</f>
        <v>79</v>
      </c>
      <c r="E5" s="31">
        <f t="shared" ref="E5:E13" si="1">IF(D5&gt;100,100,D5)</f>
        <v>79</v>
      </c>
      <c r="F5" s="31">
        <f t="shared" ref="F5:F13" si="2">IF(D5&lt;=100,0,IF(D5&gt;150,50,D5-100))</f>
        <v>0</v>
      </c>
      <c r="G5" s="31">
        <f t="shared" ref="G5:G13" si="3">IF(D5&lt;=150,0,IF(D5&gt;250,100,D5-150))</f>
        <v>0</v>
      </c>
      <c r="H5" s="31">
        <f t="shared" ref="H5:H13" si="4">D5-(E5+F5+G5)</f>
        <v>0</v>
      </c>
      <c r="I5" s="31">
        <f t="shared" ref="I5:I13" si="5">IF(AND(D5&gt;=251,D5&lt;=349),100000,IF(D5&gt;=350,200000,0))</f>
        <v>0</v>
      </c>
      <c r="J5" s="2"/>
      <c r="K5" s="27" t="str">
        <f t="shared" ref="K5:K13" si="6">IF(I5&gt;0,"Phạt tiền"," ")</f>
        <v xml:space="preserve"> </v>
      </c>
    </row>
    <row r="6" spans="1:11" x14ac:dyDescent="0.2">
      <c r="A6" s="5">
        <v>3</v>
      </c>
      <c r="B6" s="2">
        <v>85</v>
      </c>
      <c r="C6" s="2">
        <v>202</v>
      </c>
      <c r="D6" s="31">
        <f t="shared" si="0"/>
        <v>117</v>
      </c>
      <c r="E6" s="31">
        <f t="shared" si="1"/>
        <v>100</v>
      </c>
      <c r="F6" s="31">
        <f t="shared" si="2"/>
        <v>17</v>
      </c>
      <c r="G6" s="31">
        <f t="shared" si="3"/>
        <v>0</v>
      </c>
      <c r="H6" s="31">
        <f t="shared" si="4"/>
        <v>0</v>
      </c>
      <c r="I6" s="31">
        <f t="shared" si="5"/>
        <v>0</v>
      </c>
      <c r="J6" s="2"/>
      <c r="K6" s="27" t="str">
        <f t="shared" si="6"/>
        <v xml:space="preserve"> </v>
      </c>
    </row>
    <row r="7" spans="1:11" x14ac:dyDescent="0.2">
      <c r="A7" s="5">
        <v>4</v>
      </c>
      <c r="B7" s="2">
        <v>60</v>
      </c>
      <c r="C7" s="2">
        <v>145</v>
      </c>
      <c r="D7" s="31">
        <f t="shared" si="0"/>
        <v>85</v>
      </c>
      <c r="E7" s="31">
        <f t="shared" si="1"/>
        <v>85</v>
      </c>
      <c r="F7" s="31">
        <f t="shared" si="2"/>
        <v>0</v>
      </c>
      <c r="G7" s="31">
        <f t="shared" si="3"/>
        <v>0</v>
      </c>
      <c r="H7" s="31">
        <f t="shared" si="4"/>
        <v>0</v>
      </c>
      <c r="I7" s="31">
        <f t="shared" si="5"/>
        <v>0</v>
      </c>
      <c r="J7" s="2"/>
      <c r="K7" s="27" t="str">
        <f t="shared" si="6"/>
        <v xml:space="preserve"> </v>
      </c>
    </row>
    <row r="8" spans="1:11" x14ac:dyDescent="0.2">
      <c r="A8" s="5">
        <v>5</v>
      </c>
      <c r="B8" s="2">
        <v>105</v>
      </c>
      <c r="C8" s="2">
        <v>500</v>
      </c>
      <c r="D8" s="31">
        <f t="shared" si="0"/>
        <v>395</v>
      </c>
      <c r="E8" s="31">
        <f t="shared" si="1"/>
        <v>100</v>
      </c>
      <c r="F8" s="31">
        <f t="shared" si="2"/>
        <v>50</v>
      </c>
      <c r="G8" s="31">
        <f t="shared" si="3"/>
        <v>100</v>
      </c>
      <c r="H8" s="31">
        <f t="shared" si="4"/>
        <v>145</v>
      </c>
      <c r="I8" s="31">
        <f t="shared" si="5"/>
        <v>200000</v>
      </c>
      <c r="J8" s="2"/>
      <c r="K8" s="27" t="str">
        <f t="shared" si="6"/>
        <v>Phạt tiền</v>
      </c>
    </row>
    <row r="9" spans="1:11" x14ac:dyDescent="0.2">
      <c r="A9" s="5">
        <v>6</v>
      </c>
      <c r="B9" s="2">
        <v>35</v>
      </c>
      <c r="C9" s="2">
        <v>233</v>
      </c>
      <c r="D9" s="31">
        <f t="shared" si="0"/>
        <v>198</v>
      </c>
      <c r="E9" s="31">
        <f t="shared" si="1"/>
        <v>100</v>
      </c>
      <c r="F9" s="31">
        <f t="shared" si="2"/>
        <v>50</v>
      </c>
      <c r="G9" s="31">
        <f t="shared" si="3"/>
        <v>48</v>
      </c>
      <c r="H9" s="31">
        <f t="shared" si="4"/>
        <v>0</v>
      </c>
      <c r="I9" s="31">
        <f t="shared" si="5"/>
        <v>0</v>
      </c>
      <c r="J9" s="2"/>
      <c r="K9" s="27" t="str">
        <f t="shared" si="6"/>
        <v xml:space="preserve"> </v>
      </c>
    </row>
    <row r="10" spans="1:11" x14ac:dyDescent="0.2">
      <c r="A10" s="5">
        <v>7</v>
      </c>
      <c r="B10" s="2">
        <v>170</v>
      </c>
      <c r="C10" s="2">
        <v>295</v>
      </c>
      <c r="D10" s="31">
        <f t="shared" si="0"/>
        <v>125</v>
      </c>
      <c r="E10" s="31">
        <f t="shared" si="1"/>
        <v>100</v>
      </c>
      <c r="F10" s="31">
        <f t="shared" si="2"/>
        <v>25</v>
      </c>
      <c r="G10" s="31">
        <f t="shared" si="3"/>
        <v>0</v>
      </c>
      <c r="H10" s="31">
        <f t="shared" si="4"/>
        <v>0</v>
      </c>
      <c r="I10" s="31">
        <f t="shared" si="5"/>
        <v>0</v>
      </c>
      <c r="J10" s="2"/>
      <c r="K10" s="27" t="str">
        <f t="shared" si="6"/>
        <v xml:space="preserve"> </v>
      </c>
    </row>
    <row r="11" spans="1:11" x14ac:dyDescent="0.2">
      <c r="A11" s="5">
        <v>8</v>
      </c>
      <c r="B11" s="2">
        <v>120</v>
      </c>
      <c r="C11" s="2">
        <v>500</v>
      </c>
      <c r="D11" s="31">
        <f t="shared" si="0"/>
        <v>380</v>
      </c>
      <c r="E11" s="31">
        <f t="shared" si="1"/>
        <v>100</v>
      </c>
      <c r="F11" s="31">
        <f t="shared" si="2"/>
        <v>50</v>
      </c>
      <c r="G11" s="31">
        <f t="shared" si="3"/>
        <v>100</v>
      </c>
      <c r="H11" s="31">
        <f t="shared" si="4"/>
        <v>130</v>
      </c>
      <c r="I11" s="31">
        <f t="shared" si="5"/>
        <v>200000</v>
      </c>
      <c r="J11" s="2"/>
      <c r="K11" s="27" t="str">
        <f t="shared" si="6"/>
        <v>Phạt tiền</v>
      </c>
    </row>
    <row r="12" spans="1:11" x14ac:dyDescent="0.2">
      <c r="A12" s="5">
        <v>9</v>
      </c>
      <c r="B12" s="2">
        <v>115</v>
      </c>
      <c r="C12" s="2">
        <v>207</v>
      </c>
      <c r="D12" s="31">
        <f t="shared" si="0"/>
        <v>92</v>
      </c>
      <c r="E12" s="31">
        <f t="shared" si="1"/>
        <v>92</v>
      </c>
      <c r="F12" s="31">
        <f t="shared" si="2"/>
        <v>0</v>
      </c>
      <c r="G12" s="31">
        <f t="shared" si="3"/>
        <v>0</v>
      </c>
      <c r="H12" s="31">
        <f t="shared" si="4"/>
        <v>0</v>
      </c>
      <c r="I12" s="31">
        <f t="shared" si="5"/>
        <v>0</v>
      </c>
      <c r="J12" s="2"/>
      <c r="K12" s="27" t="str">
        <f t="shared" si="6"/>
        <v xml:space="preserve"> </v>
      </c>
    </row>
    <row r="13" spans="1:11" x14ac:dyDescent="0.2">
      <c r="A13" s="5">
        <v>10</v>
      </c>
      <c r="B13" s="2">
        <v>125</v>
      </c>
      <c r="C13" s="2">
        <v>400</v>
      </c>
      <c r="D13" s="31">
        <f t="shared" si="0"/>
        <v>275</v>
      </c>
      <c r="E13" s="31">
        <f t="shared" si="1"/>
        <v>100</v>
      </c>
      <c r="F13" s="31">
        <f t="shared" si="2"/>
        <v>50</v>
      </c>
      <c r="G13" s="31">
        <f t="shared" si="3"/>
        <v>100</v>
      </c>
      <c r="H13" s="31">
        <f t="shared" si="4"/>
        <v>25</v>
      </c>
      <c r="I13" s="31">
        <f t="shared" si="5"/>
        <v>100000</v>
      </c>
      <c r="J13" s="2"/>
      <c r="K13" s="27" t="str">
        <f t="shared" si="6"/>
        <v>Phạt tiền</v>
      </c>
    </row>
    <row r="14" spans="1:11" x14ac:dyDescent="0.2">
      <c r="A14" s="13"/>
      <c r="B14" s="14"/>
      <c r="C14" s="14" t="s">
        <v>114</v>
      </c>
      <c r="D14" s="28">
        <f>SUM(D4:D13)</f>
        <v>1926</v>
      </c>
      <c r="E14" s="14"/>
      <c r="F14" s="14"/>
      <c r="G14" s="14"/>
      <c r="H14" s="14"/>
      <c r="I14" s="28">
        <f>SUM(I4:I13)</f>
        <v>500000</v>
      </c>
      <c r="J14" s="14"/>
      <c r="K14" s="15"/>
    </row>
    <row r="15" spans="1:11" x14ac:dyDescent="0.2">
      <c r="A15" s="16"/>
      <c r="C15" s="1" t="s">
        <v>115</v>
      </c>
      <c r="D15" s="29">
        <f>MIN(D4:D13)</f>
        <v>79</v>
      </c>
      <c r="I15" s="29">
        <f>MIN(I4:I13)</f>
        <v>0</v>
      </c>
      <c r="K15" s="17"/>
    </row>
    <row r="16" spans="1:11" x14ac:dyDescent="0.2">
      <c r="A16" s="16"/>
      <c r="C16" s="1" t="s">
        <v>116</v>
      </c>
      <c r="D16" s="29">
        <f>AVERAGE(D4:D13)</f>
        <v>192.6</v>
      </c>
      <c r="I16" s="29">
        <f>AVERAGE(I4:I13)</f>
        <v>50000</v>
      </c>
      <c r="K16" s="17"/>
    </row>
    <row r="17" spans="1:12" x14ac:dyDescent="0.2">
      <c r="A17" s="18"/>
      <c r="B17" s="19"/>
      <c r="C17" s="19" t="s">
        <v>117</v>
      </c>
      <c r="D17" s="30">
        <f>MAX(D4:D13)</f>
        <v>395</v>
      </c>
      <c r="E17" s="19"/>
      <c r="F17" s="19"/>
      <c r="G17" s="19"/>
      <c r="H17" s="19"/>
      <c r="I17" s="30">
        <f>MAX(I4:I13)</f>
        <v>200000</v>
      </c>
      <c r="J17" s="19"/>
      <c r="K17" s="20"/>
    </row>
    <row r="19" spans="1:12" x14ac:dyDescent="0.2">
      <c r="A19" s="21" t="s">
        <v>96</v>
      </c>
      <c r="H19" s="22" t="s">
        <v>129</v>
      </c>
    </row>
    <row r="20" spans="1:12" x14ac:dyDescent="0.2">
      <c r="A20" s="1" t="s">
        <v>123</v>
      </c>
      <c r="H20" s="43" t="s">
        <v>99</v>
      </c>
      <c r="I20" s="80" t="s">
        <v>113</v>
      </c>
      <c r="J20" s="80"/>
      <c r="K20" s="80"/>
      <c r="L20" s="80"/>
    </row>
    <row r="21" spans="1:12" x14ac:dyDescent="0.2">
      <c r="A21" s="1" t="s">
        <v>124</v>
      </c>
      <c r="H21" s="45" t="s">
        <v>100</v>
      </c>
      <c r="I21" s="44" t="s">
        <v>103</v>
      </c>
      <c r="J21" s="44" t="s">
        <v>104</v>
      </c>
      <c r="K21" s="44" t="s">
        <v>105</v>
      </c>
      <c r="L21" s="44" t="s">
        <v>106</v>
      </c>
    </row>
    <row r="22" spans="1:12" x14ac:dyDescent="0.2">
      <c r="B22" s="1" t="s">
        <v>119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120</v>
      </c>
    </row>
    <row r="24" spans="1:12" x14ac:dyDescent="0.2">
      <c r="B24" s="1" t="s">
        <v>121</v>
      </c>
    </row>
    <row r="25" spans="1:12" x14ac:dyDescent="0.2">
      <c r="B25" s="1" t="s">
        <v>122</v>
      </c>
    </row>
    <row r="26" spans="1:12" x14ac:dyDescent="0.2">
      <c r="A26" s="1" t="s">
        <v>125</v>
      </c>
    </row>
    <row r="27" spans="1:12" x14ac:dyDescent="0.2">
      <c r="B27" s="1" t="s">
        <v>138</v>
      </c>
    </row>
    <row r="28" spans="1:12" x14ac:dyDescent="0.2">
      <c r="B28" s="1" t="s">
        <v>139</v>
      </c>
    </row>
    <row r="29" spans="1:12" x14ac:dyDescent="0.2">
      <c r="B29" s="1" t="s">
        <v>140</v>
      </c>
    </row>
    <row r="30" spans="1:12" x14ac:dyDescent="0.2">
      <c r="A30" s="1" t="s">
        <v>126</v>
      </c>
    </row>
    <row r="31" spans="1:12" x14ac:dyDescent="0.2">
      <c r="A31" s="1" t="s">
        <v>141</v>
      </c>
    </row>
    <row r="32" spans="1:12" x14ac:dyDescent="0.2">
      <c r="A32" s="1" t="s">
        <v>127</v>
      </c>
    </row>
    <row r="33" spans="1:1" customFormat="1" ht="15" x14ac:dyDescent="0.25">
      <c r="A33" s="1" t="s">
        <v>128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2024-03-03T11:29:33Z</dcterms:modified>
</cp:coreProperties>
</file>