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53F1F37D-888A-4147-85EB-44848A49E5F8}" xr6:coauthVersionLast="46" xr6:coauthVersionMax="47" xr10:uidLastSave="{00000000-0000-0000-0000-000000000000}"/>
  <bookViews>
    <workbookView xWindow="-120" yWindow="-120" windowWidth="29040" windowHeight="15840" tabRatio="737" activeTab="2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J16" i="1" l="1"/>
  <c r="I16" i="1"/>
  <c r="J15" i="1"/>
  <c r="I15" i="1"/>
  <c r="J14" i="1"/>
  <c r="I14" i="1"/>
  <c r="I21" i="13"/>
  <c r="H21" i="13"/>
  <c r="G21" i="13"/>
  <c r="G4" i="2"/>
  <c r="G5" i="2"/>
  <c r="G6" i="2"/>
  <c r="G7" i="2"/>
  <c r="G8" i="2"/>
  <c r="G9" i="2"/>
  <c r="G10" i="2"/>
  <c r="G3" i="2"/>
  <c r="D15" i="7"/>
  <c r="D5" i="12"/>
  <c r="D6" i="12"/>
  <c r="D7" i="12"/>
  <c r="D8" i="12"/>
  <c r="D9" i="12"/>
  <c r="D10" i="12"/>
  <c r="D11" i="12"/>
  <c r="D12" i="12"/>
  <c r="D13" i="12"/>
  <c r="D4" i="12"/>
  <c r="J3" i="1"/>
  <c r="J4" i="1"/>
  <c r="J5" i="1"/>
  <c r="J6" i="1"/>
  <c r="J7" i="1"/>
  <c r="J8" i="1"/>
  <c r="J9" i="1"/>
  <c r="J10" i="1"/>
  <c r="J4" i="2"/>
  <c r="J5" i="2"/>
  <c r="J6" i="2"/>
  <c r="J7" i="2"/>
  <c r="J8" i="2"/>
  <c r="J9" i="2"/>
  <c r="J10" i="2"/>
  <c r="J3" i="2"/>
  <c r="C4" i="2"/>
  <c r="C5" i="2"/>
  <c r="C6" i="2"/>
  <c r="C7" i="2"/>
  <c r="C8" i="2"/>
  <c r="C9" i="2"/>
  <c r="C10" i="2"/>
  <c r="C3" i="2"/>
  <c r="B15" i="7"/>
  <c r="A15" i="7"/>
  <c r="G4" i="7"/>
  <c r="G5" i="7"/>
  <c r="G6" i="7"/>
  <c r="G7" i="7"/>
  <c r="G3" i="7"/>
  <c r="D4" i="1"/>
  <c r="D5" i="1"/>
  <c r="D6" i="1"/>
  <c r="D7" i="1"/>
  <c r="D8" i="1"/>
  <c r="D9" i="1"/>
  <c r="D10" i="1"/>
  <c r="D3" i="1"/>
  <c r="F4" i="7"/>
  <c r="F5" i="7"/>
  <c r="F6" i="7"/>
  <c r="F7" i="7"/>
  <c r="F3" i="7"/>
  <c r="K4" i="1"/>
  <c r="K5" i="1"/>
  <c r="K6" i="1"/>
  <c r="K7" i="1"/>
  <c r="K8" i="1"/>
  <c r="K9" i="1"/>
  <c r="K10" i="1"/>
  <c r="K3" i="1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C4" i="1"/>
  <c r="C5" i="1"/>
  <c r="C6" i="1"/>
  <c r="C7" i="1"/>
  <c r="C8" i="1"/>
  <c r="C9" i="1"/>
  <c r="C10" i="1"/>
  <c r="C3" i="1"/>
  <c r="I9" i="13"/>
  <c r="I11" i="13"/>
  <c r="I7" i="13"/>
  <c r="I5" i="13"/>
  <c r="I8" i="13"/>
  <c r="I13" i="13"/>
  <c r="I10" i="13"/>
  <c r="I12" i="13"/>
  <c r="I6" i="13"/>
  <c r="H9" i="13"/>
  <c r="H11" i="13"/>
  <c r="H7" i="13"/>
  <c r="H5" i="13"/>
  <c r="H8" i="13"/>
  <c r="H13" i="13"/>
  <c r="H10" i="13"/>
  <c r="H12" i="13"/>
  <c r="H6" i="13"/>
  <c r="F9" i="13"/>
  <c r="F11" i="13"/>
  <c r="F7" i="13"/>
  <c r="F5" i="13"/>
  <c r="F8" i="13"/>
  <c r="F13" i="13"/>
  <c r="F10" i="13"/>
  <c r="F12" i="13"/>
  <c r="G9" i="13"/>
  <c r="G11" i="13"/>
  <c r="G7" i="13"/>
  <c r="G5" i="13"/>
  <c r="G8" i="13"/>
  <c r="G13" i="13"/>
  <c r="G10" i="13"/>
  <c r="G12" i="13"/>
  <c r="G6" i="13"/>
  <c r="F6" i="13"/>
  <c r="D9" i="13"/>
  <c r="D11" i="13"/>
  <c r="D7" i="13"/>
  <c r="D5" i="13"/>
  <c r="D8" i="13"/>
  <c r="D13" i="13"/>
  <c r="D10" i="13"/>
  <c r="D12" i="13"/>
  <c r="D6" i="13"/>
  <c r="C9" i="13"/>
  <c r="E9" i="13" s="1"/>
  <c r="C11" i="13"/>
  <c r="C7" i="13"/>
  <c r="E7" i="13" s="1"/>
  <c r="C5" i="13"/>
  <c r="E5" i="13" s="1"/>
  <c r="C8" i="13"/>
  <c r="E8" i="13" s="1"/>
  <c r="C13" i="13"/>
  <c r="E13" i="13" s="1"/>
  <c r="C10" i="13"/>
  <c r="E10" i="13" s="1"/>
  <c r="C12" i="13"/>
  <c r="E12" i="13" s="1"/>
  <c r="C6" i="13"/>
  <c r="E6" i="13" s="1"/>
  <c r="E11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6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6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6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8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>2 ký tự đầu là Mã đối tượng
Dựa vào bảng 1 để biện luận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Vd : Khu vực - 1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Vd : Ngành A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<sst xmlns="http://schemas.openxmlformats.org/spreadsheetml/2006/main" count="245" uniqueCount="194">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</sst>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6" formatCode="dd\-mm\-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9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166" fontId="25" fillId="0" borderId="1" xfId="0" applyNumberFormat="1" applyFont="1" applyBorder="1"/>
    <xf numFmtId="0" fontId="8" fillId="0" borderId="1" xfId="0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2" fontId="43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topLeftCell="A4" zoomScale="120" zoomScaleNormal="120" workbookViewId="0">
      <selection activeCell="I22" sqref="I22"/>
    </sheetView>
  </sheetViews>
  <sheetFormatPr defaultColWidth="9.140625"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2" t="s">
        <v>84</v>
      </c>
      <c r="B1" s="72"/>
      <c r="C1" s="72"/>
      <c r="D1" s="72"/>
      <c r="E1" s="72"/>
      <c r="F1" s="72"/>
      <c r="G1" s="72"/>
      <c r="H1" s="72"/>
      <c r="I1" s="72"/>
    </row>
    <row r="2" spans="1:10" s="7" customFormat="1" ht="20.100000000000001" customHeight="1" x14ac:dyDescent="0.25">
      <c r="A2" s="10"/>
      <c r="B2" s="10"/>
      <c r="C2" s="12" t="s">
        <v>99</v>
      </c>
      <c r="D2" s="11">
        <v>44344</v>
      </c>
      <c r="E2" s="10"/>
      <c r="F2" s="10"/>
      <c r="G2" s="10"/>
    </row>
    <row r="3" spans="1:10" ht="20.100000000000001" customHeight="1" x14ac:dyDescent="0.2">
      <c r="A3" s="75" t="s">
        <v>85</v>
      </c>
      <c r="B3" s="75" t="s">
        <v>86</v>
      </c>
      <c r="C3" s="68" t="s">
        <v>92</v>
      </c>
      <c r="D3" s="68" t="s">
        <v>93</v>
      </c>
      <c r="E3" s="68" t="s">
        <v>87</v>
      </c>
      <c r="F3" s="70" t="s">
        <v>88</v>
      </c>
      <c r="G3" s="71"/>
      <c r="H3" s="73" t="s">
        <v>89</v>
      </c>
      <c r="I3" s="36" t="s">
        <v>46</v>
      </c>
    </row>
    <row r="4" spans="1:10" ht="20.100000000000001" customHeight="1" x14ac:dyDescent="0.2">
      <c r="A4" s="75"/>
      <c r="B4" s="75"/>
      <c r="C4" s="69"/>
      <c r="D4" s="69"/>
      <c r="E4" s="69"/>
      <c r="F4" s="35" t="s">
        <v>90</v>
      </c>
      <c r="G4" s="35" t="s">
        <v>91</v>
      </c>
      <c r="H4" s="74"/>
      <c r="I4" s="37"/>
    </row>
    <row r="5" spans="1:10" ht="20.100000000000001" customHeight="1" x14ac:dyDescent="0.2">
      <c r="A5" s="2" t="s">
        <v>168</v>
      </c>
      <c r="B5" s="2">
        <v>25</v>
      </c>
      <c r="C5" s="2" t="str">
        <f>IF(LEFT(A5,2)="A1",$B$17,$B$18)</f>
        <v>Tin học A.1</v>
      </c>
      <c r="D5" s="2" t="str">
        <f>IF(MID(A5,3,1)="S","Sáng",IF(MID(A5,3,1)="C","Chiều","Tối"))</f>
        <v>Chiều</v>
      </c>
      <c r="E5" s="27" t="str">
        <f>C5&amp;"-"&amp;D5</f>
        <v>Tin học A.1-Chiều</v>
      </c>
      <c r="F5" s="64" t="str">
        <f>IF(B5&lt;10,"","X")</f>
        <v>X</v>
      </c>
      <c r="G5" s="64" t="str">
        <f>IF(B5&gt;=20,"X","")</f>
        <v>X</v>
      </c>
      <c r="H5" s="66">
        <f>IF(MID(A5,3,1)="T",$D$2+2,$D$2)</f>
        <v>44344</v>
      </c>
      <c r="I5" s="27" t="str">
        <f>IF(B5&lt;10,"Hủy","")</f>
        <v/>
      </c>
    </row>
    <row r="6" spans="1:10" ht="20.100000000000001" customHeight="1" x14ac:dyDescent="0.2">
      <c r="A6" s="2" t="s">
        <v>160</v>
      </c>
      <c r="B6" s="2">
        <v>22</v>
      </c>
      <c r="C6" s="2" t="str">
        <f>IF(LEFT(A6,2)="A1",$B$17,$B$18)</f>
        <v>Tin học A.1</v>
      </c>
      <c r="D6" s="2" t="str">
        <f>IF(MID(A6,3,1)="S","Sáng",IF(MID(A6,3,1)="C","Chiều","Tối"))</f>
        <v>Sáng</v>
      </c>
      <c r="E6" s="27" t="str">
        <f>C6&amp;"-"&amp;D6</f>
        <v>Tin học A.1-Sáng</v>
      </c>
      <c r="F6" s="64" t="str">
        <f>IF(B6&lt;10,"","X")</f>
        <v>X</v>
      </c>
      <c r="G6" s="64" t="str">
        <f>IF(B6&gt;=20,"X","")</f>
        <v>X</v>
      </c>
      <c r="H6" s="66">
        <f>IF(MID(A6,3,1)="T",$D$2+2,$D$2)</f>
        <v>44344</v>
      </c>
      <c r="I6" s="27" t="str">
        <f>IF(B6&lt;10,"Hủy","")</f>
        <v/>
      </c>
    </row>
    <row r="7" spans="1:10" ht="20.100000000000001" customHeight="1" x14ac:dyDescent="0.2">
      <c r="A7" s="2" t="s">
        <v>167</v>
      </c>
      <c r="B7" s="2">
        <v>18</v>
      </c>
      <c r="C7" s="2" t="str">
        <f>IF(LEFT(A7,2)="A1",$B$17,$B$18)</f>
        <v>Tin học A.1</v>
      </c>
      <c r="D7" s="2" t="str">
        <f>IF(MID(A7,3,1)="S","Sáng",IF(MID(A7,3,1)="C","Chiều","Tối"))</f>
        <v>Sáng</v>
      </c>
      <c r="E7" s="27" t="str">
        <f>C7&amp;"-"&amp;D7</f>
        <v>Tin học A.1-Sáng</v>
      </c>
      <c r="F7" s="64" t="str">
        <f>IF(B7&lt;10,"","X")</f>
        <v>X</v>
      </c>
      <c r="G7" s="64" t="str">
        <f>IF(B7&gt;=20,"X","")</f>
        <v/>
      </c>
      <c r="H7" s="66">
        <f>IF(MID(A7,3,1)="T",$D$2+2,$D$2)</f>
        <v>44344</v>
      </c>
      <c r="I7" s="27" t="str">
        <f>IF(B7&lt;10,"Hủy","")</f>
        <v/>
      </c>
    </row>
    <row r="8" spans="1:10" ht="20.100000000000001" customHeight="1" x14ac:dyDescent="0.2">
      <c r="A8" s="2" t="s">
        <v>169</v>
      </c>
      <c r="B8" s="2">
        <v>7</v>
      </c>
      <c r="C8" s="2" t="str">
        <f>IF(LEFT(A8,2)="A1",$B$17,$B$18)</f>
        <v>Tin học A.1</v>
      </c>
      <c r="D8" s="2" t="str">
        <f>IF(MID(A8,3,1)="S","Sáng",IF(MID(A8,3,1)="C","Chiều","Tối"))</f>
        <v>Sáng</v>
      </c>
      <c r="E8" s="27" t="str">
        <f>C8&amp;"-"&amp;D8</f>
        <v>Tin học A.1-Sáng</v>
      </c>
      <c r="F8" s="64" t="str">
        <f>IF(B8&lt;10,"","X")</f>
        <v/>
      </c>
      <c r="G8" s="64" t="str">
        <f>IF(B8&gt;=20,"X","")</f>
        <v/>
      </c>
      <c r="H8" s="66">
        <f>IF(MID(A8,3,1)="T",$D$2+2,$D$2)</f>
        <v>44344</v>
      </c>
      <c r="I8" s="27" t="str">
        <f>IF(B8&lt;10,"Hủy","")</f>
        <v>Hủy</v>
      </c>
    </row>
    <row r="9" spans="1:10" ht="20.100000000000001" customHeight="1" x14ac:dyDescent="0.2">
      <c r="A9" s="2" t="s">
        <v>165</v>
      </c>
      <c r="B9" s="2">
        <v>18</v>
      </c>
      <c r="C9" s="2" t="str">
        <f>IF(LEFT(A9,2)="A1",$B$17,$B$18)</f>
        <v>Tin học A.1</v>
      </c>
      <c r="D9" s="2" t="str">
        <f>IF(MID(A9,3,1)="S","Sáng",IF(MID(A9,3,1)="C","Chiều","Tối"))</f>
        <v>Tối</v>
      </c>
      <c r="E9" s="27" t="str">
        <f>C9&amp;"-"&amp;D9</f>
        <v>Tin học A.1-Tối</v>
      </c>
      <c r="F9" s="64" t="str">
        <f>IF(B9&lt;10,"","X")</f>
        <v>X</v>
      </c>
      <c r="G9" s="64" t="str">
        <f>IF(B9&gt;=20,"X","")</f>
        <v/>
      </c>
      <c r="H9" s="66">
        <f>IF(MID(A9,3,1)="T",$D$2+2,$D$2)</f>
        <v>44346</v>
      </c>
      <c r="I9" s="27" t="str">
        <f>IF(B9&lt;10,"Hủy","")</f>
        <v/>
      </c>
    </row>
    <row r="10" spans="1:10" ht="20.100000000000001" customHeight="1" x14ac:dyDescent="0.2">
      <c r="A10" s="2" t="s">
        <v>171</v>
      </c>
      <c r="B10" s="2">
        <v>28</v>
      </c>
      <c r="C10" s="2" t="str">
        <f>IF(LEFT(A10,2)="A1",$B$17,$B$18)</f>
        <v>Tin học A.1</v>
      </c>
      <c r="D10" s="2" t="str">
        <f>IF(MID(A10,3,1)="S","Sáng",IF(MID(A10,3,1)="C","Chiều","Tối"))</f>
        <v>Tối</v>
      </c>
      <c r="E10" s="27" t="str">
        <f>C10&amp;"-"&amp;D10</f>
        <v>Tin học A.1-Tối</v>
      </c>
      <c r="F10" s="64" t="str">
        <f>IF(B10&lt;10,"","X")</f>
        <v>X</v>
      </c>
      <c r="G10" s="64" t="str">
        <f>IF(B10&gt;=20,"X","")</f>
        <v>X</v>
      </c>
      <c r="H10" s="66">
        <f>IF(MID(A10,3,1)="T",$D$2+2,$D$2)</f>
        <v>44346</v>
      </c>
      <c r="I10" s="27" t="str">
        <f>IF(B10&lt;10,"Hủy","")</f>
        <v/>
      </c>
    </row>
    <row r="11" spans="1:10" ht="20.100000000000001" customHeight="1" x14ac:dyDescent="0.2">
      <c r="A11" s="2" t="s">
        <v>166</v>
      </c>
      <c r="B11" s="2">
        <v>19</v>
      </c>
      <c r="C11" s="2" t="str">
        <f>IF(LEFT(A11,2)="A1",$B$17,$B$18)</f>
        <v>Tin học A.2</v>
      </c>
      <c r="D11" s="2" t="str">
        <f>IF(MID(A11,3,1)="S","Sáng",IF(MID(A11,3,1)="C","Chiều","Tối"))</f>
        <v>Chiều</v>
      </c>
      <c r="E11" s="27" t="str">
        <f>C11&amp;"-"&amp;D11</f>
        <v>Tin học A.2-Chiều</v>
      </c>
      <c r="F11" s="64" t="str">
        <f>IF(B11&lt;10,"","X")</f>
        <v>X</v>
      </c>
      <c r="G11" s="64" t="str">
        <f>IF(B11&gt;=20,"X","")</f>
        <v/>
      </c>
      <c r="H11" s="66">
        <f>IF(MID(A11,3,1)="T",$D$2+2,$D$2)</f>
        <v>44344</v>
      </c>
      <c r="I11" s="27" t="str">
        <f>IF(B11&lt;10,"Hủy","")</f>
        <v/>
      </c>
    </row>
    <row r="12" spans="1:10" ht="20.100000000000001" customHeight="1" x14ac:dyDescent="0.2">
      <c r="A12" s="2" t="s">
        <v>172</v>
      </c>
      <c r="B12" s="2">
        <v>9</v>
      </c>
      <c r="C12" s="2" t="str">
        <f>IF(LEFT(A12,2)="A1",$B$17,$B$18)</f>
        <v>Tin học A.2</v>
      </c>
      <c r="D12" s="2" t="str">
        <f>IF(MID(A12,3,1)="S","Sáng",IF(MID(A12,3,1)="C","Chiều","Tối"))</f>
        <v>Sáng</v>
      </c>
      <c r="E12" s="27" t="str">
        <f>C12&amp;"-"&amp;D12</f>
        <v>Tin học A.2-Sáng</v>
      </c>
      <c r="F12" s="64" t="str">
        <f>IF(B12&lt;10,"","X")</f>
        <v/>
      </c>
      <c r="G12" s="64" t="str">
        <f>IF(B12&gt;=20,"X","")</f>
        <v/>
      </c>
      <c r="H12" s="66">
        <f>IF(MID(A12,3,1)="T",$D$2+2,$D$2)</f>
        <v>44344</v>
      </c>
      <c r="I12" s="27" t="str">
        <f>IF(B12&lt;10,"Hủy","")</f>
        <v>Hủy</v>
      </c>
    </row>
    <row r="13" spans="1:10" ht="20.100000000000001" customHeight="1" x14ac:dyDescent="0.2">
      <c r="A13" s="2" t="s">
        <v>170</v>
      </c>
      <c r="B13" s="2">
        <v>19</v>
      </c>
      <c r="C13" s="2" t="str">
        <f>IF(LEFT(A13,2)="A1",$B$17,$B$18)</f>
        <v>Tin học A.2</v>
      </c>
      <c r="D13" s="2" t="str">
        <f>IF(MID(A13,3,1)="S","Sáng",IF(MID(A13,3,1)="C","Chiều","Tối"))</f>
        <v>Tối</v>
      </c>
      <c r="E13" s="27" t="str">
        <f>C13&amp;"-"&amp;D13</f>
        <v>Tin học A.2-Tối</v>
      </c>
      <c r="F13" s="64" t="str">
        <f>IF(B13&lt;10,"","X")</f>
        <v>X</v>
      </c>
      <c r="G13" s="64" t="str">
        <f>IF(B13&gt;=20,"X","")</f>
        <v/>
      </c>
      <c r="H13" s="66">
        <f>IF(MID(A13,3,1)="T",$D$2+2,$D$2)</f>
        <v>44346</v>
      </c>
      <c r="I13" s="27" t="str">
        <f>IF(B13&lt;10,"Hủy","")</f>
        <v/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173</v>
      </c>
      <c r="B16" s="35" t="s">
        <v>92</v>
      </c>
      <c r="D16" s="38" t="s">
        <v>174</v>
      </c>
      <c r="E16" s="33" t="s">
        <v>94</v>
      </c>
      <c r="F16" s="33" t="s">
        <v>30</v>
      </c>
      <c r="G16" s="33" t="s">
        <v>73</v>
      </c>
    </row>
    <row r="17" spans="1:9" ht="20.100000000000001" customHeight="1" x14ac:dyDescent="0.2">
      <c r="A17" s="5" t="s">
        <v>161</v>
      </c>
      <c r="B17" s="2" t="s">
        <v>163</v>
      </c>
      <c r="D17" s="39" t="s">
        <v>93</v>
      </c>
      <c r="E17" s="5" t="s">
        <v>95</v>
      </c>
      <c r="F17" s="5" t="s">
        <v>96</v>
      </c>
      <c r="G17" s="5" t="s">
        <v>97</v>
      </c>
    </row>
    <row r="18" spans="1:9" ht="20.100000000000001" customHeight="1" x14ac:dyDescent="0.2">
      <c r="A18" s="5" t="s">
        <v>162</v>
      </c>
      <c r="B18" s="2" t="s">
        <v>164</v>
      </c>
    </row>
    <row r="19" spans="1:9" ht="20.100000000000001" customHeight="1" x14ac:dyDescent="0.25">
      <c r="A19"/>
      <c r="B19"/>
      <c r="F19" s="26" t="s">
        <v>139</v>
      </c>
    </row>
    <row r="20" spans="1:9" ht="20.100000000000001" customHeight="1" x14ac:dyDescent="0.2">
      <c r="A20" s="9" t="s">
        <v>98</v>
      </c>
      <c r="F20" s="39" t="s">
        <v>93</v>
      </c>
      <c r="G20" s="5" t="s">
        <v>95</v>
      </c>
      <c r="H20" s="5" t="s">
        <v>96</v>
      </c>
      <c r="I20" s="5" t="s">
        <v>97</v>
      </c>
    </row>
    <row r="21" spans="1:9" ht="20.100000000000001" customHeight="1" x14ac:dyDescent="0.2">
      <c r="A21" s="1" t="s">
        <v>152</v>
      </c>
      <c r="F21" s="8"/>
      <c r="G21" s="27">
        <f>COUNTIF($A$5:$A$13,"??S?")</f>
        <v>4</v>
      </c>
      <c r="H21" s="27">
        <f>COUNTIF($A$5:$A$13,"??C?")</f>
        <v>2</v>
      </c>
      <c r="I21" s="27">
        <f>COUNTIF($A$5:$A$13,"??T?")</f>
        <v>3</v>
      </c>
    </row>
    <row r="22" spans="1:9" ht="20.100000000000001" customHeight="1" x14ac:dyDescent="0.2">
      <c r="A22" s="1" t="s">
        <v>153</v>
      </c>
    </row>
    <row r="23" spans="1:9" ht="20.100000000000001" customHeight="1" x14ac:dyDescent="0.2">
      <c r="A23" s="1" t="s">
        <v>175</v>
      </c>
    </row>
    <row r="24" spans="1:9" ht="20.100000000000001" customHeight="1" x14ac:dyDescent="0.2">
      <c r="A24" s="1" t="s">
        <v>154</v>
      </c>
    </row>
    <row r="25" spans="1:9" ht="20.100000000000001" customHeight="1" x14ac:dyDescent="0.2">
      <c r="A25" s="1" t="s">
        <v>134</v>
      </c>
    </row>
    <row r="26" spans="1:9" ht="20.100000000000001" customHeight="1" x14ac:dyDescent="0.2">
      <c r="A26" s="9" t="s">
        <v>136</v>
      </c>
    </row>
    <row r="27" spans="1:9" ht="20.100000000000001" customHeight="1" x14ac:dyDescent="0.2">
      <c r="A27" s="1" t="s">
        <v>135</v>
      </c>
    </row>
  </sheetData>
  <sortState xmlns:xlrd2="http://schemas.microsoft.com/office/spreadsheetml/2017/richdata2" ref="A6:I13">
    <sortCondition ref="A3:A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J17" sqref="J17"/>
    </sheetView>
  </sheetViews>
  <sheetFormatPr defaultColWidth="9.140625"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17.57031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3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IF(LEFT(B3,2)="BD","Bội Đội",IF(LEFT(B3,2)="CL","Con liệt sĩ","Học sinh"))</f>
        <v>Bội Đội</v>
      </c>
      <c r="D3" s="32" t="str">
        <f>"Khu vực - "&amp;RIGHT(B3,1)*1</f>
        <v>Khu vực - 1</v>
      </c>
      <c r="E3" s="27" t="str">
        <f>"Nghành-"&amp;MID(B3,3,1)</f>
        <v>Nghành-A</v>
      </c>
      <c r="F3" s="2">
        <v>9</v>
      </c>
      <c r="G3" s="2">
        <v>7.5</v>
      </c>
      <c r="H3" s="2">
        <v>0</v>
      </c>
      <c r="I3" s="67">
        <f>IF(MID(B3,3,1)="A",26,IF(MID(B3,3,1)="B",25.5,20))</f>
        <v>26</v>
      </c>
      <c r="J3" s="27">
        <f>IF(D3="1",0,IF(D3="2",1,2))+IF(LEFT(B3,2)="BD",0.5,IF(LEFT(B3,2)="HS",0,1))</f>
        <v>2.5</v>
      </c>
      <c r="K3" s="27">
        <f>SUM(F3+G3+H3)</f>
        <v>16.5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IF(LEFT(B4,2)="BD","Bội Đội",IF(LEFT(B4,2)="CL","Con liệt sĩ","Học sinh"))</f>
        <v>Học sinh</v>
      </c>
      <c r="D4" s="32" t="str">
        <f t="shared" ref="D4:D10" si="1">"Khu vực - "&amp;RIGHT(B4,1)*1</f>
        <v>Khu vực - 3</v>
      </c>
      <c r="E4" s="27" t="str">
        <f t="shared" ref="E4:E10" si="2">"Nghành-"&amp;MID(B4,3,1)</f>
        <v>Nghành-A</v>
      </c>
      <c r="F4" s="2">
        <v>6.5</v>
      </c>
      <c r="G4" s="2">
        <v>7</v>
      </c>
      <c r="H4" s="2">
        <v>6.5</v>
      </c>
      <c r="I4" s="67">
        <f t="shared" ref="I4:I10" si="3">IF(MID(B4,3,1)="A",26,IF(MID(B4,3,1)="B",25.5,20))</f>
        <v>26</v>
      </c>
      <c r="J4" s="27">
        <f t="shared" ref="J4:J10" si="4">IF(D4="1",0,IF(D4="2",1,IF(D4="3",2)))+IF(LEFT(B4,2)="BD",0.5,IF(LEFT(B4,2)="HS",0,IF(LEFT(B4,2)="CL",1)))</f>
        <v>0</v>
      </c>
      <c r="K4" s="27">
        <f t="shared" ref="K4:K10" si="5">SUM(F4+G4+H4)</f>
        <v>20</v>
      </c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Con liệt sĩ</v>
      </c>
      <c r="D5" s="32" t="str">
        <f t="shared" si="1"/>
        <v>Khu vực - 3</v>
      </c>
      <c r="E5" s="27" t="str">
        <f t="shared" si="2"/>
        <v>Nghành-C</v>
      </c>
      <c r="F5" s="2">
        <v>4.5</v>
      </c>
      <c r="G5" s="2">
        <v>4</v>
      </c>
      <c r="H5" s="2">
        <v>5</v>
      </c>
      <c r="I5" s="67">
        <f t="shared" si="3"/>
        <v>20</v>
      </c>
      <c r="J5" s="27">
        <f t="shared" si="4"/>
        <v>1</v>
      </c>
      <c r="K5" s="27">
        <f t="shared" si="5"/>
        <v>13.5</v>
      </c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Học sinh</v>
      </c>
      <c r="D6" s="32" t="str">
        <f t="shared" si="1"/>
        <v>Khu vực - 2</v>
      </c>
      <c r="E6" s="27" t="str">
        <f t="shared" si="2"/>
        <v>Nghành-B</v>
      </c>
      <c r="F6" s="2">
        <v>6</v>
      </c>
      <c r="G6" s="2">
        <v>8.5</v>
      </c>
      <c r="H6" s="2">
        <v>5.5</v>
      </c>
      <c r="I6" s="67">
        <f t="shared" si="3"/>
        <v>25.5</v>
      </c>
      <c r="J6" s="27">
        <f t="shared" si="4"/>
        <v>0</v>
      </c>
      <c r="K6" s="27">
        <f t="shared" si="5"/>
        <v>20</v>
      </c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Con liệt sĩ</v>
      </c>
      <c r="D7" s="32" t="str">
        <f t="shared" si="1"/>
        <v>Khu vực - 1</v>
      </c>
      <c r="E7" s="27" t="str">
        <f t="shared" si="2"/>
        <v>Nghành-B</v>
      </c>
      <c r="F7" s="2">
        <v>9</v>
      </c>
      <c r="G7" s="2">
        <v>5</v>
      </c>
      <c r="H7" s="2">
        <v>5.5</v>
      </c>
      <c r="I7" s="67">
        <f t="shared" si="3"/>
        <v>25.5</v>
      </c>
      <c r="J7" s="27">
        <f t="shared" si="4"/>
        <v>1</v>
      </c>
      <c r="K7" s="27">
        <f t="shared" si="5"/>
        <v>19.5</v>
      </c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Bội Đội</v>
      </c>
      <c r="D8" s="32" t="str">
        <f t="shared" si="1"/>
        <v>Khu vực - 3</v>
      </c>
      <c r="E8" s="27" t="str">
        <f t="shared" si="2"/>
        <v>Nghành-B</v>
      </c>
      <c r="F8" s="2">
        <v>6.5</v>
      </c>
      <c r="G8" s="2">
        <v>6.5</v>
      </c>
      <c r="H8" s="2">
        <v>5.5</v>
      </c>
      <c r="I8" s="67">
        <f t="shared" si="3"/>
        <v>25.5</v>
      </c>
      <c r="J8" s="27">
        <f t="shared" si="4"/>
        <v>0.5</v>
      </c>
      <c r="K8" s="27">
        <f t="shared" si="5"/>
        <v>18.5</v>
      </c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Học sinh</v>
      </c>
      <c r="D9" s="32" t="str">
        <f t="shared" si="1"/>
        <v>Khu vực - 2</v>
      </c>
      <c r="E9" s="27" t="str">
        <f t="shared" si="2"/>
        <v>Nghành-A</v>
      </c>
      <c r="F9" s="2">
        <v>8</v>
      </c>
      <c r="G9" s="2">
        <v>7.5</v>
      </c>
      <c r="H9" s="2">
        <v>3</v>
      </c>
      <c r="I9" s="67">
        <f t="shared" si="3"/>
        <v>26</v>
      </c>
      <c r="J9" s="27">
        <f t="shared" si="4"/>
        <v>0</v>
      </c>
      <c r="K9" s="27">
        <f t="shared" si="5"/>
        <v>18.5</v>
      </c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Con liệt sĩ</v>
      </c>
      <c r="D10" s="32" t="str">
        <f t="shared" si="1"/>
        <v>Khu vực - 2</v>
      </c>
      <c r="E10" s="27" t="str">
        <f t="shared" si="2"/>
        <v>Nghành-C</v>
      </c>
      <c r="F10" s="2">
        <v>6.5</v>
      </c>
      <c r="G10" s="2">
        <v>5.5</v>
      </c>
      <c r="H10" s="2">
        <v>3</v>
      </c>
      <c r="I10" s="67">
        <f t="shared" si="3"/>
        <v>20</v>
      </c>
      <c r="J10" s="27">
        <f t="shared" si="4"/>
        <v>1</v>
      </c>
      <c r="K10" s="27">
        <f t="shared" si="5"/>
        <v>15</v>
      </c>
    </row>
    <row r="12" spans="1:11" ht="20.100000000000001" customHeight="1" x14ac:dyDescent="0.2">
      <c r="A12" s="26" t="s">
        <v>18</v>
      </c>
      <c r="D12" s="26" t="s">
        <v>26</v>
      </c>
      <c r="H12" s="26" t="s">
        <v>36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28</v>
      </c>
      <c r="F13" s="65"/>
      <c r="G13" s="47"/>
      <c r="H13" s="46" t="s">
        <v>4</v>
      </c>
      <c r="I13" s="46" t="s">
        <v>37</v>
      </c>
      <c r="J13" s="46" t="s">
        <v>38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>
        <v>26</v>
      </c>
      <c r="H14" s="2" t="s">
        <v>6</v>
      </c>
      <c r="I14" s="27">
        <f>SUMIF($B$3:$B$10,"???1",$F$3:$F$10)</f>
        <v>18</v>
      </c>
      <c r="J14" s="27">
        <f>SUMIF($B$3:$B$10,"???2",$F$3:$F$10)</f>
        <v>20.5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>
        <v>25.5</v>
      </c>
      <c r="H15" s="2" t="s">
        <v>7</v>
      </c>
      <c r="I15" s="27">
        <f>SUMIF($B$3:$B$10,"???1",$G$3:$G$10)</f>
        <v>12.5</v>
      </c>
      <c r="J15" s="27">
        <f>SUMIF($B$3:$B$10,"???2",$G$3:$G$10)</f>
        <v>21.5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>
        <v>20</v>
      </c>
      <c r="H16" s="2" t="s">
        <v>8</v>
      </c>
      <c r="I16" s="27">
        <f>SUMIF($B$3:$B$10,"???1",H3:H10)</f>
        <v>5.5</v>
      </c>
      <c r="J16" s="27">
        <f>SUMIF($B$3:$B$10,"???2",I3:I10)</f>
        <v>71.5</v>
      </c>
    </row>
    <row r="18" spans="1:10" ht="20.100000000000001" customHeight="1" x14ac:dyDescent="0.2">
      <c r="A18" s="6" t="s">
        <v>159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81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157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158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176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137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82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tabSelected="1" zoomScaleNormal="100" workbookViewId="0">
      <selection activeCell="H3" sqref="H3"/>
    </sheetView>
  </sheetViews>
  <sheetFormatPr defaultColWidth="9.140625" defaultRowHeight="14.25" x14ac:dyDescent="0.2"/>
  <cols>
    <col min="1" max="1" width="9.140625" style="50"/>
    <col min="2" max="2" width="14.85546875" style="50" customWidth="1"/>
    <col min="3" max="3" width="12" style="50" customWidth="1"/>
    <col min="4" max="6" width="9.140625" style="50"/>
    <col min="7" max="7" width="14" style="50" customWidth="1"/>
    <col min="8" max="8" width="17.42578125" style="50" customWidth="1"/>
    <col min="9" max="16384" width="9.140625" style="50"/>
  </cols>
  <sheetData>
    <row r="1" spans="1:9" ht="22.5" x14ac:dyDescent="0.3">
      <c r="A1" s="77" t="s">
        <v>192</v>
      </c>
      <c r="B1" s="77"/>
      <c r="C1" s="77"/>
      <c r="D1" s="77"/>
      <c r="E1" s="77"/>
      <c r="F1" s="77"/>
      <c r="G1" s="77"/>
      <c r="H1" s="77"/>
      <c r="I1" s="77"/>
    </row>
    <row r="2" spans="1:9" ht="60" customHeight="1" x14ac:dyDescent="0.2">
      <c r="A2" s="48" t="s">
        <v>183</v>
      </c>
      <c r="B2" s="48" t="s">
        <v>184</v>
      </c>
      <c r="C2" s="49" t="s">
        <v>187</v>
      </c>
      <c r="D2" s="49" t="s">
        <v>188</v>
      </c>
      <c r="E2" s="49" t="s">
        <v>189</v>
      </c>
      <c r="F2" s="49" t="s">
        <v>190</v>
      </c>
      <c r="G2" s="49" t="s">
        <v>191</v>
      </c>
      <c r="H2" s="49" t="s">
        <v>185</v>
      </c>
      <c r="I2" s="48" t="s">
        <v>186</v>
      </c>
    </row>
    <row r="3" spans="1:9" x14ac:dyDescent="0.2">
      <c r="A3" s="51">
        <v>1</v>
      </c>
      <c r="B3" s="52" t="s">
        <v>76</v>
      </c>
      <c r="C3" s="51" t="s">
        <v>29</v>
      </c>
      <c r="D3" s="51">
        <v>9</v>
      </c>
      <c r="E3" s="51">
        <v>10</v>
      </c>
      <c r="F3" s="53">
        <f>(E3*2+D3)/3</f>
        <v>9.6666666666666661</v>
      </c>
      <c r="G3" s="54" t="str">
        <f>IF(F3&lt;5,"Thi lại","Lên lớp")</f>
        <v>Lên lớp</v>
      </c>
      <c r="H3" s="54"/>
      <c r="I3" s="54"/>
    </row>
    <row r="4" spans="1:9" x14ac:dyDescent="0.2">
      <c r="A4" s="51">
        <v>2</v>
      </c>
      <c r="B4" s="52" t="s">
        <v>77</v>
      </c>
      <c r="C4" s="51" t="s">
        <v>31</v>
      </c>
      <c r="D4" s="51">
        <v>8</v>
      </c>
      <c r="E4" s="51">
        <v>10</v>
      </c>
      <c r="F4" s="53">
        <f t="shared" ref="F4:F7" si="0">(E4*2+D4)/3</f>
        <v>9.3333333333333339</v>
      </c>
      <c r="G4" s="54" t="str">
        <f t="shared" ref="G4:G7" si="1">IF(F4&lt;5,"Thi lại","Lên lớp")</f>
        <v>Lên lớp</v>
      </c>
      <c r="H4" s="54"/>
      <c r="I4" s="54"/>
    </row>
    <row r="5" spans="1:9" x14ac:dyDescent="0.2">
      <c r="A5" s="51">
        <v>3</v>
      </c>
      <c r="B5" s="52" t="s">
        <v>193</v>
      </c>
      <c r="C5" s="51" t="s">
        <v>31</v>
      </c>
      <c r="D5" s="51">
        <v>5</v>
      </c>
      <c r="E5" s="51">
        <v>6</v>
      </c>
      <c r="F5" s="53">
        <f t="shared" si="0"/>
        <v>5.666666666666667</v>
      </c>
      <c r="G5" s="54" t="str">
        <f t="shared" si="1"/>
        <v>Lên lớp</v>
      </c>
      <c r="H5" s="54"/>
      <c r="I5" s="54"/>
    </row>
    <row r="6" spans="1:9" x14ac:dyDescent="0.2">
      <c r="A6" s="51">
        <v>4</v>
      </c>
      <c r="B6" s="52" t="s">
        <v>78</v>
      </c>
      <c r="C6" s="51" t="s">
        <v>29</v>
      </c>
      <c r="D6" s="51">
        <v>8</v>
      </c>
      <c r="E6" s="51">
        <v>2</v>
      </c>
      <c r="F6" s="53">
        <f t="shared" si="0"/>
        <v>4</v>
      </c>
      <c r="G6" s="54" t="str">
        <f t="shared" si="1"/>
        <v>Thi lại</v>
      </c>
      <c r="H6" s="54"/>
      <c r="I6" s="54"/>
    </row>
    <row r="7" spans="1:9" x14ac:dyDescent="0.2">
      <c r="A7" s="51">
        <v>5</v>
      </c>
      <c r="B7" s="52" t="s">
        <v>79</v>
      </c>
      <c r="C7" s="51" t="s">
        <v>31</v>
      </c>
      <c r="D7" s="51">
        <v>10</v>
      </c>
      <c r="E7" s="51">
        <v>9</v>
      </c>
      <c r="F7" s="53">
        <f t="shared" si="0"/>
        <v>9.3333333333333339</v>
      </c>
      <c r="G7" s="54" t="str">
        <f t="shared" si="1"/>
        <v>Lên lớp</v>
      </c>
      <c r="H7" s="54"/>
      <c r="I7" s="54"/>
    </row>
    <row r="9" spans="1:9" x14ac:dyDescent="0.2">
      <c r="A9" s="55"/>
      <c r="B9" s="55"/>
      <c r="C9" s="55"/>
      <c r="D9" s="55"/>
      <c r="E9" s="55"/>
      <c r="F9" s="55"/>
      <c r="G9" s="55"/>
      <c r="H9" s="55"/>
    </row>
    <row r="10" spans="1:9" ht="15" x14ac:dyDescent="0.2">
      <c r="A10" s="56" t="s">
        <v>179</v>
      </c>
      <c r="B10" s="56"/>
      <c r="C10" s="55"/>
      <c r="D10" s="55"/>
      <c r="E10" s="55"/>
      <c r="F10" s="55"/>
      <c r="G10" s="55"/>
      <c r="H10" s="55"/>
    </row>
    <row r="11" spans="1:9" ht="15" x14ac:dyDescent="0.2">
      <c r="A11" s="56" t="s">
        <v>180</v>
      </c>
      <c r="B11" s="56"/>
      <c r="C11" s="55"/>
      <c r="D11" s="55"/>
      <c r="E11" s="55"/>
      <c r="F11" s="55"/>
      <c r="G11" s="55"/>
      <c r="H11" s="55"/>
    </row>
    <row r="12" spans="1:9" ht="15" x14ac:dyDescent="0.2">
      <c r="A12" s="56" t="s">
        <v>181</v>
      </c>
      <c r="B12" s="56"/>
      <c r="C12" s="55"/>
      <c r="D12" s="55"/>
      <c r="E12" s="55"/>
      <c r="F12" s="55"/>
      <c r="G12" s="55"/>
      <c r="H12" s="55"/>
    </row>
    <row r="13" spans="1:9" ht="15" x14ac:dyDescent="0.2">
      <c r="A13" s="57" t="s">
        <v>182</v>
      </c>
      <c r="B13" s="58"/>
    </row>
    <row r="14" spans="1:9" ht="47.25" customHeight="1" x14ac:dyDescent="0.2">
      <c r="A14" s="59" t="s">
        <v>148</v>
      </c>
      <c r="B14" s="60" t="s">
        <v>155</v>
      </c>
      <c r="C14" s="61" t="s">
        <v>149</v>
      </c>
      <c r="D14" s="78" t="s">
        <v>156</v>
      </c>
      <c r="E14" s="78"/>
    </row>
    <row r="15" spans="1:9" x14ac:dyDescent="0.2">
      <c r="A15" s="62">
        <f>COUNT(A3:A7)</f>
        <v>5</v>
      </c>
      <c r="B15" s="88">
        <f>MAX(F3:F7)</f>
        <v>9.6666666666666661</v>
      </c>
      <c r="C15" s="63" t="s">
        <v>140</v>
      </c>
      <c r="D15" s="79">
        <f>COUNT(D3:D7,"&gt;=9")</f>
        <v>5</v>
      </c>
      <c r="E15" s="79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J14" sqref="J14"/>
    </sheetView>
  </sheetViews>
  <sheetFormatPr defaultColWidth="9.140625"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81" t="s">
        <v>39</v>
      </c>
      <c r="B1" s="81"/>
      <c r="C1" s="81"/>
      <c r="D1" s="81"/>
      <c r="E1" s="81"/>
      <c r="F1" s="81"/>
      <c r="G1" s="81"/>
      <c r="H1" s="81"/>
      <c r="I1" s="81"/>
      <c r="J1" s="81"/>
    </row>
    <row r="2" spans="1:11" ht="24" customHeight="1" x14ac:dyDescent="0.2">
      <c r="A2" s="40" t="s">
        <v>1</v>
      </c>
      <c r="B2" s="40" t="s">
        <v>40</v>
      </c>
      <c r="C2" s="40" t="s">
        <v>41</v>
      </c>
      <c r="D2" s="40" t="s">
        <v>42</v>
      </c>
      <c r="E2" s="40" t="s">
        <v>43</v>
      </c>
      <c r="F2" s="40" t="s">
        <v>44</v>
      </c>
      <c r="G2" s="40" t="s">
        <v>45</v>
      </c>
      <c r="H2" s="40" t="s">
        <v>178</v>
      </c>
      <c r="I2" s="42" t="s">
        <v>72</v>
      </c>
      <c r="J2" s="42" t="s">
        <v>74</v>
      </c>
    </row>
    <row r="3" spans="1:11" ht="20.100000000000001" customHeight="1" x14ac:dyDescent="0.2">
      <c r="A3" s="5">
        <v>1</v>
      </c>
      <c r="B3" s="4" t="s">
        <v>75</v>
      </c>
      <c r="C3" s="2" t="str">
        <f>IF(MID(B3,5,1)="C","Chai","Lon")</f>
        <v>Lon</v>
      </c>
      <c r="D3" s="5">
        <v>20</v>
      </c>
      <c r="E3" s="2">
        <v>1400</v>
      </c>
      <c r="F3" s="27"/>
      <c r="G3" s="32">
        <f>D3*E3</f>
        <v>28000</v>
      </c>
      <c r="H3" s="27"/>
      <c r="I3" s="27" t="s">
        <v>35</v>
      </c>
      <c r="J3" s="27" t="str">
        <f>IF(RIGHT(B3,1)="N","Nhập","Xuất")</f>
        <v>Nhập</v>
      </c>
    </row>
    <row r="4" spans="1:11" ht="20.100000000000001" customHeight="1" x14ac:dyDescent="0.2">
      <c r="A4" s="5">
        <v>2</v>
      </c>
      <c r="B4" s="2" t="s">
        <v>47</v>
      </c>
      <c r="C4" s="2" t="str">
        <f t="shared" ref="C4:C10" si="0">IF(MID(B4,5,1)="C","Chai","Lon")</f>
        <v>Chai</v>
      </c>
      <c r="D4" s="5">
        <v>40</v>
      </c>
      <c r="E4" s="2">
        <v>1600</v>
      </c>
      <c r="F4" s="27"/>
      <c r="G4" s="32">
        <f t="shared" ref="G4:G10" si="1">D4*E4</f>
        <v>64000</v>
      </c>
      <c r="H4" s="2"/>
      <c r="I4" s="2"/>
      <c r="J4" s="27" t="str">
        <f t="shared" ref="J4:J10" si="2">IF(RIGHT(B4,1)="N","Nhập","Xuất")</f>
        <v>Nhập</v>
      </c>
    </row>
    <row r="5" spans="1:11" ht="20.100000000000001" customHeight="1" x14ac:dyDescent="0.2">
      <c r="A5" s="5">
        <v>3</v>
      </c>
      <c r="B5" s="2" t="s">
        <v>48</v>
      </c>
      <c r="C5" s="2" t="str">
        <f t="shared" si="0"/>
        <v>Lon</v>
      </c>
      <c r="D5" s="5">
        <v>35</v>
      </c>
      <c r="E5" s="2">
        <v>1800</v>
      </c>
      <c r="F5" s="27"/>
      <c r="G5" s="32">
        <f t="shared" si="1"/>
        <v>63000</v>
      </c>
      <c r="H5" s="2"/>
      <c r="I5" s="2"/>
      <c r="J5" s="27" t="str">
        <f t="shared" si="2"/>
        <v>Nhập</v>
      </c>
    </row>
    <row r="6" spans="1:11" ht="20.100000000000001" customHeight="1" x14ac:dyDescent="0.2">
      <c r="A6" s="5">
        <v>4</v>
      </c>
      <c r="B6" s="2" t="s">
        <v>49</v>
      </c>
      <c r="C6" s="2" t="str">
        <f t="shared" si="0"/>
        <v>Chai</v>
      </c>
      <c r="D6" s="5">
        <v>80</v>
      </c>
      <c r="E6" s="2">
        <v>1400</v>
      </c>
      <c r="F6" s="27"/>
      <c r="G6" s="32">
        <f t="shared" si="1"/>
        <v>112000</v>
      </c>
      <c r="H6" s="2"/>
      <c r="I6" s="2"/>
      <c r="J6" s="27" t="str">
        <f t="shared" si="2"/>
        <v>Nhập</v>
      </c>
    </row>
    <row r="7" spans="1:11" ht="20.100000000000001" customHeight="1" x14ac:dyDescent="0.2">
      <c r="A7" s="5">
        <v>5</v>
      </c>
      <c r="B7" s="2" t="s">
        <v>50</v>
      </c>
      <c r="C7" s="2" t="str">
        <f t="shared" si="0"/>
        <v>Lon</v>
      </c>
      <c r="D7" s="5">
        <v>80</v>
      </c>
      <c r="E7" s="2">
        <v>2000</v>
      </c>
      <c r="F7" s="27"/>
      <c r="G7" s="32">
        <f t="shared" si="1"/>
        <v>160000</v>
      </c>
      <c r="H7" s="2"/>
      <c r="I7" s="2"/>
      <c r="J7" s="27" t="str">
        <f t="shared" si="2"/>
        <v>Nhập</v>
      </c>
    </row>
    <row r="8" spans="1:11" ht="20.100000000000001" customHeight="1" x14ac:dyDescent="0.2">
      <c r="A8" s="5">
        <v>6</v>
      </c>
      <c r="B8" s="2" t="s">
        <v>51</v>
      </c>
      <c r="C8" s="2" t="str">
        <f t="shared" si="0"/>
        <v>Lon</v>
      </c>
      <c r="D8" s="5">
        <v>35</v>
      </c>
      <c r="E8" s="2">
        <v>2300</v>
      </c>
      <c r="F8" s="27"/>
      <c r="G8" s="32">
        <f t="shared" si="1"/>
        <v>80500</v>
      </c>
      <c r="H8" s="2"/>
      <c r="I8" s="2"/>
      <c r="J8" s="27" t="str">
        <f t="shared" si="2"/>
        <v>Xuất</v>
      </c>
    </row>
    <row r="9" spans="1:11" ht="20.100000000000001" customHeight="1" x14ac:dyDescent="0.2">
      <c r="A9" s="5">
        <v>7</v>
      </c>
      <c r="B9" s="2" t="s">
        <v>52</v>
      </c>
      <c r="C9" s="2" t="str">
        <f t="shared" si="0"/>
        <v>Chai</v>
      </c>
      <c r="D9" s="5">
        <v>50</v>
      </c>
      <c r="E9" s="2">
        <v>1800</v>
      </c>
      <c r="F9" s="27"/>
      <c r="G9" s="32">
        <f t="shared" si="1"/>
        <v>90000</v>
      </c>
      <c r="H9" s="2"/>
      <c r="I9" s="2"/>
      <c r="J9" s="27" t="str">
        <f t="shared" si="2"/>
        <v>Xuất</v>
      </c>
    </row>
    <row r="10" spans="1:11" ht="20.100000000000001" customHeight="1" x14ac:dyDescent="0.2">
      <c r="A10" s="5">
        <v>8</v>
      </c>
      <c r="B10" s="2" t="s">
        <v>53</v>
      </c>
      <c r="C10" s="2" t="str">
        <f t="shared" si="0"/>
        <v>Chai</v>
      </c>
      <c r="D10" s="5">
        <v>70</v>
      </c>
      <c r="E10" s="2">
        <v>2000</v>
      </c>
      <c r="F10" s="27"/>
      <c r="G10" s="32">
        <f t="shared" si="1"/>
        <v>140000</v>
      </c>
      <c r="H10" s="2"/>
      <c r="I10" s="2"/>
      <c r="J10" s="27" t="str">
        <f t="shared" si="2"/>
        <v>Nhập</v>
      </c>
    </row>
    <row r="12" spans="1:11" ht="20.100000000000001" customHeight="1" x14ac:dyDescent="0.2">
      <c r="A12" s="1" t="s">
        <v>18</v>
      </c>
      <c r="F12" s="1" t="s">
        <v>26</v>
      </c>
      <c r="I12" s="1" t="s">
        <v>70</v>
      </c>
    </row>
    <row r="13" spans="1:11" ht="20.100000000000001" customHeight="1" x14ac:dyDescent="0.2">
      <c r="A13" s="80" t="s">
        <v>54</v>
      </c>
      <c r="B13" s="80" t="s">
        <v>41</v>
      </c>
      <c r="C13" s="80" t="s">
        <v>43</v>
      </c>
      <c r="D13" s="80"/>
      <c r="F13" s="41" t="s">
        <v>65</v>
      </c>
      <c r="G13" s="41" t="s">
        <v>66</v>
      </c>
      <c r="I13" s="41" t="s">
        <v>71</v>
      </c>
      <c r="J13" s="41" t="s">
        <v>63</v>
      </c>
      <c r="K13" s="41" t="s">
        <v>64</v>
      </c>
    </row>
    <row r="14" spans="1:11" ht="20.100000000000001" customHeight="1" x14ac:dyDescent="0.2">
      <c r="A14" s="80"/>
      <c r="B14" s="80"/>
      <c r="C14" s="40" t="s">
        <v>63</v>
      </c>
      <c r="D14" s="40" t="s">
        <v>64</v>
      </c>
      <c r="F14" s="5" t="s">
        <v>67</v>
      </c>
      <c r="G14" s="2" t="s">
        <v>68</v>
      </c>
      <c r="I14" s="2" t="s">
        <v>59</v>
      </c>
      <c r="J14" s="27"/>
      <c r="K14" s="27" t="s">
        <v>34</v>
      </c>
    </row>
    <row r="15" spans="1:11" ht="20.100000000000001" customHeight="1" x14ac:dyDescent="0.2">
      <c r="A15" s="5" t="s">
        <v>55</v>
      </c>
      <c r="B15" s="2" t="s">
        <v>59</v>
      </c>
      <c r="C15" s="2">
        <v>1400</v>
      </c>
      <c r="D15" s="2">
        <v>1800</v>
      </c>
      <c r="F15" s="5" t="s">
        <v>30</v>
      </c>
      <c r="G15" s="2" t="s">
        <v>69</v>
      </c>
      <c r="I15" s="2" t="s">
        <v>60</v>
      </c>
      <c r="J15" s="27" t="s">
        <v>34</v>
      </c>
      <c r="K15" s="27" t="s">
        <v>34</v>
      </c>
    </row>
    <row r="16" spans="1:11" ht="20.100000000000001" customHeight="1" x14ac:dyDescent="0.2">
      <c r="A16" s="5" t="s">
        <v>56</v>
      </c>
      <c r="B16" s="2" t="s">
        <v>60</v>
      </c>
      <c r="C16" s="2">
        <v>1600</v>
      </c>
      <c r="D16" s="2">
        <v>2000</v>
      </c>
    </row>
    <row r="17" spans="1:4" ht="20.100000000000001" customHeight="1" x14ac:dyDescent="0.2">
      <c r="A17" s="5" t="s">
        <v>57</v>
      </c>
      <c r="B17" s="2" t="s">
        <v>61</v>
      </c>
      <c r="C17" s="2">
        <v>1800</v>
      </c>
      <c r="D17" s="2">
        <v>2300</v>
      </c>
    </row>
    <row r="18" spans="1:4" ht="20.100000000000001" customHeight="1" x14ac:dyDescent="0.2">
      <c r="A18" s="5" t="s">
        <v>58</v>
      </c>
      <c r="B18" s="2" t="s">
        <v>62</v>
      </c>
      <c r="C18" s="2">
        <v>2000</v>
      </c>
      <c r="D18" s="2">
        <v>2500</v>
      </c>
    </row>
    <row r="20" spans="1:4" ht="20.100000000000001" customHeight="1" x14ac:dyDescent="0.2">
      <c r="A20" s="23" t="s">
        <v>132</v>
      </c>
    </row>
    <row r="21" spans="1:4" ht="20.100000000000001" customHeight="1" x14ac:dyDescent="0.2">
      <c r="A21" s="23"/>
      <c r="B21" s="1" t="s">
        <v>177</v>
      </c>
    </row>
    <row r="22" spans="1:4" ht="20.100000000000001" customHeight="1" x14ac:dyDescent="0.2">
      <c r="B22" s="1" t="s">
        <v>150</v>
      </c>
    </row>
    <row r="23" spans="1:4" ht="20.100000000000001" customHeight="1" x14ac:dyDescent="0.2">
      <c r="B23" s="1" t="s">
        <v>83</v>
      </c>
      <c r="C23" s="1" t="s">
        <v>151</v>
      </c>
    </row>
    <row r="24" spans="1:4" ht="20.100000000000001" customHeight="1" x14ac:dyDescent="0.2">
      <c r="A24" s="1" t="s">
        <v>80</v>
      </c>
    </row>
    <row r="25" spans="1:4" ht="20.100000000000001" customHeight="1" x14ac:dyDescent="0.2">
      <c r="A25" s="1" t="s">
        <v>145</v>
      </c>
    </row>
    <row r="26" spans="1:4" ht="20.100000000000001" customHeight="1" x14ac:dyDescent="0.2">
      <c r="A26" s="1" t="s">
        <v>147</v>
      </c>
    </row>
    <row r="27" spans="1:4" ht="20.100000000000001" customHeight="1" x14ac:dyDescent="0.2">
      <c r="A27" s="1" t="s">
        <v>146</v>
      </c>
    </row>
    <row r="28" spans="1:4" ht="20.100000000000001" customHeight="1" x14ac:dyDescent="0.2">
      <c r="A28" s="26" t="s">
        <v>138</v>
      </c>
    </row>
    <row r="29" spans="1:4" ht="20.100000000000001" customHeight="1" x14ac:dyDescent="0.2">
      <c r="A29" s="1" t="s">
        <v>133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workbookViewId="0">
      <selection activeCell="E4" sqref="E4"/>
    </sheetView>
  </sheetViews>
  <sheetFormatPr defaultColWidth="9.140625" defaultRowHeight="12.75" x14ac:dyDescent="0.2"/>
  <cols>
    <col min="1" max="1" width="9.140625" style="1" customWidth="1"/>
    <col min="2" max="2" width="7.5703125" style="1" customWidth="1"/>
    <col min="3" max="3" width="10.140625" style="1" bestFit="1" customWidth="1"/>
    <col min="4" max="4" width="8.28515625" style="1" customWidth="1"/>
    <col min="5" max="16384" width="9.140625" style="1"/>
  </cols>
  <sheetData>
    <row r="1" spans="1:11" ht="23.25" x14ac:dyDescent="0.35">
      <c r="A1" s="85" t="s">
        <v>120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x14ac:dyDescent="0.2">
      <c r="A2" s="83" t="s">
        <v>1</v>
      </c>
      <c r="B2" s="86" t="s">
        <v>100</v>
      </c>
      <c r="C2" s="87"/>
      <c r="D2" s="43" t="s">
        <v>101</v>
      </c>
      <c r="E2" s="82" t="s">
        <v>115</v>
      </c>
      <c r="F2" s="82"/>
      <c r="G2" s="82"/>
      <c r="H2" s="82"/>
      <c r="I2" s="43" t="s">
        <v>110</v>
      </c>
      <c r="J2" s="43" t="s">
        <v>111</v>
      </c>
      <c r="K2" s="43" t="s">
        <v>114</v>
      </c>
    </row>
    <row r="3" spans="1:11" x14ac:dyDescent="0.2">
      <c r="A3" s="84"/>
      <c r="B3" s="44" t="s">
        <v>103</v>
      </c>
      <c r="C3" s="44" t="s">
        <v>104</v>
      </c>
      <c r="D3" s="45" t="s">
        <v>102</v>
      </c>
      <c r="E3" s="44" t="s">
        <v>105</v>
      </c>
      <c r="F3" s="44" t="s">
        <v>106</v>
      </c>
      <c r="G3" s="44" t="s">
        <v>107</v>
      </c>
      <c r="H3" s="44" t="s">
        <v>108</v>
      </c>
      <c r="I3" s="45" t="s">
        <v>109</v>
      </c>
      <c r="J3" s="45" t="s">
        <v>112</v>
      </c>
      <c r="K3" s="45" t="s">
        <v>113</v>
      </c>
    </row>
    <row r="4" spans="1:11" x14ac:dyDescent="0.2">
      <c r="A4" s="5">
        <v>1</v>
      </c>
      <c r="B4" s="2">
        <v>50</v>
      </c>
      <c r="C4" s="2">
        <v>230</v>
      </c>
      <c r="D4" s="31">
        <f>C4-B4</f>
        <v>180</v>
      </c>
      <c r="E4" s="31"/>
      <c r="F4" s="31"/>
      <c r="G4" s="31"/>
      <c r="H4" s="31"/>
      <c r="I4" s="31" t="s">
        <v>140</v>
      </c>
      <c r="J4" s="27" t="s">
        <v>33</v>
      </c>
      <c r="K4" s="27" t="s">
        <v>33</v>
      </c>
    </row>
    <row r="5" spans="1:11" x14ac:dyDescent="0.2">
      <c r="A5" s="5">
        <v>2</v>
      </c>
      <c r="B5" s="2">
        <v>76</v>
      </c>
      <c r="C5" s="2">
        <v>155</v>
      </c>
      <c r="D5" s="31">
        <f t="shared" ref="D5:D13" si="0">C5-B5</f>
        <v>79</v>
      </c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>
        <f t="shared" si="0"/>
        <v>117</v>
      </c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>
        <f t="shared" si="0"/>
        <v>85</v>
      </c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>
        <f t="shared" si="0"/>
        <v>395</v>
      </c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>
        <f t="shared" si="0"/>
        <v>198</v>
      </c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>
        <f t="shared" si="0"/>
        <v>125</v>
      </c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>
        <f t="shared" si="0"/>
        <v>380</v>
      </c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>
        <f t="shared" si="0"/>
        <v>92</v>
      </c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>
        <f t="shared" si="0"/>
        <v>275</v>
      </c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116</v>
      </c>
      <c r="D14" s="28" t="s">
        <v>33</v>
      </c>
      <c r="E14" s="14"/>
      <c r="F14" s="14"/>
      <c r="G14" s="14"/>
      <c r="H14" s="14"/>
      <c r="I14" s="28" t="s">
        <v>33</v>
      </c>
      <c r="J14" s="14"/>
      <c r="K14" s="15"/>
    </row>
    <row r="15" spans="1:11" x14ac:dyDescent="0.2">
      <c r="A15" s="16"/>
      <c r="C15" s="1" t="s">
        <v>117</v>
      </c>
      <c r="D15" s="29" t="s">
        <v>33</v>
      </c>
      <c r="I15" s="29" t="s">
        <v>33</v>
      </c>
      <c r="K15" s="17"/>
    </row>
    <row r="16" spans="1:11" x14ac:dyDescent="0.2">
      <c r="A16" s="16"/>
      <c r="C16" s="1" t="s">
        <v>118</v>
      </c>
      <c r="D16" s="29" t="s">
        <v>33</v>
      </c>
      <c r="I16" s="29" t="s">
        <v>33</v>
      </c>
      <c r="K16" s="17"/>
    </row>
    <row r="17" spans="1:12" x14ac:dyDescent="0.2">
      <c r="A17" s="18"/>
      <c r="B17" s="19"/>
      <c r="C17" s="19" t="s">
        <v>119</v>
      </c>
      <c r="D17" s="30" t="s">
        <v>33</v>
      </c>
      <c r="E17" s="19"/>
      <c r="F17" s="19"/>
      <c r="G17" s="19"/>
      <c r="H17" s="19"/>
      <c r="I17" s="30" t="s">
        <v>33</v>
      </c>
      <c r="J17" s="19"/>
      <c r="K17" s="20"/>
    </row>
    <row r="19" spans="1:12" x14ac:dyDescent="0.2">
      <c r="A19" s="21" t="s">
        <v>98</v>
      </c>
      <c r="H19" s="22" t="s">
        <v>131</v>
      </c>
    </row>
    <row r="20" spans="1:12" x14ac:dyDescent="0.2">
      <c r="A20" s="1" t="s">
        <v>125</v>
      </c>
      <c r="H20" s="43" t="s">
        <v>101</v>
      </c>
      <c r="I20" s="82" t="s">
        <v>115</v>
      </c>
      <c r="J20" s="82"/>
      <c r="K20" s="82"/>
      <c r="L20" s="82"/>
    </row>
    <row r="21" spans="1:12" x14ac:dyDescent="0.2">
      <c r="A21" s="1" t="s">
        <v>126</v>
      </c>
      <c r="H21" s="45" t="s">
        <v>102</v>
      </c>
      <c r="I21" s="44" t="s">
        <v>105</v>
      </c>
      <c r="J21" s="44" t="s">
        <v>106</v>
      </c>
      <c r="K21" s="44" t="s">
        <v>107</v>
      </c>
      <c r="L21" s="44" t="s">
        <v>108</v>
      </c>
    </row>
    <row r="22" spans="1:12" x14ac:dyDescent="0.2">
      <c r="B22" s="1" t="s">
        <v>121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122</v>
      </c>
    </row>
    <row r="24" spans="1:12" x14ac:dyDescent="0.2">
      <c r="B24" s="1" t="s">
        <v>123</v>
      </c>
    </row>
    <row r="25" spans="1:12" x14ac:dyDescent="0.2">
      <c r="B25" s="1" t="s">
        <v>124</v>
      </c>
    </row>
    <row r="26" spans="1:12" x14ac:dyDescent="0.2">
      <c r="A26" s="1" t="s">
        <v>127</v>
      </c>
    </row>
    <row r="27" spans="1:12" x14ac:dyDescent="0.2">
      <c r="B27" s="1" t="s">
        <v>141</v>
      </c>
    </row>
    <row r="28" spans="1:12" x14ac:dyDescent="0.2">
      <c r="B28" s="1" t="s">
        <v>142</v>
      </c>
    </row>
    <row r="29" spans="1:12" x14ac:dyDescent="0.2">
      <c r="B29" s="1" t="s">
        <v>143</v>
      </c>
    </row>
    <row r="30" spans="1:12" x14ac:dyDescent="0.2">
      <c r="A30" s="1" t="s">
        <v>128</v>
      </c>
    </row>
    <row r="31" spans="1:12" x14ac:dyDescent="0.2">
      <c r="A31" s="1" t="s">
        <v>144</v>
      </c>
    </row>
    <row r="32" spans="1:12" x14ac:dyDescent="0.2">
      <c r="A32" s="1" t="s">
        <v>129</v>
      </c>
    </row>
    <row r="33" spans="1:1" customFormat="1" ht="15" x14ac:dyDescent="0.25">
      <c r="A33" s="1" t="s">
        <v>130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01</cp:lastModifiedBy>
  <dcterms:created xsi:type="dcterms:W3CDTF">2008-06-05T12:20:35Z</dcterms:created>
  <dcterms:modified xsi:type="dcterms:W3CDTF">2024-03-03T11:33:38Z</dcterms:modified>
</cp:coreProperties>
</file>