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5120" windowHeight="15580"/>
  </bookViews>
  <sheets>
    <sheet name="Sheet1" sheetId="1" r:id="rId1"/>
    <sheet name="Sheet2 no YB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E43" i="1"/>
  <c r="D43" i="1"/>
  <c r="F43" i="1"/>
  <c r="G43" i="1"/>
  <c r="C43" i="1"/>
  <c r="H43" i="1"/>
  <c r="C41" i="1"/>
  <c r="D41" i="1"/>
  <c r="E41" i="1"/>
  <c r="F41" i="1"/>
  <c r="G41" i="1"/>
  <c r="H41" i="1"/>
  <c r="C42" i="1"/>
  <c r="F29" i="1"/>
  <c r="D42" i="1"/>
  <c r="E42" i="1"/>
  <c r="F42" i="1"/>
  <c r="G42" i="1"/>
  <c r="H42" i="1"/>
  <c r="D44" i="1"/>
  <c r="E44" i="1"/>
  <c r="F44" i="1"/>
  <c r="G44" i="1"/>
  <c r="C44" i="1"/>
  <c r="H44" i="1"/>
  <c r="C45" i="1"/>
  <c r="E45" i="1"/>
  <c r="D45" i="1"/>
  <c r="F45" i="1"/>
  <c r="G45" i="1"/>
  <c r="H45" i="1"/>
  <c r="H46" i="1"/>
  <c r="C38" i="1"/>
  <c r="I41" i="1"/>
  <c r="I42" i="1"/>
  <c r="I43" i="1"/>
  <c r="I44" i="1"/>
  <c r="I45" i="1"/>
  <c r="I46" i="1"/>
  <c r="H48" i="1"/>
  <c r="H51" i="1"/>
  <c r="J48" i="1"/>
  <c r="M41" i="1"/>
  <c r="M40" i="1"/>
  <c r="M39" i="1"/>
  <c r="H49" i="1"/>
  <c r="G7" i="1"/>
  <c r="H7" i="1"/>
  <c r="G8" i="1"/>
  <c r="H8" i="1"/>
  <c r="H9" i="1"/>
  <c r="I9" i="1"/>
  <c r="I11" i="1"/>
  <c r="I12" i="1"/>
  <c r="J7" i="1"/>
  <c r="J9" i="1"/>
  <c r="J8" i="1"/>
  <c r="J42" i="1"/>
  <c r="J43" i="1"/>
  <c r="J44" i="1"/>
  <c r="J45" i="1"/>
  <c r="J46" i="1"/>
  <c r="J41" i="1"/>
  <c r="D11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G7" i="2"/>
  <c r="H2" i="2"/>
  <c r="H3" i="2"/>
  <c r="H5" i="2"/>
  <c r="H6" i="2"/>
  <c r="H7" i="2"/>
  <c r="G10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>
  <authors>
    <author>jdekkers</author>
  </authors>
  <commentList>
    <comment ref="H41" authorId="0">
      <text>
        <r>
          <rPr>
            <b/>
            <sz val="8"/>
            <color indexed="81"/>
            <rFont val="Tahoma"/>
          </rPr>
          <t>jdekkers:</t>
        </r>
        <r>
          <rPr>
            <sz val="8"/>
            <color indexed="81"/>
            <rFont val="Tahoma"/>
          </rPr>
          <t xml:space="preserve">
sum of genetic superiority of SS selection AND genetic superiority from pre-selection of young bulls</t>
        </r>
      </text>
    </comment>
    <comment ref="B42" authorId="0">
      <text>
        <r>
          <rPr>
            <b/>
            <sz val="8"/>
            <color indexed="81"/>
            <rFont val="Tahoma"/>
          </rPr>
          <t>jdekkers:</t>
        </r>
        <r>
          <rPr>
            <sz val="8"/>
            <color indexed="81"/>
            <rFont val="Tahoma"/>
          </rPr>
          <t xml:space="preserve">
progeny-tested sires of dams</t>
        </r>
      </text>
    </comment>
    <comment ref="H42" authorId="0">
      <text>
        <r>
          <rPr>
            <b/>
            <sz val="8"/>
            <color indexed="81"/>
            <rFont val="Tahoma"/>
          </rPr>
          <t>jdekkers:</t>
        </r>
        <r>
          <rPr>
            <sz val="8"/>
            <color indexed="81"/>
            <rFont val="Tahoma"/>
          </rPr>
          <t xml:space="preserve">
sum of genetic superiority of SS selection AND genetic superiority from pre-selection of young bulls</t>
        </r>
      </text>
    </comment>
    <comment ref="H43" authorId="0">
      <text>
        <r>
          <rPr>
            <b/>
            <sz val="8"/>
            <color indexed="81"/>
            <rFont val="Tahoma"/>
          </rPr>
          <t>jdekkers:</t>
        </r>
        <r>
          <rPr>
            <sz val="8"/>
            <color indexed="81"/>
            <rFont val="Tahoma"/>
          </rPr>
          <t xml:space="preserve">
= genetic superiority achieved from pre-selection of young bulls</t>
        </r>
      </text>
    </comment>
  </commentList>
</comments>
</file>

<file path=xl/sharedStrings.xml><?xml version="1.0" encoding="utf-8"?>
<sst xmlns="http://schemas.openxmlformats.org/spreadsheetml/2006/main" count="170" uniqueCount="100">
  <si>
    <t>selection path</t>
  </si>
  <si>
    <t>SS</t>
  </si>
  <si>
    <t>SD</t>
  </si>
  <si>
    <t>DS</t>
  </si>
  <si>
    <t>DD</t>
  </si>
  <si>
    <t>accuracy</t>
  </si>
  <si>
    <t>gen interval</t>
  </si>
  <si>
    <t>% contrib</t>
  </si>
  <si>
    <t>sum</t>
  </si>
  <si>
    <t>YB</t>
  </si>
  <si>
    <t>population size</t>
  </si>
  <si>
    <t>% YB testing</t>
  </si>
  <si>
    <t>% MPC</t>
  </si>
  <si>
    <t>no YB tested</t>
  </si>
  <si>
    <t>selected fraction</t>
  </si>
  <si>
    <t>no proven bulls</t>
  </si>
  <si>
    <t xml:space="preserve"> </t>
  </si>
  <si>
    <t>replacement rate</t>
  </si>
  <si>
    <t>no needed</t>
  </si>
  <si>
    <t>No available</t>
  </si>
  <si>
    <t>sel intensity</t>
  </si>
  <si>
    <t>sint*accur</t>
  </si>
  <si>
    <t>base</t>
  </si>
  <si>
    <t>alternative</t>
  </si>
  <si>
    <t>prog_size</t>
  </si>
  <si>
    <t>gen int sires 6</t>
  </si>
  <si>
    <t>gen int cows 4</t>
  </si>
  <si>
    <t>dG</t>
  </si>
  <si>
    <t>L-males</t>
  </si>
  <si>
    <t>Lfemales</t>
  </si>
  <si>
    <t>Calculating Asymptotic genetic gain for a 4-path progeny testing program in dairy cattle</t>
  </si>
  <si>
    <t>Input parameters:</t>
  </si>
  <si>
    <t>Cow population size</t>
  </si>
  <si>
    <t>% of cows on milk recording</t>
  </si>
  <si>
    <t>Trait heritability</t>
  </si>
  <si>
    <t>Single trait selection, Bulls evaluated based on progeny test, cows based on single lactation record</t>
  </si>
  <si>
    <t>Genetic standard deviation</t>
  </si>
  <si>
    <t># progeny tested bulls selected each year as sires of sons</t>
  </si>
  <si>
    <t>Age of young bulls when semen used for progeny testing</t>
  </si>
  <si>
    <t>Gestation period</t>
  </si>
  <si>
    <t>* selection for characteristics other than the trait under selection assumed uncorrelated</t>
  </si>
  <si>
    <t>Number</t>
  </si>
  <si>
    <t>selected</t>
  </si>
  <si>
    <t>available</t>
  </si>
  <si>
    <t>Fraction</t>
  </si>
  <si>
    <t>Selection</t>
  </si>
  <si>
    <t>intensity</t>
  </si>
  <si>
    <t>Genetic</t>
  </si>
  <si>
    <t>superiority</t>
  </si>
  <si>
    <t>Generation</t>
  </si>
  <si>
    <t>interval</t>
  </si>
  <si>
    <t>Percent</t>
  </si>
  <si>
    <t>contribution</t>
  </si>
  <si>
    <t>Fraction of cows suitable for selection as dam of sons*</t>
  </si>
  <si>
    <t>Fraction of cows suitable for selection as dam of daughters*</t>
  </si>
  <si>
    <t>SELECTION PATH</t>
  </si>
  <si>
    <t>Cow replacement rate</t>
  </si>
  <si>
    <t>Average age of dams of daughters at selection</t>
  </si>
  <si>
    <t>Average age of sires of sons at selection</t>
  </si>
  <si>
    <t>Average age of dams of sons at selection</t>
  </si>
  <si>
    <t>SUM</t>
  </si>
  <si>
    <t>Green cells can be changed</t>
  </si>
  <si>
    <t>Fraction of young bulls suitable for progeny testing*</t>
  </si>
  <si>
    <t xml:space="preserve">          Genetic gain per year =</t>
  </si>
  <si>
    <t>CALCULATING ASYMPTOTIC RESPONSE TO SELECTION</t>
  </si>
  <si>
    <t>Calculating Asymptotic genetic gain for a 2-path program</t>
  </si>
  <si>
    <t>Single trait selection</t>
  </si>
  <si>
    <t>Sires</t>
  </si>
  <si>
    <t>Dams</t>
  </si>
  <si>
    <t>Genetic standard deviation =</t>
  </si>
  <si>
    <t>genetic s.d</t>
  </si>
  <si>
    <t># doses of semen sold per marketed progeny tested bull</t>
  </si>
  <si>
    <t>Average # doses needed per cow</t>
  </si>
  <si>
    <t>% of milk-recorded cows inseminated with young bull semen</t>
  </si>
  <si>
    <t xml:space="preserve"> =&gt; # AI bulls needed =</t>
  </si>
  <si>
    <t xml:space="preserve"> =&gt; young bulls tested =</t>
  </si>
  <si>
    <t>Progeny group size for young bulls</t>
  </si>
  <si>
    <t>** pre-selection based on genetic markers or other indicators traits</t>
  </si>
  <si>
    <t>Fraction of young bulls pre-selected**  (1 = no pre-selection)</t>
  </si>
  <si>
    <t>Probability for young bull mating to result in daughter record</t>
  </si>
  <si>
    <t>Average age of AI sires of daughters at selection</t>
  </si>
  <si>
    <t># live daughters per dam of daughter (&gt;.5 with MOET)</t>
  </si>
  <si>
    <t># live sons per dam of sons (&gt;.5 with MOET)</t>
  </si>
  <si>
    <r>
      <t xml:space="preserve">Accuracy of pre-selection of young bulls**  </t>
    </r>
    <r>
      <rPr>
        <sz val="12"/>
        <rFont val="Arial"/>
        <family val="2"/>
      </rPr>
      <t>0 = random</t>
    </r>
  </si>
  <si>
    <t>SUM***</t>
  </si>
  <si>
    <t xml:space="preserve">*** Gen. sup. YB and SD weighted by use; Gen. Sup. YB due to pre-selection added to gen. Sup. SS and SD </t>
  </si>
  <si>
    <t>Sires of Sons</t>
  </si>
  <si>
    <t>Sires of daughters</t>
  </si>
  <si>
    <t>Young bulls</t>
  </si>
  <si>
    <t>Dams of Sons</t>
  </si>
  <si>
    <t>Dams of daughters</t>
  </si>
  <si>
    <r>
      <t>&lt;</t>
    </r>
    <r>
      <rPr>
        <b/>
        <sz val="16"/>
        <rFont val="Arial"/>
        <family val="2"/>
      </rPr>
      <t>--</t>
    </r>
    <r>
      <rPr>
        <sz val="12"/>
        <rFont val="Arial"/>
        <family val="2"/>
      </rPr>
      <t xml:space="preserve"> Assisted Selection</t>
    </r>
  </si>
  <si>
    <r>
      <t>&lt;</t>
    </r>
    <r>
      <rPr>
        <b/>
        <sz val="16"/>
        <rFont val="Arial"/>
        <family val="2"/>
      </rPr>
      <t>--</t>
    </r>
    <r>
      <rPr>
        <sz val="12"/>
        <rFont val="Arial"/>
        <family val="2"/>
      </rPr>
      <t xml:space="preserve"> Modify for Marker-</t>
    </r>
  </si>
  <si>
    <r>
      <t>&lt;</t>
    </r>
    <r>
      <rPr>
        <b/>
        <sz val="16"/>
        <rFont val="Arial"/>
        <family val="2"/>
      </rPr>
      <t>--</t>
    </r>
    <r>
      <rPr>
        <sz val="12"/>
        <rFont val="Arial"/>
        <family val="2"/>
      </rPr>
      <t xml:space="preserve"> MOET of bull dams</t>
    </r>
  </si>
  <si>
    <r>
      <t>&lt;</t>
    </r>
    <r>
      <rPr>
        <b/>
        <sz val="16"/>
        <rFont val="Arial"/>
        <family val="2"/>
      </rPr>
      <t>--</t>
    </r>
    <r>
      <rPr>
        <sz val="12"/>
        <rFont val="Arial"/>
        <family val="2"/>
      </rPr>
      <t xml:space="preserve"> MOET dams of females</t>
    </r>
  </si>
  <si>
    <t>=sqrt(.5p) for within-family selection on QTL that explains fraction p of genetic variance</t>
  </si>
  <si>
    <t>p</t>
  </si>
  <si>
    <t>Base response =</t>
  </si>
  <si>
    <t>Extra response =</t>
  </si>
  <si>
    <t>BASE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</si>
</sst>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19" x14ac:knownFonts="1"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2"/>
      <color indexed="12"/>
      <name val="Arial"/>
      <family val="2"/>
    </font>
    <font>
      <b/>
      <sz val="14"/>
      <color indexed="18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darkTrellis">
        <bgColor indexed="9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7">
    <xf numFmtId="0" fontId="0" fillId="0" borderId="0" xfId="0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5" fillId="3" borderId="0" xfId="0" applyFont="1" applyFill="1"/>
    <xf numFmtId="2" fontId="5" fillId="3" borderId="0" xfId="0" applyNumberFormat="1" applyFont="1" applyFill="1"/>
    <xf numFmtId="0" fontId="5" fillId="4" borderId="3" xfId="0" applyFont="1" applyFill="1" applyBorder="1"/>
    <xf numFmtId="1" fontId="4" fillId="4" borderId="4" xfId="0" applyNumberFormat="1" applyFont="1" applyFill="1" applyBorder="1" applyAlignment="1">
      <alignment horizontal="center"/>
    </xf>
    <xf numFmtId="0" fontId="5" fillId="5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2" fontId="4" fillId="6" borderId="5" xfId="0" applyNumberFormat="1" applyFont="1" applyFill="1" applyBorder="1"/>
    <xf numFmtId="0" fontId="4" fillId="6" borderId="6" xfId="0" applyFont="1" applyFill="1" applyBorder="1"/>
    <xf numFmtId="2" fontId="4" fillId="6" borderId="6" xfId="0" applyNumberFormat="1" applyFont="1" applyFill="1" applyBorder="1"/>
    <xf numFmtId="165" fontId="4" fillId="6" borderId="7" xfId="0" applyNumberFormat="1" applyFont="1" applyFill="1" applyBorder="1"/>
    <xf numFmtId="2" fontId="4" fillId="6" borderId="8" xfId="0" applyNumberFormat="1" applyFont="1" applyFill="1" applyBorder="1"/>
    <xf numFmtId="0" fontId="4" fillId="6" borderId="0" xfId="0" applyFont="1" applyFill="1" applyBorder="1"/>
    <xf numFmtId="2" fontId="4" fillId="6" borderId="0" xfId="0" applyNumberFormat="1" applyFont="1" applyFill="1" applyBorder="1"/>
    <xf numFmtId="165" fontId="4" fillId="6" borderId="1" xfId="0" applyNumberFormat="1" applyFont="1" applyFill="1" applyBorder="1"/>
    <xf numFmtId="165" fontId="4" fillId="6" borderId="0" xfId="0" applyNumberFormat="1" applyFont="1" applyFill="1" applyBorder="1"/>
    <xf numFmtId="2" fontId="4" fillId="6" borderId="9" xfId="0" applyNumberFormat="1" applyFont="1" applyFill="1" applyBorder="1"/>
    <xf numFmtId="0" fontId="4" fillId="6" borderId="10" xfId="0" applyFont="1" applyFill="1" applyBorder="1"/>
    <xf numFmtId="2" fontId="4" fillId="6" borderId="10" xfId="0" applyNumberFormat="1" applyFont="1" applyFill="1" applyBorder="1"/>
    <xf numFmtId="165" fontId="4" fillId="6" borderId="2" xfId="0" applyNumberFormat="1" applyFont="1" applyFill="1" applyBorder="1"/>
    <xf numFmtId="0" fontId="6" fillId="7" borderId="11" xfId="0" applyFont="1" applyFill="1" applyBorder="1"/>
    <xf numFmtId="0" fontId="5" fillId="7" borderId="3" xfId="0" applyFont="1" applyFill="1" applyBorder="1"/>
    <xf numFmtId="0" fontId="7" fillId="7" borderId="11" xfId="0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0" fontId="5" fillId="8" borderId="0" xfId="0" applyFont="1" applyFill="1"/>
    <xf numFmtId="0" fontId="9" fillId="8" borderId="0" xfId="0" applyFont="1" applyFill="1"/>
    <xf numFmtId="0" fontId="4" fillId="2" borderId="0" xfId="0" applyFont="1" applyFill="1"/>
    <xf numFmtId="0" fontId="5" fillId="0" borderId="0" xfId="0" applyFont="1" applyBorder="1"/>
    <xf numFmtId="0" fontId="5" fillId="0" borderId="10" xfId="0" applyFont="1" applyBorder="1"/>
    <xf numFmtId="165" fontId="7" fillId="7" borderId="7" xfId="0" applyNumberFormat="1" applyFont="1" applyFill="1" applyBorder="1"/>
    <xf numFmtId="0" fontId="4" fillId="4" borderId="3" xfId="0" applyFont="1" applyFill="1" applyBorder="1" applyAlignment="1">
      <alignment horizontal="right"/>
    </xf>
    <xf numFmtId="2" fontId="4" fillId="4" borderId="3" xfId="0" applyNumberFormat="1" applyFont="1" applyFill="1" applyBorder="1"/>
    <xf numFmtId="165" fontId="5" fillId="0" borderId="3" xfId="0" applyNumberFormat="1" applyFont="1" applyBorder="1"/>
    <xf numFmtId="0" fontId="4" fillId="0" borderId="0" xfId="0" applyFont="1" applyBorder="1"/>
    <xf numFmtId="0" fontId="0" fillId="0" borderId="0" xfId="0" applyBorder="1"/>
    <xf numFmtId="0" fontId="5" fillId="9" borderId="12" xfId="0" applyFont="1" applyFill="1" applyBorder="1"/>
    <xf numFmtId="0" fontId="4" fillId="9" borderId="12" xfId="0" applyFont="1" applyFill="1" applyBorder="1"/>
    <xf numFmtId="0" fontId="0" fillId="9" borderId="12" xfId="0" applyFill="1" applyBorder="1"/>
    <xf numFmtId="0" fontId="10" fillId="8" borderId="0" xfId="0" applyFont="1" applyFill="1"/>
    <xf numFmtId="0" fontId="5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4" fillId="6" borderId="13" xfId="0" applyFont="1" applyFill="1" applyBorder="1"/>
    <xf numFmtId="0" fontId="4" fillId="2" borderId="4" xfId="0" applyFont="1" applyFill="1" applyBorder="1"/>
    <xf numFmtId="0" fontId="5" fillId="0" borderId="14" xfId="0" applyFont="1" applyBorder="1"/>
    <xf numFmtId="0" fontId="4" fillId="4" borderId="11" xfId="0" applyFont="1" applyFill="1" applyBorder="1" applyAlignment="1">
      <alignment horizontal="right"/>
    </xf>
    <xf numFmtId="2" fontId="4" fillId="2" borderId="5" xfId="0" applyNumberFormat="1" applyFont="1" applyFill="1" applyBorder="1"/>
    <xf numFmtId="2" fontId="4" fillId="2" borderId="6" xfId="0" applyNumberFormat="1" applyFont="1" applyFill="1" applyBorder="1"/>
    <xf numFmtId="2" fontId="4" fillId="2" borderId="9" xfId="0" applyNumberFormat="1" applyFont="1" applyFill="1" applyBorder="1"/>
    <xf numFmtId="2" fontId="4" fillId="2" borderId="10" xfId="0" applyNumberFormat="1" applyFont="1" applyFill="1" applyBorder="1"/>
    <xf numFmtId="2" fontId="4" fillId="2" borderId="0" xfId="0" applyNumberFormat="1" applyFont="1" applyFill="1" applyBorder="1"/>
    <xf numFmtId="165" fontId="11" fillId="7" borderId="9" xfId="0" applyNumberFormat="1" applyFont="1" applyFill="1" applyBorder="1"/>
    <xf numFmtId="0" fontId="9" fillId="7" borderId="4" xfId="0" applyFont="1" applyFill="1" applyBorder="1"/>
    <xf numFmtId="0" fontId="4" fillId="4" borderId="4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Border="1"/>
    <xf numFmtId="0" fontId="4" fillId="4" borderId="8" xfId="0" quotePrefix="1" applyFont="1" applyFill="1" applyBorder="1"/>
    <xf numFmtId="0" fontId="5" fillId="4" borderId="15" xfId="0" applyFont="1" applyFill="1" applyBorder="1"/>
    <xf numFmtId="0" fontId="5" fillId="4" borderId="16" xfId="0" applyFont="1" applyFill="1" applyBorder="1"/>
    <xf numFmtId="0" fontId="5" fillId="4" borderId="17" xfId="0" applyFont="1" applyFill="1" applyBorder="1"/>
    <xf numFmtId="1" fontId="4" fillId="6" borderId="0" xfId="0" applyNumberFormat="1" applyFont="1" applyFill="1" applyBorder="1"/>
    <xf numFmtId="0" fontId="5" fillId="6" borderId="3" xfId="0" applyFont="1" applyFill="1" applyBorder="1"/>
    <xf numFmtId="0" fontId="4" fillId="6" borderId="18" xfId="0" applyFont="1" applyFill="1" applyBorder="1"/>
    <xf numFmtId="0" fontId="4" fillId="6" borderId="16" xfId="0" applyFont="1" applyFill="1" applyBorder="1"/>
    <xf numFmtId="0" fontId="4" fillId="6" borderId="15" xfId="0" applyFont="1" applyFill="1" applyBorder="1"/>
    <xf numFmtId="0" fontId="4" fillId="6" borderId="3" xfId="0" applyFont="1" applyFill="1" applyBorder="1"/>
    <xf numFmtId="0" fontId="4" fillId="6" borderId="11" xfId="0" applyFont="1" applyFill="1" applyBorder="1"/>
    <xf numFmtId="0" fontId="4" fillId="6" borderId="8" xfId="0" applyFont="1" applyFill="1" applyBorder="1"/>
    <xf numFmtId="0" fontId="5" fillId="6" borderId="0" xfId="0" applyFont="1" applyFill="1" applyBorder="1"/>
    <xf numFmtId="1" fontId="4" fillId="6" borderId="6" xfId="0" applyNumberFormat="1" applyFont="1" applyFill="1" applyBorder="1"/>
    <xf numFmtId="0" fontId="4" fillId="5" borderId="0" xfId="0" applyFont="1" applyFill="1" applyAlignment="1">
      <alignment horizontal="center"/>
    </xf>
    <xf numFmtId="0" fontId="4" fillId="6" borderId="14" xfId="0" applyFont="1" applyFill="1" applyBorder="1"/>
    <xf numFmtId="0" fontId="4" fillId="6" borderId="2" xfId="0" applyFont="1" applyFill="1" applyBorder="1"/>
    <xf numFmtId="0" fontId="4" fillId="6" borderId="1" xfId="0" applyFont="1" applyFill="1" applyBorder="1"/>
    <xf numFmtId="0" fontId="4" fillId="6" borderId="4" xfId="0" applyFont="1" applyFill="1" applyBorder="1"/>
    <xf numFmtId="0" fontId="8" fillId="7" borderId="2" xfId="0" applyFont="1" applyFill="1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2" xfId="0" applyFont="1" applyBorder="1"/>
    <xf numFmtId="2" fontId="4" fillId="2" borderId="22" xfId="0" applyNumberFormat="1" applyFont="1" applyFill="1" applyBorder="1"/>
    <xf numFmtId="0" fontId="13" fillId="5" borderId="0" xfId="0" applyFont="1" applyFill="1" applyAlignment="1">
      <alignment horizontal="right"/>
    </xf>
    <xf numFmtId="0" fontId="13" fillId="5" borderId="0" xfId="0" applyFont="1" applyFill="1" applyAlignment="1">
      <alignment horizontal="center"/>
    </xf>
    <xf numFmtId="2" fontId="13" fillId="6" borderId="8" xfId="0" applyNumberFormat="1" applyFont="1" applyFill="1" applyBorder="1"/>
    <xf numFmtId="1" fontId="13" fillId="6" borderId="0" xfId="0" applyNumberFormat="1" applyFont="1" applyFill="1" applyBorder="1"/>
    <xf numFmtId="2" fontId="13" fillId="6" borderId="0" xfId="0" applyNumberFormat="1" applyFont="1" applyFill="1" applyBorder="1"/>
    <xf numFmtId="165" fontId="13" fillId="6" borderId="1" xfId="0" applyNumberFormat="1" applyFont="1" applyFill="1" applyBorder="1"/>
    <xf numFmtId="0" fontId="4" fillId="2" borderId="23" xfId="0" applyFont="1" applyFill="1" applyBorder="1"/>
    <xf numFmtId="0" fontId="4" fillId="0" borderId="24" xfId="0" applyFont="1" applyBorder="1"/>
    <xf numFmtId="0" fontId="0" fillId="0" borderId="25" xfId="0" applyBorder="1"/>
    <xf numFmtId="0" fontId="4" fillId="2" borderId="22" xfId="0" applyFont="1" applyFill="1" applyBorder="1"/>
    <xf numFmtId="0" fontId="2" fillId="0" borderId="0" xfId="0" quotePrefix="1" applyFont="1"/>
    <xf numFmtId="0" fontId="2" fillId="0" borderId="5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8" fillId="7" borderId="6" xfId="0" applyFont="1" applyFill="1" applyBorder="1"/>
    <xf numFmtId="0" fontId="5" fillId="2" borderId="24" xfId="0" applyFont="1" applyFill="1" applyBorder="1"/>
    <xf numFmtId="0" fontId="0" fillId="2" borderId="25" xfId="0" applyFill="1" applyBorder="1"/>
    <xf numFmtId="0" fontId="4" fillId="2" borderId="26" xfId="0" applyFont="1" applyFill="1" applyBorder="1" applyAlignment="1">
      <alignment horizontal="left"/>
    </xf>
    <xf numFmtId="0" fontId="13" fillId="2" borderId="0" xfId="0" applyFont="1" applyFill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2" fontId="4" fillId="2" borderId="27" xfId="0" applyNumberFormat="1" applyFont="1" applyFill="1" applyBorder="1"/>
    <xf numFmtId="0" fontId="16" fillId="2" borderId="4" xfId="0" applyFont="1" applyFill="1" applyBorder="1"/>
    <xf numFmtId="0" fontId="16" fillId="2" borderId="11" xfId="0" applyFont="1" applyFill="1" applyBorder="1"/>
    <xf numFmtId="0" fontId="5" fillId="10" borderId="0" xfId="0" applyFont="1" applyFill="1"/>
    <xf numFmtId="165" fontId="5" fillId="10" borderId="0" xfId="0" applyNumberFormat="1" applyFont="1" applyFill="1"/>
    <xf numFmtId="0" fontId="4" fillId="10" borderId="0" xfId="0" applyFont="1" applyFill="1"/>
    <xf numFmtId="2" fontId="4" fillId="10" borderId="8" xfId="0" applyNumberFormat="1" applyFont="1" applyFill="1" applyBorder="1"/>
    <xf numFmtId="1" fontId="4" fillId="10" borderId="0" xfId="0" applyNumberFormat="1" applyFont="1" applyFill="1" applyBorder="1"/>
    <xf numFmtId="2" fontId="4" fillId="10" borderId="0" xfId="0" applyNumberFormat="1" applyFont="1" applyFill="1" applyBorder="1"/>
    <xf numFmtId="165" fontId="4" fillId="10" borderId="1" xfId="0" applyNumberFormat="1" applyFont="1" applyFill="1" applyBorder="1"/>
    <xf numFmtId="0" fontId="16" fillId="10" borderId="0" xfId="0" applyFont="1" applyFill="1"/>
    <xf numFmtId="2" fontId="16" fillId="10" borderId="8" xfId="0" applyNumberFormat="1" applyFont="1" applyFill="1" applyBorder="1"/>
    <xf numFmtId="1" fontId="16" fillId="10" borderId="0" xfId="0" applyNumberFormat="1" applyFont="1" applyFill="1" applyBorder="1"/>
    <xf numFmtId="2" fontId="16" fillId="10" borderId="0" xfId="0" applyNumberFormat="1" applyFont="1" applyFill="1" applyBorder="1"/>
    <xf numFmtId="165" fontId="16" fillId="10" borderId="1" xfId="0" applyNumberFormat="1" applyFont="1" applyFill="1" applyBorder="1"/>
    <xf numFmtId="2" fontId="4" fillId="10" borderId="5" xfId="0" applyNumberFormat="1" applyFont="1" applyFill="1" applyBorder="1"/>
    <xf numFmtId="0" fontId="4" fillId="10" borderId="6" xfId="0" applyFont="1" applyFill="1" applyBorder="1"/>
    <xf numFmtId="1" fontId="4" fillId="10" borderId="6" xfId="0" applyNumberFormat="1" applyFont="1" applyFill="1" applyBorder="1"/>
    <xf numFmtId="2" fontId="4" fillId="10" borderId="6" xfId="0" applyNumberFormat="1" applyFont="1" applyFill="1" applyBorder="1"/>
    <xf numFmtId="165" fontId="4" fillId="10" borderId="7" xfId="0" applyNumberFormat="1" applyFont="1" applyFill="1" applyBorder="1"/>
    <xf numFmtId="0" fontId="4" fillId="10" borderId="0" xfId="0" applyFont="1" applyFill="1" applyBorder="1"/>
    <xf numFmtId="165" fontId="4" fillId="10" borderId="0" xfId="0" applyNumberFormat="1" applyFont="1" applyFill="1" applyBorder="1"/>
    <xf numFmtId="0" fontId="4" fillId="10" borderId="9" xfId="0" applyFont="1" applyFill="1" applyBorder="1"/>
    <xf numFmtId="0" fontId="4" fillId="10" borderId="10" xfId="0" applyFont="1" applyFill="1" applyBorder="1"/>
    <xf numFmtId="2" fontId="4" fillId="10" borderId="10" xfId="0" applyNumberFormat="1" applyFont="1" applyFill="1" applyBorder="1"/>
    <xf numFmtId="165" fontId="4" fillId="10" borderId="2" xfId="0" applyNumberFormat="1" applyFont="1" applyFill="1" applyBorder="1"/>
    <xf numFmtId="165" fontId="4" fillId="1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203200</xdr:rowOff>
    </xdr:from>
    <xdr:to>
      <xdr:col>10</xdr:col>
      <xdr:colOff>939800</xdr:colOff>
      <xdr:row>49</xdr:row>
      <xdr:rowOff>12700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2700" y="7632700"/>
          <a:ext cx="14516100" cy="21463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0</xdr:colOff>
      <xdr:row>1</xdr:row>
      <xdr:rowOff>12700</xdr:rowOff>
    </xdr:from>
    <xdr:to>
      <xdr:col>10</xdr:col>
      <xdr:colOff>177800</xdr:colOff>
      <xdr:row>12</xdr:row>
      <xdr:rowOff>101600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308600" y="241300"/>
          <a:ext cx="8458200" cy="22606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4"/>
  <sheetViews>
    <sheetView tabSelected="1" topLeftCell="A34" zoomScale="150" zoomScaleNormal="150" zoomScalePageLayoutView="150" workbookViewId="0">
      <selection activeCell="D55" sqref="D55"/>
    </sheetView>
  </sheetViews>
  <sheetFormatPr baseColWidth="10" defaultColWidth="8.83203125" defaultRowHeight="15" x14ac:dyDescent="0"/>
  <cols>
    <col min="1" max="1" width="65.1640625" style="8" customWidth="1"/>
    <col min="2" max="2" width="4.5" style="8" customWidth="1"/>
    <col min="3" max="6" width="12.6640625" style="8" customWidth="1"/>
    <col min="7" max="7" width="15.6640625" style="8" customWidth="1"/>
    <col min="8" max="8" width="15" style="8" customWidth="1"/>
    <col min="9" max="9" width="13.1640625" style="8" customWidth="1"/>
    <col min="10" max="10" width="14.1640625" style="8" customWidth="1"/>
    <col min="11" max="14" width="12.6640625" customWidth="1"/>
  </cols>
  <sheetData>
    <row r="1" spans="1:22" ht="18" thickBot="1">
      <c r="A1" s="50" t="s">
        <v>65</v>
      </c>
      <c r="B1" s="50"/>
      <c r="C1" s="36"/>
      <c r="E1" s="33" t="s">
        <v>64</v>
      </c>
      <c r="F1" s="34"/>
      <c r="G1" s="110"/>
      <c r="H1" s="110"/>
      <c r="I1" s="110"/>
      <c r="J1" s="35"/>
    </row>
    <row r="2" spans="1:22" ht="16" thickBot="1">
      <c r="A2" s="8" t="s">
        <v>66</v>
      </c>
      <c r="G2" s="99" t="s">
        <v>61</v>
      </c>
      <c r="H2" s="111"/>
      <c r="I2" s="112"/>
      <c r="J2"/>
    </row>
    <row r="3" spans="1:22" ht="16" thickBot="1">
      <c r="B3" s="38"/>
      <c r="C3" s="7" t="s">
        <v>69</v>
      </c>
      <c r="F3" s="113">
        <v>1.97</v>
      </c>
    </row>
    <row r="5" spans="1:22">
      <c r="C5" s="15"/>
      <c r="D5" s="16" t="s">
        <v>55</v>
      </c>
      <c r="E5" s="17" t="s">
        <v>45</v>
      </c>
      <c r="F5" s="17" t="s">
        <v>44</v>
      </c>
      <c r="G5" s="17" t="s">
        <v>45</v>
      </c>
      <c r="H5" s="17" t="s">
        <v>47</v>
      </c>
      <c r="I5" s="17" t="s">
        <v>49</v>
      </c>
      <c r="J5" s="17" t="s">
        <v>51</v>
      </c>
    </row>
    <row r="6" spans="1:22">
      <c r="D6" s="16"/>
      <c r="E6" s="17" t="s">
        <v>5</v>
      </c>
      <c r="F6" s="17" t="s">
        <v>42</v>
      </c>
      <c r="G6" s="17" t="s">
        <v>46</v>
      </c>
      <c r="H6" s="17" t="s">
        <v>48</v>
      </c>
      <c r="I6" s="17" t="s">
        <v>50</v>
      </c>
      <c r="J6" s="17" t="s">
        <v>52</v>
      </c>
    </row>
    <row r="7" spans="1:22">
      <c r="D7" s="16" t="s">
        <v>67</v>
      </c>
      <c r="E7" s="58">
        <v>0.55000000000000004</v>
      </c>
      <c r="F7" s="59">
        <v>0.05</v>
      </c>
      <c r="G7" s="20">
        <f>IF(ISNUMBER(1/(((2*PI())^0.5)*1)*EXP(-0.5*NORMSINV(1-F7)^2)/F7),1/(((2*PI())^0.5)*1)*EXP(-0.5*NORMSINV(1-F7)^2)/F7,0)</f>
        <v>2.0627128075074301</v>
      </c>
      <c r="H7" s="20">
        <f>E7*G7*F3</f>
        <v>2.2349493269343008</v>
      </c>
      <c r="I7" s="59">
        <v>1.17</v>
      </c>
      <c r="J7" s="21">
        <f>H7/H9</f>
        <v>0.76209998852543814</v>
      </c>
    </row>
    <row r="8" spans="1:22">
      <c r="D8" s="16" t="s">
        <v>68</v>
      </c>
      <c r="E8" s="60">
        <v>0.55000000000000004</v>
      </c>
      <c r="F8" s="61">
        <v>0.6</v>
      </c>
      <c r="G8" s="24">
        <f>IF(ISNUMBER(1/(((2*PI())^0.5)*1)*EXP(-0.5*NORMSINV(1-F8)^2)/F8),1/(((2*PI())^0.5)*1)*EXP(-0.5*NORMSINV(1-F8)^2)/F8,0)</f>
        <v>0.64390422249476753</v>
      </c>
      <c r="H8" s="24">
        <f>E8*G8*F3</f>
        <v>0.69767022507308063</v>
      </c>
      <c r="I8" s="62">
        <v>1.17</v>
      </c>
      <c r="J8" s="25">
        <f>H8/H9</f>
        <v>0.23790001147456191</v>
      </c>
      <c r="K8" s="8"/>
      <c r="L8" s="8"/>
    </row>
    <row r="9" spans="1:22">
      <c r="F9" s="12"/>
      <c r="G9" s="57" t="s">
        <v>60</v>
      </c>
      <c r="H9" s="43">
        <f>H7+H8</f>
        <v>2.9326195520073814</v>
      </c>
      <c r="I9" s="43">
        <f>I7+I8</f>
        <v>2.34</v>
      </c>
      <c r="J9" s="44">
        <f>H9/H9</f>
        <v>1</v>
      </c>
      <c r="K9" s="8"/>
      <c r="L9" s="8"/>
    </row>
    <row r="10" spans="1:22">
      <c r="I10" s="40"/>
      <c r="K10" s="8"/>
      <c r="L10" s="8"/>
    </row>
    <row r="11" spans="1:22" ht="17">
      <c r="F11" s="31" t="s">
        <v>63</v>
      </c>
      <c r="G11" s="32"/>
      <c r="H11" s="32"/>
      <c r="I11" s="41">
        <f>H9/I9</f>
        <v>1.2532562188065735</v>
      </c>
      <c r="L11" s="8"/>
    </row>
    <row r="12" spans="1:22" ht="17">
      <c r="I12" s="63">
        <f>+I11/F3</f>
        <v>0.63617066944496115</v>
      </c>
      <c r="J12" s="64" t="s">
        <v>70</v>
      </c>
      <c r="L12" s="8"/>
    </row>
    <row r="13" spans="1:22">
      <c r="L13" s="8"/>
    </row>
    <row r="14" spans="1:22"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s="49" customFormat="1" ht="16" thickBot="1">
      <c r="A15" s="47"/>
      <c r="B15" s="47"/>
      <c r="C15" s="47"/>
      <c r="D15" s="47"/>
      <c r="E15" s="47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2" s="53" customFormat="1">
      <c r="A16" s="51"/>
      <c r="B16" s="51"/>
      <c r="C16" s="51"/>
      <c r="D16" s="51"/>
      <c r="E16" s="51"/>
      <c r="F16" s="51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46" customFormat="1">
      <c r="A17" s="39"/>
      <c r="B17" s="39"/>
      <c r="C17" s="39"/>
      <c r="D17" s="39"/>
      <c r="E17" s="39"/>
      <c r="F17" s="39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spans="1:22" s="5" customFormat="1" ht="17">
      <c r="A18" s="50" t="s">
        <v>30</v>
      </c>
      <c r="B18" s="50"/>
      <c r="C18" s="37"/>
      <c r="D18" s="37"/>
      <c r="E18" s="37"/>
      <c r="F18" s="37"/>
      <c r="G18" s="7"/>
      <c r="H18" s="7"/>
      <c r="I18" s="7"/>
      <c r="J18" s="7"/>
    </row>
    <row r="19" spans="1:22">
      <c r="A19" s="8" t="s">
        <v>35</v>
      </c>
    </row>
    <row r="20" spans="1:22">
      <c r="A20" s="114" t="s">
        <v>61</v>
      </c>
      <c r="B20" s="38"/>
    </row>
    <row r="21" spans="1:22" ht="16" thickBot="1">
      <c r="A21" s="54" t="s">
        <v>31</v>
      </c>
      <c r="B21" s="83"/>
      <c r="C21" s="56"/>
    </row>
    <row r="22" spans="1:22">
      <c r="A22" s="75" t="s">
        <v>34</v>
      </c>
      <c r="B22" s="84"/>
      <c r="C22" s="10">
        <v>0.3</v>
      </c>
    </row>
    <row r="23" spans="1:22">
      <c r="A23" s="76" t="s">
        <v>36</v>
      </c>
      <c r="B23" s="85"/>
      <c r="C23" s="9">
        <v>500</v>
      </c>
    </row>
    <row r="24" spans="1:22">
      <c r="A24" s="74" t="s">
        <v>32</v>
      </c>
      <c r="B24" s="86"/>
      <c r="C24" s="55">
        <v>1000000</v>
      </c>
      <c r="D24" s="71"/>
    </row>
    <row r="25" spans="1:22">
      <c r="A25" s="76" t="s">
        <v>33</v>
      </c>
      <c r="B25" s="23"/>
      <c r="C25" s="67">
        <v>50</v>
      </c>
      <c r="D25" s="69"/>
    </row>
    <row r="26" spans="1:22">
      <c r="A26" s="74" t="s">
        <v>73</v>
      </c>
      <c r="B26" s="86"/>
      <c r="C26" s="118">
        <v>20</v>
      </c>
      <c r="D26" s="68" t="s">
        <v>75</v>
      </c>
      <c r="E26" s="13"/>
      <c r="F26" s="14">
        <f>INT((C25/100)*C24*(C26/100)*C27/C28+1)</f>
        <v>313</v>
      </c>
    </row>
    <row r="27" spans="1:22">
      <c r="A27" s="74" t="s">
        <v>79</v>
      </c>
      <c r="B27" s="77"/>
      <c r="C27" s="66">
        <v>0.25</v>
      </c>
      <c r="D27" s="69"/>
    </row>
    <row r="28" spans="1:22">
      <c r="A28" s="76" t="s">
        <v>76</v>
      </c>
      <c r="B28" s="79"/>
      <c r="C28" s="119">
        <v>80</v>
      </c>
      <c r="D28" s="70"/>
    </row>
    <row r="29" spans="1:22">
      <c r="A29" s="74" t="s">
        <v>71</v>
      </c>
      <c r="B29" s="85"/>
      <c r="C29" s="9">
        <v>50000</v>
      </c>
      <c r="D29" s="68" t="s">
        <v>74</v>
      </c>
      <c r="E29" s="13"/>
      <c r="F29" s="65">
        <f>+INT((C24*(1-C25/100)+C24*(C25/100)*(1-C26/100))*C30/C29+1)</f>
        <v>37</v>
      </c>
      <c r="G29" s="6" t="s">
        <v>40</v>
      </c>
    </row>
    <row r="30" spans="1:22">
      <c r="A30" s="74" t="s">
        <v>72</v>
      </c>
      <c r="B30" s="77"/>
      <c r="C30" s="66">
        <v>2</v>
      </c>
      <c r="D30" s="70"/>
      <c r="G30" s="6" t="s">
        <v>77</v>
      </c>
    </row>
    <row r="31" spans="1:22">
      <c r="A31" s="76" t="s">
        <v>37</v>
      </c>
      <c r="B31" s="85"/>
      <c r="C31" s="9">
        <v>5</v>
      </c>
      <c r="D31" s="78" t="s">
        <v>54</v>
      </c>
      <c r="E31" s="73"/>
      <c r="F31" s="73"/>
      <c r="G31" s="73"/>
      <c r="H31" s="73"/>
      <c r="I31" s="55">
        <v>0.7</v>
      </c>
    </row>
    <row r="32" spans="1:22" ht="16" thickBot="1">
      <c r="A32" s="74" t="s">
        <v>56</v>
      </c>
      <c r="B32" s="86"/>
      <c r="C32" s="55">
        <v>0.25</v>
      </c>
      <c r="D32" s="79" t="s">
        <v>53</v>
      </c>
      <c r="E32" s="80"/>
      <c r="F32" s="80"/>
      <c r="G32" s="80"/>
      <c r="H32" s="80"/>
      <c r="I32" s="9">
        <v>0.3</v>
      </c>
    </row>
    <row r="33" spans="1:13" ht="19" thickBot="1">
      <c r="A33" s="74" t="s">
        <v>38</v>
      </c>
      <c r="B33" s="86"/>
      <c r="C33" s="55">
        <v>1.5</v>
      </c>
      <c r="D33" s="78" t="s">
        <v>81</v>
      </c>
      <c r="E33" s="73"/>
      <c r="F33" s="73"/>
      <c r="G33" s="73"/>
      <c r="H33" s="73"/>
      <c r="I33" s="99">
        <v>0.4</v>
      </c>
      <c r="J33" s="100" t="s">
        <v>94</v>
      </c>
      <c r="K33" s="101"/>
      <c r="L33" s="46"/>
    </row>
    <row r="34" spans="1:13" ht="19" thickBot="1">
      <c r="A34" s="74" t="s">
        <v>58</v>
      </c>
      <c r="B34" s="85"/>
      <c r="C34" s="9">
        <v>5.5</v>
      </c>
      <c r="D34" s="23" t="s">
        <v>82</v>
      </c>
      <c r="E34" s="80"/>
      <c r="F34" s="80"/>
      <c r="G34" s="80"/>
      <c r="H34" s="80"/>
      <c r="I34" s="102">
        <v>0.4</v>
      </c>
      <c r="J34" s="91" t="s">
        <v>93</v>
      </c>
      <c r="K34" s="89"/>
    </row>
    <row r="35" spans="1:13" ht="16" thickBot="1">
      <c r="A35" s="76" t="s">
        <v>80</v>
      </c>
      <c r="B35" s="85"/>
      <c r="C35" s="55">
        <v>5.5</v>
      </c>
      <c r="D35" s="78" t="s">
        <v>62</v>
      </c>
      <c r="E35" s="73"/>
      <c r="F35" s="73"/>
      <c r="G35" s="73"/>
      <c r="H35" s="73"/>
      <c r="I35" s="9">
        <v>1</v>
      </c>
    </row>
    <row r="36" spans="1:13" ht="18">
      <c r="A36" s="74" t="s">
        <v>59</v>
      </c>
      <c r="B36" s="85"/>
      <c r="C36" s="9">
        <v>3.5</v>
      </c>
      <c r="D36" s="77" t="s">
        <v>78</v>
      </c>
      <c r="E36" s="80"/>
      <c r="F36" s="80"/>
      <c r="G36" s="80"/>
      <c r="H36" s="80"/>
      <c r="I36" s="117">
        <v>1</v>
      </c>
      <c r="J36" s="90" t="s">
        <v>92</v>
      </c>
      <c r="K36" s="88"/>
    </row>
    <row r="37" spans="1:13" ht="19" thickBot="1">
      <c r="A37" s="74" t="s">
        <v>57</v>
      </c>
      <c r="B37" s="86"/>
      <c r="C37" s="55">
        <v>3.5</v>
      </c>
      <c r="D37" s="77" t="s">
        <v>83</v>
      </c>
      <c r="E37" s="73"/>
      <c r="F37" s="73"/>
      <c r="G37" s="73"/>
      <c r="H37" s="73"/>
      <c r="I37" s="92">
        <v>0</v>
      </c>
      <c r="J37" s="91" t="s">
        <v>91</v>
      </c>
      <c r="K37" s="89"/>
      <c r="L37" s="103" t="s">
        <v>95</v>
      </c>
      <c r="M37" s="5"/>
    </row>
    <row r="38" spans="1:13" ht="17">
      <c r="A38" s="76" t="s">
        <v>39</v>
      </c>
      <c r="B38" s="85"/>
      <c r="C38" s="9">
        <f>9/12</f>
        <v>0.75</v>
      </c>
      <c r="D38" s="33" t="s">
        <v>64</v>
      </c>
      <c r="E38" s="34"/>
      <c r="F38" s="34"/>
      <c r="G38" s="34"/>
      <c r="H38" s="34"/>
      <c r="I38" s="87"/>
      <c r="L38" s="104" t="s">
        <v>96</v>
      </c>
      <c r="M38" s="105" t="s">
        <v>5</v>
      </c>
    </row>
    <row r="39" spans="1:13">
      <c r="A39" s="16" t="s">
        <v>55</v>
      </c>
      <c r="B39" s="16"/>
      <c r="C39" s="82" t="s">
        <v>45</v>
      </c>
      <c r="D39" s="82" t="s">
        <v>41</v>
      </c>
      <c r="E39" s="82" t="s">
        <v>41</v>
      </c>
      <c r="F39" s="82" t="s">
        <v>44</v>
      </c>
      <c r="G39" s="82" t="s">
        <v>45</v>
      </c>
      <c r="H39" s="82" t="s">
        <v>47</v>
      </c>
      <c r="I39" s="82" t="s">
        <v>49</v>
      </c>
      <c r="J39" s="82" t="s">
        <v>51</v>
      </c>
      <c r="K39" s="82"/>
      <c r="L39" s="106">
        <v>0.1</v>
      </c>
      <c r="M39" s="107">
        <f>SQRT(0.5*L39)</f>
        <v>0.22360679774997896</v>
      </c>
    </row>
    <row r="40" spans="1:13">
      <c r="A40" s="16"/>
      <c r="B40" s="16"/>
      <c r="C40" s="82" t="s">
        <v>5</v>
      </c>
      <c r="D40" s="82" t="s">
        <v>42</v>
      </c>
      <c r="E40" s="82" t="s">
        <v>43</v>
      </c>
      <c r="F40" s="82" t="s">
        <v>42</v>
      </c>
      <c r="G40" s="82" t="s">
        <v>46</v>
      </c>
      <c r="H40" s="82" t="s">
        <v>48</v>
      </c>
      <c r="I40" s="82" t="s">
        <v>50</v>
      </c>
      <c r="J40" s="82" t="s">
        <v>52</v>
      </c>
      <c r="K40" s="82"/>
      <c r="L40" s="106">
        <v>0.2</v>
      </c>
      <c r="M40" s="107">
        <f>SQRT(0.5*L40)</f>
        <v>0.31622776601683794</v>
      </c>
    </row>
    <row r="41" spans="1:13">
      <c r="A41" s="16" t="s">
        <v>86</v>
      </c>
      <c r="B41" s="16" t="s">
        <v>1</v>
      </c>
      <c r="C41" s="18">
        <f>0.5*SQRT(C28*C22/(1+(C28-1)*C22*0.25))</f>
        <v>0.93082006466329648</v>
      </c>
      <c r="D41" s="19">
        <f>C31</f>
        <v>5</v>
      </c>
      <c r="E41" s="81">
        <f>1*D43</f>
        <v>313</v>
      </c>
      <c r="F41" s="20">
        <f>D41/E41</f>
        <v>1.5974440894568689E-2</v>
      </c>
      <c r="G41" s="20">
        <f>IF(ISNUMBER(1/(((2*PI())^0.5)*1)*EXP(-0.5*NORMSINV(1-F41)^2)/F41),1/(((2*PI())^0.5)*1)*EXP(-0.5*NORMSINV(1-F41)^2)/F41,0)</f>
        <v>2.5022938718014553</v>
      </c>
      <c r="H41" s="20">
        <f>C41*G41*C23+H43</f>
        <v>1164.5926717784005</v>
      </c>
      <c r="I41" s="20">
        <f>C34+C38</f>
        <v>6.25</v>
      </c>
      <c r="J41" s="21">
        <f>H41/$H46</f>
        <v>0.44232954808159247</v>
      </c>
      <c r="K41" s="82" t="s">
        <v>1</v>
      </c>
      <c r="L41" s="108">
        <v>0.3</v>
      </c>
      <c r="M41" s="109">
        <f>SQRT(0.5*L41)</f>
        <v>0.3872983346207417</v>
      </c>
    </row>
    <row r="42" spans="1:13">
      <c r="A42" s="16" t="s">
        <v>87</v>
      </c>
      <c r="B42" s="16" t="s">
        <v>2</v>
      </c>
      <c r="C42" s="22">
        <f>0.5*SQRT(C28*C22/(1+(C28-1)*C22*0.25))</f>
        <v>0.93082006466329648</v>
      </c>
      <c r="D42" s="23">
        <f>F29</f>
        <v>37</v>
      </c>
      <c r="E42" s="72">
        <f>1*D43</f>
        <v>313</v>
      </c>
      <c r="F42" s="24">
        <f>D42/E42</f>
        <v>0.1182108626198083</v>
      </c>
      <c r="G42" s="24">
        <f>IF(ISNUMBER(1/(((2*PI())^0.5)*1)*EXP(-0.5*NORMSINV(1-F42)^2)/F42),1/(((2*PI())^0.5)*1)*EXP(-0.5*NORMSINV(1-F42)^2)/F42,0)</f>
        <v>1.6743828567949366</v>
      </c>
      <c r="H42" s="24">
        <f>(C42*G42*C23+H43)</f>
        <v>779.27457951648898</v>
      </c>
      <c r="I42" s="24">
        <f>C35+C38</f>
        <v>6.25</v>
      </c>
      <c r="J42" s="25">
        <f>H42/H46</f>
        <v>0.29598002884788083</v>
      </c>
      <c r="K42" s="82" t="s">
        <v>2</v>
      </c>
    </row>
    <row r="43" spans="1:13">
      <c r="A43" s="16" t="s">
        <v>88</v>
      </c>
      <c r="B43" s="93" t="s">
        <v>9</v>
      </c>
      <c r="C43" s="95">
        <f>+I37</f>
        <v>0</v>
      </c>
      <c r="D43" s="96">
        <f>(F26)</f>
        <v>313</v>
      </c>
      <c r="E43" s="96">
        <f>F26/I36</f>
        <v>313</v>
      </c>
      <c r="F43" s="97">
        <f>D43/E43</f>
        <v>1</v>
      </c>
      <c r="G43" s="97">
        <f>IF(ISNUMBER(1/(((2*PI())^0.5)*1)*EXP(-0.5*NORMSINV(1-F43)^2)/F43),1/(((2*PI())^0.5)*1)*EXP(-0.5*NORMSINV(1-F43)^2)/F43,0)</f>
        <v>0</v>
      </c>
      <c r="H43" s="97">
        <f>C43*G43*C23</f>
        <v>0</v>
      </c>
      <c r="I43" s="97">
        <f>+C33+C38</f>
        <v>2.25</v>
      </c>
      <c r="J43" s="98">
        <f>H43/H46</f>
        <v>0</v>
      </c>
      <c r="K43" s="94" t="s">
        <v>9</v>
      </c>
    </row>
    <row r="44" spans="1:13">
      <c r="A44" s="16" t="s">
        <v>89</v>
      </c>
      <c r="B44" s="16" t="s">
        <v>3</v>
      </c>
      <c r="C44" s="22">
        <f>SQRT(C22)</f>
        <v>0.54772255750516607</v>
      </c>
      <c r="D44" s="23">
        <f>INT(E43/I35/I34+1)</f>
        <v>783</v>
      </c>
      <c r="E44" s="23">
        <f>I32*C24*C25/100</f>
        <v>150000</v>
      </c>
      <c r="F44" s="26">
        <f>D44/E44</f>
        <v>5.2199999999999998E-3</v>
      </c>
      <c r="G44" s="24">
        <f>IF(ISNUMBER(1/(((2*PI())^0.5)*1)*EXP(-0.5*NORMSINV(1-F44)^2)/F44),1/(((2*PI())^0.5)*1)*EXP(-0.5*NORMSINV(1-F44)^2)/F44,0)</f>
        <v>2.8783090566334497</v>
      </c>
      <c r="H44" s="24">
        <f>C44*G44*C23</f>
        <v>788.25739889477757</v>
      </c>
      <c r="I44" s="24">
        <f>C36+C38</f>
        <v>4.25</v>
      </c>
      <c r="J44" s="25">
        <f>H44/H46</f>
        <v>0.29939183671202391</v>
      </c>
      <c r="K44" s="82" t="s">
        <v>3</v>
      </c>
    </row>
    <row r="45" spans="1:13">
      <c r="A45" s="16" t="s">
        <v>90</v>
      </c>
      <c r="B45" s="16" t="s">
        <v>4</v>
      </c>
      <c r="C45" s="27">
        <f>SQRT(C22)</f>
        <v>0.54772255750516607</v>
      </c>
      <c r="D45" s="28">
        <f>IF(INT(C24*(C25/100)*C32/I33+1)&gt;E45,"Too many",INT(C24*(C25/100)*C32/I33+1))</f>
        <v>312501</v>
      </c>
      <c r="E45" s="28">
        <f>INT(I31*C24*C25/100)</f>
        <v>350000</v>
      </c>
      <c r="F45" s="29">
        <f>D45/E45</f>
        <v>0.89285999999999999</v>
      </c>
      <c r="G45" s="29">
        <f>IF(ISNUMBER(1/(((2*PI())^0.5)*1)*EXP(-0.5*NORMSINV(1-F45)^2)/F45),1/(((2*PI())^0.5)*1)*EXP(-0.5*NORMSINV(1-F45)^2)/F45,0)</f>
        <v>0.2066458453588377</v>
      </c>
      <c r="H45" s="29">
        <f>C45*G45*C23</f>
        <v>56.592295458879818</v>
      </c>
      <c r="I45" s="29">
        <f>C37+C38</f>
        <v>4.25</v>
      </c>
      <c r="J45" s="30">
        <f>H45/H46</f>
        <v>2.1494592128078804E-2</v>
      </c>
      <c r="K45" s="82" t="s">
        <v>4</v>
      </c>
      <c r="L45" s="8"/>
      <c r="M45" s="8"/>
    </row>
    <row r="46" spans="1:13">
      <c r="D46" s="11"/>
      <c r="E46" s="11"/>
      <c r="F46" s="12"/>
      <c r="G46" s="42" t="s">
        <v>84</v>
      </c>
      <c r="H46" s="43">
        <f>H41+(100-C26)/100*H42+C26/100*H43+H44+H45</f>
        <v>2632.8620297452494</v>
      </c>
      <c r="I46" s="43">
        <f>I41+(100-C26)/100*I42+C26/100*I43+I44+I45</f>
        <v>20.2</v>
      </c>
      <c r="J46" s="44">
        <f>H46/H46</f>
        <v>1</v>
      </c>
    </row>
    <row r="47" spans="1:13">
      <c r="C47" s="8" t="s">
        <v>85</v>
      </c>
    </row>
    <row r="48" spans="1:13" ht="18" customHeight="1">
      <c r="E48" s="31" t="s">
        <v>63</v>
      </c>
      <c r="F48" s="32"/>
      <c r="G48" s="32"/>
      <c r="H48" s="41">
        <f>H46/I46</f>
        <v>130.33970444283415</v>
      </c>
      <c r="J48" s="8">
        <f>143.95/131.31</f>
        <v>1.096260756987282</v>
      </c>
    </row>
    <row r="49" spans="1:11" ht="14" customHeight="1">
      <c r="H49" s="63">
        <f>+H48/C23</f>
        <v>0.26067940888566832</v>
      </c>
      <c r="I49" s="64" t="s">
        <v>70</v>
      </c>
    </row>
    <row r="50" spans="1:11">
      <c r="G50" s="115" t="s">
        <v>97</v>
      </c>
      <c r="H50" s="116">
        <v>130.33970444283477</v>
      </c>
    </row>
    <row r="51" spans="1:11">
      <c r="A51" s="120" t="s">
        <v>99</v>
      </c>
      <c r="B51" s="144"/>
      <c r="C51" s="144"/>
      <c r="D51" s="144"/>
      <c r="E51" s="144"/>
      <c r="F51" s="144"/>
      <c r="G51" s="145" t="s">
        <v>98</v>
      </c>
      <c r="H51" s="146">
        <f>(H48-H50)/H50</f>
        <v>-4.7972918930710512E-15</v>
      </c>
      <c r="I51" s="144"/>
      <c r="J51" s="144"/>
    </row>
    <row r="52" spans="1:11">
      <c r="A52" s="120" t="s">
        <v>55</v>
      </c>
      <c r="B52" s="120"/>
      <c r="C52" s="120" t="s">
        <v>45</v>
      </c>
      <c r="D52" s="120" t="s">
        <v>41</v>
      </c>
      <c r="E52" s="120" t="s">
        <v>41</v>
      </c>
      <c r="F52" s="120" t="s">
        <v>44</v>
      </c>
      <c r="G52" s="120" t="s">
        <v>45</v>
      </c>
      <c r="H52" s="120" t="s">
        <v>47</v>
      </c>
      <c r="I52" s="120" t="s">
        <v>49</v>
      </c>
      <c r="J52" s="120" t="s">
        <v>51</v>
      </c>
    </row>
    <row r="53" spans="1:11">
      <c r="A53" s="120"/>
      <c r="B53" s="120"/>
      <c r="C53" s="120" t="s">
        <v>5</v>
      </c>
      <c r="D53" s="120" t="s">
        <v>42</v>
      </c>
      <c r="E53" s="120" t="s">
        <v>43</v>
      </c>
      <c r="F53" s="120" t="s">
        <v>42</v>
      </c>
      <c r="G53" s="120" t="s">
        <v>46</v>
      </c>
      <c r="H53" s="120" t="s">
        <v>48</v>
      </c>
      <c r="I53" s="120" t="s">
        <v>50</v>
      </c>
      <c r="J53" s="120" t="s">
        <v>52</v>
      </c>
    </row>
    <row r="54" spans="1:11">
      <c r="A54" s="120" t="s">
        <v>86</v>
      </c>
      <c r="B54" s="122" t="s">
        <v>1</v>
      </c>
      <c r="C54" s="132">
        <v>0.93082006466329648</v>
      </c>
      <c r="D54" s="133">
        <v>5</v>
      </c>
      <c r="E54" s="134">
        <v>313</v>
      </c>
      <c r="F54" s="135">
        <v>1.5974440894568689E-2</v>
      </c>
      <c r="G54" s="135">
        <v>2.5022938718014553</v>
      </c>
      <c r="H54" s="135">
        <v>1164.5926717784005</v>
      </c>
      <c r="I54" s="135">
        <v>6.25</v>
      </c>
      <c r="J54" s="136">
        <v>0.44232954808159247</v>
      </c>
    </row>
    <row r="55" spans="1:11">
      <c r="A55" s="120" t="s">
        <v>87</v>
      </c>
      <c r="B55" s="122" t="s">
        <v>2</v>
      </c>
      <c r="C55" s="123">
        <v>0.93082006466329648</v>
      </c>
      <c r="D55" s="137">
        <v>37</v>
      </c>
      <c r="E55" s="124">
        <v>313</v>
      </c>
      <c r="F55" s="125">
        <v>0.1182108626198083</v>
      </c>
      <c r="G55" s="125">
        <v>1.6743828567949366</v>
      </c>
      <c r="H55" s="125">
        <v>779.27457951648898</v>
      </c>
      <c r="I55" s="125">
        <v>6.25</v>
      </c>
      <c r="J55" s="126">
        <v>0.29598002884788083</v>
      </c>
    </row>
    <row r="56" spans="1:11">
      <c r="A56" s="120" t="s">
        <v>88</v>
      </c>
      <c r="B56" s="127" t="s">
        <v>9</v>
      </c>
      <c r="C56" s="128">
        <v>0</v>
      </c>
      <c r="D56" s="129">
        <v>313</v>
      </c>
      <c r="E56" s="129">
        <v>313</v>
      </c>
      <c r="F56" s="130">
        <v>1</v>
      </c>
      <c r="G56" s="130">
        <v>0</v>
      </c>
      <c r="H56" s="130">
        <v>0</v>
      </c>
      <c r="I56" s="130">
        <v>2.25</v>
      </c>
      <c r="J56" s="131">
        <v>0</v>
      </c>
    </row>
    <row r="57" spans="1:11">
      <c r="A57" s="120" t="s">
        <v>89</v>
      </c>
      <c r="B57" s="122" t="s">
        <v>3</v>
      </c>
      <c r="C57" s="123">
        <v>0.54772255750516607</v>
      </c>
      <c r="D57" s="137">
        <v>783</v>
      </c>
      <c r="E57" s="137">
        <v>150000</v>
      </c>
      <c r="F57" s="138">
        <v>5.2199999999999998E-3</v>
      </c>
      <c r="G57" s="125">
        <v>2.8783090566334497</v>
      </c>
      <c r="H57" s="125">
        <v>788.25739889477757</v>
      </c>
      <c r="I57" s="125">
        <v>4.25</v>
      </c>
      <c r="J57" s="126">
        <v>0.29939183671202391</v>
      </c>
    </row>
    <row r="58" spans="1:11">
      <c r="A58" s="120" t="s">
        <v>90</v>
      </c>
      <c r="B58" s="122" t="s">
        <v>4</v>
      </c>
      <c r="C58" s="132">
        <v>0.54772255750516607</v>
      </c>
      <c r="D58" s="133">
        <v>312501</v>
      </c>
      <c r="E58" s="133">
        <v>350000</v>
      </c>
      <c r="F58" s="135">
        <v>0.89285999999999999</v>
      </c>
      <c r="G58" s="135">
        <v>0.2066458453588377</v>
      </c>
      <c r="H58" s="135">
        <v>56.592295458879818</v>
      </c>
      <c r="I58" s="135">
        <v>4.25</v>
      </c>
      <c r="J58" s="136">
        <v>2.1494592128078804E-2</v>
      </c>
    </row>
    <row r="59" spans="1:11">
      <c r="A59" s="120"/>
      <c r="B59" s="122"/>
      <c r="C59" s="139"/>
      <c r="D59" s="140"/>
      <c r="E59" s="140"/>
      <c r="F59" s="141"/>
      <c r="G59" s="140" t="s">
        <v>84</v>
      </c>
      <c r="H59" s="141">
        <v>2632.8620297452494</v>
      </c>
      <c r="I59" s="141">
        <v>20.2</v>
      </c>
      <c r="J59" s="142">
        <v>1</v>
      </c>
    </row>
    <row r="60" spans="1:11">
      <c r="A60" s="120"/>
      <c r="B60" s="120"/>
      <c r="C60" s="120" t="s">
        <v>85</v>
      </c>
      <c r="D60" s="120"/>
      <c r="E60" s="120"/>
      <c r="F60" s="120"/>
      <c r="G60" s="120"/>
      <c r="H60" s="120"/>
      <c r="I60" s="120"/>
      <c r="J60" s="120"/>
    </row>
    <row r="61" spans="1:11">
      <c r="A61" s="120"/>
      <c r="B61" s="120"/>
      <c r="C61" s="120"/>
      <c r="D61" s="120"/>
      <c r="E61" s="120" t="s">
        <v>63</v>
      </c>
      <c r="F61" s="120"/>
      <c r="G61" s="120"/>
      <c r="H61" s="143">
        <v>130.33970444283415</v>
      </c>
      <c r="I61" s="120"/>
      <c r="J61" s="120">
        <v>1.096260756987282</v>
      </c>
      <c r="K61" s="8"/>
    </row>
    <row r="62" spans="1:11">
      <c r="A62" s="120"/>
      <c r="B62" s="120"/>
      <c r="C62" s="120"/>
      <c r="D62" s="120"/>
      <c r="E62" s="120"/>
      <c r="F62" s="120"/>
      <c r="G62" s="120"/>
      <c r="H62" s="121">
        <v>0.26067940888566832</v>
      </c>
      <c r="I62" s="120" t="s">
        <v>70</v>
      </c>
      <c r="J62" s="120"/>
    </row>
    <row r="64" spans="1:11">
      <c r="G64" s="8" t="s">
        <v>16</v>
      </c>
    </row>
  </sheetData>
  <phoneticPr fontId="0" type="noConversion"/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C1" workbookViewId="0">
      <selection activeCell="F14" sqref="F14"/>
    </sheetView>
  </sheetViews>
  <sheetFormatPr baseColWidth="10" defaultColWidth="8.83203125" defaultRowHeight="12" x14ac:dyDescent="0"/>
  <sheetData>
    <row r="1" spans="1:9">
      <c r="A1" t="s">
        <v>0</v>
      </c>
      <c r="B1" t="s">
        <v>5</v>
      </c>
      <c r="C1" t="s">
        <v>18</v>
      </c>
      <c r="D1" t="s">
        <v>19</v>
      </c>
      <c r="E1" t="s">
        <v>14</v>
      </c>
      <c r="F1" t="s">
        <v>20</v>
      </c>
      <c r="G1" t="s">
        <v>21</v>
      </c>
      <c r="H1" t="s">
        <v>6</v>
      </c>
      <c r="I1" t="s">
        <v>7</v>
      </c>
    </row>
    <row r="2" spans="1:9">
      <c r="A2" t="s">
        <v>1</v>
      </c>
      <c r="B2" s="2">
        <v>0.87</v>
      </c>
      <c r="C2">
        <v>5</v>
      </c>
      <c r="D2">
        <f>B13</f>
        <v>500</v>
      </c>
      <c r="E2" s="2">
        <f>C2/D2</f>
        <v>0.01</v>
      </c>
      <c r="F2" s="2">
        <f>(2.97425-(3.35197*E2^0.2)-(1.9319*E2^0.4)+(2.3097*E2^0.6))/(0.51953+(0.88768*E2^0.2)-(2.38388*E2^0.4)+E2^0.6)</f>
        <v>2.6502306314925961</v>
      </c>
      <c r="G2" s="2">
        <f>B2*F2</f>
        <v>2.3057006493985588</v>
      </c>
      <c r="H2" s="2">
        <f>B16</f>
        <v>6.5</v>
      </c>
      <c r="I2" s="3">
        <f>G2/$G7</f>
        <v>0.42207846954914302</v>
      </c>
    </row>
    <row r="3" spans="1:9">
      <c r="A3" t="s">
        <v>2</v>
      </c>
      <c r="B3" s="2">
        <v>0.87</v>
      </c>
      <c r="C3">
        <f>B14</f>
        <v>50</v>
      </c>
      <c r="D3">
        <f>B13</f>
        <v>500</v>
      </c>
      <c r="E3" s="2">
        <f>C3/D3</f>
        <v>0.1</v>
      </c>
      <c r="F3" s="2">
        <f>(2.97425-(3.35197*E3^0.2)-(1.9319*E3^0.4)+(2.3097*E3^0.6))/(0.51953+(0.88768*E3^0.2)-(2.38388*E3^0.4)+E3^0.6)</f>
        <v>1.7559580472384064</v>
      </c>
      <c r="G3" s="2">
        <f>((100-B11)/100)*B3*F3</f>
        <v>1.5276835010974137</v>
      </c>
      <c r="H3" s="2">
        <f>B16</f>
        <v>6.5</v>
      </c>
      <c r="I3" s="3">
        <f>G3/G7</f>
        <v>0.27965569349467345</v>
      </c>
    </row>
    <row r="4" spans="1:9">
      <c r="A4" t="s">
        <v>9</v>
      </c>
      <c r="B4">
        <v>0</v>
      </c>
      <c r="C4">
        <f>B13</f>
        <v>500</v>
      </c>
      <c r="D4">
        <f>B13</f>
        <v>500</v>
      </c>
      <c r="E4" s="2">
        <f>C4/D4</f>
        <v>1</v>
      </c>
      <c r="F4" s="2">
        <f>(2.97425-(3.35197*E4^0.2)-(1.9319*E4^0.4)+(2.3097*E4^0.6))/(0.51953+(0.88768*E4^0.2)-(2.38388*E4^0.4)+E4^0.6)</f>
        <v>3.4290612944740573E-3</v>
      </c>
      <c r="G4" s="2">
        <f>((B11)/100)*B4*F4</f>
        <v>0</v>
      </c>
      <c r="H4" s="2">
        <v>3.5</v>
      </c>
      <c r="I4" s="3">
        <f>G4/G7</f>
        <v>0</v>
      </c>
    </row>
    <row r="5" spans="1:9">
      <c r="A5" t="s">
        <v>3</v>
      </c>
      <c r="B5">
        <v>0.5</v>
      </c>
      <c r="C5">
        <f>B13*4</f>
        <v>2000</v>
      </c>
      <c r="D5">
        <f>0.3*B10*B12/100</f>
        <v>300000</v>
      </c>
      <c r="E5" s="3">
        <f>C5/D5</f>
        <v>6.6666666666666671E-3</v>
      </c>
      <c r="F5" s="2">
        <f>(2.97425-(3.35197*E5^0.2)-(1.9319*E5^0.4)+(2.3097*E5^0.6))/(0.51953+(0.88768*E5^0.2)-(2.38388*E5^0.4)+E5^0.6)</f>
        <v>2.7852731081526216</v>
      </c>
      <c r="G5" s="2">
        <f>B5*F5</f>
        <v>1.3926365540763108</v>
      </c>
      <c r="H5" s="2">
        <f>B17</f>
        <v>4.5</v>
      </c>
      <c r="I5" s="3">
        <f>G5/G7</f>
        <v>0.25493418043493615</v>
      </c>
    </row>
    <row r="6" spans="1:9">
      <c r="A6" t="s">
        <v>4</v>
      </c>
      <c r="B6">
        <v>0.5</v>
      </c>
      <c r="C6">
        <f>B10*B15*2</f>
        <v>500000</v>
      </c>
      <c r="D6">
        <f>0.7*B10*B12/100</f>
        <v>700000</v>
      </c>
      <c r="E6" s="2">
        <f>C6/D6</f>
        <v>0.7142857142857143</v>
      </c>
      <c r="F6" s="2">
        <f>(2.97425-(3.35197*E6^0.2)-(1.9319*E6^0.4)+(2.3097*E6^0.6))/(0.51953+(0.88768*E6^0.2)-(2.38388*E6^0.4)+E6^0.6)</f>
        <v>0.47341826597920156</v>
      </c>
      <c r="G6" s="2">
        <f>B6*F6</f>
        <v>0.23670913298960078</v>
      </c>
      <c r="H6" s="2">
        <f>B17</f>
        <v>4.5</v>
      </c>
      <c r="I6" s="3">
        <f>G6/G7</f>
        <v>4.3331656521247326E-2</v>
      </c>
    </row>
    <row r="7" spans="1:9">
      <c r="A7" t="s">
        <v>8</v>
      </c>
      <c r="E7" s="2"/>
      <c r="F7" s="2"/>
      <c r="G7" s="2">
        <f>SUM(G2:G6)</f>
        <v>5.4627298375618842</v>
      </c>
      <c r="H7" s="2">
        <f>H2+(100-B11)/100*H3+B11/100*H4+H5+H6</f>
        <v>22</v>
      </c>
      <c r="I7" s="3">
        <f>G7/G7</f>
        <v>1</v>
      </c>
    </row>
    <row r="10" spans="1:9">
      <c r="A10" t="s">
        <v>10</v>
      </c>
      <c r="B10">
        <v>1000000</v>
      </c>
      <c r="F10" t="s">
        <v>27</v>
      </c>
      <c r="G10" s="4">
        <f>G7/H7</f>
        <v>0.24830590170735836</v>
      </c>
    </row>
    <row r="11" spans="1:9">
      <c r="A11" t="s">
        <v>11</v>
      </c>
      <c r="B11">
        <v>0</v>
      </c>
      <c r="C11" t="s">
        <v>24</v>
      </c>
      <c r="D11" s="1">
        <f>B11*B10/(100*B13*4)</f>
        <v>0</v>
      </c>
    </row>
    <row r="12" spans="1:9">
      <c r="A12" t="s">
        <v>12</v>
      </c>
      <c r="B12">
        <v>100</v>
      </c>
    </row>
    <row r="13" spans="1:9">
      <c r="A13" t="s">
        <v>13</v>
      </c>
      <c r="B13">
        <v>500</v>
      </c>
    </row>
    <row r="14" spans="1:9">
      <c r="A14" t="s">
        <v>15</v>
      </c>
      <c r="B14">
        <v>50</v>
      </c>
    </row>
    <row r="15" spans="1:9">
      <c r="A15" t="s">
        <v>17</v>
      </c>
      <c r="B15">
        <v>0.25</v>
      </c>
    </row>
    <row r="16" spans="1:9">
      <c r="A16" t="s">
        <v>28</v>
      </c>
      <c r="B16">
        <v>6.5</v>
      </c>
    </row>
    <row r="17" spans="1:8">
      <c r="A17" t="s">
        <v>29</v>
      </c>
      <c r="B17">
        <v>4.5</v>
      </c>
      <c r="F17" t="s">
        <v>16</v>
      </c>
      <c r="H17" t="s">
        <v>26</v>
      </c>
    </row>
    <row r="18" spans="1:8">
      <c r="H18" t="s">
        <v>25</v>
      </c>
    </row>
    <row r="19" spans="1:8">
      <c r="D19" t="s">
        <v>22</v>
      </c>
      <c r="E19" t="s">
        <v>23</v>
      </c>
    </row>
    <row r="20" spans="1:8">
      <c r="B20" t="s">
        <v>11</v>
      </c>
      <c r="D20">
        <v>20</v>
      </c>
      <c r="E20">
        <v>40</v>
      </c>
      <c r="F20" t="s">
        <v>16</v>
      </c>
    </row>
    <row r="21" spans="1:8">
      <c r="B21" t="s">
        <v>12</v>
      </c>
      <c r="D21">
        <v>100</v>
      </c>
      <c r="F21">
        <v>50</v>
      </c>
    </row>
    <row r="22" spans="1:8">
      <c r="B22" t="s">
        <v>13</v>
      </c>
      <c r="D22">
        <v>500</v>
      </c>
      <c r="G22">
        <v>250</v>
      </c>
    </row>
    <row r="23" spans="1:8">
      <c r="B23" t="s">
        <v>28</v>
      </c>
      <c r="D23">
        <v>6.5</v>
      </c>
      <c r="H23">
        <v>6</v>
      </c>
    </row>
    <row r="24" spans="1:8">
      <c r="B24" t="s">
        <v>29</v>
      </c>
      <c r="D24">
        <v>4.5</v>
      </c>
      <c r="H24">
        <v>4</v>
      </c>
    </row>
    <row r="26" spans="1:8">
      <c r="D26">
        <v>0.24099999999999999</v>
      </c>
      <c r="E26">
        <v>0.24399999999999999</v>
      </c>
      <c r="F26">
        <v>0.22</v>
      </c>
      <c r="G26">
        <v>0.23499999999999999</v>
      </c>
      <c r="H26">
        <v>0.26400000000000001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no YB</vt:lpstr>
      <vt:lpstr>Sheet3</vt:lpstr>
    </vt:vector>
  </TitlesOfParts>
  <Company>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jvanderw</dc:creator>
  <cp:lastModifiedBy>Jack Dekkers</cp:lastModifiedBy>
  <cp:lastPrinted>1999-05-03T05:59:41Z</cp:lastPrinted>
  <dcterms:created xsi:type="dcterms:W3CDTF">1999-05-03T04:46:48Z</dcterms:created>
  <dcterms:modified xsi:type="dcterms:W3CDTF">2015-05-18T19:00:29Z</dcterms:modified>
</cp:coreProperties>
</file>