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\OneDrive - Universidad de los Andes\7 semestre\Finanzas\"/>
    </mc:Choice>
  </mc:AlternateContent>
  <xr:revisionPtr revIDLastSave="0" documentId="13_ncr:1_{45D71794-04D4-471E-A506-3B0CE26654EE}" xr6:coauthVersionLast="47" xr6:coauthVersionMax="47" xr10:uidLastSave="{00000000-0000-0000-0000-000000000000}"/>
  <bookViews>
    <workbookView xWindow="1776" yWindow="1776" windowWidth="17280" windowHeight="8880" activeTab="1" xr2:uid="{120C32E6-8A4A-4CA5-8594-D13441D814FE}"/>
  </bookViews>
  <sheets>
    <sheet name="Punto 2" sheetId="1" r:id="rId1"/>
    <sheet name="Punto 3" sheetId="2" r:id="rId2"/>
    <sheet name="Punto 4" sheetId="3" r:id="rId3"/>
    <sheet name="Punto 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4" l="1"/>
  <c r="B7" i="4"/>
  <c r="B16" i="4"/>
  <c r="B15" i="4"/>
  <c r="B11" i="4"/>
  <c r="B25" i="2"/>
  <c r="B27" i="2"/>
  <c r="B15" i="2"/>
  <c r="B26" i="2"/>
  <c r="B40" i="2"/>
  <c r="B7" i="1"/>
  <c r="B20" i="1" s="1"/>
  <c r="B5" i="1"/>
  <c r="B48" i="4"/>
  <c r="B47" i="4"/>
  <c r="B24" i="4"/>
  <c r="B23" i="4"/>
  <c r="B35" i="4"/>
  <c r="D27" i="4"/>
  <c r="B22" i="4"/>
  <c r="B12" i="4"/>
  <c r="B14" i="4" s="1"/>
  <c r="B13" i="4"/>
  <c r="B34" i="4" l="1"/>
  <c r="B33" i="4"/>
  <c r="B25" i="4"/>
  <c r="B26" i="4" s="1"/>
  <c r="C34" i="4"/>
  <c r="C49" i="2"/>
  <c r="B43" i="2"/>
  <c r="B42" i="2"/>
  <c r="B36" i="2"/>
  <c r="B35" i="2"/>
  <c r="B49" i="2"/>
  <c r="D22" i="2"/>
  <c r="B21" i="2"/>
  <c r="B18" i="2"/>
  <c r="B20" i="2" s="1"/>
  <c r="B22" i="2" s="1"/>
  <c r="C13" i="2"/>
  <c r="D13" i="2"/>
  <c r="E13" i="2"/>
  <c r="F13" i="2"/>
  <c r="G13" i="2"/>
  <c r="H13" i="2"/>
  <c r="I13" i="2"/>
  <c r="C11" i="2"/>
  <c r="D11" i="2"/>
  <c r="E11" i="2"/>
  <c r="F11" i="2"/>
  <c r="G11" i="2"/>
  <c r="H11" i="2"/>
  <c r="I11" i="2"/>
  <c r="B13" i="2"/>
  <c r="C12" i="2"/>
  <c r="D12" i="2"/>
  <c r="E12" i="2"/>
  <c r="F12" i="2"/>
  <c r="G12" i="2"/>
  <c r="H12" i="2"/>
  <c r="I12" i="2"/>
  <c r="B12" i="2"/>
  <c r="D3" i="2"/>
  <c r="E3" i="2"/>
  <c r="F3" i="2"/>
  <c r="G3" i="2" s="1"/>
  <c r="H3" i="2" s="1"/>
  <c r="I3" i="2" s="1"/>
  <c r="B11" i="2"/>
  <c r="C3" i="2"/>
  <c r="I4" i="2"/>
  <c r="D4" i="2"/>
  <c r="E4" i="2"/>
  <c r="F4" i="2" s="1"/>
  <c r="G4" i="2" s="1"/>
  <c r="H4" i="2" s="1"/>
  <c r="C4" i="2"/>
  <c r="B22" i="1"/>
  <c r="B27" i="1" s="1"/>
  <c r="B21" i="1"/>
  <c r="B26" i="1" s="1"/>
  <c r="B25" i="1"/>
  <c r="H12" i="1"/>
  <c r="H13" i="1" s="1"/>
  <c r="F12" i="1"/>
  <c r="F13" i="1" s="1"/>
  <c r="G3" i="1"/>
  <c r="H5" i="1"/>
  <c r="D4" i="1"/>
  <c r="E3" i="1"/>
  <c r="C5" i="1"/>
  <c r="D5" i="1"/>
  <c r="E5" i="1"/>
  <c r="F5" i="1"/>
  <c r="G5" i="1"/>
  <c r="B51" i="4" l="1"/>
  <c r="B52" i="4" s="1"/>
  <c r="B27" i="4"/>
  <c r="B28" i="4" s="1"/>
  <c r="C33" i="4"/>
  <c r="C35" i="4" s="1"/>
  <c r="B53" i="4"/>
  <c r="B54" i="4" l="1"/>
  <c r="B55" i="4" s="1"/>
</calcChain>
</file>

<file path=xl/sharedStrings.xml><?xml version="1.0" encoding="utf-8"?>
<sst xmlns="http://schemas.openxmlformats.org/spreadsheetml/2006/main" count="146" uniqueCount="107">
  <si>
    <t>Year</t>
  </si>
  <si>
    <t>Dividens</t>
  </si>
  <si>
    <t>Earnings per share</t>
  </si>
  <si>
    <t>DPR</t>
  </si>
  <si>
    <t>Tasa de crecimiento</t>
  </si>
  <si>
    <t>c)</t>
  </si>
  <si>
    <t>Precio 2022</t>
  </si>
  <si>
    <t>Precio 2023</t>
  </si>
  <si>
    <t>Precio 2024</t>
  </si>
  <si>
    <t>En 2022</t>
  </si>
  <si>
    <t>Tasa de capitalizacion del mercado</t>
  </si>
  <si>
    <t xml:space="preserve">*Verificar este por lo que el DPR dice que es constante </t>
  </si>
  <si>
    <t xml:space="preserve">*Aca se toman los precios de arriba </t>
  </si>
  <si>
    <t>d)</t>
  </si>
  <si>
    <t>oportunidad de arbitraje para ganar plata es por la anomalia del mercado (el mercado de criptomonedas)</t>
  </si>
  <si>
    <t xml:space="preserve">*El precio del mercado es diferente a los 155,4164 dolares, si es mayor el precio se vende y si es menor la compro y gano dinero sin correr riesgo, asumiendo que los mercados son eficientes </t>
  </si>
  <si>
    <t>Opcion 1</t>
  </si>
  <si>
    <t>Utilidades</t>
  </si>
  <si>
    <t>Utilidades prox año</t>
  </si>
  <si>
    <t>Tasa de retención</t>
  </si>
  <si>
    <t>Tasa g de utilidades</t>
  </si>
  <si>
    <t>Año 1</t>
  </si>
  <si>
    <t>Año 2</t>
  </si>
  <si>
    <t>Año 3</t>
  </si>
  <si>
    <t>Año 4</t>
  </si>
  <si>
    <t>Año 5</t>
  </si>
  <si>
    <t>Año 6</t>
  </si>
  <si>
    <t>Año 7</t>
  </si>
  <si>
    <t>Año 8 y perpetuidad</t>
  </si>
  <si>
    <t>Acciones</t>
  </si>
  <si>
    <t>EPS</t>
  </si>
  <si>
    <t>Dividendos</t>
  </si>
  <si>
    <t xml:space="preserve">Valor presente Dividendos finitos </t>
  </si>
  <si>
    <t xml:space="preserve">Costo del equity = Tasa de descuento </t>
  </si>
  <si>
    <t xml:space="preserve">Año 9 </t>
  </si>
  <si>
    <t>Dividendo</t>
  </si>
  <si>
    <t xml:space="preserve">*Unicamente en la etapa de perpetuidad la tasa de las utilidades y de los dividendos son iguales </t>
  </si>
  <si>
    <t xml:space="preserve">*Forma rapida de calcularlar  por lo que esta en perpetuidad </t>
  </si>
  <si>
    <t>Valor Terminal T=8</t>
  </si>
  <si>
    <t xml:space="preserve">*La perpetuidad empeiza en el año 9 </t>
  </si>
  <si>
    <t>Valor Terminal T=0</t>
  </si>
  <si>
    <t xml:space="preserve">Precio por accion </t>
  </si>
  <si>
    <t xml:space="preserve">*La </t>
  </si>
  <si>
    <t xml:space="preserve">*DPR se mantiene constante </t>
  </si>
  <si>
    <t xml:space="preserve">Supuesto en la etapa de perpetuidad </t>
  </si>
  <si>
    <t>Opcion 2</t>
  </si>
  <si>
    <t xml:space="preserve">Precio accion </t>
  </si>
  <si>
    <t xml:space="preserve">P/E </t>
  </si>
  <si>
    <t xml:space="preserve">Acciones </t>
  </si>
  <si>
    <t>*El precio de mercado es 5,5 EPS</t>
  </si>
  <si>
    <t>Ke(EA)</t>
  </si>
  <si>
    <t xml:space="preserve">Dividendos </t>
  </si>
  <si>
    <t>Precio</t>
  </si>
  <si>
    <t>Precio mercado</t>
  </si>
  <si>
    <t xml:space="preserve">Precio justo </t>
  </si>
  <si>
    <t xml:space="preserve">*El mercado no es eficiente por que le precio del mercado es diferente al precio justo hay oportunidades de arbitraje </t>
  </si>
  <si>
    <t>Empresa 1</t>
  </si>
  <si>
    <t>Empresa 2</t>
  </si>
  <si>
    <t xml:space="preserve">*En ambos caso el precio de mercado es mayor al precio justo por lo tanto vendo la accion y gano plata </t>
  </si>
  <si>
    <t xml:space="preserve">*El broquer es un intermediario entre la bolsa de valores y la persona </t>
  </si>
  <si>
    <t xml:space="preserve">*No hay opotunidades de crecimiento apartir del 2023 </t>
  </si>
  <si>
    <t>t</t>
  </si>
  <si>
    <t>a)</t>
  </si>
  <si>
    <t>Año</t>
  </si>
  <si>
    <t>g dividendos</t>
  </si>
  <si>
    <t>Valor termianl</t>
  </si>
  <si>
    <t>VP dividendos</t>
  </si>
  <si>
    <t>Exceso de caja</t>
  </si>
  <si>
    <t xml:space="preserve">Precio acción mercado </t>
  </si>
  <si>
    <t xml:space="preserve">Acciones antes </t>
  </si>
  <si>
    <t xml:space="preserve">Costo equity </t>
  </si>
  <si>
    <t>Utilidades netas antes</t>
  </si>
  <si>
    <t xml:space="preserve">Acciones recompradas </t>
  </si>
  <si>
    <t xml:space="preserve">*No cambia por lo que es pagodo con exceso de caja </t>
  </si>
  <si>
    <t>Tasa de interes</t>
  </si>
  <si>
    <t>Interes</t>
  </si>
  <si>
    <t>*Cambia por lo que pago interese</t>
  </si>
  <si>
    <t>B)</t>
  </si>
  <si>
    <t>C)</t>
  </si>
  <si>
    <t>D)</t>
  </si>
  <si>
    <t xml:space="preserve">*Valor del mercado del equity </t>
  </si>
  <si>
    <t xml:space="preserve">Precio </t>
  </si>
  <si>
    <t xml:space="preserve">Valor del mercado </t>
  </si>
  <si>
    <t xml:space="preserve">Antes </t>
  </si>
  <si>
    <t xml:space="preserve">*no cambia por lo que es pagado con exceso de caja </t>
  </si>
  <si>
    <t xml:space="preserve">E) </t>
  </si>
  <si>
    <t>*La tasa de interes maxima tiene que ser igual al costo del equity para no destruir valor que es 21,77%</t>
  </si>
  <si>
    <t>F)</t>
  </si>
  <si>
    <t>EPS antes</t>
  </si>
  <si>
    <t xml:space="preserve">Precio objetivo </t>
  </si>
  <si>
    <t xml:space="preserve">Exceso de efectivo </t>
  </si>
  <si>
    <t>Acciones recompradas</t>
  </si>
  <si>
    <t xml:space="preserve">Acciones despues de la recompra </t>
  </si>
  <si>
    <t>Utilidades netas despues de la recompra</t>
  </si>
  <si>
    <t>Utilidades netas</t>
  </si>
  <si>
    <t>EPS despues</t>
  </si>
  <si>
    <t>Precio despues</t>
  </si>
  <si>
    <t xml:space="preserve">EPS después de la recompra </t>
  </si>
  <si>
    <t xml:space="preserve">Precio de la acción después de recomprar acciones con exceso de efectivo </t>
  </si>
  <si>
    <t>Utilidades netas después</t>
  </si>
  <si>
    <t>Precio después de la recompra</t>
  </si>
  <si>
    <t>Precio de la acción después de recomprar acciones con financiación</t>
  </si>
  <si>
    <t>Financiación</t>
  </si>
  <si>
    <t>Acciones después de la recompra</t>
  </si>
  <si>
    <t xml:space="preserve">Después </t>
  </si>
  <si>
    <t>(B46-(B47/(B49*B48)))*B44</t>
  </si>
  <si>
    <t xml:space="preserve">*El modelo de negocio de los intermediarios(broquer) funciona cobrandote intereses por las acciones que te prestan esto es solo para cultura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</si>
</sst>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.000"/>
    <numFmt numFmtId="165" formatCode="0.000%"/>
    <numFmt numFmtId="166" formatCode="0.0000"/>
    <numFmt numFmtId="167" formatCode="_-&quot;$&quot;\ * #,##0.000_-;\-&quot;$&quot;\ * #,##0.000_-;_-&quot;$&quot;\ * &quot;-&quot;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164" fontId="0" fillId="2" borderId="0" xfId="0" applyNumberFormat="1" applyFill="1"/>
    <xf numFmtId="0" fontId="0" fillId="2" borderId="0" xfId="0" applyFill="1"/>
    <xf numFmtId="166" fontId="0" fillId="0" borderId="0" xfId="0" applyNumberFormat="1"/>
    <xf numFmtId="10" fontId="0" fillId="0" borderId="0" xfId="0" applyNumberFormat="1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2" fontId="0" fillId="0" borderId="0" xfId="1" applyNumberFormat="1" applyFont="1"/>
    <xf numFmtId="8" fontId="0" fillId="0" borderId="0" xfId="0" applyNumberFormat="1"/>
    <xf numFmtId="44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0" fillId="0" borderId="9" xfId="0" applyBorder="1"/>
    <xf numFmtId="44" fontId="0" fillId="0" borderId="9" xfId="1" applyFont="1" applyBorder="1"/>
    <xf numFmtId="2" fontId="0" fillId="0" borderId="9" xfId="0" applyNumberFormat="1" applyBorder="1"/>
    <xf numFmtId="44" fontId="0" fillId="0" borderId="9" xfId="0" applyNumberFormat="1" applyBorder="1"/>
    <xf numFmtId="167" fontId="0" fillId="0" borderId="9" xfId="0" applyNumberFormat="1" applyBorder="1"/>
    <xf numFmtId="9" fontId="0" fillId="0" borderId="9" xfId="0" applyNumberFormat="1" applyBorder="1"/>
    <xf numFmtId="164" fontId="0" fillId="0" borderId="9" xfId="0" applyNumberFormat="1" applyBorder="1"/>
    <xf numFmtId="165" fontId="0" fillId="0" borderId="9" xfId="2" applyNumberFormat="1" applyFont="1" applyBorder="1"/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</xdr:colOff>
      <xdr:row>7</xdr:row>
      <xdr:rowOff>125730</xdr:rowOff>
    </xdr:from>
    <xdr:ext cx="10879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199E7DA-F87B-45D7-BB94-B1CC4DA48F4F}"/>
                </a:ext>
              </a:extLst>
            </xdr:cNvPr>
            <xdr:cNvSpPr txBox="1"/>
          </xdr:nvSpPr>
          <xdr:spPr>
            <a:xfrm>
              <a:off x="1165860" y="1405890"/>
              <a:ext cx="10879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𝐷𝑖𝑣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𝐸𝑃𝑆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𝐷𝑃𝑅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199E7DA-F87B-45D7-BB94-B1CC4DA48F4F}"/>
                </a:ext>
              </a:extLst>
            </xdr:cNvPr>
            <xdr:cNvSpPr txBox="1"/>
          </xdr:nvSpPr>
          <xdr:spPr>
            <a:xfrm>
              <a:off x="1165860" y="1405890"/>
              <a:ext cx="10879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𝐷𝑖𝑣=𝐸𝑃𝑆(𝐷𝑃𝑅)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220980</xdr:colOff>
      <xdr:row>7</xdr:row>
      <xdr:rowOff>140970</xdr:rowOff>
    </xdr:from>
    <xdr:ext cx="13487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5A78CCD-BA5A-4A30-BBE2-5C45546E0233}"/>
                </a:ext>
              </a:extLst>
            </xdr:cNvPr>
            <xdr:cNvSpPr txBox="1"/>
          </xdr:nvSpPr>
          <xdr:spPr>
            <a:xfrm>
              <a:off x="2887980" y="1421130"/>
              <a:ext cx="13487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𝑔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100" b="0" i="0">
                          <a:latin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CO" sz="1100" b="0" i="0">
                          <a:latin typeface="Cambria Math" panose="02040503050406030204" pitchFamily="18" charset="0"/>
                        </a:rPr>
                        <m:t>Div</m:t>
                      </m:r>
                    </m:e>
                    <m:sub>
                      <m:r>
                        <m:rPr>
                          <m:sty m:val="p"/>
                        </m:rPr>
                        <a:rPr lang="es-CO" sz="1100" b="0" i="0">
                          <a:latin typeface="Cambria Math" panose="02040503050406030204" pitchFamily="18" charset="0"/>
                        </a:rPr>
                        <m:t>t</m:t>
                      </m:r>
                      <m:r>
                        <a:rPr lang="es-CO" sz="1100" b="0" i="0">
                          <a:latin typeface="Cambria Math" panose="02040503050406030204" pitchFamily="18" charset="0"/>
                        </a:rPr>
                        <m:t>−1 </m:t>
                      </m:r>
                    </m:sub>
                  </m:sSub>
                  <m:r>
                    <a:rPr lang="es-CO" sz="1100" b="0" i="0">
                      <a:latin typeface="Cambria Math" panose="02040503050406030204" pitchFamily="18" charset="0"/>
                    </a:rPr>
                    <m:t>/</m:t>
                  </m:r>
                  <m:sSub>
                    <m:sSub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CO" sz="1100" b="0" i="0">
                          <a:latin typeface="Cambria Math" panose="02040503050406030204" pitchFamily="18" charset="0"/>
                        </a:rPr>
                        <m:t>Div</m:t>
                      </m:r>
                    </m:e>
                    <m:sub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+1</m:t>
                      </m:r>
                    </m:sub>
                  </m:sSub>
                </m:oMath>
              </a14:m>
              <a:r>
                <a:rPr lang="es-CO" sz="1100"/>
                <a:t>)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5A78CCD-BA5A-4A30-BBE2-5C45546E0233}"/>
                </a:ext>
              </a:extLst>
            </xdr:cNvPr>
            <xdr:cNvSpPr txBox="1"/>
          </xdr:nvSpPr>
          <xdr:spPr>
            <a:xfrm>
              <a:off x="2887980" y="1421130"/>
              <a:ext cx="13487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𝑔=〖(Div〗_(t−1 )/Div_(𝑡+1)</a:t>
              </a:r>
              <a:r>
                <a:rPr lang="es-CO" sz="1100"/>
                <a:t>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B8F2-76BB-4BB0-976A-B506EC7F031D}">
  <dimension ref="A2:I31"/>
  <sheetViews>
    <sheetView workbookViewId="0">
      <selection activeCell="B8" sqref="B8"/>
    </sheetView>
  </sheetViews>
  <sheetFormatPr baseColWidth="10" defaultRowHeight="14.4" x14ac:dyDescent="0.3"/>
  <cols>
    <col min="1" max="1" width="15.77734375" bestFit="1" customWidth="1"/>
    <col min="2" max="2" width="29.6640625" bestFit="1" customWidth="1"/>
  </cols>
  <sheetData>
    <row r="2" spans="1:9" x14ac:dyDescent="0.3">
      <c r="A2" t="s">
        <v>0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</row>
    <row r="3" spans="1:9" x14ac:dyDescent="0.3">
      <c r="A3" t="s">
        <v>1</v>
      </c>
      <c r="B3">
        <v>8.7840000000000007</v>
      </c>
      <c r="C3" s="4">
        <v>9.6</v>
      </c>
      <c r="D3">
        <v>9.2319999999999993</v>
      </c>
      <c r="E3" s="2">
        <f>E4*E5</f>
        <v>9.2950690909090916</v>
      </c>
      <c r="F3" s="2"/>
      <c r="G3" s="2">
        <f t="shared" ref="G3" si="0">G4*G5</f>
        <v>9.909949090909091</v>
      </c>
    </row>
    <row r="4" spans="1:9" x14ac:dyDescent="0.3">
      <c r="A4" t="s">
        <v>2</v>
      </c>
      <c r="B4" s="2">
        <v>11</v>
      </c>
      <c r="C4" s="2">
        <v>11.5</v>
      </c>
      <c r="D4" s="2">
        <f>D3/D5</f>
        <v>11.561020036429872</v>
      </c>
      <c r="E4" s="2">
        <v>11.64</v>
      </c>
      <c r="G4" s="2">
        <v>12.41</v>
      </c>
    </row>
    <row r="5" spans="1:9" x14ac:dyDescent="0.3">
      <c r="A5" t="s">
        <v>3</v>
      </c>
      <c r="B5" s="3">
        <f>$B$3/$B$4</f>
        <v>0.79854545454545456</v>
      </c>
      <c r="C5" s="3">
        <f t="shared" ref="C5:H5" si="1">$B$3/$B$4</f>
        <v>0.79854545454545456</v>
      </c>
      <c r="D5" s="3">
        <f t="shared" si="1"/>
        <v>0.79854545454545456</v>
      </c>
      <c r="E5" s="3">
        <f t="shared" si="1"/>
        <v>0.79854545454545456</v>
      </c>
      <c r="F5" s="3">
        <f t="shared" si="1"/>
        <v>0.79854545454545456</v>
      </c>
      <c r="G5" s="3">
        <f t="shared" si="1"/>
        <v>0.79854545454545456</v>
      </c>
      <c r="H5" s="3">
        <f t="shared" si="1"/>
        <v>0.79854545454545456</v>
      </c>
      <c r="I5" s="5" t="s">
        <v>11</v>
      </c>
    </row>
    <row r="7" spans="1:9" x14ac:dyDescent="0.3">
      <c r="A7" t="s">
        <v>4</v>
      </c>
      <c r="B7" s="3">
        <f>POWER(G3/E3,1/2)-1</f>
        <v>3.2545980936994789E-2</v>
      </c>
    </row>
    <row r="11" spans="1:9" x14ac:dyDescent="0.3">
      <c r="A11" t="s">
        <v>0</v>
      </c>
      <c r="B11">
        <v>2020</v>
      </c>
      <c r="C11">
        <v>2021</v>
      </c>
      <c r="D11">
        <v>2022</v>
      </c>
      <c r="E11">
        <v>2023</v>
      </c>
      <c r="F11">
        <v>2024</v>
      </c>
      <c r="G11">
        <v>2025</v>
      </c>
      <c r="H11">
        <v>2026</v>
      </c>
    </row>
    <row r="12" spans="1:9" x14ac:dyDescent="0.3">
      <c r="A12" t="s">
        <v>1</v>
      </c>
      <c r="B12">
        <v>8.7840000000000007</v>
      </c>
      <c r="C12">
        <v>9.6</v>
      </c>
      <c r="D12">
        <v>9.2319999999999993</v>
      </c>
      <c r="E12">
        <v>9.2950690909090916</v>
      </c>
      <c r="F12" s="2">
        <f>E12*(1+$B$7)</f>
        <v>9.5975862323498689</v>
      </c>
      <c r="G12">
        <v>9.909949090909091</v>
      </c>
      <c r="H12">
        <f>E12*POWER(1+$B$7,2)</f>
        <v>9.909949090909091</v>
      </c>
    </row>
    <row r="13" spans="1:9" x14ac:dyDescent="0.3">
      <c r="A13" t="s">
        <v>2</v>
      </c>
      <c r="B13">
        <v>11</v>
      </c>
      <c r="C13">
        <v>11.5</v>
      </c>
      <c r="D13">
        <v>11.561020036429872</v>
      </c>
      <c r="E13">
        <v>11.64</v>
      </c>
      <c r="F13" s="2">
        <f>F12/F14</f>
        <v>12.01883521810662</v>
      </c>
      <c r="G13">
        <v>12.41</v>
      </c>
      <c r="H13" s="2">
        <f>H12/H14</f>
        <v>12.41</v>
      </c>
    </row>
    <row r="14" spans="1:9" x14ac:dyDescent="0.3">
      <c r="A14" t="s">
        <v>3</v>
      </c>
      <c r="B14">
        <v>0.79854545454545456</v>
      </c>
      <c r="C14">
        <v>0.79854545454545456</v>
      </c>
      <c r="D14">
        <v>0.79854545454545456</v>
      </c>
      <c r="E14">
        <v>0.79854545454545456</v>
      </c>
      <c r="F14">
        <v>0.79854545454545456</v>
      </c>
      <c r="G14">
        <v>0.79854545454545456</v>
      </c>
      <c r="H14">
        <v>0.79854545454545456</v>
      </c>
    </row>
    <row r="17" spans="1:3" x14ac:dyDescent="0.3">
      <c r="A17" t="s">
        <v>5</v>
      </c>
      <c r="B17" t="s">
        <v>10</v>
      </c>
      <c r="C17" s="7">
        <v>9.4299999999999995E-2</v>
      </c>
    </row>
    <row r="20" spans="1:3" x14ac:dyDescent="0.3">
      <c r="A20" t="s">
        <v>6</v>
      </c>
      <c r="B20" s="6">
        <f>E12/($C$17-$B$7)</f>
        <v>150.5176380734944</v>
      </c>
    </row>
    <row r="21" spans="1:3" x14ac:dyDescent="0.3">
      <c r="A21" t="s">
        <v>7</v>
      </c>
      <c r="B21" s="6">
        <f>F12/($C$17-$B$7)</f>
        <v>155.41638225291584</v>
      </c>
    </row>
    <row r="22" spans="1:3" x14ac:dyDescent="0.3">
      <c r="A22" t="s">
        <v>8</v>
      </c>
      <c r="B22" s="6">
        <f>G12/($C$17-$B$7)</f>
        <v>160.47456086701592</v>
      </c>
    </row>
    <row r="24" spans="1:3" x14ac:dyDescent="0.3">
      <c r="A24" t="s">
        <v>9</v>
      </c>
    </row>
    <row r="25" spans="1:3" x14ac:dyDescent="0.3">
      <c r="A25" t="s">
        <v>6</v>
      </c>
      <c r="B25" s="6">
        <f>B20</f>
        <v>150.5176380734944</v>
      </c>
    </row>
    <row r="26" spans="1:3" x14ac:dyDescent="0.3">
      <c r="A26" t="s">
        <v>7</v>
      </c>
      <c r="B26" s="6">
        <f>B21/(1+$B$7)</f>
        <v>150.5176380734944</v>
      </c>
      <c r="C26" t="s">
        <v>12</v>
      </c>
    </row>
    <row r="27" spans="1:3" x14ac:dyDescent="0.3">
      <c r="A27" t="s">
        <v>8</v>
      </c>
      <c r="B27" s="6">
        <f>B22/POWER(1+$B$7,2)</f>
        <v>150.5176380734944</v>
      </c>
    </row>
    <row r="29" spans="1:3" x14ac:dyDescent="0.3">
      <c r="A29" t="s">
        <v>13</v>
      </c>
    </row>
    <row r="30" spans="1:3" x14ac:dyDescent="0.3">
      <c r="A30" t="s">
        <v>14</v>
      </c>
    </row>
    <row r="31" spans="1:3" x14ac:dyDescent="0.3">
      <c r="A31" t="s">
        <v>15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60A4-033E-4E28-867E-017B53CD40CA}">
  <dimension ref="A1:M55"/>
  <sheetViews>
    <sheetView tabSelected="1" topLeftCell="A34" workbookViewId="0">
      <selection activeCell="D55" sqref="D55"/>
    </sheetView>
  </sheetViews>
  <sheetFormatPr baseColWidth="10" defaultRowHeight="14.4" x14ac:dyDescent="0.3"/>
  <cols>
    <col min="1" max="1" width="34.33203125" customWidth="1"/>
    <col min="2" max="8" width="14.33203125" bestFit="1" customWidth="1"/>
    <col min="9" max="9" width="17.33203125" bestFit="1" customWidth="1"/>
  </cols>
  <sheetData>
    <row r="1" spans="1:13" x14ac:dyDescent="0.3">
      <c r="A1" t="s">
        <v>16</v>
      </c>
    </row>
    <row r="2" spans="1:13" x14ac:dyDescent="0.3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</row>
    <row r="3" spans="1:13" x14ac:dyDescent="0.3">
      <c r="A3" t="s">
        <v>18</v>
      </c>
      <c r="B3" s="8">
        <v>957000</v>
      </c>
      <c r="C3" s="10">
        <f>B3*(1+C5)</f>
        <v>1064375.4000000001</v>
      </c>
      <c r="D3" s="10">
        <f t="shared" ref="D3:I3" si="0">C3*(1+D5)</f>
        <v>1193377.69848</v>
      </c>
      <c r="E3" s="10">
        <f t="shared" si="0"/>
        <v>1355677.0654732801</v>
      </c>
      <c r="F3" s="10">
        <f t="shared" si="0"/>
        <v>1498565.4281741637</v>
      </c>
      <c r="G3" s="10">
        <f t="shared" si="0"/>
        <v>1629689.9031394029</v>
      </c>
      <c r="H3" s="10">
        <f t="shared" si="0"/>
        <v>1736597.5607853478</v>
      </c>
      <c r="I3" s="10">
        <f t="shared" si="0"/>
        <v>1810923.9363869606</v>
      </c>
    </row>
    <row r="4" spans="1:13" x14ac:dyDescent="0.3">
      <c r="A4" t="s">
        <v>19</v>
      </c>
      <c r="B4" s="9">
        <v>0.3</v>
      </c>
      <c r="C4" s="9">
        <f>B4+5%</f>
        <v>0.35</v>
      </c>
      <c r="D4" s="9">
        <f t="shared" ref="D4:H4" si="1">C4+5%</f>
        <v>0.39999999999999997</v>
      </c>
      <c r="E4" s="9">
        <f t="shared" si="1"/>
        <v>0.44999999999999996</v>
      </c>
      <c r="F4" s="9">
        <f t="shared" si="1"/>
        <v>0.49999999999999994</v>
      </c>
      <c r="G4" s="9">
        <f t="shared" si="1"/>
        <v>0.54999999999999993</v>
      </c>
      <c r="H4" s="9">
        <f t="shared" si="1"/>
        <v>0.6</v>
      </c>
      <c r="I4" s="9">
        <f>H4+5%</f>
        <v>0.65</v>
      </c>
      <c r="J4" s="9"/>
    </row>
    <row r="5" spans="1:13" x14ac:dyDescent="0.3">
      <c r="A5" t="s">
        <v>20</v>
      </c>
      <c r="C5" s="7">
        <v>0.11219999999999999</v>
      </c>
      <c r="D5" s="7">
        <v>0.1212</v>
      </c>
      <c r="E5" s="7">
        <v>0.13600000000000001</v>
      </c>
      <c r="F5" s="7">
        <v>0.10539999999999999</v>
      </c>
      <c r="G5" s="7">
        <v>8.7499999999999994E-2</v>
      </c>
      <c r="H5" s="7">
        <v>6.5600000000000006E-2</v>
      </c>
      <c r="I5" s="7">
        <v>4.2799999999999998E-2</v>
      </c>
    </row>
    <row r="6" spans="1:13" ht="15" thickBot="1" x14ac:dyDescent="0.35">
      <c r="A6" t="s">
        <v>29</v>
      </c>
      <c r="B6" s="11">
        <v>10000</v>
      </c>
      <c r="C6" s="11">
        <v>10000</v>
      </c>
      <c r="D6" s="11">
        <v>10000</v>
      </c>
      <c r="E6" s="11">
        <v>10000</v>
      </c>
      <c r="F6" s="11">
        <v>10000</v>
      </c>
      <c r="G6" s="11">
        <v>10000</v>
      </c>
      <c r="H6" s="11">
        <v>10000</v>
      </c>
      <c r="I6" s="11">
        <v>10000</v>
      </c>
      <c r="K6" t="s">
        <v>44</v>
      </c>
    </row>
    <row r="7" spans="1:13" x14ac:dyDescent="0.3">
      <c r="K7" s="25" t="s">
        <v>36</v>
      </c>
      <c r="L7" s="26"/>
      <c r="M7" s="27"/>
    </row>
    <row r="8" spans="1:13" x14ac:dyDescent="0.3">
      <c r="A8" t="s">
        <v>33</v>
      </c>
      <c r="B8" s="9">
        <v>0.2</v>
      </c>
      <c r="K8" s="28"/>
      <c r="L8" s="29"/>
      <c r="M8" s="30"/>
    </row>
    <row r="9" spans="1:13" ht="15" thickBot="1" x14ac:dyDescent="0.35">
      <c r="K9" s="31"/>
      <c r="L9" s="32"/>
      <c r="M9" s="33"/>
    </row>
    <row r="10" spans="1:13" x14ac:dyDescent="0.3"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 t="s">
        <v>27</v>
      </c>
      <c r="I10" t="s">
        <v>28</v>
      </c>
    </row>
    <row r="11" spans="1:13" x14ac:dyDescent="0.3">
      <c r="A11" t="s">
        <v>30</v>
      </c>
      <c r="B11" s="10">
        <f>B3/B6</f>
        <v>95.7</v>
      </c>
      <c r="C11" s="10">
        <f t="shared" ref="C11:I11" si="2">C3/C6</f>
        <v>106.43754000000001</v>
      </c>
      <c r="D11" s="10">
        <f t="shared" si="2"/>
        <v>119.33776984800001</v>
      </c>
      <c r="E11" s="10">
        <f t="shared" si="2"/>
        <v>135.56770654732802</v>
      </c>
      <c r="F11" s="10">
        <f t="shared" si="2"/>
        <v>149.85654281741637</v>
      </c>
      <c r="G11" s="10">
        <f t="shared" si="2"/>
        <v>162.96899031394028</v>
      </c>
      <c r="H11" s="10">
        <f t="shared" si="2"/>
        <v>173.65975607853477</v>
      </c>
      <c r="I11" s="10">
        <f t="shared" si="2"/>
        <v>181.09239363869605</v>
      </c>
      <c r="K11" t="s">
        <v>43</v>
      </c>
    </row>
    <row r="12" spans="1:13" x14ac:dyDescent="0.3">
      <c r="A12" t="s">
        <v>3</v>
      </c>
      <c r="B12" s="9">
        <f>100%-B4</f>
        <v>0.7</v>
      </c>
      <c r="C12" s="9">
        <f t="shared" ref="C12:I12" si="3">100%-C4</f>
        <v>0.65</v>
      </c>
      <c r="D12" s="9">
        <f t="shared" si="3"/>
        <v>0.60000000000000009</v>
      </c>
      <c r="E12" s="9">
        <f t="shared" si="3"/>
        <v>0.55000000000000004</v>
      </c>
      <c r="F12" s="9">
        <f t="shared" si="3"/>
        <v>0.5</v>
      </c>
      <c r="G12" s="9">
        <f t="shared" si="3"/>
        <v>0.45000000000000007</v>
      </c>
      <c r="H12" s="9">
        <f t="shared" si="3"/>
        <v>0.4</v>
      </c>
      <c r="I12" s="9">
        <f t="shared" si="3"/>
        <v>0.35</v>
      </c>
    </row>
    <row r="13" spans="1:13" x14ac:dyDescent="0.3">
      <c r="A13" t="s">
        <v>31</v>
      </c>
      <c r="B13" s="10">
        <f>B11*B12</f>
        <v>66.989999999999995</v>
      </c>
      <c r="C13" s="10">
        <f t="shared" ref="C13:I13" si="4">C11*C12</f>
        <v>69.184401000000008</v>
      </c>
      <c r="D13" s="10">
        <f t="shared" si="4"/>
        <v>71.602661908800016</v>
      </c>
      <c r="E13" s="10">
        <f t="shared" si="4"/>
        <v>74.562238601030415</v>
      </c>
      <c r="F13" s="10">
        <f t="shared" si="4"/>
        <v>74.928271408708184</v>
      </c>
      <c r="G13" s="10">
        <f t="shared" si="4"/>
        <v>73.336045641273131</v>
      </c>
      <c r="H13" s="10">
        <f t="shared" si="4"/>
        <v>69.463902431413914</v>
      </c>
      <c r="I13" s="10">
        <f t="shared" si="4"/>
        <v>63.382337773543611</v>
      </c>
    </row>
    <row r="15" spans="1:13" x14ac:dyDescent="0.3">
      <c r="A15" t="s">
        <v>32</v>
      </c>
      <c r="B15" s="12">
        <f>NPV(B8,B13:I13)</f>
        <v>270.06320968614148</v>
      </c>
    </row>
    <row r="17" spans="1:9" x14ac:dyDescent="0.3">
      <c r="A17" t="s">
        <v>34</v>
      </c>
    </row>
    <row r="18" spans="1:9" x14ac:dyDescent="0.3">
      <c r="A18" t="s">
        <v>18</v>
      </c>
      <c r="B18" s="10">
        <f>I3*(1+I5)</f>
        <v>1888431.4808643223</v>
      </c>
    </row>
    <row r="19" spans="1:9" x14ac:dyDescent="0.3">
      <c r="A19" t="s">
        <v>29</v>
      </c>
      <c r="B19" s="11">
        <v>10000</v>
      </c>
      <c r="I19" t="s">
        <v>42</v>
      </c>
    </row>
    <row r="20" spans="1:9" x14ac:dyDescent="0.3">
      <c r="A20" t="s">
        <v>30</v>
      </c>
      <c r="B20" s="10">
        <f>B18/B19</f>
        <v>188.84314808643222</v>
      </c>
    </row>
    <row r="21" spans="1:9" x14ac:dyDescent="0.3">
      <c r="A21" t="s">
        <v>3</v>
      </c>
      <c r="B21" s="9">
        <f>I12</f>
        <v>0.35</v>
      </c>
    </row>
    <row r="22" spans="1:9" x14ac:dyDescent="0.3">
      <c r="A22" t="s">
        <v>35</v>
      </c>
      <c r="B22" s="10">
        <f>B20*B21</f>
        <v>66.095101830251281</v>
      </c>
      <c r="D22" s="13">
        <f>I13*(1+I5)</f>
        <v>66.095101830251281</v>
      </c>
      <c r="E22" t="s">
        <v>37</v>
      </c>
    </row>
    <row r="25" spans="1:9" x14ac:dyDescent="0.3">
      <c r="A25" t="s">
        <v>38</v>
      </c>
      <c r="B25" s="10">
        <f>B22/(B8-I5)</f>
        <v>420.45230171915568</v>
      </c>
      <c r="D25" t="s">
        <v>39</v>
      </c>
    </row>
    <row r="26" spans="1:9" x14ac:dyDescent="0.3">
      <c r="A26" t="s">
        <v>40</v>
      </c>
      <c r="B26" s="10">
        <f>B25/POWER(1+B8,8)</f>
        <v>97.783767455802518</v>
      </c>
    </row>
    <row r="27" spans="1:9" x14ac:dyDescent="0.3">
      <c r="A27" t="s">
        <v>41</v>
      </c>
      <c r="B27" s="10">
        <f>B26+B15</f>
        <v>367.84697714194397</v>
      </c>
    </row>
    <row r="30" spans="1:9" x14ac:dyDescent="0.3">
      <c r="A30" t="s">
        <v>45</v>
      </c>
    </row>
    <row r="31" spans="1:9" x14ac:dyDescent="0.3">
      <c r="A31">
        <v>2022</v>
      </c>
    </row>
    <row r="32" spans="1:9" x14ac:dyDescent="0.3">
      <c r="A32" t="s">
        <v>47</v>
      </c>
      <c r="B32">
        <v>5.5</v>
      </c>
    </row>
    <row r="33" spans="1:3" x14ac:dyDescent="0.3">
      <c r="A33" t="s">
        <v>46</v>
      </c>
      <c r="B33">
        <v>235</v>
      </c>
    </row>
    <row r="34" spans="1:3" x14ac:dyDescent="0.3">
      <c r="A34" t="s">
        <v>17</v>
      </c>
      <c r="B34">
        <v>450000</v>
      </c>
      <c r="C34" t="s">
        <v>49</v>
      </c>
    </row>
    <row r="35" spans="1:3" x14ac:dyDescent="0.3">
      <c r="A35" t="s">
        <v>30</v>
      </c>
      <c r="B35" s="1">
        <f>B33/B32</f>
        <v>42.727272727272727</v>
      </c>
    </row>
    <row r="36" spans="1:3" x14ac:dyDescent="0.3">
      <c r="A36" t="s">
        <v>48</v>
      </c>
      <c r="B36" s="14">
        <f>B34/B35</f>
        <v>10531.914893617022</v>
      </c>
    </row>
    <row r="38" spans="1:3" x14ac:dyDescent="0.3">
      <c r="A38">
        <v>2023</v>
      </c>
      <c r="B38" t="s">
        <v>60</v>
      </c>
    </row>
    <row r="39" spans="1:3" x14ac:dyDescent="0.3">
      <c r="A39" t="s">
        <v>17</v>
      </c>
      <c r="B39">
        <v>500000</v>
      </c>
    </row>
    <row r="40" spans="1:3" x14ac:dyDescent="0.3">
      <c r="A40" t="s">
        <v>30</v>
      </c>
      <c r="B40" s="1">
        <f>B39/B36</f>
        <v>47.474747474747467</v>
      </c>
    </row>
    <row r="41" spans="1:3" x14ac:dyDescent="0.3">
      <c r="A41" t="s">
        <v>50</v>
      </c>
      <c r="B41" s="9">
        <v>0.14000000000000001</v>
      </c>
    </row>
    <row r="42" spans="1:3" x14ac:dyDescent="0.3">
      <c r="A42" t="s">
        <v>51</v>
      </c>
      <c r="B42" s="1">
        <f>B40</f>
        <v>47.474747474747467</v>
      </c>
    </row>
    <row r="43" spans="1:3" x14ac:dyDescent="0.3">
      <c r="A43" t="s">
        <v>52</v>
      </c>
      <c r="B43" s="1">
        <f>B42/B41</f>
        <v>339.105339105339</v>
      </c>
    </row>
    <row r="46" spans="1:3" x14ac:dyDescent="0.3">
      <c r="A46" t="s">
        <v>5</v>
      </c>
    </row>
    <row r="47" spans="1:3" x14ac:dyDescent="0.3">
      <c r="B47" t="s">
        <v>56</v>
      </c>
      <c r="C47" t="s">
        <v>57</v>
      </c>
    </row>
    <row r="48" spans="1:3" x14ac:dyDescent="0.3">
      <c r="A48" t="s">
        <v>53</v>
      </c>
      <c r="B48">
        <v>400</v>
      </c>
      <c r="C48">
        <v>340</v>
      </c>
    </row>
    <row r="49" spans="1:3" x14ac:dyDescent="0.3">
      <c r="A49" t="s">
        <v>54</v>
      </c>
      <c r="B49" s="10">
        <f>B27</f>
        <v>367.84697714194397</v>
      </c>
      <c r="C49" s="1">
        <f>B43</f>
        <v>339.105339105339</v>
      </c>
    </row>
    <row r="51" spans="1:3" x14ac:dyDescent="0.3">
      <c r="A51" t="s">
        <v>55</v>
      </c>
    </row>
    <row r="52" spans="1:3" x14ac:dyDescent="0.3">
      <c r="A52" t="s">
        <v>58</v>
      </c>
    </row>
    <row r="54" spans="1:3" x14ac:dyDescent="0.3">
      <c r="A54" t="s">
        <v>59</v>
      </c>
    </row>
    <row r="55" spans="1:3" x14ac:dyDescent="0.3">
      <c r="A55" t="s">
        <v>106</v>
      </c>
    </row>
  </sheetData>
  <mergeCells count="1">
    <mergeCell ref="K7:M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E6C-BA34-4E1A-AAF5-3BE09BF98582}">
  <dimension ref="A1:E23"/>
  <sheetViews>
    <sheetView workbookViewId="0">
      <selection activeCell="F20" sqref="F20"/>
    </sheetView>
  </sheetViews>
  <sheetFormatPr baseColWidth="10" defaultRowHeight="14.4" x14ac:dyDescent="0.3"/>
  <sheetData>
    <row r="1" spans="1:5" x14ac:dyDescent="0.3">
      <c r="A1" t="s">
        <v>62</v>
      </c>
    </row>
    <row r="2" spans="1:5" x14ac:dyDescent="0.3">
      <c r="A2" t="s">
        <v>61</v>
      </c>
      <c r="B2">
        <v>-2</v>
      </c>
      <c r="C2">
        <v>-1</v>
      </c>
      <c r="D2">
        <v>0</v>
      </c>
    </row>
    <row r="3" spans="1:5" x14ac:dyDescent="0.3">
      <c r="A3" t="s">
        <v>30</v>
      </c>
      <c r="B3">
        <v>27.54</v>
      </c>
      <c r="C3">
        <v>18.562100000000001</v>
      </c>
      <c r="D3">
        <v>33.333449999999999</v>
      </c>
    </row>
    <row r="4" spans="1:5" x14ac:dyDescent="0.3">
      <c r="A4" t="s">
        <v>31</v>
      </c>
      <c r="B4">
        <v>11.112</v>
      </c>
      <c r="C4">
        <v>13.574999999999999</v>
      </c>
      <c r="D4">
        <v>20.498999999999999</v>
      </c>
    </row>
    <row r="6" spans="1:5" x14ac:dyDescent="0.3">
      <c r="A6" t="s">
        <v>63</v>
      </c>
      <c r="B6" t="s">
        <v>31</v>
      </c>
      <c r="C6" t="s">
        <v>64</v>
      </c>
      <c r="D6" t="s">
        <v>65</v>
      </c>
      <c r="E6" t="s">
        <v>66</v>
      </c>
    </row>
    <row r="7" spans="1:5" x14ac:dyDescent="0.3">
      <c r="A7">
        <v>0</v>
      </c>
    </row>
    <row r="8" spans="1:5" x14ac:dyDescent="0.3">
      <c r="A8">
        <v>1</v>
      </c>
    </row>
    <row r="9" spans="1:5" x14ac:dyDescent="0.3">
      <c r="A9">
        <v>2</v>
      </c>
    </row>
    <row r="10" spans="1:5" x14ac:dyDescent="0.3">
      <c r="A10">
        <v>3</v>
      </c>
    </row>
    <row r="11" spans="1:5" x14ac:dyDescent="0.3">
      <c r="A11">
        <v>4</v>
      </c>
    </row>
    <row r="12" spans="1:5" x14ac:dyDescent="0.3">
      <c r="A12">
        <v>5</v>
      </c>
    </row>
    <row r="13" spans="1:5" x14ac:dyDescent="0.3">
      <c r="A13">
        <v>6</v>
      </c>
    </row>
    <row r="14" spans="1:5" x14ac:dyDescent="0.3">
      <c r="A14">
        <v>7</v>
      </c>
    </row>
    <row r="15" spans="1:5" x14ac:dyDescent="0.3">
      <c r="A15">
        <v>8</v>
      </c>
    </row>
    <row r="16" spans="1:5" x14ac:dyDescent="0.3">
      <c r="A16">
        <v>9</v>
      </c>
    </row>
    <row r="17" spans="1:1" x14ac:dyDescent="0.3">
      <c r="A17">
        <v>10</v>
      </c>
    </row>
    <row r="18" spans="1:1" x14ac:dyDescent="0.3">
      <c r="A18">
        <v>11</v>
      </c>
    </row>
    <row r="19" spans="1:1" x14ac:dyDescent="0.3">
      <c r="A19">
        <v>12</v>
      </c>
    </row>
    <row r="20" spans="1:1" x14ac:dyDescent="0.3">
      <c r="A20">
        <v>13</v>
      </c>
    </row>
    <row r="21" spans="1:1" x14ac:dyDescent="0.3">
      <c r="A21">
        <v>14</v>
      </c>
    </row>
    <row r="22" spans="1:1" x14ac:dyDescent="0.3">
      <c r="A22">
        <v>15</v>
      </c>
    </row>
    <row r="23" spans="1:1" x14ac:dyDescent="0.3">
      <c r="A23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5B80-FC2D-4A74-8811-3B6F595EE2BB}">
  <dimension ref="A2:D55"/>
  <sheetViews>
    <sheetView showGridLines="0" topLeftCell="A16" workbookViewId="0">
      <selection activeCell="C43" sqref="C43"/>
    </sheetView>
  </sheetViews>
  <sheetFormatPr baseColWidth="10" defaultRowHeight="14.4" x14ac:dyDescent="0.3"/>
  <cols>
    <col min="1" max="1" width="34.88671875" customWidth="1"/>
    <col min="2" max="2" width="16.44140625" bestFit="1" customWidth="1"/>
    <col min="3" max="3" width="17" customWidth="1"/>
  </cols>
  <sheetData>
    <row r="2" spans="1:3" x14ac:dyDescent="0.3">
      <c r="A2" t="s">
        <v>67</v>
      </c>
      <c r="B2" s="8">
        <v>13000000</v>
      </c>
    </row>
    <row r="3" spans="1:3" x14ac:dyDescent="0.3">
      <c r="A3" t="s">
        <v>68</v>
      </c>
      <c r="B3" s="8">
        <v>86.79</v>
      </c>
    </row>
    <row r="4" spans="1:3" x14ac:dyDescent="0.3">
      <c r="A4" t="s">
        <v>69</v>
      </c>
      <c r="B4">
        <v>4050000</v>
      </c>
    </row>
    <row r="5" spans="1:3" x14ac:dyDescent="0.3">
      <c r="A5" t="s">
        <v>30</v>
      </c>
      <c r="B5">
        <v>18.899999999999999</v>
      </c>
    </row>
    <row r="6" spans="1:3" x14ac:dyDescent="0.3">
      <c r="A6" t="s">
        <v>62</v>
      </c>
    </row>
    <row r="7" spans="1:3" x14ac:dyDescent="0.3">
      <c r="A7" t="s">
        <v>70</v>
      </c>
      <c r="B7" s="3">
        <f>B5/B3</f>
        <v>0.21776702385067401</v>
      </c>
    </row>
    <row r="8" spans="1:3" x14ac:dyDescent="0.3">
      <c r="A8" t="s">
        <v>77</v>
      </c>
    </row>
    <row r="9" spans="1:3" ht="14.4" customHeight="1" x14ac:dyDescent="0.3">
      <c r="A9" s="34" t="s">
        <v>98</v>
      </c>
      <c r="B9" s="35"/>
    </row>
    <row r="10" spans="1:3" x14ac:dyDescent="0.3">
      <c r="A10" s="36"/>
      <c r="B10" s="37"/>
      <c r="C10" t="s">
        <v>73</v>
      </c>
    </row>
    <row r="11" spans="1:3" x14ac:dyDescent="0.3">
      <c r="A11" s="16" t="s">
        <v>71</v>
      </c>
      <c r="B11" s="17">
        <f>B5*B4</f>
        <v>76545000</v>
      </c>
    </row>
    <row r="12" spans="1:3" x14ac:dyDescent="0.3">
      <c r="A12" s="16" t="s">
        <v>72</v>
      </c>
      <c r="B12" s="18">
        <f>B2/B3</f>
        <v>149786.84180205091</v>
      </c>
    </row>
    <row r="13" spans="1:3" x14ac:dyDescent="0.3">
      <c r="A13" s="16" t="s">
        <v>99</v>
      </c>
      <c r="B13" s="17">
        <f>B11</f>
        <v>76545000</v>
      </c>
    </row>
    <row r="14" spans="1:3" x14ac:dyDescent="0.3">
      <c r="A14" s="16" t="s">
        <v>103</v>
      </c>
      <c r="B14" s="18">
        <f>B4-B12</f>
        <v>3900213.1581979492</v>
      </c>
    </row>
    <row r="15" spans="1:3" x14ac:dyDescent="0.3">
      <c r="A15" s="16" t="s">
        <v>97</v>
      </c>
      <c r="B15" s="19">
        <f>B13/B14</f>
        <v>19.625850407459982</v>
      </c>
    </row>
    <row r="16" spans="1:3" x14ac:dyDescent="0.3">
      <c r="A16" s="16" t="s">
        <v>100</v>
      </c>
      <c r="B16" s="20">
        <f>B15/B7</f>
        <v>90.123151156796411</v>
      </c>
    </row>
    <row r="18" spans="1:4" x14ac:dyDescent="0.3">
      <c r="A18" t="s">
        <v>78</v>
      </c>
    </row>
    <row r="19" spans="1:4" x14ac:dyDescent="0.3">
      <c r="A19" s="38" t="s">
        <v>101</v>
      </c>
      <c r="B19" s="38"/>
    </row>
    <row r="20" spans="1:4" x14ac:dyDescent="0.3">
      <c r="A20" s="38"/>
      <c r="B20" s="38"/>
    </row>
    <row r="21" spans="1:4" x14ac:dyDescent="0.3">
      <c r="A21" s="16" t="s">
        <v>74</v>
      </c>
      <c r="B21" s="21">
        <v>0.06</v>
      </c>
    </row>
    <row r="22" spans="1:4" x14ac:dyDescent="0.3">
      <c r="A22" s="16" t="s">
        <v>102</v>
      </c>
      <c r="B22" s="19">
        <f>B2</f>
        <v>13000000</v>
      </c>
      <c r="C22" t="s">
        <v>76</v>
      </c>
    </row>
    <row r="23" spans="1:4" x14ac:dyDescent="0.3">
      <c r="A23" s="16" t="s">
        <v>75</v>
      </c>
      <c r="B23" s="19">
        <f>B22*B21</f>
        <v>780000</v>
      </c>
    </row>
    <row r="24" spans="1:4" x14ac:dyDescent="0.3">
      <c r="A24" s="16" t="s">
        <v>99</v>
      </c>
      <c r="B24" s="19">
        <f>B11-B23</f>
        <v>75765000</v>
      </c>
    </row>
    <row r="25" spans="1:4" x14ac:dyDescent="0.3">
      <c r="A25" s="16" t="s">
        <v>72</v>
      </c>
      <c r="B25" s="18">
        <f>B22/B3</f>
        <v>149786.84180205091</v>
      </c>
    </row>
    <row r="26" spans="1:4" x14ac:dyDescent="0.3">
      <c r="A26" s="16" t="s">
        <v>103</v>
      </c>
      <c r="B26" s="18">
        <f>B4-B25</f>
        <v>3900213.1581979492</v>
      </c>
    </row>
    <row r="27" spans="1:4" x14ac:dyDescent="0.3">
      <c r="A27" s="16" t="s">
        <v>97</v>
      </c>
      <c r="B27" s="19">
        <f>B24/B26</f>
        <v>19.425861338052197</v>
      </c>
      <c r="D27" s="15">
        <f>B16-B28</f>
        <v>0.91836250443924428</v>
      </c>
    </row>
    <row r="28" spans="1:4" x14ac:dyDescent="0.3">
      <c r="A28" s="16" t="s">
        <v>100</v>
      </c>
      <c r="B28" s="20">
        <f>B27/B7</f>
        <v>89.204788652357166</v>
      </c>
    </row>
    <row r="30" spans="1:4" x14ac:dyDescent="0.3">
      <c r="A30" t="s">
        <v>79</v>
      </c>
    </row>
    <row r="31" spans="1:4" x14ac:dyDescent="0.3">
      <c r="A31" t="s">
        <v>80</v>
      </c>
    </row>
    <row r="32" spans="1:4" x14ac:dyDescent="0.3">
      <c r="B32" s="16" t="s">
        <v>83</v>
      </c>
      <c r="C32" s="16" t="s">
        <v>104</v>
      </c>
    </row>
    <row r="33" spans="1:3" x14ac:dyDescent="0.3">
      <c r="A33" s="16" t="s">
        <v>81</v>
      </c>
      <c r="B33" s="19">
        <f>B3</f>
        <v>86.79</v>
      </c>
      <c r="C33" s="20">
        <f>B16</f>
        <v>90.123151156796411</v>
      </c>
    </row>
    <row r="34" spans="1:3" x14ac:dyDescent="0.3">
      <c r="A34" s="16" t="s">
        <v>29</v>
      </c>
      <c r="B34" s="18">
        <f>B4</f>
        <v>4050000</v>
      </c>
      <c r="C34" s="18">
        <f>B14</f>
        <v>3900213.1581979492</v>
      </c>
    </row>
    <row r="35" spans="1:3" x14ac:dyDescent="0.3">
      <c r="A35" s="16" t="s">
        <v>82</v>
      </c>
      <c r="B35" s="19">
        <f>B33*B34</f>
        <v>351499500</v>
      </c>
      <c r="C35" s="19">
        <f>C33*C34</f>
        <v>351499500.00000006</v>
      </c>
    </row>
    <row r="36" spans="1:3" x14ac:dyDescent="0.3">
      <c r="A36" t="s">
        <v>84</v>
      </c>
    </row>
    <row r="38" spans="1:3" x14ac:dyDescent="0.3">
      <c r="A38" t="s">
        <v>85</v>
      </c>
    </row>
    <row r="39" spans="1:3" x14ac:dyDescent="0.3">
      <c r="A39" t="s">
        <v>86</v>
      </c>
    </row>
    <row r="41" spans="1:3" x14ac:dyDescent="0.3">
      <c r="A41" t="s">
        <v>87</v>
      </c>
    </row>
    <row r="42" spans="1:3" x14ac:dyDescent="0.3">
      <c r="B42" s="24"/>
    </row>
    <row r="43" spans="1:3" x14ac:dyDescent="0.3">
      <c r="A43" s="39" t="s">
        <v>89</v>
      </c>
      <c r="B43" s="39"/>
    </row>
    <row r="44" spans="1:3" x14ac:dyDescent="0.3">
      <c r="A44" s="16" t="s">
        <v>52</v>
      </c>
      <c r="B44" s="17">
        <v>72</v>
      </c>
    </row>
    <row r="45" spans="1:3" x14ac:dyDescent="0.3">
      <c r="A45" s="16" t="s">
        <v>88</v>
      </c>
      <c r="B45" s="16">
        <v>8</v>
      </c>
    </row>
    <row r="46" spans="1:3" x14ac:dyDescent="0.3">
      <c r="A46" s="16" t="s">
        <v>29</v>
      </c>
      <c r="B46" s="18">
        <v>4300000</v>
      </c>
    </row>
    <row r="47" spans="1:3" x14ac:dyDescent="0.3">
      <c r="A47" s="16" t="s">
        <v>94</v>
      </c>
      <c r="B47" s="17">
        <f>B45*B46</f>
        <v>34400000</v>
      </c>
    </row>
    <row r="48" spans="1:3" x14ac:dyDescent="0.3">
      <c r="A48" s="16" t="s">
        <v>70</v>
      </c>
      <c r="B48" s="23">
        <f>B45/B44</f>
        <v>0.1111111111111111</v>
      </c>
    </row>
    <row r="49" spans="1:3" x14ac:dyDescent="0.3">
      <c r="A49" s="16" t="s">
        <v>89</v>
      </c>
      <c r="B49" s="17">
        <v>75</v>
      </c>
    </row>
    <row r="50" spans="1:3" x14ac:dyDescent="0.3">
      <c r="A50" s="16" t="s">
        <v>90</v>
      </c>
      <c r="B50" s="17">
        <f>(B46-(B47/(B49*B48)))*B44</f>
        <v>12383999.999999966</v>
      </c>
      <c r="C50" t="s">
        <v>105</v>
      </c>
    </row>
    <row r="51" spans="1:3" x14ac:dyDescent="0.3">
      <c r="A51" s="16" t="s">
        <v>91</v>
      </c>
      <c r="B51" s="18">
        <f>B50/B44</f>
        <v>171999.99999999953</v>
      </c>
    </row>
    <row r="52" spans="1:3" x14ac:dyDescent="0.3">
      <c r="A52" s="16" t="s">
        <v>92</v>
      </c>
      <c r="B52" s="18">
        <f>B46-B51</f>
        <v>4128000.0000000005</v>
      </c>
    </row>
    <row r="53" spans="1:3" x14ac:dyDescent="0.3">
      <c r="A53" s="16" t="s">
        <v>93</v>
      </c>
      <c r="B53" s="17">
        <f>B47</f>
        <v>34400000</v>
      </c>
    </row>
    <row r="54" spans="1:3" x14ac:dyDescent="0.3">
      <c r="A54" s="16" t="s">
        <v>95</v>
      </c>
      <c r="B54" s="22">
        <f>B53/B52</f>
        <v>8.3333333333333321</v>
      </c>
    </row>
    <row r="55" spans="1:3" x14ac:dyDescent="0.3">
      <c r="A55" s="16" t="s">
        <v>96</v>
      </c>
      <c r="B55" s="17">
        <f>B54/B48</f>
        <v>75</v>
      </c>
    </row>
  </sheetData>
  <mergeCells count="3">
    <mergeCell ref="A9:B10"/>
    <mergeCell ref="A19:B20"/>
    <mergeCell ref="A43:B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2</vt:lpstr>
      <vt:lpstr>Punto 3</vt:lpstr>
      <vt:lpstr>Punto 4</vt:lpstr>
      <vt:lpstr>Punto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2023-09-24T13:52:52Z</dcterms:created>
  <dcterms:modified xsi:type="dcterms:W3CDTF">2023-09-30T02:56:25Z</dcterms:modified>
</cp:coreProperties>
</file>