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OneDrive\Documents\000UGA\Research\5-N-EWN\5-Data\2-GC Data\"/>
    </mc:Choice>
  </mc:AlternateContent>
  <xr:revisionPtr revIDLastSave="0" documentId="13_ncr:1_{45359AB1-BDF3-48AF-BB2A-490E475A366F}" xr6:coauthVersionLast="47" xr6:coauthVersionMax="47" xr10:uidLastSave="{00000000-0000-0000-0000-000000000000}"/>
  <bookViews>
    <workbookView xWindow="-38510" yWindow="-3260" windowWidth="38620" windowHeight="21100" activeTab="5" xr2:uid="{8B4FC8D4-E10F-4E7F-9BFC-16429CFD63D6}"/>
  </bookViews>
  <sheets>
    <sheet name="stability check" sheetId="2" r:id="rId1"/>
    <sheet name="std curve" sheetId="1" r:id="rId2"/>
    <sheet name="raw data" sheetId="3" r:id="rId3"/>
    <sheet name="run calibration check" sheetId="4" r:id="rId4"/>
    <sheet name="dilution factor" sheetId="5" r:id="rId5"/>
    <sheet name="headpace equilibration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4" i="6" l="1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D9" i="5"/>
  <c r="B9" i="5"/>
  <c r="J7" i="5"/>
  <c r="I7" i="5"/>
  <c r="K7" i="5" s="1"/>
  <c r="L7" i="5" s="1"/>
  <c r="J6" i="5"/>
  <c r="K6" i="5" s="1"/>
  <c r="L6" i="5" s="1"/>
  <c r="I6" i="5"/>
  <c r="Q16" i="1" l="1"/>
  <c r="Q15" i="1"/>
  <c r="Q4" i="1"/>
  <c r="T5" i="3" s="1"/>
  <c r="Q3" i="1"/>
  <c r="J4" i="2"/>
  <c r="I3" i="2"/>
  <c r="J3" i="2"/>
  <c r="I4" i="2"/>
  <c r="N3" i="4"/>
  <c r="N2" i="4"/>
  <c r="A5" i="4"/>
  <c r="A6" i="4" s="1"/>
  <c r="A7" i="4" s="1"/>
  <c r="A8" i="4" s="1"/>
  <c r="A9" i="4" s="1"/>
  <c r="A10" i="4" s="1"/>
  <c r="A11" i="4" s="1"/>
  <c r="A12" i="4" s="1"/>
  <c r="A4" i="4"/>
  <c r="A3" i="4"/>
  <c r="T6" i="3"/>
  <c r="T3" i="3"/>
  <c r="N44" i="3" s="1"/>
  <c r="T2" i="3"/>
  <c r="M11" i="3" s="1"/>
  <c r="N22" i="3" l="1"/>
  <c r="N11" i="3"/>
  <c r="M12" i="3"/>
  <c r="N12" i="3"/>
  <c r="I5" i="4"/>
  <c r="I2" i="4"/>
  <c r="I3" i="4"/>
  <c r="M33" i="3"/>
  <c r="J11" i="4"/>
  <c r="J2" i="4"/>
  <c r="J3" i="4"/>
  <c r="N33" i="3"/>
  <c r="M22" i="3"/>
  <c r="M44" i="3"/>
  <c r="I9" i="4"/>
  <c r="I6" i="4"/>
  <c r="I7" i="4"/>
  <c r="J4" i="4"/>
  <c r="J12" i="4"/>
  <c r="J5" i="4"/>
  <c r="J6" i="4"/>
  <c r="J7" i="4"/>
  <c r="J8" i="4"/>
  <c r="J9" i="4"/>
  <c r="I8" i="4"/>
  <c r="I10" i="4"/>
  <c r="I11" i="4"/>
  <c r="I4" i="4"/>
  <c r="I12" i="4"/>
  <c r="J10" i="4"/>
</calcChain>
</file>

<file path=xl/sharedStrings.xml><?xml version="1.0" encoding="utf-8"?>
<sst xmlns="http://schemas.openxmlformats.org/spreadsheetml/2006/main" count="566" uniqueCount="157">
  <si>
    <t>CH4 std</t>
  </si>
  <si>
    <t>CO2 std</t>
  </si>
  <si>
    <t>Time</t>
  </si>
  <si>
    <t>CH4 hgt</t>
  </si>
  <si>
    <t>CH4 area</t>
  </si>
  <si>
    <t>CO2 hgt</t>
  </si>
  <si>
    <t>CO2 area</t>
  </si>
  <si>
    <t>Notes</t>
  </si>
  <si>
    <t>File name</t>
  </si>
  <si>
    <t>File Name</t>
  </si>
  <si>
    <t>NA</t>
  </si>
  <si>
    <t>CH4 % Diff</t>
  </si>
  <si>
    <t>CO2 % Diff</t>
  </si>
  <si>
    <t>Max area</t>
  </si>
  <si>
    <t>Calibration check value</t>
  </si>
  <si>
    <t xml:space="preserve">Vial </t>
  </si>
  <si>
    <t>Site</t>
  </si>
  <si>
    <t>Location</t>
  </si>
  <si>
    <t>Rep</t>
  </si>
  <si>
    <t>Collection Date</t>
  </si>
  <si>
    <t>CH4 Peak hgt</t>
  </si>
  <si>
    <t>CH4 Peak area</t>
  </si>
  <si>
    <t>CO2 Peak hgt</t>
  </si>
  <si>
    <t>CO2 Peak area</t>
  </si>
  <si>
    <t>Run Date</t>
  </si>
  <si>
    <t>dev CH4</t>
  </si>
  <si>
    <t>dev Co2</t>
  </si>
  <si>
    <t>dilution sample vol (ml)</t>
  </si>
  <si>
    <t>dilution status</t>
  </si>
  <si>
    <t>dev CO2</t>
  </si>
  <si>
    <t>calibration check</t>
  </si>
  <si>
    <t>std curve 30 ppm CH4</t>
  </si>
  <si>
    <t>std curve 2000 ppm CO2</t>
  </si>
  <si>
    <t>CH4 max area</t>
  </si>
  <si>
    <t>CO2 max area</t>
  </si>
  <si>
    <t>ID</t>
  </si>
  <si>
    <t>Vial #</t>
  </si>
  <si>
    <t>Dilution 1</t>
  </si>
  <si>
    <t>Dilution 2</t>
  </si>
  <si>
    <t>Dilution 3</t>
  </si>
  <si>
    <t>Date</t>
  </si>
  <si>
    <t>CH4 conc</t>
  </si>
  <si>
    <t>CO2 conc</t>
  </si>
  <si>
    <t>Avg area</t>
  </si>
  <si>
    <t>Std area</t>
  </si>
  <si>
    <t>Raw data area</t>
  </si>
  <si>
    <t>Dilution Factor</t>
  </si>
  <si>
    <t>CH4</t>
  </si>
  <si>
    <t>CO2</t>
  </si>
  <si>
    <t>CO2  area</t>
  </si>
  <si>
    <t>std1_3_345</t>
  </si>
  <si>
    <t>std1_3_346</t>
  </si>
  <si>
    <t>EDC_A_03</t>
  </si>
  <si>
    <t>EDC_A_04</t>
  </si>
  <si>
    <t>EDC_A_05</t>
  </si>
  <si>
    <t>EDC_A_06</t>
  </si>
  <si>
    <t>EDC_A_07</t>
  </si>
  <si>
    <t>EDC_A_08</t>
  </si>
  <si>
    <t>EDC_A_09</t>
  </si>
  <si>
    <t>EDC_A_10</t>
  </si>
  <si>
    <t>0181</t>
  </si>
  <si>
    <t>Deans</t>
  </si>
  <si>
    <t>top</t>
  </si>
  <si>
    <t>EDC_A_12</t>
  </si>
  <si>
    <t>0182</t>
  </si>
  <si>
    <t>EDC_A_13</t>
  </si>
  <si>
    <t>std curve 200 ppm CH4</t>
  </si>
  <si>
    <t>std curve 10000 ppm CO2</t>
  </si>
  <si>
    <t>0183</t>
  </si>
  <si>
    <t>EDC_A_14</t>
  </si>
  <si>
    <t>needle bent; don't include</t>
  </si>
  <si>
    <t>0184</t>
  </si>
  <si>
    <t>bottom</t>
  </si>
  <si>
    <t>EDC_A_15</t>
  </si>
  <si>
    <t>split peak</t>
  </si>
  <si>
    <t>EDC_A_15.01</t>
  </si>
  <si>
    <t>0185</t>
  </si>
  <si>
    <t>EDC_A_16</t>
  </si>
  <si>
    <t>0186</t>
  </si>
  <si>
    <t>EDC_A_17</t>
  </si>
  <si>
    <t>0187</t>
  </si>
  <si>
    <t>outlet</t>
  </si>
  <si>
    <t>EDC_A_18</t>
  </si>
  <si>
    <t>0188</t>
  </si>
  <si>
    <t>EDC_A_19</t>
  </si>
  <si>
    <t>EDC_A_20</t>
  </si>
  <si>
    <t>EDC_A_21</t>
  </si>
  <si>
    <t>EDC_A_22</t>
  </si>
  <si>
    <t>0189</t>
  </si>
  <si>
    <t>0190</t>
  </si>
  <si>
    <t>inlet</t>
  </si>
  <si>
    <t>EDC_A_23</t>
  </si>
  <si>
    <t>0191</t>
  </si>
  <si>
    <t>0192</t>
  </si>
  <si>
    <t>EDC_A_24</t>
  </si>
  <si>
    <t>EDC_A_25</t>
  </si>
  <si>
    <t>0203</t>
  </si>
  <si>
    <t>Sister3</t>
  </si>
  <si>
    <t>EDC_A_26</t>
  </si>
  <si>
    <t>0204</t>
  </si>
  <si>
    <t>EDC_A_27</t>
  </si>
  <si>
    <t>0205</t>
  </si>
  <si>
    <t>EDC_A_28</t>
  </si>
  <si>
    <t>0206</t>
  </si>
  <si>
    <t>EDC_A_29</t>
  </si>
  <si>
    <t>exceeds highest standard</t>
  </si>
  <si>
    <t>0209</t>
  </si>
  <si>
    <t>EDC_A_30</t>
  </si>
  <si>
    <t>EDC_A_31</t>
  </si>
  <si>
    <t>EDC_A_32</t>
  </si>
  <si>
    <t>0210</t>
  </si>
  <si>
    <t>0211</t>
  </si>
  <si>
    <t>EDC_A_33</t>
  </si>
  <si>
    <t>0212</t>
  </si>
  <si>
    <t>EDC_A_34</t>
  </si>
  <si>
    <t>0213</t>
  </si>
  <si>
    <t>EDC_A_35</t>
  </si>
  <si>
    <t>0214</t>
  </si>
  <si>
    <t>EDC_A_36</t>
  </si>
  <si>
    <t>0226</t>
  </si>
  <si>
    <t>EDC_A_37</t>
  </si>
  <si>
    <t>0229</t>
  </si>
  <si>
    <t>EDC_A_39</t>
  </si>
  <si>
    <t>0230</t>
  </si>
  <si>
    <t>EDC_A_40</t>
  </si>
  <si>
    <t>0231</t>
  </si>
  <si>
    <t>EDC_A_41</t>
  </si>
  <si>
    <t>0232</t>
  </si>
  <si>
    <t>EDC_A_42</t>
  </si>
  <si>
    <t>EDC_A_43</t>
  </si>
  <si>
    <t>0233</t>
  </si>
  <si>
    <t>EDC_A_44</t>
  </si>
  <si>
    <t>0234</t>
  </si>
  <si>
    <t>EDC_A_45</t>
  </si>
  <si>
    <t>0235</t>
  </si>
  <si>
    <t>EDC_A_46</t>
  </si>
  <si>
    <t>0236</t>
  </si>
  <si>
    <t>EDC_A_47</t>
  </si>
  <si>
    <t>0237</t>
  </si>
  <si>
    <t>EDC_A_48</t>
  </si>
  <si>
    <t>0249</t>
  </si>
  <si>
    <t>Catfish</t>
  </si>
  <si>
    <t>EDC_A_49</t>
  </si>
  <si>
    <t>0250</t>
  </si>
  <si>
    <t>EDC_A_50</t>
  </si>
  <si>
    <t>0251</t>
  </si>
  <si>
    <t>EDC_A_51</t>
  </si>
  <si>
    <t>0252</t>
  </si>
  <si>
    <t>EDC_A_52</t>
  </si>
  <si>
    <t>0253</t>
  </si>
  <si>
    <t>EDC_A_53</t>
  </si>
  <si>
    <t>EDC_A_54</t>
  </si>
  <si>
    <t>10000 ppm</t>
  </si>
  <si>
    <t xml:space="preserve">20000 ppm </t>
  </si>
  <si>
    <t>CH4 conc ppm</t>
  </si>
  <si>
    <t>CO2 conc ppm</t>
  </si>
  <si>
    <t>CH4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</si>
</sst>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 vertical="top"/>
    </xf>
    <xf numFmtId="0" fontId="0" fillId="2" borderId="0" xfId="0" applyFill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3" borderId="0" xfId="0" applyFill="1"/>
    <xf numFmtId="49" fontId="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 wrapText="1"/>
    </xf>
    <xf numFmtId="166" fontId="1" fillId="0" borderId="0" xfId="0" applyNumberFormat="1" applyFont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left"/>
    </xf>
    <xf numFmtId="0" fontId="1" fillId="0" borderId="0" xfId="0" applyFont="1" applyAlignment="1">
      <alignment vertical="top" wrapText="1"/>
    </xf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9" fontId="1" fillId="0" borderId="0" xfId="0" applyNumberFormat="1" applyFont="1"/>
    <xf numFmtId="0" fontId="0" fillId="4" borderId="0" xfId="0" applyFill="1"/>
    <xf numFmtId="14" fontId="0" fillId="0" borderId="1" xfId="0" applyNumberFormat="1" applyBorder="1"/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'stability check'!$D$1</c:f>
              <c:strCache>
                <c:ptCount val="1"/>
                <c:pt idx="0">
                  <c:v>CH4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'stability check'!$C$2:$C$27</c:f>
              <c:numCache>
                <c:formatCode>[$-F400]h:mm:ss\ AM/PM</c:formatCode>
                <c:ptCount val="26"/>
                <c:pt idx="0">
                  <c:v>0.48055555555555557</c:v>
                </c:pt>
                <c:pt idx="1">
                  <c:v>0.48888888888888887</c:v>
                </c:pt>
                <c:pt idx="2">
                  <c:v>0.49305555555555558</c:v>
                </c:pt>
              </c:numCache>
            </c:numRef>
          </c:xVal>
          <c:yVal>
            <c:numRef>
              <c:f>'stability check'!$D$2:$D$27</c:f>
              <c:numCache>
                <c:formatCode>General</c:formatCode>
                <c:ptCount val="26"/>
                <c:pt idx="0">
                  <c:v>1032.3489</c:v>
                </c:pt>
                <c:pt idx="1">
                  <c:v>1026.1385</c:v>
                </c:pt>
                <c:pt idx="2">
                  <c:v>1021.6316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3-4B84-8BF2-D81E96525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661408"/>
        <c:axId val="1346661824"/>
      </c:scatterChart>
      <c:valAx>
        <c:axId val="13466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61824"/>
        <c:crosses val="autoZero"/>
        <c:crossBetween val="midCat"/>
      </c:valAx>
      <c:valAx>
        <c:axId val="13466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CH4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6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'stability check'!$F$1</c:f>
              <c:strCache>
                <c:ptCount val="1"/>
                <c:pt idx="0">
                  <c:v>CO2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'stability check'!$C$2:$C$27</c:f>
              <c:numCache>
                <c:formatCode>[$-F400]h:mm:ss\ AM/PM</c:formatCode>
                <c:ptCount val="26"/>
                <c:pt idx="0">
                  <c:v>0.48055555555555557</c:v>
                </c:pt>
                <c:pt idx="1">
                  <c:v>0.48888888888888887</c:v>
                </c:pt>
                <c:pt idx="2">
                  <c:v>0.49305555555555558</c:v>
                </c:pt>
              </c:numCache>
            </c:numRef>
          </c:xVal>
          <c:yVal>
            <c:numRef>
              <c:f>'stability check'!$F$2:$F$27</c:f>
              <c:numCache>
                <c:formatCode>General</c:formatCode>
                <c:ptCount val="26"/>
                <c:pt idx="0">
                  <c:v>54478.012000000002</c:v>
                </c:pt>
                <c:pt idx="1">
                  <c:v>54188.419800000003</c:v>
                </c:pt>
                <c:pt idx="2" formatCode="#,##0">
                  <c:v>53951.131800000003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8-4DD1-A489-31728FD67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97424"/>
        <c:axId val="679598256"/>
      </c:scatterChart>
      <c:valAx>
        <c:axId val="67959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98256"/>
        <c:crosses val="autoZero"/>
        <c:crossBetween val="midCat"/>
      </c:valAx>
      <c:valAx>
        <c:axId val="6795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9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 standard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curve'!$A$2:$A$11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30</c:v>
                </c:pt>
                <c:pt idx="5">
                  <c:v>30</c:v>
                </c:pt>
                <c:pt idx="6">
                  <c:v>200</c:v>
                </c:pt>
                <c:pt idx="7">
                  <c:v>200</c:v>
                </c:pt>
              </c:numCache>
            </c:numRef>
          </c:xVal>
          <c:yVal>
            <c:numRef>
              <c:f>'std curve'!$C$2:$C$11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11.347799999999999</c:v>
                </c:pt>
                <c:pt idx="3">
                  <c:v>11.393599999999999</c:v>
                </c:pt>
                <c:pt idx="4">
                  <c:v>80.788200000000003</c:v>
                </c:pt>
                <c:pt idx="5">
                  <c:v>80.319000000000003</c:v>
                </c:pt>
                <c:pt idx="6">
                  <c:v>990.43359999999996</c:v>
                </c:pt>
                <c:pt idx="7">
                  <c:v>989.45640000000003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5-4D80-9CA3-CD5B961C6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63472"/>
        <c:axId val="1336467632"/>
      </c:scatterChart>
      <c:valAx>
        <c:axId val="13364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concentration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67632"/>
        <c:crosses val="autoZero"/>
        <c:crossBetween val="midCat"/>
      </c:valAx>
      <c:valAx>
        <c:axId val="13364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CH4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standard curve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curve'!$B$2:$B$11</c:f>
              <c:numCache>
                <c:formatCode>General</c:formatCode>
                <c:ptCount val="10"/>
                <c:pt idx="0">
                  <c:v>500</c:v>
                </c:pt>
                <c:pt idx="1">
                  <c:v>500</c:v>
                </c:pt>
                <c:pt idx="2">
                  <c:v>1000</c:v>
                </c:pt>
                <c:pt idx="3">
                  <c:v>1000</c:v>
                </c:pt>
                <c:pt idx="4">
                  <c:v>2000</c:v>
                </c:pt>
                <c:pt idx="5">
                  <c:v>2000</c:v>
                </c:pt>
                <c:pt idx="6">
                  <c:v>10000</c:v>
                </c:pt>
                <c:pt idx="7">
                  <c:v>10000</c:v>
                </c:pt>
              </c:numCache>
            </c:numRef>
          </c:xVal>
          <c:yVal>
            <c:numRef>
              <c:f>'std curve'!$E$2:$E$11</c:f>
              <c:numCache>
                <c:formatCode>General</c:formatCode>
                <c:ptCount val="10"/>
                <c:pt idx="0">
                  <c:v>2735.6034</c:v>
                </c:pt>
                <c:pt idx="1">
                  <c:v>2730.1543999999999</c:v>
                </c:pt>
                <c:pt idx="2">
                  <c:v>5596.3130000000001</c:v>
                </c:pt>
                <c:pt idx="3">
                  <c:v>5553.4201999999996</c:v>
                </c:pt>
                <c:pt idx="4">
                  <c:v>11217.0254</c:v>
                </c:pt>
                <c:pt idx="5">
                  <c:v>11146.568600000001</c:v>
                </c:pt>
                <c:pt idx="6">
                  <c:v>53233.294399999999</c:v>
                </c:pt>
                <c:pt idx="7">
                  <c:v>53165.885600000001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E-4D56-9436-7CCFADF40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542240"/>
        <c:axId val="1336539744"/>
      </c:scatterChart>
      <c:valAx>
        <c:axId val="13365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39744"/>
        <c:crosses val="autoZero"/>
        <c:crossBetween val="midCat"/>
      </c:valAx>
      <c:valAx>
        <c:axId val="13365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</a:t>
            </a:r>
            <a:r>
              <a:rPr lang="en-US" baseline="0"/>
              <a:t> low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curve'!$A$2:$A$7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'std curve'!$C$2:$C$7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11.347799999999999</c:v>
                </c:pt>
                <c:pt idx="3">
                  <c:v>11.393599999999999</c:v>
                </c:pt>
                <c:pt idx="4">
                  <c:v>80.788200000000003</c:v>
                </c:pt>
                <c:pt idx="5">
                  <c:v>80.319000000000003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1-4E32-B1FA-82D32A99D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25151"/>
        <c:axId val="1554017247"/>
      </c:scatterChart>
      <c:valAx>
        <c:axId val="155402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17247"/>
        <c:crosses val="autoZero"/>
        <c:crossBetween val="midCat"/>
      </c:valAx>
      <c:valAx>
        <c:axId val="15540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2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high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curve'!$A$6:$A$9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200</c:v>
                </c:pt>
                <c:pt idx="3">
                  <c:v>200</c:v>
                </c:pt>
              </c:numCache>
            </c:numRef>
          </c:xVal>
          <c:yVal>
            <c:numRef>
              <c:f>'std curve'!$C$6:$C$9</c:f>
              <c:numCache>
                <c:formatCode>General</c:formatCode>
                <c:ptCount val="4"/>
                <c:pt idx="0">
                  <c:v>80.788200000000003</c:v>
                </c:pt>
                <c:pt idx="1">
                  <c:v>80.319000000000003</c:v>
                </c:pt>
                <c:pt idx="2">
                  <c:v>990.43359999999996</c:v>
                </c:pt>
                <c:pt idx="3">
                  <c:v>989.45640000000003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0-465B-BECC-AF48C6EC4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85103"/>
        <c:axId val="1551486351"/>
      </c:scatterChart>
      <c:valAx>
        <c:axId val="155148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86351"/>
        <c:crosses val="autoZero"/>
        <c:crossBetween val="midCat"/>
      </c:valAx>
      <c:valAx>
        <c:axId val="15514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8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calibration check'!$C$1</c:f>
              <c:strCache>
                <c:ptCount val="1"/>
                <c:pt idx="0">
                  <c:v>CH4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calibration check'!$A$2:$A$6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'run calibration check'!$C$2:$C$6</c:f>
              <c:numCache>
                <c:formatCode>General</c:formatCode>
                <c:ptCount val="5"/>
                <c:pt idx="0">
                  <c:v>966.70839999999998</c:v>
                </c:pt>
                <c:pt idx="1">
                  <c:v>1015.7251</c:v>
                </c:pt>
                <c:pt idx="2">
                  <c:v>1006.8003</c:v>
                </c:pt>
                <c:pt idx="3">
                  <c:v>1005.121</c:v>
                </c:pt>
                <c:pt idx="4">
                  <c:v>1004.1984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8-48A3-865D-563D2D305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14688"/>
        <c:axId val="1594208448"/>
      </c:scatterChart>
      <c:valAx>
        <c:axId val="159421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08448"/>
        <c:crosses val="autoZero"/>
        <c:crossBetween val="midCat"/>
      </c:valAx>
      <c:valAx>
        <c:axId val="15942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1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calibration check'!$E$1</c:f>
              <c:strCache>
                <c:ptCount val="1"/>
                <c:pt idx="0">
                  <c:v>CO2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calibration check'!$A$2:$A$6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'run calibration check'!$E$2:$E$6</c:f>
              <c:numCache>
                <c:formatCode>General</c:formatCode>
                <c:ptCount val="5"/>
                <c:pt idx="0">
                  <c:v>50395.602099999996</c:v>
                </c:pt>
                <c:pt idx="1">
                  <c:v>52790.902999999998</c:v>
                </c:pt>
                <c:pt idx="2">
                  <c:v>51635.113599999997</c:v>
                </c:pt>
                <c:pt idx="3">
                  <c:v>50978.662600000003</c:v>
                </c:pt>
                <c:pt idx="4">
                  <c:v>50679.094599999997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F-46B9-8361-058FF0E7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31696"/>
        <c:axId val="1360432112"/>
      </c:scatterChart>
      <c:valAx>
        <c:axId val="13604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32112"/>
        <c:crosses val="autoZero"/>
        <c:crossBetween val="midCat"/>
      </c:valAx>
      <c:valAx>
        <c:axId val="13604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3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146050</xdr:rowOff>
    </xdr:from>
    <xdr:to>
      <xdr:col>17</xdr:col>
      <xdr:colOff>409575</xdr:colOff>
      <xdr:row>15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064EC-7A17-49F2-8A8F-6775BE8F0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111125</xdr:colOff>
      <xdr:row>16</xdr:row>
      <xdr:rowOff>44450</xdr:rowOff>
    </xdr:from>
    <xdr:to>
      <xdr:col>17</xdr:col>
      <xdr:colOff>415925</xdr:colOff>
      <xdr:row>31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53D387-31AD-456E-AE23-15B1C2EC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92075</xdr:colOff>
      <xdr:row>1</xdr:row>
      <xdr:rowOff>12700</xdr:rowOff>
    </xdr:from>
    <xdr:to>
      <xdr:col>14</xdr:col>
      <xdr:colOff>396875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F161E-6C82-489F-A12B-AC1ADB399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492125</xdr:colOff>
      <xdr:row>16</xdr:row>
      <xdr:rowOff>12700</xdr:rowOff>
    </xdr:from>
    <xdr:to>
      <xdr:col>16</xdr:col>
      <xdr:colOff>3175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75D666-DDEA-4084-B0B0-EFFA93248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14</xdr:row>
      <xdr:rowOff>120650</xdr:rowOff>
    </xdr:from>
    <xdr:to>
      <xdr:col>7</xdr:col>
      <xdr:colOff>504825</xdr:colOff>
      <xdr:row>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4ADF1D-5AB6-1980-DB14-B6151B5EA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168275</xdr:colOff>
      <xdr:row>31</xdr:row>
      <xdr:rowOff>38100</xdr:rowOff>
    </xdr:from>
    <xdr:to>
      <xdr:col>7</xdr:col>
      <xdr:colOff>473075</xdr:colOff>
      <xdr:row>46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3A394B-7A36-5CBB-25F0-0E4D7DD8C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536575</xdr:colOff>
      <xdr:row>19</xdr:row>
      <xdr:rowOff>149225</xdr:rowOff>
    </xdr:from>
    <xdr:to>
      <xdr:col>23</xdr:col>
      <xdr:colOff>231775</xdr:colOff>
      <xdr:row>34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3551B-9283-B03B-2911-2D005E635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523875</xdr:colOff>
      <xdr:row>35</xdr:row>
      <xdr:rowOff>168275</xdr:rowOff>
    </xdr:from>
    <xdr:to>
      <xdr:col>23</xdr:col>
      <xdr:colOff>219075</xdr:colOff>
      <xdr:row>50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CECF43-AB8D-8D02-C31B-396D155B7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C_Data_20221012_ED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bility check"/>
      <sheetName val="std curve"/>
      <sheetName val="raw data"/>
      <sheetName val="std curve (2)"/>
      <sheetName val="raw data (2)"/>
      <sheetName val="run calibration check"/>
      <sheetName val="dilution factor"/>
      <sheetName val="headpace equilibration"/>
    </sheetNames>
    <sheetDataSet>
      <sheetData sheetId="0"/>
      <sheetData sheetId="1">
        <row r="11">
          <cell r="C11">
            <v>2300.4929999999999</v>
          </cell>
          <cell r="E11">
            <v>4337.0869000000002</v>
          </cell>
        </row>
        <row r="12">
          <cell r="C12">
            <v>2292.5342000000001</v>
          </cell>
          <cell r="E12">
            <v>4306.9022000000004</v>
          </cell>
        </row>
        <row r="13">
          <cell r="C13">
            <v>2343.2370000000001</v>
          </cell>
          <cell r="E13">
            <v>4408.6956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5891-F4D8-4F67-A0C7-B9B2514D45D6}">
  <dimension ref="A1:J27"/>
  <sheetViews>
    <sheetView topLeftCell="B1" workbookViewId="0">
      <selection activeCell="E19" sqref="E19"/>
    </sheetView>
  </sheetViews>
  <sheetFormatPr defaultRowHeight="14.5" x14ac:dyDescent="0.35"/>
  <cols>
    <col min="3" max="3" width="11.26953125" bestFit="1" customWidth="1"/>
    <col min="6" max="6" width="10.7265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6</v>
      </c>
      <c r="G1" s="1" t="s">
        <v>5</v>
      </c>
      <c r="H1" s="1" t="s">
        <v>9</v>
      </c>
      <c r="I1" s="1" t="s">
        <v>11</v>
      </c>
      <c r="J1" s="1" t="s">
        <v>12</v>
      </c>
    </row>
    <row r="2" spans="1:10" x14ac:dyDescent="0.35">
      <c r="A2">
        <v>200</v>
      </c>
      <c r="B2">
        <v>10000</v>
      </c>
      <c r="C2" s="2">
        <v>0.48055555555555557</v>
      </c>
      <c r="D2">
        <v>1032.3489</v>
      </c>
      <c r="E2">
        <v>237.63900000000001</v>
      </c>
      <c r="F2">
        <v>54478.012000000002</v>
      </c>
      <c r="G2">
        <v>4784.2389999999996</v>
      </c>
      <c r="H2" t="s">
        <v>50</v>
      </c>
      <c r="I2" t="s">
        <v>10</v>
      </c>
      <c r="J2" t="s">
        <v>10</v>
      </c>
    </row>
    <row r="3" spans="1:10" x14ac:dyDescent="0.35">
      <c r="A3">
        <v>200</v>
      </c>
      <c r="B3">
        <v>10000</v>
      </c>
      <c r="C3" s="2">
        <v>0.48888888888888887</v>
      </c>
      <c r="D3">
        <v>1026.1385</v>
      </c>
      <c r="E3">
        <v>236.56299999999999</v>
      </c>
      <c r="F3">
        <v>54188.419800000003</v>
      </c>
      <c r="G3">
        <v>4761.9830000000002</v>
      </c>
      <c r="H3" t="s">
        <v>51</v>
      </c>
      <c r="I3">
        <f>100*(D3-D2)/AVERAGE(D2:D3)</f>
        <v>-0.60339451191199289</v>
      </c>
      <c r="J3">
        <f>100*(F3-F2)/AVERAGE(F2:F3)</f>
        <v>-0.53299293112521084</v>
      </c>
    </row>
    <row r="4" spans="1:10" x14ac:dyDescent="0.35">
      <c r="A4">
        <v>200</v>
      </c>
      <c r="B4">
        <v>10000</v>
      </c>
      <c r="C4" s="2">
        <v>0.49305555555555558</v>
      </c>
      <c r="D4">
        <v>1021.6316</v>
      </c>
      <c r="E4">
        <v>235.78</v>
      </c>
      <c r="F4" s="22">
        <v>53951.131800000003</v>
      </c>
      <c r="G4">
        <v>4739.3450000000003</v>
      </c>
      <c r="H4" t="s">
        <v>51</v>
      </c>
      <c r="I4">
        <f t="shared" ref="I4" si="0">100*(D4-D3)/AVERAGE(D3:D4)</f>
        <v>-0.44017636550118328</v>
      </c>
      <c r="J4">
        <f>100*(F4-F3)/AVERAGE(F3:F4)</f>
        <v>-0.438855157967939</v>
      </c>
    </row>
    <row r="5" spans="1:10" x14ac:dyDescent="0.35">
      <c r="C5" s="2"/>
    </row>
    <row r="6" spans="1:10" x14ac:dyDescent="0.35">
      <c r="C6" s="2"/>
    </row>
    <row r="7" spans="1:10" x14ac:dyDescent="0.35">
      <c r="C7" s="2"/>
    </row>
    <row r="8" spans="1:10" x14ac:dyDescent="0.35">
      <c r="C8" s="2"/>
    </row>
    <row r="9" spans="1:10" x14ac:dyDescent="0.35">
      <c r="C9" s="2"/>
    </row>
    <row r="10" spans="1:10" x14ac:dyDescent="0.35">
      <c r="C10" s="2"/>
    </row>
    <row r="11" spans="1:10" x14ac:dyDescent="0.35">
      <c r="C11" s="2"/>
    </row>
    <row r="12" spans="1:10" x14ac:dyDescent="0.35">
      <c r="C12" s="2"/>
    </row>
    <row r="13" spans="1:10" x14ac:dyDescent="0.35">
      <c r="C13" s="2"/>
    </row>
    <row r="14" spans="1:10" x14ac:dyDescent="0.35">
      <c r="C14" s="2"/>
    </row>
    <row r="15" spans="1:10" x14ac:dyDescent="0.35">
      <c r="C15" s="2"/>
    </row>
    <row r="16" spans="1:10" x14ac:dyDescent="0.35">
      <c r="C16" s="2"/>
    </row>
    <row r="17" spans="3:3" x14ac:dyDescent="0.35">
      <c r="C17" s="2"/>
    </row>
    <row r="18" spans="3:3" x14ac:dyDescent="0.35">
      <c r="C18" s="2"/>
    </row>
    <row r="19" spans="3:3" x14ac:dyDescent="0.35">
      <c r="C19" s="2"/>
    </row>
    <row r="20" spans="3:3" x14ac:dyDescent="0.35">
      <c r="C20" s="2"/>
    </row>
    <row r="21" spans="3:3" x14ac:dyDescent="0.35">
      <c r="C21" s="2"/>
    </row>
    <row r="22" spans="3:3" x14ac:dyDescent="0.35">
      <c r="C22" s="2"/>
    </row>
    <row r="23" spans="3:3" x14ac:dyDescent="0.35">
      <c r="C23" s="2"/>
    </row>
    <row r="24" spans="3:3" x14ac:dyDescent="0.35">
      <c r="C24" s="2"/>
    </row>
    <row r="25" spans="3:3" x14ac:dyDescent="0.35">
      <c r="C25" s="2"/>
    </row>
    <row r="26" spans="3:3" x14ac:dyDescent="0.35">
      <c r="C26" s="2"/>
    </row>
    <row r="27" spans="3:3" x14ac:dyDescent="0.35">
      <c r="C2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EE23-6E75-47C9-898E-12C9BF393C79}">
  <dimension ref="A1:Q16"/>
  <sheetViews>
    <sheetView workbookViewId="0">
      <selection activeCell="E55" sqref="E55"/>
    </sheetView>
  </sheetViews>
  <sheetFormatPr defaultRowHeight="14.5" x14ac:dyDescent="0.35"/>
  <cols>
    <col min="16" max="16" width="20.08984375" bestFit="1" customWidth="1"/>
  </cols>
  <sheetData>
    <row r="1" spans="1:17" x14ac:dyDescent="0.35">
      <c r="A1" s="1" t="s">
        <v>0</v>
      </c>
      <c r="B1" s="1" t="s">
        <v>1</v>
      </c>
      <c r="C1" s="1" t="s">
        <v>4</v>
      </c>
      <c r="D1" s="1" t="s">
        <v>3</v>
      </c>
      <c r="E1" s="1" t="s">
        <v>6</v>
      </c>
      <c r="F1" s="1" t="s">
        <v>5</v>
      </c>
      <c r="G1" s="1" t="s">
        <v>8</v>
      </c>
      <c r="H1" s="1"/>
    </row>
    <row r="2" spans="1:17" x14ac:dyDescent="0.35">
      <c r="A2">
        <v>1</v>
      </c>
      <c r="B2">
        <v>500</v>
      </c>
      <c r="C2">
        <v>0</v>
      </c>
      <c r="D2">
        <v>0</v>
      </c>
      <c r="E2">
        <v>2735.6034</v>
      </c>
      <c r="F2">
        <v>325.30200000000002</v>
      </c>
      <c r="G2" t="s">
        <v>52</v>
      </c>
      <c r="P2" s="1" t="s">
        <v>47</v>
      </c>
    </row>
    <row r="3" spans="1:17" x14ac:dyDescent="0.35">
      <c r="A3">
        <v>1</v>
      </c>
      <c r="B3">
        <v>500</v>
      </c>
      <c r="C3">
        <v>0</v>
      </c>
      <c r="D3">
        <v>0</v>
      </c>
      <c r="E3">
        <v>2730.1543999999999</v>
      </c>
      <c r="F3">
        <v>324.904</v>
      </c>
      <c r="G3" t="s">
        <v>53</v>
      </c>
      <c r="P3" s="4" t="s">
        <v>14</v>
      </c>
      <c r="Q3" s="4">
        <f>5.349*200-79.927</f>
        <v>989.87299999999993</v>
      </c>
    </row>
    <row r="4" spans="1:17" x14ac:dyDescent="0.35">
      <c r="A4">
        <v>5</v>
      </c>
      <c r="B4">
        <v>1000</v>
      </c>
      <c r="C4">
        <v>11.347799999999999</v>
      </c>
      <c r="D4">
        <v>2.4239999999999999</v>
      </c>
      <c r="E4">
        <v>5596.3130000000001</v>
      </c>
      <c r="F4">
        <v>621.90200000000004</v>
      </c>
      <c r="G4" t="s">
        <v>54</v>
      </c>
      <c r="P4" s="7" t="s">
        <v>13</v>
      </c>
      <c r="Q4" s="7">
        <f>5.349*200-79.927</f>
        <v>989.87299999999993</v>
      </c>
    </row>
    <row r="5" spans="1:17" x14ac:dyDescent="0.35">
      <c r="A5">
        <v>5</v>
      </c>
      <c r="B5">
        <v>1000</v>
      </c>
      <c r="C5">
        <v>11.393599999999999</v>
      </c>
      <c r="D5">
        <v>2.4039999999999999</v>
      </c>
      <c r="E5">
        <v>5553.4201999999996</v>
      </c>
      <c r="F5">
        <v>616.54600000000005</v>
      </c>
      <c r="G5" t="s">
        <v>55</v>
      </c>
    </row>
    <row r="6" spans="1:17" x14ac:dyDescent="0.35">
      <c r="A6">
        <v>30</v>
      </c>
      <c r="B6">
        <v>2000</v>
      </c>
      <c r="C6">
        <v>80.788200000000003</v>
      </c>
      <c r="D6">
        <v>18.216999999999999</v>
      </c>
      <c r="E6">
        <v>11217.0254</v>
      </c>
      <c r="F6">
        <v>1175.8820000000001</v>
      </c>
      <c r="G6" t="s">
        <v>56</v>
      </c>
    </row>
    <row r="7" spans="1:17" x14ac:dyDescent="0.35">
      <c r="A7">
        <v>30</v>
      </c>
      <c r="B7">
        <v>2000</v>
      </c>
      <c r="C7">
        <v>80.319000000000003</v>
      </c>
      <c r="D7">
        <v>18.158999999999999</v>
      </c>
      <c r="E7">
        <v>11146.568600000001</v>
      </c>
      <c r="F7">
        <v>1168.0429999999999</v>
      </c>
      <c r="G7" t="s">
        <v>57</v>
      </c>
    </row>
    <row r="8" spans="1:17" x14ac:dyDescent="0.35">
      <c r="A8">
        <v>200</v>
      </c>
      <c r="B8">
        <v>10000</v>
      </c>
      <c r="C8">
        <v>990.43359999999996</v>
      </c>
      <c r="D8">
        <v>229.83600000000001</v>
      </c>
      <c r="E8">
        <v>53233.294399999999</v>
      </c>
      <c r="F8">
        <v>4660.2380000000003</v>
      </c>
      <c r="G8" t="s">
        <v>58</v>
      </c>
    </row>
    <row r="9" spans="1:17" x14ac:dyDescent="0.35">
      <c r="A9">
        <v>200</v>
      </c>
      <c r="B9">
        <v>10000</v>
      </c>
      <c r="C9">
        <v>989.45640000000003</v>
      </c>
      <c r="D9">
        <v>229.755</v>
      </c>
      <c r="E9">
        <v>53165.885600000001</v>
      </c>
      <c r="F9">
        <v>4646.8459999999995</v>
      </c>
      <c r="G9" t="s">
        <v>59</v>
      </c>
    </row>
    <row r="14" spans="1:17" x14ac:dyDescent="0.35">
      <c r="P14" s="1" t="s">
        <v>48</v>
      </c>
    </row>
    <row r="15" spans="1:17" x14ac:dyDescent="0.35">
      <c r="P15" s="4" t="s">
        <v>14</v>
      </c>
      <c r="Q15" s="4">
        <f>5.2938*10000+305.64</f>
        <v>53243.64</v>
      </c>
    </row>
    <row r="16" spans="1:17" x14ac:dyDescent="0.35">
      <c r="P16" s="7" t="s">
        <v>13</v>
      </c>
      <c r="Q16" s="7">
        <f>5.2938*10000+305.64</f>
        <v>53243.64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D1A-51A9-4667-B7A7-58FCE5B6E50B}">
  <dimension ref="A1:T58"/>
  <sheetViews>
    <sheetView workbookViewId="0">
      <pane ySplit="1" topLeftCell="A2" activePane="bottomLeft" state="frozen"/>
      <selection pane="bottomLeft" activeCell="P1" sqref="P1"/>
    </sheetView>
  </sheetViews>
  <sheetFormatPr defaultRowHeight="14.5" x14ac:dyDescent="0.35"/>
  <cols>
    <col min="5" max="5" width="9.453125" bestFit="1" customWidth="1"/>
    <col min="6" max="6" width="10.1796875" customWidth="1"/>
    <col min="8" max="8" width="12.26953125" customWidth="1"/>
    <col min="10" max="10" width="10.453125" bestFit="1" customWidth="1"/>
  </cols>
  <sheetData>
    <row r="1" spans="1:20" s="6" customFormat="1" x14ac:dyDescent="0.35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4</v>
      </c>
      <c r="G1" s="5" t="s">
        <v>3</v>
      </c>
      <c r="H1" s="5" t="s">
        <v>49</v>
      </c>
      <c r="I1" s="5" t="s">
        <v>5</v>
      </c>
      <c r="J1" s="5" t="s">
        <v>24</v>
      </c>
      <c r="K1" s="5" t="s">
        <v>8</v>
      </c>
      <c r="L1" s="5" t="s">
        <v>7</v>
      </c>
      <c r="M1" s="5" t="s">
        <v>25</v>
      </c>
      <c r="N1" s="5" t="s">
        <v>29</v>
      </c>
      <c r="O1" s="5" t="s">
        <v>27</v>
      </c>
      <c r="P1" s="5" t="s">
        <v>28</v>
      </c>
    </row>
    <row r="2" spans="1:20" x14ac:dyDescent="0.35">
      <c r="A2" s="20" t="s">
        <v>60</v>
      </c>
      <c r="B2" t="s">
        <v>61</v>
      </c>
      <c r="C2" t="s">
        <v>62</v>
      </c>
      <c r="D2">
        <v>2</v>
      </c>
      <c r="E2" s="21">
        <v>44789</v>
      </c>
      <c r="F2">
        <v>68.246799999999993</v>
      </c>
      <c r="G2">
        <v>15.361000000000001</v>
      </c>
      <c r="H2">
        <v>8220.5028000000002</v>
      </c>
      <c r="I2">
        <v>900.19</v>
      </c>
      <c r="J2" s="21">
        <v>44845</v>
      </c>
      <c r="K2" t="s">
        <v>63</v>
      </c>
      <c r="R2" s="4" t="s">
        <v>66</v>
      </c>
      <c r="S2" s="4"/>
      <c r="T2" s="4">
        <f>'std curve'!Q3</f>
        <v>989.87299999999993</v>
      </c>
    </row>
    <row r="3" spans="1:20" x14ac:dyDescent="0.35">
      <c r="A3" s="20" t="s">
        <v>64</v>
      </c>
      <c r="B3" t="s">
        <v>61</v>
      </c>
      <c r="C3" t="s">
        <v>62</v>
      </c>
      <c r="D3">
        <v>3</v>
      </c>
      <c r="E3" s="21">
        <v>44789</v>
      </c>
      <c r="F3">
        <v>60.4512</v>
      </c>
      <c r="G3">
        <v>13.493</v>
      </c>
      <c r="H3">
        <v>7864.1696000000002</v>
      </c>
      <c r="I3">
        <v>862.7</v>
      </c>
      <c r="J3" s="21">
        <v>44845</v>
      </c>
      <c r="K3" t="s">
        <v>65</v>
      </c>
      <c r="R3" s="4" t="s">
        <v>67</v>
      </c>
      <c r="S3" s="4"/>
      <c r="T3" s="4">
        <f>'std curve'!Q15</f>
        <v>53243.64</v>
      </c>
    </row>
    <row r="4" spans="1:20" x14ac:dyDescent="0.35">
      <c r="A4" s="20" t="s">
        <v>68</v>
      </c>
      <c r="B4" t="s">
        <v>61</v>
      </c>
      <c r="C4" t="s">
        <v>62</v>
      </c>
      <c r="D4">
        <v>1</v>
      </c>
      <c r="E4" s="21">
        <v>44789</v>
      </c>
      <c r="F4">
        <v>39.767000000000003</v>
      </c>
      <c r="G4">
        <v>8.7330000000000005</v>
      </c>
      <c r="H4">
        <v>5516.7979999999998</v>
      </c>
      <c r="I4">
        <v>621.75599999999997</v>
      </c>
      <c r="J4" s="21">
        <v>44845</v>
      </c>
      <c r="K4" t="s">
        <v>69</v>
      </c>
      <c r="L4" t="s">
        <v>70</v>
      </c>
    </row>
    <row r="5" spans="1:20" x14ac:dyDescent="0.35">
      <c r="A5" s="20" t="s">
        <v>71</v>
      </c>
      <c r="B5" t="s">
        <v>61</v>
      </c>
      <c r="C5" t="s">
        <v>72</v>
      </c>
      <c r="D5">
        <v>1</v>
      </c>
      <c r="E5" s="21">
        <v>44789</v>
      </c>
      <c r="F5">
        <v>116.61620000000001</v>
      </c>
      <c r="G5">
        <v>26.959</v>
      </c>
      <c r="H5">
        <v>4269.8374000000003</v>
      </c>
      <c r="I5">
        <v>578.029</v>
      </c>
      <c r="J5" s="21">
        <v>44845</v>
      </c>
      <c r="K5" t="s">
        <v>73</v>
      </c>
      <c r="L5" t="s">
        <v>74</v>
      </c>
      <c r="R5" s="7" t="s">
        <v>33</v>
      </c>
      <c r="S5" s="7"/>
      <c r="T5" s="7">
        <f>'std curve'!Q4</f>
        <v>989.87299999999993</v>
      </c>
    </row>
    <row r="6" spans="1:20" x14ac:dyDescent="0.35">
      <c r="A6" s="20" t="s">
        <v>71</v>
      </c>
      <c r="B6" t="s">
        <v>61</v>
      </c>
      <c r="C6" t="s">
        <v>72</v>
      </c>
      <c r="D6">
        <v>1</v>
      </c>
      <c r="E6" s="21">
        <v>44789</v>
      </c>
      <c r="F6">
        <v>102.7794</v>
      </c>
      <c r="G6">
        <v>23.603999999999999</v>
      </c>
      <c r="H6">
        <v>6363.4012000000002</v>
      </c>
      <c r="I6">
        <v>705.51800000000003</v>
      </c>
      <c r="J6" s="21">
        <v>44845</v>
      </c>
      <c r="K6" t="s">
        <v>75</v>
      </c>
      <c r="R6" s="7" t="s">
        <v>34</v>
      </c>
      <c r="S6" s="7"/>
      <c r="T6" s="7">
        <f>'std curve'!Q16</f>
        <v>53243.64</v>
      </c>
    </row>
    <row r="7" spans="1:20" x14ac:dyDescent="0.35">
      <c r="A7" s="20" t="s">
        <v>76</v>
      </c>
      <c r="B7" t="s">
        <v>61</v>
      </c>
      <c r="C7" t="s">
        <v>72</v>
      </c>
      <c r="D7">
        <v>2</v>
      </c>
      <c r="E7" s="21">
        <v>44789</v>
      </c>
      <c r="F7">
        <v>125.3335</v>
      </c>
      <c r="G7">
        <v>29.111999999999998</v>
      </c>
      <c r="H7">
        <v>8218.4177</v>
      </c>
      <c r="I7">
        <v>889.07600000000002</v>
      </c>
      <c r="J7" s="21">
        <v>44845</v>
      </c>
      <c r="K7" t="s">
        <v>77</v>
      </c>
    </row>
    <row r="8" spans="1:20" x14ac:dyDescent="0.35">
      <c r="A8" s="20" t="s">
        <v>78</v>
      </c>
      <c r="B8" t="s">
        <v>61</v>
      </c>
      <c r="C8" t="s">
        <v>72</v>
      </c>
      <c r="D8">
        <v>3</v>
      </c>
      <c r="E8" s="21">
        <v>44789</v>
      </c>
      <c r="F8">
        <v>121.7912</v>
      </c>
      <c r="G8">
        <v>28.241</v>
      </c>
      <c r="H8">
        <v>5986.6180000000004</v>
      </c>
      <c r="I8">
        <v>665.06399999999996</v>
      </c>
      <c r="J8" s="21">
        <v>44845</v>
      </c>
      <c r="K8" t="s">
        <v>79</v>
      </c>
    </row>
    <row r="9" spans="1:20" x14ac:dyDescent="0.35">
      <c r="A9" s="20" t="s">
        <v>80</v>
      </c>
      <c r="B9" t="s">
        <v>61</v>
      </c>
      <c r="C9" t="s">
        <v>81</v>
      </c>
      <c r="D9">
        <v>1</v>
      </c>
      <c r="E9" s="21">
        <v>44789</v>
      </c>
      <c r="F9">
        <v>40.427</v>
      </c>
      <c r="G9">
        <v>8.9269999999999996</v>
      </c>
      <c r="H9">
        <v>4468.9027999999998</v>
      </c>
      <c r="I9">
        <v>508.95800000000003</v>
      </c>
      <c r="J9" s="21">
        <v>44845</v>
      </c>
      <c r="K9" t="s">
        <v>82</v>
      </c>
    </row>
    <row r="10" spans="1:20" x14ac:dyDescent="0.35">
      <c r="A10" s="20" t="s">
        <v>83</v>
      </c>
      <c r="B10" t="s">
        <v>61</v>
      </c>
      <c r="C10" t="s">
        <v>81</v>
      </c>
      <c r="D10">
        <v>2</v>
      </c>
      <c r="E10" s="21">
        <v>44789</v>
      </c>
      <c r="F10">
        <v>40.172199999999997</v>
      </c>
      <c r="G10">
        <v>8.8569999999999993</v>
      </c>
      <c r="H10">
        <v>3857.1342</v>
      </c>
      <c r="I10">
        <v>445.53</v>
      </c>
      <c r="J10" s="21">
        <v>44845</v>
      </c>
      <c r="K10" t="s">
        <v>84</v>
      </c>
    </row>
    <row r="11" spans="1:20" x14ac:dyDescent="0.35">
      <c r="A11" s="1" t="s">
        <v>30</v>
      </c>
      <c r="B11" t="s">
        <v>10</v>
      </c>
      <c r="C11" t="s">
        <v>10</v>
      </c>
      <c r="D11" t="s">
        <v>10</v>
      </c>
      <c r="E11" t="s">
        <v>10</v>
      </c>
      <c r="F11">
        <v>966.70839999999998</v>
      </c>
      <c r="G11">
        <v>225.505</v>
      </c>
      <c r="H11">
        <v>50395.602099999996</v>
      </c>
      <c r="I11">
        <v>4321.8490000000002</v>
      </c>
      <c r="J11" s="21">
        <v>44845</v>
      </c>
      <c r="K11" t="s">
        <v>85</v>
      </c>
      <c r="M11">
        <f>100*(F11-$T$2)/AVERAGE(F11,$T$2)</f>
        <v>-2.3678646848017619</v>
      </c>
      <c r="N11">
        <f>100*(H11-$T$3)/AVERAGE(H11,$T$3)</f>
        <v>-5.4960608400666846</v>
      </c>
    </row>
    <row r="12" spans="1:20" x14ac:dyDescent="0.35">
      <c r="A12" s="1" t="s">
        <v>30</v>
      </c>
      <c r="B12" t="s">
        <v>10</v>
      </c>
      <c r="C12" t="s">
        <v>10</v>
      </c>
      <c r="D12" t="s">
        <v>10</v>
      </c>
      <c r="E12" t="s">
        <v>10</v>
      </c>
      <c r="F12">
        <v>1015.7251</v>
      </c>
      <c r="G12">
        <v>235.54599999999999</v>
      </c>
      <c r="H12">
        <v>52790.902999999998</v>
      </c>
      <c r="I12">
        <v>4495.0200000000004</v>
      </c>
      <c r="J12" s="21">
        <v>44845</v>
      </c>
      <c r="K12" t="s">
        <v>86</v>
      </c>
      <c r="M12">
        <f>100*(F12-$T$2)/AVERAGE(F12,$T$2)</f>
        <v>2.5779940657103797</v>
      </c>
      <c r="N12">
        <f>100*(H12-$T$3)/AVERAGE(H12,$T$3)</f>
        <v>-0.85394247419918801</v>
      </c>
    </row>
    <row r="13" spans="1:20" x14ac:dyDescent="0.35">
      <c r="A13" s="20" t="s">
        <v>88</v>
      </c>
      <c r="B13" t="s">
        <v>61</v>
      </c>
      <c r="C13" t="s">
        <v>81</v>
      </c>
      <c r="D13">
        <v>3</v>
      </c>
      <c r="E13" s="21">
        <v>44789</v>
      </c>
      <c r="F13">
        <v>19.128299999999999</v>
      </c>
      <c r="G13">
        <v>4.1970000000000001</v>
      </c>
      <c r="H13">
        <v>3756.942</v>
      </c>
      <c r="I13">
        <v>434.238</v>
      </c>
      <c r="J13" s="21">
        <v>44845</v>
      </c>
      <c r="K13" t="s">
        <v>87</v>
      </c>
    </row>
    <row r="14" spans="1:20" x14ac:dyDescent="0.35">
      <c r="A14" s="20" t="s">
        <v>89</v>
      </c>
      <c r="B14" t="s">
        <v>61</v>
      </c>
      <c r="C14" t="s">
        <v>90</v>
      </c>
      <c r="D14">
        <v>1</v>
      </c>
      <c r="E14" s="21">
        <v>44789</v>
      </c>
      <c r="F14" s="24">
        <v>2575.8112000000001</v>
      </c>
      <c r="G14">
        <v>555.13300000000004</v>
      </c>
      <c r="H14">
        <v>23905.310799999999</v>
      </c>
      <c r="I14">
        <v>2287.7159999999999</v>
      </c>
      <c r="J14" s="21">
        <v>44845</v>
      </c>
      <c r="K14" t="s">
        <v>91</v>
      </c>
      <c r="L14" t="s">
        <v>105</v>
      </c>
    </row>
    <row r="15" spans="1:20" x14ac:dyDescent="0.35">
      <c r="A15" s="20" t="s">
        <v>92</v>
      </c>
      <c r="B15" t="s">
        <v>61</v>
      </c>
      <c r="C15" t="s">
        <v>90</v>
      </c>
      <c r="D15">
        <v>2</v>
      </c>
      <c r="E15" s="21">
        <v>44789</v>
      </c>
      <c r="F15" s="24">
        <v>4661.2406000000001</v>
      </c>
      <c r="G15">
        <v>982.84900000000005</v>
      </c>
      <c r="H15">
        <v>36322.9594</v>
      </c>
      <c r="I15">
        <v>3271.4079999999999</v>
      </c>
      <c r="J15" s="21">
        <v>44845</v>
      </c>
      <c r="K15" t="s">
        <v>94</v>
      </c>
      <c r="L15" t="s">
        <v>105</v>
      </c>
    </row>
    <row r="16" spans="1:20" x14ac:dyDescent="0.35">
      <c r="A16" s="20" t="s">
        <v>93</v>
      </c>
      <c r="B16" t="s">
        <v>61</v>
      </c>
      <c r="C16" t="s">
        <v>90</v>
      </c>
      <c r="D16">
        <v>3</v>
      </c>
      <c r="E16" s="21">
        <v>44789</v>
      </c>
      <c r="F16" s="24">
        <v>3256.5767999999998</v>
      </c>
      <c r="G16">
        <v>694.90200000000004</v>
      </c>
      <c r="H16">
        <v>22834.327000000001</v>
      </c>
      <c r="I16">
        <v>2188.9110000000001</v>
      </c>
      <c r="J16" s="21">
        <v>44845</v>
      </c>
      <c r="K16" t="s">
        <v>95</v>
      </c>
      <c r="L16" t="s">
        <v>105</v>
      </c>
    </row>
    <row r="17" spans="1:14" x14ac:dyDescent="0.35">
      <c r="A17" s="20" t="s">
        <v>96</v>
      </c>
      <c r="B17" t="s">
        <v>97</v>
      </c>
      <c r="C17" t="s">
        <v>90</v>
      </c>
      <c r="D17">
        <v>1</v>
      </c>
      <c r="E17" s="21">
        <v>44796</v>
      </c>
      <c r="F17">
        <v>0</v>
      </c>
      <c r="G17">
        <v>0</v>
      </c>
      <c r="H17">
        <v>6114.6444000000001</v>
      </c>
      <c r="I17">
        <v>670.41600000000005</v>
      </c>
      <c r="J17" s="21">
        <v>44845</v>
      </c>
      <c r="K17" t="s">
        <v>98</v>
      </c>
    </row>
    <row r="18" spans="1:14" x14ac:dyDescent="0.35">
      <c r="A18" s="20" t="s">
        <v>99</v>
      </c>
      <c r="B18" t="s">
        <v>97</v>
      </c>
      <c r="C18" t="s">
        <v>90</v>
      </c>
      <c r="D18">
        <v>2</v>
      </c>
      <c r="E18" s="21">
        <v>44796</v>
      </c>
      <c r="F18">
        <v>0</v>
      </c>
      <c r="G18">
        <v>0</v>
      </c>
      <c r="H18">
        <v>5296.6120000000001</v>
      </c>
      <c r="I18">
        <v>588.33500000000004</v>
      </c>
      <c r="J18" s="21">
        <v>44845</v>
      </c>
      <c r="K18" t="s">
        <v>100</v>
      </c>
    </row>
    <row r="19" spans="1:14" x14ac:dyDescent="0.35">
      <c r="A19" s="20" t="s">
        <v>101</v>
      </c>
      <c r="B19" t="s">
        <v>97</v>
      </c>
      <c r="C19" t="s">
        <v>90</v>
      </c>
      <c r="D19">
        <v>3</v>
      </c>
      <c r="E19" s="21">
        <v>44796</v>
      </c>
      <c r="F19">
        <v>0</v>
      </c>
      <c r="G19">
        <v>0</v>
      </c>
      <c r="H19" s="22">
        <v>6235.1206000000002</v>
      </c>
      <c r="I19">
        <v>680.85400000000004</v>
      </c>
      <c r="J19" s="21">
        <v>44845</v>
      </c>
      <c r="K19" t="s">
        <v>102</v>
      </c>
    </row>
    <row r="20" spans="1:14" x14ac:dyDescent="0.35">
      <c r="A20" s="20" t="s">
        <v>103</v>
      </c>
      <c r="B20" t="s">
        <v>97</v>
      </c>
      <c r="C20" t="s">
        <v>72</v>
      </c>
      <c r="D20">
        <v>1</v>
      </c>
      <c r="E20" s="21">
        <v>44796</v>
      </c>
      <c r="F20" s="24">
        <v>1644.1754000000001</v>
      </c>
      <c r="G20">
        <v>363.22300000000001</v>
      </c>
      <c r="H20">
        <v>10708.607</v>
      </c>
      <c r="I20">
        <v>1108.7180000000001</v>
      </c>
      <c r="J20" s="21">
        <v>44845</v>
      </c>
      <c r="K20" t="s">
        <v>104</v>
      </c>
      <c r="L20" t="s">
        <v>105</v>
      </c>
    </row>
    <row r="21" spans="1:14" x14ac:dyDescent="0.35">
      <c r="A21" s="20" t="s">
        <v>106</v>
      </c>
      <c r="B21" t="s">
        <v>97</v>
      </c>
      <c r="C21" t="s">
        <v>62</v>
      </c>
      <c r="D21">
        <v>1</v>
      </c>
      <c r="E21" s="21">
        <v>44796</v>
      </c>
      <c r="F21">
        <v>107.2822</v>
      </c>
      <c r="G21">
        <v>24.722000000000001</v>
      </c>
      <c r="H21">
        <v>2967.5084000000002</v>
      </c>
      <c r="I21">
        <v>349.38</v>
      </c>
      <c r="J21" s="21">
        <v>44845</v>
      </c>
      <c r="K21" t="s">
        <v>107</v>
      </c>
    </row>
    <row r="22" spans="1:14" x14ac:dyDescent="0.35">
      <c r="A22" s="1" t="s">
        <v>30</v>
      </c>
      <c r="B22" t="s">
        <v>10</v>
      </c>
      <c r="C22" t="s">
        <v>10</v>
      </c>
      <c r="D22" t="s">
        <v>10</v>
      </c>
      <c r="E22" t="s">
        <v>10</v>
      </c>
      <c r="F22">
        <v>1006.8003</v>
      </c>
      <c r="G22">
        <v>234.465</v>
      </c>
      <c r="H22">
        <v>51635.113599999997</v>
      </c>
      <c r="I22">
        <v>4326.79</v>
      </c>
      <c r="J22" s="21">
        <v>44845</v>
      </c>
      <c r="K22" t="s">
        <v>108</v>
      </c>
      <c r="M22">
        <f>100*(F22-$T$2)/AVERAGE(F22,$T$2)</f>
        <v>1.6955502935808338</v>
      </c>
      <c r="N22">
        <f>100*(H22-$T$3)/AVERAGE(H22,$T$3)</f>
        <v>-3.0674018231276969</v>
      </c>
    </row>
    <row r="23" spans="1:14" x14ac:dyDescent="0.35">
      <c r="A23" s="20" t="s">
        <v>110</v>
      </c>
      <c r="B23" t="s">
        <v>97</v>
      </c>
      <c r="C23" t="s">
        <v>62</v>
      </c>
      <c r="D23">
        <v>2</v>
      </c>
      <c r="E23" s="21">
        <v>44796</v>
      </c>
      <c r="F23">
        <v>110.93259999999999</v>
      </c>
      <c r="G23">
        <v>25.670999999999999</v>
      </c>
      <c r="H23">
        <v>3540.6750000000002</v>
      </c>
      <c r="I23">
        <v>408.50700000000001</v>
      </c>
      <c r="J23" s="21">
        <v>44845</v>
      </c>
      <c r="K23" t="s">
        <v>109</v>
      </c>
    </row>
    <row r="24" spans="1:14" x14ac:dyDescent="0.35">
      <c r="A24" s="20" t="s">
        <v>111</v>
      </c>
      <c r="B24" t="s">
        <v>97</v>
      </c>
      <c r="C24" t="s">
        <v>62</v>
      </c>
      <c r="D24">
        <v>3</v>
      </c>
      <c r="E24" s="21">
        <v>44796</v>
      </c>
      <c r="F24">
        <v>112.033</v>
      </c>
      <c r="G24">
        <v>26.007000000000001</v>
      </c>
      <c r="H24">
        <v>3588.2808</v>
      </c>
      <c r="I24">
        <v>413.49599999999998</v>
      </c>
      <c r="J24" s="21">
        <v>44845</v>
      </c>
      <c r="K24" t="s">
        <v>112</v>
      </c>
    </row>
    <row r="25" spans="1:14" x14ac:dyDescent="0.35">
      <c r="A25" s="20" t="s">
        <v>113</v>
      </c>
      <c r="B25" t="s">
        <v>97</v>
      </c>
      <c r="C25" t="s">
        <v>81</v>
      </c>
      <c r="D25">
        <v>1</v>
      </c>
      <c r="E25" s="21">
        <v>44796</v>
      </c>
      <c r="F25">
        <v>500.73579999999998</v>
      </c>
      <c r="G25">
        <v>121.396</v>
      </c>
      <c r="H25">
        <v>6307.2048000000004</v>
      </c>
      <c r="I25">
        <v>684.77499999999998</v>
      </c>
      <c r="J25" s="21">
        <v>44845</v>
      </c>
      <c r="K25" t="s">
        <v>114</v>
      </c>
    </row>
    <row r="26" spans="1:14" x14ac:dyDescent="0.35">
      <c r="A26" s="20" t="s">
        <v>115</v>
      </c>
      <c r="B26" t="s">
        <v>97</v>
      </c>
      <c r="C26" t="s">
        <v>81</v>
      </c>
      <c r="D26">
        <v>2</v>
      </c>
      <c r="E26" s="21">
        <v>44796</v>
      </c>
      <c r="F26">
        <v>527.4325</v>
      </c>
      <c r="G26">
        <v>127.602</v>
      </c>
      <c r="H26">
        <v>6275.6995999999999</v>
      </c>
      <c r="I26">
        <v>681.303</v>
      </c>
      <c r="J26" s="21">
        <v>44845</v>
      </c>
      <c r="K26" t="s">
        <v>116</v>
      </c>
    </row>
    <row r="27" spans="1:14" x14ac:dyDescent="0.35">
      <c r="A27" s="20" t="s">
        <v>117</v>
      </c>
      <c r="B27" t="s">
        <v>97</v>
      </c>
      <c r="C27" t="s">
        <v>81</v>
      </c>
      <c r="D27">
        <v>3</v>
      </c>
      <c r="E27" s="21">
        <v>44796</v>
      </c>
      <c r="F27">
        <v>501.173</v>
      </c>
      <c r="G27">
        <v>121.28700000000001</v>
      </c>
      <c r="H27">
        <v>7508.9490999999998</v>
      </c>
      <c r="I27">
        <v>800.16300000000001</v>
      </c>
      <c r="J27" s="21">
        <v>44845</v>
      </c>
      <c r="K27" t="s">
        <v>118</v>
      </c>
    </row>
    <row r="28" spans="1:14" x14ac:dyDescent="0.35">
      <c r="A28" s="20" t="s">
        <v>119</v>
      </c>
      <c r="B28" t="s">
        <v>61</v>
      </c>
      <c r="C28" t="s">
        <v>90</v>
      </c>
      <c r="D28">
        <v>1</v>
      </c>
      <c r="E28" s="21">
        <v>44804</v>
      </c>
      <c r="F28" s="24">
        <v>3963.3625999999999</v>
      </c>
      <c r="G28">
        <v>840.17499999999995</v>
      </c>
      <c r="H28">
        <v>30524.910599999999</v>
      </c>
      <c r="I28">
        <v>2762.2350000000001</v>
      </c>
      <c r="J28" s="21">
        <v>44845</v>
      </c>
      <c r="K28" t="s">
        <v>120</v>
      </c>
      <c r="L28" t="s">
        <v>105</v>
      </c>
    </row>
    <row r="29" spans="1:14" x14ac:dyDescent="0.35">
      <c r="A29" s="20" t="s">
        <v>121</v>
      </c>
      <c r="B29" t="s">
        <v>61</v>
      </c>
      <c r="C29" t="s">
        <v>81</v>
      </c>
      <c r="D29">
        <v>1</v>
      </c>
      <c r="E29" s="21">
        <v>44804</v>
      </c>
      <c r="F29">
        <v>690.71</v>
      </c>
      <c r="G29">
        <v>164.666</v>
      </c>
      <c r="H29">
        <v>15810.7374</v>
      </c>
      <c r="I29">
        <v>1554.6220000000001</v>
      </c>
      <c r="J29" s="21">
        <v>44845</v>
      </c>
      <c r="K29" t="s">
        <v>122</v>
      </c>
    </row>
    <row r="30" spans="1:14" x14ac:dyDescent="0.35">
      <c r="A30" s="20" t="s">
        <v>123</v>
      </c>
      <c r="B30" t="s">
        <v>61</v>
      </c>
      <c r="C30" t="s">
        <v>81</v>
      </c>
      <c r="D30">
        <v>2</v>
      </c>
      <c r="E30" s="21">
        <v>44804</v>
      </c>
      <c r="F30">
        <v>863.82479999999998</v>
      </c>
      <c r="G30">
        <v>202.041</v>
      </c>
      <c r="H30">
        <v>10798.774600000001</v>
      </c>
      <c r="I30">
        <v>1106.2070000000001</v>
      </c>
      <c r="J30" s="21">
        <v>44845</v>
      </c>
      <c r="K30" t="s">
        <v>124</v>
      </c>
    </row>
    <row r="31" spans="1:14" x14ac:dyDescent="0.35">
      <c r="A31" s="20" t="s">
        <v>125</v>
      </c>
      <c r="B31" t="s">
        <v>61</v>
      </c>
      <c r="C31" t="s">
        <v>81</v>
      </c>
      <c r="D31">
        <v>3</v>
      </c>
      <c r="E31" s="21">
        <v>44804</v>
      </c>
      <c r="F31" s="24">
        <v>1108.1533999999999</v>
      </c>
      <c r="G31">
        <v>253.56299999999999</v>
      </c>
      <c r="H31">
        <v>9573.8297999999995</v>
      </c>
      <c r="I31">
        <v>992.07600000000002</v>
      </c>
      <c r="J31" s="21">
        <v>44845</v>
      </c>
      <c r="K31" t="s">
        <v>126</v>
      </c>
    </row>
    <row r="32" spans="1:14" x14ac:dyDescent="0.35">
      <c r="A32" s="20" t="s">
        <v>127</v>
      </c>
      <c r="B32" t="s">
        <v>61</v>
      </c>
      <c r="C32" t="s">
        <v>62</v>
      </c>
      <c r="D32">
        <v>1</v>
      </c>
      <c r="E32" s="21">
        <v>44804</v>
      </c>
      <c r="F32">
        <v>22.719000000000001</v>
      </c>
      <c r="G32">
        <v>4.9574999999999996</v>
      </c>
      <c r="H32">
        <v>4586.7668000000003</v>
      </c>
      <c r="I32">
        <v>511.858</v>
      </c>
      <c r="J32" s="21">
        <v>44845</v>
      </c>
      <c r="K32" t="s">
        <v>128</v>
      </c>
    </row>
    <row r="33" spans="1:14" x14ac:dyDescent="0.35">
      <c r="A33" s="23" t="s">
        <v>30</v>
      </c>
      <c r="B33" t="s">
        <v>10</v>
      </c>
      <c r="C33" t="s">
        <v>10</v>
      </c>
      <c r="D33" t="s">
        <v>10</v>
      </c>
      <c r="E33" t="s">
        <v>10</v>
      </c>
      <c r="F33">
        <v>1005.121</v>
      </c>
      <c r="G33">
        <v>234.19300000000001</v>
      </c>
      <c r="H33">
        <v>50978.662600000003</v>
      </c>
      <c r="I33">
        <v>4126.9660000000003</v>
      </c>
      <c r="J33" s="21">
        <v>44845</v>
      </c>
      <c r="K33" t="s">
        <v>129</v>
      </c>
      <c r="M33">
        <f>100*(F33-$T$2)/AVERAGE(F33,$T$2)</f>
        <v>1.5286261512566002</v>
      </c>
      <c r="N33">
        <f>100*(H33-$T$3)/AVERAGE(H33,$T$3)</f>
        <v>-4.3464351554251621</v>
      </c>
    </row>
    <row r="34" spans="1:14" ht="14" customHeight="1" x14ac:dyDescent="0.35">
      <c r="A34" s="20" t="s">
        <v>130</v>
      </c>
      <c r="B34" t="s">
        <v>61</v>
      </c>
      <c r="C34" t="s">
        <v>62</v>
      </c>
      <c r="D34">
        <v>2</v>
      </c>
      <c r="E34" s="21">
        <v>44804</v>
      </c>
      <c r="F34">
        <v>480.44260000000003</v>
      </c>
      <c r="G34">
        <v>116.788</v>
      </c>
      <c r="H34">
        <v>5735.4404000000004</v>
      </c>
      <c r="I34">
        <v>625.19299999999998</v>
      </c>
      <c r="J34" s="21">
        <v>44845</v>
      </c>
      <c r="K34" t="s">
        <v>131</v>
      </c>
    </row>
    <row r="35" spans="1:14" x14ac:dyDescent="0.35">
      <c r="A35" s="20" t="s">
        <v>132</v>
      </c>
      <c r="B35" t="s">
        <v>61</v>
      </c>
      <c r="C35" t="s">
        <v>62</v>
      </c>
      <c r="D35">
        <v>3</v>
      </c>
      <c r="E35" s="21">
        <v>44804</v>
      </c>
      <c r="F35">
        <v>23.062000000000001</v>
      </c>
      <c r="G35">
        <v>5.0229999999999997</v>
      </c>
      <c r="H35">
        <v>4884.5012999999999</v>
      </c>
      <c r="I35">
        <v>540.48</v>
      </c>
      <c r="J35" s="21">
        <v>44845</v>
      </c>
      <c r="K35" t="s">
        <v>133</v>
      </c>
    </row>
    <row r="36" spans="1:14" x14ac:dyDescent="0.35">
      <c r="A36" s="20" t="s">
        <v>134</v>
      </c>
      <c r="B36" t="s">
        <v>61</v>
      </c>
      <c r="C36" t="s">
        <v>72</v>
      </c>
      <c r="D36">
        <v>1</v>
      </c>
      <c r="E36" s="21">
        <v>44804</v>
      </c>
      <c r="F36">
        <v>23.825600000000001</v>
      </c>
      <c r="G36">
        <v>5.19</v>
      </c>
      <c r="H36">
        <v>2749.1505999999999</v>
      </c>
      <c r="I36">
        <v>324.53199999999998</v>
      </c>
      <c r="J36" s="21">
        <v>44845</v>
      </c>
      <c r="K36" t="s">
        <v>135</v>
      </c>
    </row>
    <row r="37" spans="1:14" x14ac:dyDescent="0.35">
      <c r="A37" s="20" t="s">
        <v>136</v>
      </c>
      <c r="B37" t="s">
        <v>61</v>
      </c>
      <c r="C37" t="s">
        <v>72</v>
      </c>
      <c r="D37">
        <v>2</v>
      </c>
      <c r="E37" s="21">
        <v>44804</v>
      </c>
      <c r="F37">
        <v>31.6416</v>
      </c>
      <c r="G37">
        <v>6.9340000000000002</v>
      </c>
      <c r="H37">
        <v>3719.4135999999999</v>
      </c>
      <c r="I37">
        <v>424.02699999999999</v>
      </c>
      <c r="J37" s="21">
        <v>44845</v>
      </c>
      <c r="K37" t="s">
        <v>137</v>
      </c>
    </row>
    <row r="38" spans="1:14" x14ac:dyDescent="0.35">
      <c r="A38" s="20" t="s">
        <v>138</v>
      </c>
      <c r="B38" t="s">
        <v>61</v>
      </c>
      <c r="C38" t="s">
        <v>72</v>
      </c>
      <c r="D38">
        <v>3</v>
      </c>
      <c r="E38" s="21">
        <v>44804</v>
      </c>
      <c r="F38">
        <v>37.658000000000001</v>
      </c>
      <c r="G38">
        <v>8.3239999999999998</v>
      </c>
      <c r="H38">
        <v>2864.9342000000001</v>
      </c>
      <c r="I38">
        <v>336.26799999999997</v>
      </c>
      <c r="J38" s="21">
        <v>44845</v>
      </c>
      <c r="K38" t="s">
        <v>139</v>
      </c>
    </row>
    <row r="39" spans="1:14" x14ac:dyDescent="0.35">
      <c r="A39" s="20" t="s">
        <v>140</v>
      </c>
      <c r="B39" t="s">
        <v>141</v>
      </c>
      <c r="C39" t="s">
        <v>90</v>
      </c>
      <c r="D39">
        <v>3</v>
      </c>
      <c r="E39" s="21">
        <v>44810</v>
      </c>
      <c r="F39">
        <v>91.224000000000004</v>
      </c>
      <c r="G39">
        <v>20.821999999999999</v>
      </c>
      <c r="H39">
        <v>10299.024600000001</v>
      </c>
      <c r="I39">
        <v>1052.7449999999999</v>
      </c>
      <c r="J39" s="21">
        <v>44845</v>
      </c>
      <c r="K39" t="s">
        <v>142</v>
      </c>
    </row>
    <row r="40" spans="1:14" x14ac:dyDescent="0.35">
      <c r="A40" s="20" t="s">
        <v>143</v>
      </c>
      <c r="B40" t="s">
        <v>141</v>
      </c>
      <c r="C40" t="s">
        <v>90</v>
      </c>
      <c r="D40">
        <v>2</v>
      </c>
      <c r="E40" s="21">
        <v>44810</v>
      </c>
      <c r="F40">
        <v>69.7761</v>
      </c>
      <c r="G40">
        <v>15.805</v>
      </c>
      <c r="H40">
        <v>9851.0892000000003</v>
      </c>
      <c r="I40">
        <v>1011.587</v>
      </c>
      <c r="J40" s="21">
        <v>44845</v>
      </c>
      <c r="K40" t="s">
        <v>144</v>
      </c>
    </row>
    <row r="41" spans="1:14" x14ac:dyDescent="0.35">
      <c r="A41" s="20" t="s">
        <v>145</v>
      </c>
      <c r="B41" t="s">
        <v>141</v>
      </c>
      <c r="C41" t="s">
        <v>90</v>
      </c>
      <c r="D41">
        <v>1</v>
      </c>
      <c r="E41" s="21">
        <v>44810</v>
      </c>
      <c r="F41">
        <v>41.653300000000002</v>
      </c>
      <c r="G41">
        <v>9.1989999999999998</v>
      </c>
      <c r="H41">
        <v>10873.2844</v>
      </c>
      <c r="I41">
        <v>1104.03</v>
      </c>
      <c r="J41" s="21">
        <v>44845</v>
      </c>
      <c r="K41" t="s">
        <v>146</v>
      </c>
    </row>
    <row r="42" spans="1:14" x14ac:dyDescent="0.35">
      <c r="A42" s="20" t="s">
        <v>147</v>
      </c>
      <c r="B42" t="s">
        <v>141</v>
      </c>
      <c r="C42" t="s">
        <v>81</v>
      </c>
      <c r="D42">
        <v>1</v>
      </c>
      <c r="E42" s="21">
        <v>44810</v>
      </c>
      <c r="F42">
        <v>215.15649999999999</v>
      </c>
      <c r="G42">
        <v>51.658000000000001</v>
      </c>
      <c r="H42">
        <v>11157.7472</v>
      </c>
      <c r="I42">
        <v>1128.914</v>
      </c>
      <c r="J42" s="21">
        <v>44845</v>
      </c>
      <c r="K42" t="s">
        <v>148</v>
      </c>
    </row>
    <row r="43" spans="1:14" x14ac:dyDescent="0.35">
      <c r="A43" s="20" t="s">
        <v>149</v>
      </c>
      <c r="B43" t="s">
        <v>141</v>
      </c>
      <c r="C43" t="s">
        <v>81</v>
      </c>
      <c r="D43">
        <v>2</v>
      </c>
      <c r="E43" s="21">
        <v>44810</v>
      </c>
      <c r="F43">
        <v>347.39780000000002</v>
      </c>
      <c r="G43">
        <v>84.94</v>
      </c>
      <c r="H43">
        <v>9949.2013000000006</v>
      </c>
      <c r="I43">
        <v>1018.537</v>
      </c>
      <c r="J43" s="21">
        <v>44845</v>
      </c>
      <c r="K43" t="s">
        <v>150</v>
      </c>
    </row>
    <row r="44" spans="1:14" x14ac:dyDescent="0.35">
      <c r="A44" s="23" t="s">
        <v>30</v>
      </c>
      <c r="B44" t="s">
        <v>10</v>
      </c>
      <c r="C44" t="s">
        <v>10</v>
      </c>
      <c r="D44" t="s">
        <v>10</v>
      </c>
      <c r="E44" t="s">
        <v>10</v>
      </c>
      <c r="F44">
        <v>1004.1984</v>
      </c>
      <c r="G44">
        <v>234.09700000000001</v>
      </c>
      <c r="H44">
        <v>50679.094599999997</v>
      </c>
      <c r="I44">
        <v>4150.09</v>
      </c>
      <c r="J44" s="21">
        <v>44845</v>
      </c>
      <c r="K44" t="s">
        <v>151</v>
      </c>
      <c r="M44">
        <f>100*(F44-$T$2)/AVERAGE(F44,$T$2)</f>
        <v>1.4367991035827563</v>
      </c>
      <c r="N44">
        <f>100*(H44-$T$3)/AVERAGE(H44,$T$3)</f>
        <v>-4.9354848289375228</v>
      </c>
    </row>
    <row r="45" spans="1:14" x14ac:dyDescent="0.35">
      <c r="A45" s="20"/>
    </row>
    <row r="46" spans="1:14" x14ac:dyDescent="0.35">
      <c r="A46" s="20"/>
    </row>
    <row r="47" spans="1:14" x14ac:dyDescent="0.35">
      <c r="A47" s="20"/>
    </row>
    <row r="48" spans="1:14" x14ac:dyDescent="0.35">
      <c r="A48" s="20"/>
    </row>
    <row r="49" spans="1:1" x14ac:dyDescent="0.35">
      <c r="A49" s="20"/>
    </row>
    <row r="50" spans="1:1" x14ac:dyDescent="0.35">
      <c r="A50" s="20"/>
    </row>
    <row r="51" spans="1:1" x14ac:dyDescent="0.35">
      <c r="A51" s="20"/>
    </row>
    <row r="52" spans="1:1" x14ac:dyDescent="0.35">
      <c r="A52" s="20"/>
    </row>
    <row r="53" spans="1:1" x14ac:dyDescent="0.35">
      <c r="A53" s="20"/>
    </row>
    <row r="54" spans="1:1" x14ac:dyDescent="0.35">
      <c r="A54" s="20"/>
    </row>
    <row r="55" spans="1:1" x14ac:dyDescent="0.35">
      <c r="A55" s="20"/>
    </row>
    <row r="56" spans="1:1" x14ac:dyDescent="0.35">
      <c r="A56" s="20"/>
    </row>
    <row r="57" spans="1:1" x14ac:dyDescent="0.35">
      <c r="A57" s="20"/>
    </row>
    <row r="58" spans="1:1" x14ac:dyDescent="0.35">
      <c r="A58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30EA-58C9-40F2-9E14-557F8A5CE8D3}">
  <dimension ref="A1:N12"/>
  <sheetViews>
    <sheetView workbookViewId="0">
      <selection activeCell="M36" sqref="M36"/>
    </sheetView>
  </sheetViews>
  <sheetFormatPr defaultRowHeight="14.5" x14ac:dyDescent="0.35"/>
  <sheetData>
    <row r="1" spans="1:14" x14ac:dyDescent="0.35">
      <c r="A1" s="5" t="s">
        <v>35</v>
      </c>
      <c r="B1" s="8" t="s">
        <v>15</v>
      </c>
      <c r="C1" s="9" t="s">
        <v>4</v>
      </c>
      <c r="D1" s="10" t="s">
        <v>3</v>
      </c>
      <c r="E1" s="9" t="s">
        <v>6</v>
      </c>
      <c r="F1" s="10" t="s">
        <v>5</v>
      </c>
      <c r="G1" s="3" t="s">
        <v>24</v>
      </c>
      <c r="H1" s="3" t="s">
        <v>8</v>
      </c>
      <c r="I1" s="3" t="s">
        <v>25</v>
      </c>
      <c r="J1" s="3" t="s">
        <v>26</v>
      </c>
    </row>
    <row r="2" spans="1:14" x14ac:dyDescent="0.35">
      <c r="A2">
        <v>1</v>
      </c>
      <c r="C2">
        <v>966.70839999999998</v>
      </c>
      <c r="D2">
        <v>225.505</v>
      </c>
      <c r="E2">
        <v>50395.602099999996</v>
      </c>
      <c r="F2">
        <v>4321.8490000000002</v>
      </c>
      <c r="G2" s="21">
        <v>44845</v>
      </c>
      <c r="H2" t="s">
        <v>85</v>
      </c>
      <c r="I2" t="e">
        <f>(1-D2/$N$2)*100</f>
        <v>#DIV/0!</v>
      </c>
      <c r="J2" t="e">
        <f>(1-F2/$N$3) *100</f>
        <v>#DIV/0!</v>
      </c>
      <c r="L2" s="4" t="s">
        <v>31</v>
      </c>
      <c r="M2" s="4"/>
      <c r="N2" s="4">
        <f>'std curve'!K3</f>
        <v>0</v>
      </c>
    </row>
    <row r="3" spans="1:14" x14ac:dyDescent="0.35">
      <c r="A3">
        <f>A2+1</f>
        <v>2</v>
      </c>
      <c r="C3">
        <v>1015.7251</v>
      </c>
      <c r="D3">
        <v>235.54599999999999</v>
      </c>
      <c r="E3">
        <v>52790.902999999998</v>
      </c>
      <c r="F3">
        <v>4495.0200000000004</v>
      </c>
      <c r="G3" s="21">
        <v>44845</v>
      </c>
      <c r="H3" t="s">
        <v>86</v>
      </c>
      <c r="I3" t="e">
        <f t="shared" ref="I3:I12" si="0">(1-D3/$N$2)*100</f>
        <v>#DIV/0!</v>
      </c>
      <c r="J3" t="e">
        <f t="shared" ref="J3:J12" si="1">(1-F3/$N$3) *100</f>
        <v>#DIV/0!</v>
      </c>
      <c r="L3" s="4" t="s">
        <v>32</v>
      </c>
      <c r="M3" s="4"/>
      <c r="N3" s="4">
        <f>'std curve'!K15</f>
        <v>0</v>
      </c>
    </row>
    <row r="4" spans="1:14" x14ac:dyDescent="0.35">
      <c r="A4">
        <f t="shared" ref="A4:A12" si="2">A3+1</f>
        <v>3</v>
      </c>
      <c r="C4">
        <v>1006.8003</v>
      </c>
      <c r="D4">
        <v>234.465</v>
      </c>
      <c r="E4">
        <v>51635.113599999997</v>
      </c>
      <c r="F4">
        <v>4326.79</v>
      </c>
      <c r="G4" s="21">
        <v>44845</v>
      </c>
      <c r="H4" t="s">
        <v>108</v>
      </c>
      <c r="I4" t="e">
        <f t="shared" si="0"/>
        <v>#DIV/0!</v>
      </c>
      <c r="J4" t="e">
        <f t="shared" si="1"/>
        <v>#DIV/0!</v>
      </c>
    </row>
    <row r="5" spans="1:14" x14ac:dyDescent="0.35">
      <c r="A5">
        <f t="shared" si="2"/>
        <v>4</v>
      </c>
      <c r="C5">
        <v>1005.121</v>
      </c>
      <c r="D5">
        <v>234.19300000000001</v>
      </c>
      <c r="E5">
        <v>50978.662600000003</v>
      </c>
      <c r="F5">
        <v>4126.9660000000003</v>
      </c>
      <c r="G5" s="21">
        <v>44845</v>
      </c>
      <c r="H5" t="s">
        <v>129</v>
      </c>
      <c r="I5" t="e">
        <f t="shared" si="0"/>
        <v>#DIV/0!</v>
      </c>
      <c r="J5" t="e">
        <f t="shared" si="1"/>
        <v>#DIV/0!</v>
      </c>
    </row>
    <row r="6" spans="1:14" x14ac:dyDescent="0.35">
      <c r="A6">
        <f t="shared" si="2"/>
        <v>5</v>
      </c>
      <c r="C6">
        <v>1004.1984</v>
      </c>
      <c r="D6">
        <v>234.09700000000001</v>
      </c>
      <c r="E6">
        <v>50679.094599999997</v>
      </c>
      <c r="F6">
        <v>4150.09</v>
      </c>
      <c r="G6" s="21">
        <v>44845</v>
      </c>
      <c r="I6" t="e">
        <f>(1-#REF!/$N$2)*100</f>
        <v>#REF!</v>
      </c>
      <c r="J6" t="e">
        <f>(1-#REF!/$N$3) *100</f>
        <v>#REF!</v>
      </c>
    </row>
    <row r="7" spans="1:14" x14ac:dyDescent="0.35">
      <c r="A7">
        <f t="shared" si="2"/>
        <v>6</v>
      </c>
      <c r="I7" t="e">
        <f>(1-D6/$N$2)*100</f>
        <v>#DIV/0!</v>
      </c>
      <c r="J7" t="e">
        <f>(1-F6/$N$3) *100</f>
        <v>#DIV/0!</v>
      </c>
    </row>
    <row r="8" spans="1:14" x14ac:dyDescent="0.35">
      <c r="A8">
        <f t="shared" si="2"/>
        <v>7</v>
      </c>
      <c r="I8" t="e">
        <f t="shared" si="0"/>
        <v>#DIV/0!</v>
      </c>
      <c r="J8" t="e">
        <f t="shared" si="1"/>
        <v>#DIV/0!</v>
      </c>
    </row>
    <row r="9" spans="1:14" x14ac:dyDescent="0.35">
      <c r="A9">
        <f t="shared" si="2"/>
        <v>8</v>
      </c>
      <c r="I9" t="e">
        <f t="shared" si="0"/>
        <v>#DIV/0!</v>
      </c>
      <c r="J9" t="e">
        <f t="shared" si="1"/>
        <v>#DIV/0!</v>
      </c>
    </row>
    <row r="10" spans="1:14" x14ac:dyDescent="0.35">
      <c r="A10">
        <f t="shared" si="2"/>
        <v>9</v>
      </c>
      <c r="I10" t="e">
        <f t="shared" si="0"/>
        <v>#DIV/0!</v>
      </c>
      <c r="J10" t="e">
        <f t="shared" si="1"/>
        <v>#DIV/0!</v>
      </c>
    </row>
    <row r="11" spans="1:14" x14ac:dyDescent="0.35">
      <c r="A11">
        <f t="shared" si="2"/>
        <v>10</v>
      </c>
      <c r="I11" t="e">
        <f t="shared" si="0"/>
        <v>#DIV/0!</v>
      </c>
      <c r="J11" t="e">
        <f t="shared" si="1"/>
        <v>#DIV/0!</v>
      </c>
    </row>
    <row r="12" spans="1:14" x14ac:dyDescent="0.35">
      <c r="A12">
        <f t="shared" si="2"/>
        <v>11</v>
      </c>
      <c r="I12" t="e">
        <f t="shared" si="0"/>
        <v>#DIV/0!</v>
      </c>
      <c r="J12" t="e">
        <f t="shared" si="1"/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7AB3-4D61-48B6-9283-53171410833C}">
  <dimension ref="A1:L9"/>
  <sheetViews>
    <sheetView workbookViewId="0">
      <selection activeCell="H14" sqref="H14"/>
    </sheetView>
  </sheetViews>
  <sheetFormatPr defaultRowHeight="14.5" x14ac:dyDescent="0.35"/>
  <cols>
    <col min="2" max="2" width="11.90625" bestFit="1" customWidth="1"/>
    <col min="3" max="3" width="13" bestFit="1" customWidth="1"/>
    <col min="4" max="4" width="12" bestFit="1" customWidth="1"/>
    <col min="5" max="5" width="13.08984375" bestFit="1" customWidth="1"/>
    <col min="10" max="10" width="14" bestFit="1" customWidth="1"/>
    <col min="12" max="12" width="14.36328125" bestFit="1" customWidth="1"/>
  </cols>
  <sheetData>
    <row r="1" spans="1:12" x14ac:dyDescent="0.35">
      <c r="A1" s="17" t="s">
        <v>40</v>
      </c>
      <c r="B1" s="25">
        <v>44846</v>
      </c>
    </row>
    <row r="2" spans="1:12" x14ac:dyDescent="0.35">
      <c r="A2" s="17" t="s">
        <v>41</v>
      </c>
      <c r="B2" s="16" t="s">
        <v>152</v>
      </c>
    </row>
    <row r="3" spans="1:12" x14ac:dyDescent="0.35">
      <c r="A3" s="17" t="s">
        <v>42</v>
      </c>
      <c r="B3" s="16" t="s">
        <v>153</v>
      </c>
    </row>
    <row r="5" spans="1:12" ht="15.5" x14ac:dyDescent="0.35">
      <c r="A5" s="11" t="s">
        <v>36</v>
      </c>
      <c r="B5" s="11" t="s">
        <v>21</v>
      </c>
      <c r="C5" s="11" t="s">
        <v>20</v>
      </c>
      <c r="D5" s="11" t="s">
        <v>23</v>
      </c>
      <c r="E5" s="11" t="s">
        <v>22</v>
      </c>
      <c r="I5" s="14" t="s">
        <v>44</v>
      </c>
      <c r="J5" s="14" t="s">
        <v>45</v>
      </c>
      <c r="K5" s="14" t="s">
        <v>43</v>
      </c>
      <c r="L5" s="14" t="s">
        <v>46</v>
      </c>
    </row>
    <row r="6" spans="1:12" x14ac:dyDescent="0.35">
      <c r="A6" s="12" t="s">
        <v>37</v>
      </c>
      <c r="B6">
        <v>1989.5816</v>
      </c>
      <c r="C6">
        <v>384.81400000000002</v>
      </c>
      <c r="D6">
        <v>3549.7964000000002</v>
      </c>
      <c r="E6">
        <v>274.69299999999998</v>
      </c>
      <c r="H6" t="s">
        <v>47</v>
      </c>
      <c r="I6">
        <f>0.2313*10000-0.7207</f>
        <v>2312.2793000000001</v>
      </c>
      <c r="J6" s="13">
        <f>AVERAGE('[1]std curve'!C11:C13)</f>
        <v>2312.0880666666667</v>
      </c>
      <c r="K6" s="13">
        <f>AVERAGE(I6:J6)</f>
        <v>2312.1836833333336</v>
      </c>
      <c r="L6" s="13">
        <f>K6/B9</f>
        <v>1.1340099463866475</v>
      </c>
    </row>
    <row r="7" spans="1:12" x14ac:dyDescent="0.35">
      <c r="A7" s="12" t="s">
        <v>38</v>
      </c>
      <c r="B7">
        <v>2065.7646</v>
      </c>
      <c r="C7">
        <v>397.85199999999998</v>
      </c>
      <c r="D7">
        <v>3659.4971999999998</v>
      </c>
      <c r="E7">
        <v>230.178</v>
      </c>
      <c r="H7" s="18" t="s">
        <v>48</v>
      </c>
      <c r="I7">
        <f>0.1864*20000+621.91</f>
        <v>4349.91</v>
      </c>
      <c r="J7" s="13">
        <f>AVERAGE('[1]std curve'!E11:E13)</f>
        <v>4350.8949000000002</v>
      </c>
      <c r="K7" s="13">
        <f>AVERAGE(I7:J7)</f>
        <v>4350.4024499999996</v>
      </c>
      <c r="L7" s="13">
        <f>K7/D9</f>
        <v>1.2004071100719131</v>
      </c>
    </row>
    <row r="8" spans="1:12" x14ac:dyDescent="0.35">
      <c r="A8" s="12" t="s">
        <v>39</v>
      </c>
      <c r="B8">
        <v>2061.4881999999998</v>
      </c>
      <c r="C8">
        <v>396.334</v>
      </c>
      <c r="D8">
        <v>3663.0239999999999</v>
      </c>
      <c r="E8">
        <v>279.89</v>
      </c>
    </row>
    <row r="9" spans="1:12" x14ac:dyDescent="0.35">
      <c r="A9" s="15" t="s">
        <v>43</v>
      </c>
      <c r="B9" s="13">
        <f>AVERAGE(B6:B8)</f>
        <v>2038.9448</v>
      </c>
      <c r="C9" s="13"/>
      <c r="D9" s="13">
        <f>AVERAGE(D6:D8)</f>
        <v>3624.1058666666668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478E-F632-4820-A73F-0FEAC1BB7C74}">
  <dimension ref="A1:AM44"/>
  <sheetViews>
    <sheetView tabSelected="1" workbookViewId="0">
      <selection activeCell="U19" sqref="U19"/>
    </sheetView>
  </sheetViews>
  <sheetFormatPr defaultRowHeight="14.5" x14ac:dyDescent="0.35"/>
  <cols>
    <col min="5" max="5" width="13.6328125" bestFit="1" customWidth="1"/>
    <col min="8" max="8" width="11.08984375" customWidth="1"/>
  </cols>
  <sheetData>
    <row r="1" spans="1:39" s="27" customFormat="1" ht="92.5" customHeight="1" x14ac:dyDescent="0.35">
      <c r="A1" s="19" t="s">
        <v>15</v>
      </c>
      <c r="B1" s="19" t="s">
        <v>16</v>
      </c>
      <c r="C1" s="19" t="s">
        <v>17</v>
      </c>
      <c r="D1" s="19" t="s">
        <v>18</v>
      </c>
      <c r="E1" s="19" t="s">
        <v>19</v>
      </c>
      <c r="F1" s="19" t="s">
        <v>4</v>
      </c>
      <c r="G1" s="19" t="s">
        <v>3</v>
      </c>
      <c r="H1" s="19" t="s">
        <v>49</v>
      </c>
      <c r="I1" s="19" t="s">
        <v>5</v>
      </c>
      <c r="J1" s="19" t="s">
        <v>24</v>
      </c>
      <c r="K1" s="19" t="s">
        <v>8</v>
      </c>
      <c r="L1" s="19" t="s">
        <v>7</v>
      </c>
      <c r="M1" s="19" t="s">
        <v>27</v>
      </c>
      <c r="N1" s="19" t="s">
        <v>28</v>
      </c>
      <c r="O1" s="19" t="s">
        <v>156</v>
      </c>
      <c r="P1" s="26" t="s">
        <v>154</v>
      </c>
      <c r="Q1" s="26" t="s">
        <v>155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</row>
    <row r="2" spans="1:39" x14ac:dyDescent="0.35">
      <c r="A2" s="20" t="s">
        <v>60</v>
      </c>
      <c r="B2" t="s">
        <v>61</v>
      </c>
      <c r="C2" t="s">
        <v>62</v>
      </c>
      <c r="D2">
        <v>2</v>
      </c>
      <c r="E2" s="21">
        <v>44789</v>
      </c>
      <c r="F2">
        <v>68.246799999999993</v>
      </c>
      <c r="G2">
        <v>15.361000000000001</v>
      </c>
      <c r="H2">
        <v>8220.5028000000002</v>
      </c>
      <c r="I2">
        <v>900.19</v>
      </c>
      <c r="J2" s="21">
        <v>44845</v>
      </c>
      <c r="K2" t="s">
        <v>63</v>
      </c>
      <c r="L2" t="s">
        <v>10</v>
      </c>
      <c r="M2" t="s">
        <v>10</v>
      </c>
      <c r="N2">
        <v>0</v>
      </c>
      <c r="O2" t="str">
        <f>IF(F2&lt;80.573, "low", "high")</f>
        <v>low</v>
      </c>
      <c r="P2">
        <f>IF(O2="low", ((F2+2.6469)/2.774)*'dilution factor'!$L$6, ((F2+79.927)/5.3494)*'dilution factor'!$L$6)</f>
        <v>28.981312522044366</v>
      </c>
      <c r="Q2">
        <f>((H2-305.64)/5.2938)*'dilution factor'!$L$7</f>
        <v>1794.7518947379369</v>
      </c>
    </row>
    <row r="3" spans="1:39" x14ac:dyDescent="0.35">
      <c r="A3" s="20" t="s">
        <v>64</v>
      </c>
      <c r="B3" t="s">
        <v>61</v>
      </c>
      <c r="C3" t="s">
        <v>62</v>
      </c>
      <c r="D3">
        <v>3</v>
      </c>
      <c r="E3" s="21">
        <v>44789</v>
      </c>
      <c r="F3">
        <v>60.4512</v>
      </c>
      <c r="G3">
        <v>13.493</v>
      </c>
      <c r="H3">
        <v>7864.1696000000002</v>
      </c>
      <c r="I3">
        <v>862.7</v>
      </c>
      <c r="J3" s="21">
        <v>44845</v>
      </c>
      <c r="K3" t="s">
        <v>65</v>
      </c>
      <c r="L3" t="s">
        <v>10</v>
      </c>
      <c r="M3" t="s">
        <v>10</v>
      </c>
      <c r="N3">
        <v>0</v>
      </c>
      <c r="O3" t="str">
        <f t="shared" ref="O3:O44" si="0">IF(F3&lt;80.573, "low", "high")</f>
        <v>low</v>
      </c>
      <c r="P3">
        <f>IF(O3="low", ((F3+2.6469)/2.774)*'dilution factor'!$L$6, ((F3+79.927)/5.3494)*'dilution factor'!$L$6)</f>
        <v>25.794474764996153</v>
      </c>
      <c r="Q3">
        <f>((H3-305.64)/5.2938)*'dilution factor'!$L$7</f>
        <v>1713.9507864915586</v>
      </c>
    </row>
    <row r="4" spans="1:39" x14ac:dyDescent="0.35">
      <c r="A4" s="20" t="s">
        <v>68</v>
      </c>
      <c r="B4" t="s">
        <v>61</v>
      </c>
      <c r="C4" t="s">
        <v>62</v>
      </c>
      <c r="D4">
        <v>1</v>
      </c>
      <c r="E4" s="21">
        <v>44789</v>
      </c>
      <c r="F4">
        <v>39.767000000000003</v>
      </c>
      <c r="G4">
        <v>8.7330000000000005</v>
      </c>
      <c r="H4">
        <v>5516.7979999999998</v>
      </c>
      <c r="I4">
        <v>621.75599999999997</v>
      </c>
      <c r="J4" s="21">
        <v>44845</v>
      </c>
      <c r="K4" t="s">
        <v>69</v>
      </c>
      <c r="L4" t="s">
        <v>70</v>
      </c>
      <c r="M4" t="s">
        <v>10</v>
      </c>
      <c r="N4">
        <v>0</v>
      </c>
      <c r="O4" t="str">
        <f t="shared" si="0"/>
        <v>low</v>
      </c>
      <c r="P4">
        <f>IF(O4="low", ((F4+2.6469)/2.774)*'dilution factor'!$L$6, ((F4+79.927)/5.3494)*'dilution factor'!$L$6)</f>
        <v>17.338783152504917</v>
      </c>
      <c r="Q4">
        <f>((H4-305.64)/5.2938)*'dilution factor'!$L$7</f>
        <v>1181.6674439737296</v>
      </c>
    </row>
    <row r="5" spans="1:39" x14ac:dyDescent="0.35">
      <c r="A5" s="20" t="s">
        <v>71</v>
      </c>
      <c r="B5" t="s">
        <v>61</v>
      </c>
      <c r="C5" t="s">
        <v>72</v>
      </c>
      <c r="D5">
        <v>1</v>
      </c>
      <c r="E5" s="21">
        <v>44789</v>
      </c>
      <c r="F5">
        <v>116.61620000000001</v>
      </c>
      <c r="G5">
        <v>26.959</v>
      </c>
      <c r="H5">
        <v>4269.8374000000003</v>
      </c>
      <c r="I5">
        <v>578.029</v>
      </c>
      <c r="J5" s="21">
        <v>44845</v>
      </c>
      <c r="K5" t="s">
        <v>73</v>
      </c>
      <c r="L5" t="s">
        <v>74</v>
      </c>
      <c r="M5" t="s">
        <v>10</v>
      </c>
      <c r="N5">
        <v>0</v>
      </c>
      <c r="O5" t="str">
        <f t="shared" si="0"/>
        <v>high</v>
      </c>
      <c r="P5">
        <f>IF(O5="low", ((F5+2.6469)/2.774)*'dilution factor'!$L$6, ((F5+79.927)/5.3494)*'dilution factor'!$L$6)</f>
        <v>41.664849084880572</v>
      </c>
      <c r="Q5">
        <f>((H5-305.64)/5.2938)*'dilution factor'!$L$7</f>
        <v>898.91018638569506</v>
      </c>
    </row>
    <row r="6" spans="1:39" x14ac:dyDescent="0.35">
      <c r="A6" s="20" t="s">
        <v>71</v>
      </c>
      <c r="B6" t="s">
        <v>61</v>
      </c>
      <c r="C6" t="s">
        <v>72</v>
      </c>
      <c r="D6">
        <v>1</v>
      </c>
      <c r="E6" s="21">
        <v>44789</v>
      </c>
      <c r="F6">
        <v>102.7794</v>
      </c>
      <c r="G6">
        <v>23.603999999999999</v>
      </c>
      <c r="H6">
        <v>6363.4012000000002</v>
      </c>
      <c r="I6">
        <v>705.51800000000003</v>
      </c>
      <c r="J6" s="21">
        <v>44845</v>
      </c>
      <c r="K6" t="s">
        <v>75</v>
      </c>
      <c r="L6" t="s">
        <v>10</v>
      </c>
      <c r="M6" t="s">
        <v>10</v>
      </c>
      <c r="N6">
        <v>0</v>
      </c>
      <c r="O6" t="str">
        <f t="shared" si="0"/>
        <v>high</v>
      </c>
      <c r="P6">
        <f>IF(O6="low", ((F6+2.6469)/2.774)*'dilution factor'!$L$6, ((F6+79.927)/5.3494)*'dilution factor'!$L$6)</f>
        <v>38.731610062529889</v>
      </c>
      <c r="Q6">
        <f>((H6-305.64)/5.2938)*'dilution factor'!$L$7</f>
        <v>1373.6407902825501</v>
      </c>
    </row>
    <row r="7" spans="1:39" x14ac:dyDescent="0.35">
      <c r="A7" s="20" t="s">
        <v>76</v>
      </c>
      <c r="B7" t="s">
        <v>61</v>
      </c>
      <c r="C7" t="s">
        <v>72</v>
      </c>
      <c r="D7">
        <v>2</v>
      </c>
      <c r="E7" s="21">
        <v>44789</v>
      </c>
      <c r="F7">
        <v>125.3335</v>
      </c>
      <c r="G7">
        <v>29.111999999999998</v>
      </c>
      <c r="H7">
        <v>8218.4177</v>
      </c>
      <c r="I7">
        <v>889.07600000000002</v>
      </c>
      <c r="J7" s="21">
        <v>44845</v>
      </c>
      <c r="K7" t="s">
        <v>77</v>
      </c>
      <c r="L7" t="s">
        <v>10</v>
      </c>
      <c r="M7" t="s">
        <v>10</v>
      </c>
      <c r="N7">
        <v>0</v>
      </c>
      <c r="O7" t="str">
        <f t="shared" si="0"/>
        <v>high</v>
      </c>
      <c r="P7">
        <f>IF(O7="low", ((F7+2.6469)/2.774)*'dilution factor'!$L$6, ((F7+79.927)/5.3494)*'dilution factor'!$L$6)</f>
        <v>43.512814259598549</v>
      </c>
      <c r="Q7">
        <f>((H7-305.64)/5.2938)*'dilution factor'!$L$7</f>
        <v>1794.279083361381</v>
      </c>
    </row>
    <row r="8" spans="1:39" x14ac:dyDescent="0.35">
      <c r="A8" s="20" t="s">
        <v>78</v>
      </c>
      <c r="B8" t="s">
        <v>61</v>
      </c>
      <c r="C8" t="s">
        <v>72</v>
      </c>
      <c r="D8">
        <v>3</v>
      </c>
      <c r="E8" s="21">
        <v>44789</v>
      </c>
      <c r="F8">
        <v>121.7912</v>
      </c>
      <c r="G8">
        <v>28.241</v>
      </c>
      <c r="H8">
        <v>5986.6180000000004</v>
      </c>
      <c r="I8">
        <v>665.06399999999996</v>
      </c>
      <c r="J8" s="21">
        <v>44845</v>
      </c>
      <c r="K8" t="s">
        <v>79</v>
      </c>
      <c r="L8" t="s">
        <v>10</v>
      </c>
      <c r="M8" t="s">
        <v>10</v>
      </c>
      <c r="N8">
        <v>0</v>
      </c>
      <c r="O8" t="str">
        <f t="shared" si="0"/>
        <v>high</v>
      </c>
      <c r="P8">
        <f>IF(O8="low", ((F8+2.6469)/2.774)*'dilution factor'!$L$6, ((F8+79.927)/5.3494)*'dilution factor'!$L$6)</f>
        <v>42.761888280407348</v>
      </c>
      <c r="Q8">
        <f>((H8-305.64)/5.2938)*'dilution factor'!$L$7</f>
        <v>1288.2024978960515</v>
      </c>
    </row>
    <row r="9" spans="1:39" x14ac:dyDescent="0.35">
      <c r="A9" s="20" t="s">
        <v>80</v>
      </c>
      <c r="B9" t="s">
        <v>61</v>
      </c>
      <c r="C9" t="s">
        <v>81</v>
      </c>
      <c r="D9">
        <v>1</v>
      </c>
      <c r="E9" s="21">
        <v>44789</v>
      </c>
      <c r="F9">
        <v>40.427</v>
      </c>
      <c r="G9">
        <v>8.9269999999999996</v>
      </c>
      <c r="H9">
        <v>4468.9027999999998</v>
      </c>
      <c r="I9">
        <v>508.95800000000003</v>
      </c>
      <c r="J9" s="21">
        <v>44845</v>
      </c>
      <c r="K9" t="s">
        <v>82</v>
      </c>
      <c r="L9" t="s">
        <v>10</v>
      </c>
      <c r="M9" t="s">
        <v>10</v>
      </c>
      <c r="N9">
        <v>0</v>
      </c>
      <c r="O9" t="str">
        <f t="shared" si="0"/>
        <v>low</v>
      </c>
      <c r="P9">
        <f>IF(O9="low", ((F9+2.6469)/2.774)*'dilution factor'!$L$6, ((F9+79.927)/5.3494)*'dilution factor'!$L$6)</f>
        <v>17.608590854240742</v>
      </c>
      <c r="Q9">
        <f>((H9-305.64)/5.2938)*'dilution factor'!$L$7</f>
        <v>944.04969326719947</v>
      </c>
    </row>
    <row r="10" spans="1:39" x14ac:dyDescent="0.35">
      <c r="A10" s="20" t="s">
        <v>83</v>
      </c>
      <c r="B10" t="s">
        <v>61</v>
      </c>
      <c r="C10" t="s">
        <v>81</v>
      </c>
      <c r="D10">
        <v>2</v>
      </c>
      <c r="E10" s="21">
        <v>44789</v>
      </c>
      <c r="F10">
        <v>40.172199999999997</v>
      </c>
      <c r="G10">
        <v>8.8569999999999993</v>
      </c>
      <c r="H10">
        <v>3857.1342</v>
      </c>
      <c r="I10">
        <v>445.53</v>
      </c>
      <c r="J10" s="21">
        <v>44845</v>
      </c>
      <c r="K10" t="s">
        <v>84</v>
      </c>
      <c r="L10" t="s">
        <v>10</v>
      </c>
      <c r="M10" t="s">
        <v>10</v>
      </c>
      <c r="N10">
        <v>0</v>
      </c>
      <c r="O10" t="str">
        <f t="shared" si="0"/>
        <v>low</v>
      </c>
      <c r="P10">
        <f>IF(O10="low", ((F10+2.6469)/2.774)*'dilution factor'!$L$6, ((F10+79.927)/5.3494)*'dilution factor'!$L$6)</f>
        <v>17.504428729388788</v>
      </c>
      <c r="Q10">
        <f>((H10-305.64)/5.2938)*'dilution factor'!$L$7</f>
        <v>805.32677642887177</v>
      </c>
    </row>
    <row r="11" spans="1:39" x14ac:dyDescent="0.35">
      <c r="A11" s="1" t="s">
        <v>30</v>
      </c>
      <c r="B11" t="s">
        <v>10</v>
      </c>
      <c r="C11" t="s">
        <v>10</v>
      </c>
      <c r="D11" t="s">
        <v>10</v>
      </c>
      <c r="E11" t="s">
        <v>10</v>
      </c>
      <c r="F11">
        <v>966.70839999999998</v>
      </c>
      <c r="G11">
        <v>225.505</v>
      </c>
      <c r="H11">
        <v>50395.602099999996</v>
      </c>
      <c r="I11">
        <v>4321.8490000000002</v>
      </c>
      <c r="J11" s="21">
        <v>44845</v>
      </c>
      <c r="K11" t="s">
        <v>85</v>
      </c>
      <c r="L11" t="s">
        <v>10</v>
      </c>
      <c r="M11" t="s">
        <v>10</v>
      </c>
      <c r="N11">
        <v>0</v>
      </c>
      <c r="O11" t="str">
        <f t="shared" si="0"/>
        <v>high</v>
      </c>
      <c r="P11">
        <f>IF(O11="low", ((F11+2.6469)/2.774)*'dilution factor'!$L$6, ((F11+79.927)/5.3494)*'dilution factor'!$L$6)</f>
        <v>221.87440719339872</v>
      </c>
      <c r="Q11">
        <f>((H11-305.64)/5.2938)*'dilution factor'!$L$7</f>
        <v>11358.258084565465</v>
      </c>
    </row>
    <row r="12" spans="1:39" x14ac:dyDescent="0.35">
      <c r="A12" s="1" t="s">
        <v>30</v>
      </c>
      <c r="B12" t="s">
        <v>10</v>
      </c>
      <c r="C12" t="s">
        <v>10</v>
      </c>
      <c r="D12" t="s">
        <v>10</v>
      </c>
      <c r="E12" t="s">
        <v>10</v>
      </c>
      <c r="F12">
        <v>1015.7251</v>
      </c>
      <c r="G12">
        <v>235.54599999999999</v>
      </c>
      <c r="H12">
        <v>52790.902999999998</v>
      </c>
      <c r="I12">
        <v>4495.0200000000004</v>
      </c>
      <c r="J12" s="21">
        <v>44845</v>
      </c>
      <c r="K12" t="s">
        <v>86</v>
      </c>
      <c r="L12" t="s">
        <v>10</v>
      </c>
      <c r="M12" t="s">
        <v>10</v>
      </c>
      <c r="N12">
        <v>0</v>
      </c>
      <c r="O12" t="str">
        <f t="shared" si="0"/>
        <v>high</v>
      </c>
      <c r="P12">
        <f>IF(O12="low", ((F12+2.6469)/2.774)*'dilution factor'!$L$6, ((F12+79.927)/5.3494)*'dilution factor'!$L$6)</f>
        <v>232.26537166400303</v>
      </c>
      <c r="Q12">
        <f>((H12-305.64)/5.2938)*'dilution factor'!$L$7</f>
        <v>11901.409739543296</v>
      </c>
    </row>
    <row r="13" spans="1:39" x14ac:dyDescent="0.35">
      <c r="A13" s="20" t="s">
        <v>88</v>
      </c>
      <c r="B13" t="s">
        <v>61</v>
      </c>
      <c r="C13" t="s">
        <v>81</v>
      </c>
      <c r="D13">
        <v>3</v>
      </c>
      <c r="E13" s="21">
        <v>44789</v>
      </c>
      <c r="F13">
        <v>19.128299999999999</v>
      </c>
      <c r="G13">
        <v>4.1970000000000001</v>
      </c>
      <c r="H13">
        <v>3756.942</v>
      </c>
      <c r="I13">
        <v>434.238</v>
      </c>
      <c r="J13" s="21">
        <v>44845</v>
      </c>
      <c r="K13" t="s">
        <v>87</v>
      </c>
      <c r="L13" t="s">
        <v>10</v>
      </c>
      <c r="M13" t="s">
        <v>10</v>
      </c>
      <c r="N13">
        <v>0</v>
      </c>
      <c r="O13" t="str">
        <f t="shared" si="0"/>
        <v>low</v>
      </c>
      <c r="P13">
        <f>IF(O13="low", ((F13+2.6469)/2.774)*'dilution factor'!$L$6, ((F13+79.927)/5.3494)*'dilution factor'!$L$6)</f>
        <v>8.9016919194515225</v>
      </c>
      <c r="Q13">
        <f>((H13-305.64)/5.2938)*'dilution factor'!$L$7</f>
        <v>782.60747663406516</v>
      </c>
    </row>
    <row r="14" spans="1:39" x14ac:dyDescent="0.35">
      <c r="A14" s="20" t="s">
        <v>89</v>
      </c>
      <c r="B14" t="s">
        <v>61</v>
      </c>
      <c r="C14" t="s">
        <v>90</v>
      </c>
      <c r="D14">
        <v>1</v>
      </c>
      <c r="E14" s="21">
        <v>44789</v>
      </c>
      <c r="F14" s="24">
        <v>2575.8112000000001</v>
      </c>
      <c r="G14">
        <v>555.13300000000004</v>
      </c>
      <c r="H14">
        <v>23905.310799999999</v>
      </c>
      <c r="I14">
        <v>2287.7159999999999</v>
      </c>
      <c r="J14" s="21">
        <v>44845</v>
      </c>
      <c r="K14" t="s">
        <v>91</v>
      </c>
      <c r="L14" t="s">
        <v>105</v>
      </c>
      <c r="M14" t="s">
        <v>10</v>
      </c>
      <c r="N14">
        <v>0</v>
      </c>
      <c r="O14" t="str">
        <f t="shared" si="0"/>
        <v>high</v>
      </c>
      <c r="P14">
        <f>IF(O14="low", ((F14+2.6469)/2.774)*'dilution factor'!$L$6, ((F14+79.927)/5.3494)*'dilution factor'!$L$6)</f>
        <v>562.98529438796356</v>
      </c>
      <c r="Q14">
        <f>((H14-305.64)/5.2938)*'dilution factor'!$L$7</f>
        <v>5351.3945792580971</v>
      </c>
    </row>
    <row r="15" spans="1:39" x14ac:dyDescent="0.35">
      <c r="A15" s="20" t="s">
        <v>92</v>
      </c>
      <c r="B15" t="s">
        <v>61</v>
      </c>
      <c r="C15" t="s">
        <v>90</v>
      </c>
      <c r="D15">
        <v>2</v>
      </c>
      <c r="E15" s="21">
        <v>44789</v>
      </c>
      <c r="F15" s="24">
        <v>4661.2406000000001</v>
      </c>
      <c r="G15">
        <v>982.84900000000005</v>
      </c>
      <c r="H15">
        <v>36322.9594</v>
      </c>
      <c r="I15">
        <v>3271.4079999999999</v>
      </c>
      <c r="J15" s="21">
        <v>44845</v>
      </c>
      <c r="K15" t="s">
        <v>94</v>
      </c>
      <c r="L15" t="s">
        <v>105</v>
      </c>
      <c r="M15" t="s">
        <v>10</v>
      </c>
      <c r="N15">
        <v>0</v>
      </c>
      <c r="O15" t="str">
        <f t="shared" si="0"/>
        <v>high</v>
      </c>
      <c r="P15">
        <f>IF(O15="low", ((F15+2.6469)/2.774)*'dilution factor'!$L$6, ((F15+79.927)/5.3494)*'dilution factor'!$L$6)</f>
        <v>1005.0718241085187</v>
      </c>
      <c r="Q15">
        <f>((H15-305.64)/5.2938)*'dilution factor'!$L$7</f>
        <v>8167.185442119282</v>
      </c>
    </row>
    <row r="16" spans="1:39" x14ac:dyDescent="0.35">
      <c r="A16" s="20" t="s">
        <v>93</v>
      </c>
      <c r="B16" t="s">
        <v>61</v>
      </c>
      <c r="C16" t="s">
        <v>90</v>
      </c>
      <c r="D16">
        <v>3</v>
      </c>
      <c r="E16" s="21">
        <v>44789</v>
      </c>
      <c r="F16" s="24">
        <v>3256.5767999999998</v>
      </c>
      <c r="G16">
        <v>694.90200000000004</v>
      </c>
      <c r="H16">
        <v>22834.327000000001</v>
      </c>
      <c r="I16">
        <v>2188.9110000000001</v>
      </c>
      <c r="J16" s="21">
        <v>44845</v>
      </c>
      <c r="K16" t="s">
        <v>95</v>
      </c>
      <c r="L16" t="s">
        <v>105</v>
      </c>
      <c r="M16" t="s">
        <v>10</v>
      </c>
      <c r="N16">
        <v>0</v>
      </c>
      <c r="O16" t="str">
        <f t="shared" si="0"/>
        <v>high</v>
      </c>
      <c r="P16">
        <f>IF(O16="low", ((F16+2.6469)/2.774)*'dilution factor'!$L$6, ((F16+79.927)/5.3494)*'dilution factor'!$L$6)</f>
        <v>707.29960282589548</v>
      </c>
      <c r="Q16">
        <f>((H16-305.64)/5.2938)*'dilution factor'!$L$7</f>
        <v>5108.5413229409269</v>
      </c>
    </row>
    <row r="17" spans="1:17" x14ac:dyDescent="0.35">
      <c r="A17" s="20" t="s">
        <v>96</v>
      </c>
      <c r="B17" t="s">
        <v>97</v>
      </c>
      <c r="C17" t="s">
        <v>90</v>
      </c>
      <c r="D17">
        <v>1</v>
      </c>
      <c r="E17" s="21">
        <v>44796</v>
      </c>
      <c r="F17">
        <v>0</v>
      </c>
      <c r="G17">
        <v>0</v>
      </c>
      <c r="H17">
        <v>6114.6444000000001</v>
      </c>
      <c r="I17">
        <v>670.41600000000005</v>
      </c>
      <c r="J17" s="21">
        <v>44845</v>
      </c>
      <c r="K17" t="s">
        <v>98</v>
      </c>
      <c r="L17" t="s">
        <v>10</v>
      </c>
      <c r="M17" t="s">
        <v>10</v>
      </c>
      <c r="N17">
        <v>0</v>
      </c>
      <c r="O17" t="str">
        <f t="shared" si="0"/>
        <v>low</v>
      </c>
      <c r="P17">
        <f>IF(O17="low", ((F17+2.6469)/2.774)*'dilution factor'!$L$6, ((F17+79.927)/5.3494)*'dilution factor'!$L$6)</f>
        <v>1.0820515238250965</v>
      </c>
      <c r="Q17">
        <f>((H17-305.64)/5.2938)*'dilution factor'!$L$7</f>
        <v>1317.2334021306108</v>
      </c>
    </row>
    <row r="18" spans="1:17" x14ac:dyDescent="0.35">
      <c r="A18" s="20" t="s">
        <v>99</v>
      </c>
      <c r="B18" t="s">
        <v>97</v>
      </c>
      <c r="C18" t="s">
        <v>90</v>
      </c>
      <c r="D18">
        <v>2</v>
      </c>
      <c r="E18" s="21">
        <v>44796</v>
      </c>
      <c r="F18">
        <v>0</v>
      </c>
      <c r="G18">
        <v>0</v>
      </c>
      <c r="H18">
        <v>5296.6120000000001</v>
      </c>
      <c r="I18">
        <v>588.33500000000004</v>
      </c>
      <c r="J18" s="21">
        <v>44845</v>
      </c>
      <c r="K18" t="s">
        <v>100</v>
      </c>
      <c r="L18" t="s">
        <v>10</v>
      </c>
      <c r="M18" t="s">
        <v>10</v>
      </c>
      <c r="N18">
        <v>0</v>
      </c>
      <c r="O18" t="str">
        <f t="shared" si="0"/>
        <v>low</v>
      </c>
      <c r="P18">
        <f>IF(O18="low", ((F18+2.6469)/2.774)*'dilution factor'!$L$6, ((F18+79.927)/5.3494)*'dilution factor'!$L$6)</f>
        <v>1.0820515238250965</v>
      </c>
      <c r="Q18">
        <f>((H18-305.64)/5.2938)*'dilution factor'!$L$7</f>
        <v>1131.7386895934558</v>
      </c>
    </row>
    <row r="19" spans="1:17" x14ac:dyDescent="0.35">
      <c r="A19" s="20" t="s">
        <v>101</v>
      </c>
      <c r="B19" t="s">
        <v>97</v>
      </c>
      <c r="C19" t="s">
        <v>90</v>
      </c>
      <c r="D19">
        <v>3</v>
      </c>
      <c r="E19" s="21">
        <v>44796</v>
      </c>
      <c r="F19">
        <v>0</v>
      </c>
      <c r="G19">
        <v>0</v>
      </c>
      <c r="H19" s="22">
        <v>6235.1206000000002</v>
      </c>
      <c r="I19">
        <v>680.85400000000004</v>
      </c>
      <c r="J19" s="21">
        <v>44845</v>
      </c>
      <c r="K19" t="s">
        <v>102</v>
      </c>
      <c r="L19" t="s">
        <v>10</v>
      </c>
      <c r="M19" t="s">
        <v>10</v>
      </c>
      <c r="N19">
        <v>0</v>
      </c>
      <c r="O19" t="str">
        <f t="shared" si="0"/>
        <v>low</v>
      </c>
      <c r="P19">
        <f>IF(O19="low", ((F19+2.6469)/2.774)*'dilution factor'!$L$6, ((F19+79.927)/5.3494)*'dilution factor'!$L$6)</f>
        <v>1.0820515238250965</v>
      </c>
      <c r="Q19">
        <f>((H19-305.64)/5.2938)*'dilution factor'!$L$7</f>
        <v>1344.5522443752075</v>
      </c>
    </row>
    <row r="20" spans="1:17" x14ac:dyDescent="0.35">
      <c r="A20" s="20" t="s">
        <v>103</v>
      </c>
      <c r="B20" t="s">
        <v>97</v>
      </c>
      <c r="C20" t="s">
        <v>72</v>
      </c>
      <c r="D20">
        <v>1</v>
      </c>
      <c r="E20" s="21">
        <v>44796</v>
      </c>
      <c r="F20" s="24">
        <v>1644.1754000000001</v>
      </c>
      <c r="G20">
        <v>363.22300000000001</v>
      </c>
      <c r="H20">
        <v>10708.607</v>
      </c>
      <c r="I20">
        <v>1108.7180000000001</v>
      </c>
      <c r="J20" s="21">
        <v>44845</v>
      </c>
      <c r="K20" t="s">
        <v>104</v>
      </c>
      <c r="L20" t="s">
        <v>105</v>
      </c>
      <c r="M20" t="s">
        <v>10</v>
      </c>
      <c r="N20">
        <v>0</v>
      </c>
      <c r="O20" t="str">
        <f t="shared" si="0"/>
        <v>high</v>
      </c>
      <c r="P20">
        <f>IF(O20="low", ((F20+2.6469)/2.774)*'dilution factor'!$L$6, ((F20+79.927)/5.3494)*'dilution factor'!$L$6)</f>
        <v>365.48945118874832</v>
      </c>
      <c r="Q20">
        <f>((H20-305.64)/5.2938)*'dilution factor'!$L$7</f>
        <v>2358.9473634522424</v>
      </c>
    </row>
    <row r="21" spans="1:17" x14ac:dyDescent="0.35">
      <c r="A21" s="20" t="s">
        <v>106</v>
      </c>
      <c r="B21" t="s">
        <v>97</v>
      </c>
      <c r="C21" t="s">
        <v>62</v>
      </c>
      <c r="D21">
        <v>1</v>
      </c>
      <c r="E21" s="21">
        <v>44796</v>
      </c>
      <c r="F21">
        <v>107.2822</v>
      </c>
      <c r="G21">
        <v>24.722000000000001</v>
      </c>
      <c r="H21">
        <v>2967.5084000000002</v>
      </c>
      <c r="I21">
        <v>349.38</v>
      </c>
      <c r="J21" s="21">
        <v>44845</v>
      </c>
      <c r="K21" t="s">
        <v>107</v>
      </c>
      <c r="L21" t="s">
        <v>10</v>
      </c>
      <c r="M21" t="s">
        <v>10</v>
      </c>
      <c r="N21">
        <v>0</v>
      </c>
      <c r="O21" t="str">
        <f t="shared" si="0"/>
        <v>high</v>
      </c>
      <c r="P21">
        <f>IF(O21="low", ((F21+2.6469)/2.774)*'dilution factor'!$L$6, ((F21+79.927)/5.3494)*'dilution factor'!$L$6)</f>
        <v>39.686150756175863</v>
      </c>
      <c r="Q21">
        <f>((H21-305.64)/5.2938)*'dilution factor'!$L$7</f>
        <v>603.59774706935434</v>
      </c>
    </row>
    <row r="22" spans="1:17" x14ac:dyDescent="0.35">
      <c r="A22" s="1" t="s">
        <v>30</v>
      </c>
      <c r="B22" t="s">
        <v>10</v>
      </c>
      <c r="C22" t="s">
        <v>10</v>
      </c>
      <c r="D22" t="s">
        <v>10</v>
      </c>
      <c r="E22" t="s">
        <v>10</v>
      </c>
      <c r="F22">
        <v>1006.8003</v>
      </c>
      <c r="G22">
        <v>234.465</v>
      </c>
      <c r="H22">
        <v>51635.113599999997</v>
      </c>
      <c r="I22">
        <v>4326.79</v>
      </c>
      <c r="J22" s="21">
        <v>44845</v>
      </c>
      <c r="K22" t="s">
        <v>108</v>
      </c>
      <c r="L22" t="s">
        <v>10</v>
      </c>
      <c r="M22" t="s">
        <v>10</v>
      </c>
      <c r="N22">
        <v>0</v>
      </c>
      <c r="O22" t="str">
        <f t="shared" si="0"/>
        <v>high</v>
      </c>
      <c r="P22">
        <f>IF(O22="low", ((F22+2.6469)/2.774)*'dilution factor'!$L$6, ((F22+79.927)/5.3494)*'dilution factor'!$L$6)</f>
        <v>230.3734189273388</v>
      </c>
      <c r="Q22">
        <f>((H22-305.64)/5.2938)*'dilution factor'!$L$7</f>
        <v>11639.326205313489</v>
      </c>
    </row>
    <row r="23" spans="1:17" x14ac:dyDescent="0.35">
      <c r="A23" s="20" t="s">
        <v>110</v>
      </c>
      <c r="B23" t="s">
        <v>97</v>
      </c>
      <c r="C23" t="s">
        <v>62</v>
      </c>
      <c r="D23">
        <v>2</v>
      </c>
      <c r="E23" s="21">
        <v>44796</v>
      </c>
      <c r="F23">
        <v>110.93259999999999</v>
      </c>
      <c r="G23">
        <v>25.670999999999999</v>
      </c>
      <c r="H23">
        <v>3540.6750000000002</v>
      </c>
      <c r="I23">
        <v>408.50700000000001</v>
      </c>
      <c r="J23" s="21">
        <v>44845</v>
      </c>
      <c r="K23" t="s">
        <v>109</v>
      </c>
      <c r="L23" t="s">
        <v>10</v>
      </c>
      <c r="M23" t="s">
        <v>10</v>
      </c>
      <c r="N23">
        <v>0</v>
      </c>
      <c r="O23" t="str">
        <f t="shared" si="0"/>
        <v>high</v>
      </c>
      <c r="P23">
        <f>IF(O23="low", ((F23+2.6469)/2.774)*'dilution factor'!$L$6, ((F23+79.927)/5.3494)*'dilution factor'!$L$6)</f>
        <v>40.45999266522918</v>
      </c>
      <c r="Q23">
        <f>((H23-305.64)/5.2938)*'dilution factor'!$L$7</f>
        <v>733.56738360563145</v>
      </c>
    </row>
    <row r="24" spans="1:17" x14ac:dyDescent="0.35">
      <c r="A24" s="20" t="s">
        <v>111</v>
      </c>
      <c r="B24" t="s">
        <v>97</v>
      </c>
      <c r="C24" t="s">
        <v>62</v>
      </c>
      <c r="D24">
        <v>3</v>
      </c>
      <c r="E24" s="21">
        <v>44796</v>
      </c>
      <c r="F24">
        <v>112.033</v>
      </c>
      <c r="G24">
        <v>26.007000000000001</v>
      </c>
      <c r="H24">
        <v>3588.2808</v>
      </c>
      <c r="I24">
        <v>413.49599999999998</v>
      </c>
      <c r="J24" s="21">
        <v>44845</v>
      </c>
      <c r="K24" t="s">
        <v>112</v>
      </c>
      <c r="L24" t="s">
        <v>10</v>
      </c>
      <c r="M24" t="s">
        <v>10</v>
      </c>
      <c r="N24">
        <v>0</v>
      </c>
      <c r="O24" t="str">
        <f t="shared" si="0"/>
        <v>high</v>
      </c>
      <c r="P24">
        <f>IF(O24="low", ((F24+2.6469)/2.774)*'dilution factor'!$L$6, ((F24+79.927)/5.3494)*'dilution factor'!$L$6)</f>
        <v>40.693264535906998</v>
      </c>
      <c r="Q24">
        <f>((H24-305.64)/5.2938)*'dilution factor'!$L$7</f>
        <v>744.36234012092507</v>
      </c>
    </row>
    <row r="25" spans="1:17" x14ac:dyDescent="0.35">
      <c r="A25" s="20" t="s">
        <v>113</v>
      </c>
      <c r="B25" t="s">
        <v>97</v>
      </c>
      <c r="C25" t="s">
        <v>81</v>
      </c>
      <c r="D25">
        <v>1</v>
      </c>
      <c r="E25" s="21">
        <v>44796</v>
      </c>
      <c r="F25">
        <v>500.73579999999998</v>
      </c>
      <c r="G25">
        <v>121.396</v>
      </c>
      <c r="H25">
        <v>6307.2048000000004</v>
      </c>
      <c r="I25">
        <v>684.77499999999998</v>
      </c>
      <c r="J25" s="21">
        <v>44845</v>
      </c>
      <c r="K25" t="s">
        <v>114</v>
      </c>
      <c r="L25" t="s">
        <v>10</v>
      </c>
      <c r="M25" t="s">
        <v>10</v>
      </c>
      <c r="N25">
        <v>0</v>
      </c>
      <c r="O25" t="str">
        <f t="shared" si="0"/>
        <v>high</v>
      </c>
      <c r="P25">
        <f>IF(O25="low", ((F25+2.6469)/2.774)*'dilution factor'!$L$6, ((F25+79.927)/5.3494)*'dilution factor'!$L$6)</f>
        <v>123.09369101146308</v>
      </c>
      <c r="Q25">
        <f>((H25-305.64)/5.2938)*'dilution factor'!$L$7</f>
        <v>1360.8978536169329</v>
      </c>
    </row>
    <row r="26" spans="1:17" x14ac:dyDescent="0.35">
      <c r="A26" s="20" t="s">
        <v>115</v>
      </c>
      <c r="B26" t="s">
        <v>97</v>
      </c>
      <c r="C26" t="s">
        <v>81</v>
      </c>
      <c r="D26">
        <v>2</v>
      </c>
      <c r="E26" s="21">
        <v>44796</v>
      </c>
      <c r="F26">
        <v>527.4325</v>
      </c>
      <c r="G26">
        <v>127.602</v>
      </c>
      <c r="H26">
        <v>6275.6995999999999</v>
      </c>
      <c r="I26">
        <v>681.303</v>
      </c>
      <c r="J26" s="21">
        <v>44845</v>
      </c>
      <c r="K26" t="s">
        <v>116</v>
      </c>
      <c r="L26" t="s">
        <v>10</v>
      </c>
      <c r="M26" t="s">
        <v>10</v>
      </c>
      <c r="N26">
        <v>0</v>
      </c>
      <c r="O26" t="str">
        <f t="shared" si="0"/>
        <v>high</v>
      </c>
      <c r="P26">
        <f>IF(O26="low", ((F26+2.6469)/2.774)*'dilution factor'!$L$6, ((F26+79.927)/5.3494)*'dilution factor'!$L$6)</f>
        <v>128.75307773440406</v>
      </c>
      <c r="Q26">
        <f>((H26-305.64)/5.2938)*'dilution factor'!$L$7</f>
        <v>1353.7538236036648</v>
      </c>
    </row>
    <row r="27" spans="1:17" x14ac:dyDescent="0.35">
      <c r="A27" s="20" t="s">
        <v>117</v>
      </c>
      <c r="B27" t="s">
        <v>97</v>
      </c>
      <c r="C27" t="s">
        <v>81</v>
      </c>
      <c r="D27">
        <v>3</v>
      </c>
      <c r="E27" s="21">
        <v>44796</v>
      </c>
      <c r="F27">
        <v>501.173</v>
      </c>
      <c r="G27">
        <v>121.28700000000001</v>
      </c>
      <c r="H27">
        <v>7508.9490999999998</v>
      </c>
      <c r="I27">
        <v>800.16300000000001</v>
      </c>
      <c r="J27" s="21">
        <v>44845</v>
      </c>
      <c r="K27" t="s">
        <v>118</v>
      </c>
      <c r="L27" t="s">
        <v>10</v>
      </c>
      <c r="M27" t="s">
        <v>10</v>
      </c>
      <c r="N27">
        <v>0</v>
      </c>
      <c r="O27" t="str">
        <f t="shared" si="0"/>
        <v>high</v>
      </c>
      <c r="P27">
        <f>IF(O27="low", ((F27+2.6469)/2.774)*'dilution factor'!$L$6, ((F27+79.927)/5.3494)*'dilution factor'!$L$6)</f>
        <v>123.1863722745132</v>
      </c>
      <c r="Q27">
        <f>((H27-305.64)/5.2938)*'dilution factor'!$L$7</f>
        <v>1633.4019909489805</v>
      </c>
    </row>
    <row r="28" spans="1:17" x14ac:dyDescent="0.35">
      <c r="A28" s="20" t="s">
        <v>119</v>
      </c>
      <c r="B28" t="s">
        <v>61</v>
      </c>
      <c r="C28" t="s">
        <v>90</v>
      </c>
      <c r="D28">
        <v>1</v>
      </c>
      <c r="E28" s="21">
        <v>44804</v>
      </c>
      <c r="F28" s="24">
        <v>3963.3625999999999</v>
      </c>
      <c r="G28">
        <v>840.17499999999995</v>
      </c>
      <c r="H28">
        <v>30524.910599999999</v>
      </c>
      <c r="I28">
        <v>2762.2350000000001</v>
      </c>
      <c r="J28" s="21">
        <v>44845</v>
      </c>
      <c r="K28" t="s">
        <v>120</v>
      </c>
      <c r="L28" t="s">
        <v>105</v>
      </c>
      <c r="M28" t="s">
        <v>10</v>
      </c>
      <c r="N28">
        <v>0</v>
      </c>
      <c r="O28" t="str">
        <f t="shared" si="0"/>
        <v>high</v>
      </c>
      <c r="P28">
        <f>IF(O28="low", ((F28+2.6469)/2.774)*'dilution factor'!$L$6, ((F28+79.927)/5.3494)*'dilution factor'!$L$6)</f>
        <v>857.12988793541138</v>
      </c>
      <c r="Q28">
        <f>((H28-305.64)/5.2938)*'dilution factor'!$L$7</f>
        <v>6852.4363008476203</v>
      </c>
    </row>
    <row r="29" spans="1:17" x14ac:dyDescent="0.35">
      <c r="A29" s="20" t="s">
        <v>121</v>
      </c>
      <c r="B29" t="s">
        <v>61</v>
      </c>
      <c r="C29" t="s">
        <v>81</v>
      </c>
      <c r="D29">
        <v>1</v>
      </c>
      <c r="E29" s="21">
        <v>44804</v>
      </c>
      <c r="F29">
        <v>690.71</v>
      </c>
      <c r="G29">
        <v>164.666</v>
      </c>
      <c r="H29">
        <v>15810.7374</v>
      </c>
      <c r="I29">
        <v>1554.6220000000001</v>
      </c>
      <c r="J29" s="21">
        <v>44845</v>
      </c>
      <c r="K29" t="s">
        <v>122</v>
      </c>
      <c r="L29" t="s">
        <v>10</v>
      </c>
      <c r="M29" t="s">
        <v>10</v>
      </c>
      <c r="N29">
        <v>0</v>
      </c>
      <c r="O29" t="str">
        <f t="shared" si="0"/>
        <v>high</v>
      </c>
      <c r="P29">
        <f>IF(O29="low", ((F29+2.6469)/2.774)*'dilution factor'!$L$6, ((F29+79.927)/5.3494)*'dilution factor'!$L$6)</f>
        <v>163.36598927983829</v>
      </c>
      <c r="Q29">
        <f>((H29-305.64)/5.2938)*'dilution factor'!$L$7</f>
        <v>3515.8920173254628</v>
      </c>
    </row>
    <row r="30" spans="1:17" x14ac:dyDescent="0.35">
      <c r="A30" s="20" t="s">
        <v>123</v>
      </c>
      <c r="B30" t="s">
        <v>61</v>
      </c>
      <c r="C30" t="s">
        <v>81</v>
      </c>
      <c r="D30">
        <v>2</v>
      </c>
      <c r="E30" s="21">
        <v>44804</v>
      </c>
      <c r="F30">
        <v>863.82479999999998</v>
      </c>
      <c r="G30">
        <v>202.041</v>
      </c>
      <c r="H30">
        <v>10798.774600000001</v>
      </c>
      <c r="I30">
        <v>1106.2070000000001</v>
      </c>
      <c r="J30" s="21">
        <v>44845</v>
      </c>
      <c r="K30" t="s">
        <v>124</v>
      </c>
      <c r="L30" t="s">
        <v>10</v>
      </c>
      <c r="M30" t="s">
        <v>10</v>
      </c>
      <c r="N30">
        <v>0</v>
      </c>
      <c r="O30" t="str">
        <f t="shared" si="0"/>
        <v>high</v>
      </c>
      <c r="P30">
        <f>IF(O30="low", ((F30+2.6469)/2.774)*'dilution factor'!$L$6, ((F30+79.927)/5.3494)*'dilution factor'!$L$6)</f>
        <v>200.064292840375</v>
      </c>
      <c r="Q30">
        <f>((H30-305.64)/5.2938)*'dilution factor'!$L$7</f>
        <v>2379.3935133139903</v>
      </c>
    </row>
    <row r="31" spans="1:17" x14ac:dyDescent="0.35">
      <c r="A31" s="20" t="s">
        <v>125</v>
      </c>
      <c r="B31" t="s">
        <v>61</v>
      </c>
      <c r="C31" t="s">
        <v>81</v>
      </c>
      <c r="D31">
        <v>3</v>
      </c>
      <c r="E31" s="21">
        <v>44804</v>
      </c>
      <c r="F31" s="24">
        <v>1108.1533999999999</v>
      </c>
      <c r="G31">
        <v>253.56299999999999</v>
      </c>
      <c r="H31">
        <v>9573.8297999999995</v>
      </c>
      <c r="I31">
        <v>992.07600000000002</v>
      </c>
      <c r="J31" s="21">
        <v>44845</v>
      </c>
      <c r="K31" t="s">
        <v>126</v>
      </c>
      <c r="L31" t="s">
        <v>10</v>
      </c>
      <c r="M31" t="s">
        <v>10</v>
      </c>
      <c r="N31">
        <v>0</v>
      </c>
      <c r="O31" t="str">
        <f t="shared" si="0"/>
        <v>high</v>
      </c>
      <c r="P31">
        <f>IF(O31="low", ((F31+2.6469)/2.774)*'dilution factor'!$L$6, ((F31+79.927)/5.3494)*'dilution factor'!$L$6)</f>
        <v>251.85908526321205</v>
      </c>
      <c r="Q31">
        <f>((H31-305.64)/5.2938)*'dilution factor'!$L$7</f>
        <v>2101.6284962439045</v>
      </c>
    </row>
    <row r="32" spans="1:17" x14ac:dyDescent="0.35">
      <c r="A32" s="20" t="s">
        <v>127</v>
      </c>
      <c r="B32" t="s">
        <v>61</v>
      </c>
      <c r="C32" t="s">
        <v>62</v>
      </c>
      <c r="D32">
        <v>1</v>
      </c>
      <c r="E32" s="21">
        <v>44804</v>
      </c>
      <c r="F32">
        <v>22.719000000000001</v>
      </c>
      <c r="G32">
        <v>4.9574999999999996</v>
      </c>
      <c r="H32">
        <v>4586.7668000000003</v>
      </c>
      <c r="I32">
        <v>511.858</v>
      </c>
      <c r="J32" s="21">
        <v>44845</v>
      </c>
      <c r="K32" t="s">
        <v>128</v>
      </c>
      <c r="L32" t="s">
        <v>10</v>
      </c>
      <c r="M32" t="s">
        <v>10</v>
      </c>
      <c r="N32">
        <v>0</v>
      </c>
      <c r="O32" t="str">
        <f t="shared" si="0"/>
        <v>low</v>
      </c>
      <c r="P32">
        <f>IF(O32="low", ((F32+2.6469)/2.774)*'dilution factor'!$L$6, ((F32+79.927)/5.3494)*'dilution factor'!$L$6)</f>
        <v>10.369568456758854</v>
      </c>
      <c r="Q32">
        <f>((H32-305.64)/5.2938)*'dilution factor'!$L$7</f>
        <v>970.77620043058243</v>
      </c>
    </row>
    <row r="33" spans="1:17" x14ac:dyDescent="0.35">
      <c r="A33" s="23" t="s">
        <v>30</v>
      </c>
      <c r="B33" t="s">
        <v>10</v>
      </c>
      <c r="C33" t="s">
        <v>10</v>
      </c>
      <c r="D33" t="s">
        <v>10</v>
      </c>
      <c r="E33" t="s">
        <v>10</v>
      </c>
      <c r="F33">
        <v>1005.121</v>
      </c>
      <c r="G33">
        <v>234.19300000000001</v>
      </c>
      <c r="H33">
        <v>50978.662600000003</v>
      </c>
      <c r="I33">
        <v>4126.9660000000003</v>
      </c>
      <c r="J33" s="21">
        <v>44845</v>
      </c>
      <c r="K33" t="s">
        <v>129</v>
      </c>
      <c r="L33" t="s">
        <v>10</v>
      </c>
      <c r="M33" t="s">
        <v>10</v>
      </c>
      <c r="N33">
        <v>0</v>
      </c>
      <c r="O33" t="str">
        <f t="shared" si="0"/>
        <v>high</v>
      </c>
      <c r="P33">
        <f>IF(O33="low", ((F33+2.6469)/2.774)*'dilution factor'!$L$6, ((F33+79.927)/5.3494)*'dilution factor'!$L$6)</f>
        <v>230.01742705853724</v>
      </c>
      <c r="Q33">
        <f>((H33-305.64)/5.2938)*'dilution factor'!$L$7</f>
        <v>11490.471233872595</v>
      </c>
    </row>
    <row r="34" spans="1:17" x14ac:dyDescent="0.35">
      <c r="A34" s="20" t="s">
        <v>130</v>
      </c>
      <c r="B34" t="s">
        <v>61</v>
      </c>
      <c r="C34" t="s">
        <v>62</v>
      </c>
      <c r="D34">
        <v>2</v>
      </c>
      <c r="E34" s="21">
        <v>44804</v>
      </c>
      <c r="F34">
        <v>480.44260000000003</v>
      </c>
      <c r="G34">
        <v>116.788</v>
      </c>
      <c r="H34">
        <v>5735.4404000000004</v>
      </c>
      <c r="I34">
        <v>625.19299999999998</v>
      </c>
      <c r="J34" s="21">
        <v>44845</v>
      </c>
      <c r="K34" t="s">
        <v>131</v>
      </c>
      <c r="L34" t="s">
        <v>10</v>
      </c>
      <c r="M34" t="s">
        <v>10</v>
      </c>
      <c r="N34">
        <v>0</v>
      </c>
      <c r="O34" t="str">
        <f t="shared" si="0"/>
        <v>high</v>
      </c>
      <c r="P34">
        <f>IF(O34="low", ((F34+2.6469)/2.774)*'dilution factor'!$L$6, ((F34+79.927)/5.3494)*'dilution factor'!$L$6)</f>
        <v>118.79177104959568</v>
      </c>
      <c r="Q34">
        <f>((H34-305.64)/5.2938)*'dilution factor'!$L$7</f>
        <v>1231.2461759853636</v>
      </c>
    </row>
    <row r="35" spans="1:17" x14ac:dyDescent="0.35">
      <c r="A35" s="20" t="s">
        <v>132</v>
      </c>
      <c r="B35" t="s">
        <v>61</v>
      </c>
      <c r="C35" t="s">
        <v>62</v>
      </c>
      <c r="D35">
        <v>3</v>
      </c>
      <c r="E35" s="21">
        <v>44804</v>
      </c>
      <c r="F35">
        <v>23.062000000000001</v>
      </c>
      <c r="G35">
        <v>5.0229999999999997</v>
      </c>
      <c r="H35">
        <v>4884.5012999999999</v>
      </c>
      <c r="I35">
        <v>540.48</v>
      </c>
      <c r="J35" s="21">
        <v>44845</v>
      </c>
      <c r="K35" t="s">
        <v>133</v>
      </c>
      <c r="L35" t="s">
        <v>10</v>
      </c>
      <c r="M35" t="s">
        <v>10</v>
      </c>
      <c r="N35">
        <v>0</v>
      </c>
      <c r="O35" t="str">
        <f t="shared" si="0"/>
        <v>low</v>
      </c>
      <c r="P35">
        <f>IF(O35="low", ((F35+2.6469)/2.774)*'dilution factor'!$L$6, ((F35+79.927)/5.3494)*'dilution factor'!$L$6)</f>
        <v>10.509786701751869</v>
      </c>
      <c r="Q35">
        <f>((H35-305.64)/5.2938)*'dilution factor'!$L$7</f>
        <v>1038.289633260252</v>
      </c>
    </row>
    <row r="36" spans="1:17" x14ac:dyDescent="0.35">
      <c r="A36" s="20" t="s">
        <v>134</v>
      </c>
      <c r="B36" t="s">
        <v>61</v>
      </c>
      <c r="C36" t="s">
        <v>72</v>
      </c>
      <c r="D36">
        <v>1</v>
      </c>
      <c r="E36" s="21">
        <v>44804</v>
      </c>
      <c r="F36">
        <v>23.825600000000001</v>
      </c>
      <c r="G36">
        <v>5.19</v>
      </c>
      <c r="H36">
        <v>2749.1505999999999</v>
      </c>
      <c r="I36">
        <v>324.53199999999998</v>
      </c>
      <c r="J36" s="21">
        <v>44845</v>
      </c>
      <c r="K36" t="s">
        <v>135</v>
      </c>
      <c r="L36" t="s">
        <v>10</v>
      </c>
      <c r="M36" t="s">
        <v>10</v>
      </c>
      <c r="N36">
        <v>0</v>
      </c>
      <c r="O36" t="str">
        <f t="shared" si="0"/>
        <v>low</v>
      </c>
      <c r="P36">
        <f>IF(O36="low", ((F36+2.6469)/2.774)*'dilution factor'!$L$6, ((F36+79.927)/5.3494)*'dilution factor'!$L$6)</f>
        <v>10.82194603666926</v>
      </c>
      <c r="Q36">
        <f>((H36-305.64)/5.2938)*'dilution factor'!$L$7</f>
        <v>554.0835501484919</v>
      </c>
    </row>
    <row r="37" spans="1:17" x14ac:dyDescent="0.35">
      <c r="A37" s="20" t="s">
        <v>136</v>
      </c>
      <c r="B37" t="s">
        <v>61</v>
      </c>
      <c r="C37" t="s">
        <v>72</v>
      </c>
      <c r="D37">
        <v>2</v>
      </c>
      <c r="E37" s="21">
        <v>44804</v>
      </c>
      <c r="F37">
        <v>31.6416</v>
      </c>
      <c r="G37">
        <v>6.9340000000000002</v>
      </c>
      <c r="H37">
        <v>3719.4135999999999</v>
      </c>
      <c r="I37">
        <v>424.02699999999999</v>
      </c>
      <c r="J37" s="21">
        <v>44845</v>
      </c>
      <c r="K37" t="s">
        <v>137</v>
      </c>
      <c r="L37" t="s">
        <v>10</v>
      </c>
      <c r="M37" t="s">
        <v>10</v>
      </c>
      <c r="N37">
        <v>0</v>
      </c>
      <c r="O37" t="str">
        <f t="shared" si="0"/>
        <v>low</v>
      </c>
      <c r="P37">
        <f>IF(O37="low", ((F37+2.6469)/2.774)*'dilution factor'!$L$6, ((F37+79.927)/5.3494)*'dilution factor'!$L$6)</f>
        <v>14.0171233044984</v>
      </c>
      <c r="Q37">
        <f>((H37-305.64)/5.2938)*'dilution factor'!$L$7</f>
        <v>774.09764283044149</v>
      </c>
    </row>
    <row r="38" spans="1:17" x14ac:dyDescent="0.35">
      <c r="A38" s="20" t="s">
        <v>138</v>
      </c>
      <c r="B38" t="s">
        <v>61</v>
      </c>
      <c r="C38" t="s">
        <v>72</v>
      </c>
      <c r="D38">
        <v>3</v>
      </c>
      <c r="E38" s="21">
        <v>44804</v>
      </c>
      <c r="F38">
        <v>37.658000000000001</v>
      </c>
      <c r="G38">
        <v>8.3239999999999998</v>
      </c>
      <c r="H38">
        <v>2864.9342000000001</v>
      </c>
      <c r="I38">
        <v>336.26799999999997</v>
      </c>
      <c r="J38" s="21">
        <v>44845</v>
      </c>
      <c r="K38" t="s">
        <v>139</v>
      </c>
      <c r="L38" t="s">
        <v>10</v>
      </c>
      <c r="M38" t="s">
        <v>10</v>
      </c>
      <c r="N38">
        <v>0</v>
      </c>
      <c r="O38" t="str">
        <f t="shared" si="0"/>
        <v>low</v>
      </c>
      <c r="P38">
        <f>IF(O38="low", ((F38+2.6469)/2.774)*'dilution factor'!$L$6, ((F38+79.927)/5.3494)*'dilution factor'!$L$6)</f>
        <v>16.47662490559452</v>
      </c>
      <c r="Q38">
        <f>((H38-305.64)/5.2938)*'dilution factor'!$L$7</f>
        <v>580.33831169402117</v>
      </c>
    </row>
    <row r="39" spans="1:17" x14ac:dyDescent="0.35">
      <c r="A39" s="20" t="s">
        <v>140</v>
      </c>
      <c r="B39" t="s">
        <v>141</v>
      </c>
      <c r="C39" t="s">
        <v>90</v>
      </c>
      <c r="D39">
        <v>3</v>
      </c>
      <c r="E39" s="21">
        <v>44810</v>
      </c>
      <c r="F39">
        <v>91.224000000000004</v>
      </c>
      <c r="G39">
        <v>20.821999999999999</v>
      </c>
      <c r="H39">
        <v>10299.024600000001</v>
      </c>
      <c r="I39">
        <v>1052.7449999999999</v>
      </c>
      <c r="J39" s="21">
        <v>44845</v>
      </c>
      <c r="K39" t="s">
        <v>142</v>
      </c>
      <c r="L39" t="s">
        <v>10</v>
      </c>
      <c r="M39" t="s">
        <v>10</v>
      </c>
      <c r="N39">
        <v>0</v>
      </c>
      <c r="O39" t="str">
        <f t="shared" si="0"/>
        <v>high</v>
      </c>
      <c r="P39">
        <f>IF(O39="low", ((F39+2.6469)/2.774)*'dilution factor'!$L$6, ((F39+79.927)/5.3494)*'dilution factor'!$L$6)</f>
        <v>36.28200103451249</v>
      </c>
      <c r="Q39">
        <f>((H39-305.64)/5.2938)*'dilution factor'!$L$7</f>
        <v>2266.0716172736338</v>
      </c>
    </row>
    <row r="40" spans="1:17" x14ac:dyDescent="0.35">
      <c r="A40" s="20" t="s">
        <v>143</v>
      </c>
      <c r="B40" t="s">
        <v>141</v>
      </c>
      <c r="C40" t="s">
        <v>90</v>
      </c>
      <c r="D40">
        <v>2</v>
      </c>
      <c r="E40" s="21">
        <v>44810</v>
      </c>
      <c r="F40">
        <v>69.7761</v>
      </c>
      <c r="G40">
        <v>15.805</v>
      </c>
      <c r="H40">
        <v>9851.0892000000003</v>
      </c>
      <c r="I40">
        <v>1011.587</v>
      </c>
      <c r="J40" s="21">
        <v>44845</v>
      </c>
      <c r="K40" t="s">
        <v>144</v>
      </c>
      <c r="L40" t="s">
        <v>10</v>
      </c>
      <c r="M40" t="s">
        <v>10</v>
      </c>
      <c r="N40">
        <v>0</v>
      </c>
      <c r="O40" t="str">
        <f t="shared" si="0"/>
        <v>low</v>
      </c>
      <c r="P40">
        <f>IF(O40="low", ((F40+2.6469)/2.774)*'dilution factor'!$L$6, ((F40+79.927)/5.3494)*'dilution factor'!$L$6)</f>
        <v>29.606489670930131</v>
      </c>
      <c r="Q40">
        <f>((H40-305.64)/5.2938)*'dilution factor'!$L$7</f>
        <v>2164.4990533284704</v>
      </c>
    </row>
    <row r="41" spans="1:17" x14ac:dyDescent="0.35">
      <c r="A41" s="20" t="s">
        <v>145</v>
      </c>
      <c r="B41" t="s">
        <v>141</v>
      </c>
      <c r="C41" t="s">
        <v>90</v>
      </c>
      <c r="D41">
        <v>1</v>
      </c>
      <c r="E41" s="21">
        <v>44810</v>
      </c>
      <c r="F41">
        <v>41.653300000000002</v>
      </c>
      <c r="G41">
        <v>9.1989999999999998</v>
      </c>
      <c r="H41">
        <v>10873.2844</v>
      </c>
      <c r="I41">
        <v>1104.03</v>
      </c>
      <c r="J41" s="21">
        <v>44845</v>
      </c>
      <c r="K41" t="s">
        <v>146</v>
      </c>
      <c r="L41" t="s">
        <v>10</v>
      </c>
      <c r="M41" t="s">
        <v>10</v>
      </c>
      <c r="N41">
        <v>0</v>
      </c>
      <c r="O41" t="str">
        <f t="shared" si="0"/>
        <v>low</v>
      </c>
      <c r="P41">
        <f>IF(O41="low", ((F41+2.6469)/2.774)*'dilution factor'!$L$6, ((F41+79.927)/5.3494)*'dilution factor'!$L$6)</f>
        <v>18.109901740056873</v>
      </c>
      <c r="Q41">
        <f>((H41-305.64)/5.2938)*'dilution factor'!$L$7</f>
        <v>2396.2891447488832</v>
      </c>
    </row>
    <row r="42" spans="1:17" x14ac:dyDescent="0.35">
      <c r="A42" s="20" t="s">
        <v>147</v>
      </c>
      <c r="B42" t="s">
        <v>141</v>
      </c>
      <c r="C42" t="s">
        <v>81</v>
      </c>
      <c r="D42">
        <v>1</v>
      </c>
      <c r="E42" s="21">
        <v>44810</v>
      </c>
      <c r="F42">
        <v>215.15649999999999</v>
      </c>
      <c r="G42">
        <v>51.658000000000001</v>
      </c>
      <c r="H42">
        <v>11157.7472</v>
      </c>
      <c r="I42">
        <v>1128.914</v>
      </c>
      <c r="J42" s="21">
        <v>44845</v>
      </c>
      <c r="K42" t="s">
        <v>148</v>
      </c>
      <c r="L42" t="s">
        <v>10</v>
      </c>
      <c r="M42" t="s">
        <v>10</v>
      </c>
      <c r="N42">
        <v>0</v>
      </c>
      <c r="O42" t="str">
        <f t="shared" si="0"/>
        <v>high</v>
      </c>
      <c r="P42">
        <f>IF(O42="low", ((F42+2.6469)/2.774)*'dilution factor'!$L$6, ((F42+79.927)/5.3494)*'dilution factor'!$L$6)</f>
        <v>62.554234870188118</v>
      </c>
      <c r="Q42">
        <f>((H42-305.64)/5.2938)*'dilution factor'!$L$7</f>
        <v>2460.7931244366241</v>
      </c>
    </row>
    <row r="43" spans="1:17" x14ac:dyDescent="0.35">
      <c r="A43" s="20" t="s">
        <v>149</v>
      </c>
      <c r="B43" t="s">
        <v>141</v>
      </c>
      <c r="C43" t="s">
        <v>81</v>
      </c>
      <c r="D43">
        <v>2</v>
      </c>
      <c r="E43" s="21">
        <v>44810</v>
      </c>
      <c r="F43">
        <v>347.39780000000002</v>
      </c>
      <c r="G43">
        <v>84.94</v>
      </c>
      <c r="H43">
        <v>9949.2013000000006</v>
      </c>
      <c r="I43">
        <v>1018.537</v>
      </c>
      <c r="J43" s="21">
        <v>44845</v>
      </c>
      <c r="K43" t="s">
        <v>150</v>
      </c>
      <c r="L43" t="s">
        <v>10</v>
      </c>
      <c r="M43" t="s">
        <v>10</v>
      </c>
      <c r="N43">
        <v>0</v>
      </c>
      <c r="O43" t="str">
        <f t="shared" si="0"/>
        <v>high</v>
      </c>
      <c r="P43">
        <f>IF(O43="low", ((F43+2.6469)/2.774)*'dilution factor'!$L$6, ((F43+79.927)/5.3494)*'dilution factor'!$L$6)</f>
        <v>90.587836680316471</v>
      </c>
      <c r="Q43">
        <f>((H43-305.64)/5.2938)*'dilution factor'!$L$7</f>
        <v>2186.7466755325745</v>
      </c>
    </row>
    <row r="44" spans="1:17" x14ac:dyDescent="0.35">
      <c r="A44" s="23" t="s">
        <v>30</v>
      </c>
      <c r="B44" t="s">
        <v>10</v>
      </c>
      <c r="C44" t="s">
        <v>10</v>
      </c>
      <c r="D44" t="s">
        <v>10</v>
      </c>
      <c r="E44" t="s">
        <v>10</v>
      </c>
      <c r="F44">
        <v>1004.1984</v>
      </c>
      <c r="G44">
        <v>234.09700000000001</v>
      </c>
      <c r="H44">
        <v>50679.094599999997</v>
      </c>
      <c r="I44">
        <v>4150.09</v>
      </c>
      <c r="J44" s="21">
        <v>44845</v>
      </c>
      <c r="K44" t="s">
        <v>151</v>
      </c>
      <c r="L44" t="s">
        <v>10</v>
      </c>
      <c r="M44" t="s">
        <v>10</v>
      </c>
      <c r="N44">
        <v>0</v>
      </c>
      <c r="O44" t="str">
        <f t="shared" si="0"/>
        <v>high</v>
      </c>
      <c r="P44">
        <f>IF(O44="low", ((F44+2.6469)/2.774)*'dilution factor'!$L$6, ((F44+79.927)/5.3494)*'dilution factor'!$L$6)</f>
        <v>229.82184669877046</v>
      </c>
      <c r="Q44">
        <f>((H44-305.64)/5.2938)*'dilution factor'!$L$7</f>
        <v>11422.542041770508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stability check</vt:lpstr>
      <vt:lpstr>std curve</vt:lpstr>
      <vt:lpstr>raw data</vt:lpstr>
      <vt:lpstr>run calibration check</vt:lpstr>
      <vt:lpstr>dilution factor</vt:lpstr>
      <vt:lpstr>headpace equilibration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Naslund</dc:creator>
  <cp:lastModifiedBy>Laura Naslund</cp:lastModifiedBy>
  <dcterms:created xsi:type="dcterms:W3CDTF">2022-03-31T20:11:31Z</dcterms:created>
  <dcterms:modified xsi:type="dcterms:W3CDTF">2022-10-26T18:10:07Z</dcterms:modified>
</cp:coreProperties>
</file>