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ocuments\000UGA\Research\5-N-EWN\5-Data\2-GC Data\"/>
    </mc:Choice>
  </mc:AlternateContent>
  <xr:revisionPtr revIDLastSave="0" documentId="13_ncr:1_{139BFB92-E2EB-462C-B4A6-C7856CCEBE43}" xr6:coauthVersionLast="47" xr6:coauthVersionMax="47" xr10:uidLastSave="{00000000-0000-0000-0000-000000000000}"/>
  <bookViews>
    <workbookView xWindow="-110" yWindow="-110" windowWidth="19420" windowHeight="11500" firstSheet="2" activeTab="3" xr2:uid="{8B4FC8D4-E10F-4E7F-9BFC-16429CFD63D6}"/>
  </bookViews>
  <sheets>
    <sheet name="stability check" sheetId="2" r:id="rId1"/>
    <sheet name="std curve" sheetId="1" r:id="rId2"/>
    <sheet name="raw data" sheetId="3" r:id="rId3"/>
    <sheet name="headpace equilibration" sheetId="6" r:id="rId4"/>
    <sheet name="std curve (2)" sheetId="8" r:id="rId5"/>
    <sheet name="raw data (2)" sheetId="9" r:id="rId6"/>
    <sheet name="Sheet1" sheetId="10" r:id="rId7"/>
    <sheet name="run calibration check" sheetId="4" r:id="rId8"/>
    <sheet name="dilution factor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0" l="1"/>
  <c r="T2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Q22" i="10"/>
  <c r="Q11" i="10"/>
  <c r="Q21" i="10"/>
  <c r="Q20" i="10"/>
  <c r="Q19" i="10"/>
  <c r="Q18" i="10"/>
  <c r="Q17" i="10"/>
  <c r="Q16" i="10"/>
  <c r="Q15" i="10"/>
  <c r="Q14" i="10"/>
  <c r="Q13" i="10"/>
  <c r="Q12" i="10"/>
  <c r="Q10" i="10"/>
  <c r="Q9" i="10"/>
  <c r="Q8" i="10"/>
  <c r="Q7" i="10"/>
  <c r="Q6" i="10"/>
  <c r="Q5" i="10"/>
  <c r="Q4" i="10"/>
  <c r="Q3" i="10"/>
  <c r="Q2" i="10"/>
  <c r="P22" i="10"/>
  <c r="P11" i="10"/>
  <c r="P21" i="10"/>
  <c r="P20" i="10"/>
  <c r="P19" i="10"/>
  <c r="P18" i="10"/>
  <c r="P17" i="10"/>
  <c r="P16" i="10"/>
  <c r="P15" i="10"/>
  <c r="P14" i="10"/>
  <c r="P13" i="10"/>
  <c r="P12" i="10"/>
  <c r="P10" i="10"/>
  <c r="P9" i="10"/>
  <c r="P8" i="10"/>
  <c r="P7" i="10"/>
  <c r="P6" i="10"/>
  <c r="P5" i="10"/>
  <c r="P4" i="10"/>
  <c r="P3" i="10"/>
  <c r="P2" i="10"/>
  <c r="O22" i="10"/>
  <c r="O11" i="10"/>
  <c r="O19" i="10"/>
  <c r="O21" i="10"/>
  <c r="O20" i="10"/>
  <c r="O18" i="10"/>
  <c r="O17" i="10"/>
  <c r="O16" i="10"/>
  <c r="O15" i="10"/>
  <c r="O14" i="10"/>
  <c r="O13" i="10"/>
  <c r="O12" i="10"/>
  <c r="O10" i="10"/>
  <c r="O9" i="10"/>
  <c r="O8" i="10"/>
  <c r="O7" i="10"/>
  <c r="O6" i="10"/>
  <c r="O5" i="10"/>
  <c r="O4" i="10"/>
  <c r="O3" i="10"/>
  <c r="O2" i="10"/>
  <c r="Q4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Q37" i="6"/>
  <c r="Q56" i="6"/>
  <c r="Q41" i="6"/>
  <c r="Q38" i="6"/>
  <c r="P58" i="6"/>
  <c r="P57" i="6"/>
  <c r="P46" i="6"/>
  <c r="P37" i="6"/>
  <c r="P36" i="6"/>
  <c r="P24" i="6"/>
  <c r="P23" i="6"/>
  <c r="P12" i="6"/>
  <c r="P11" i="6"/>
  <c r="P56" i="6"/>
  <c r="P55" i="6"/>
  <c r="P54" i="6"/>
  <c r="P53" i="6"/>
  <c r="P52" i="6"/>
  <c r="P51" i="6"/>
  <c r="P50" i="6"/>
  <c r="P49" i="6"/>
  <c r="P48" i="6"/>
  <c r="P47" i="6"/>
  <c r="P45" i="6"/>
  <c r="P44" i="6"/>
  <c r="P43" i="6"/>
  <c r="P42" i="6"/>
  <c r="P41" i="6"/>
  <c r="P40" i="6"/>
  <c r="P39" i="6"/>
  <c r="P38" i="6"/>
  <c r="P35" i="6"/>
  <c r="P34" i="6"/>
  <c r="P33" i="6"/>
  <c r="P32" i="6"/>
  <c r="P31" i="6"/>
  <c r="P30" i="6"/>
  <c r="P29" i="6"/>
  <c r="P28" i="6"/>
  <c r="P27" i="6"/>
  <c r="P26" i="6"/>
  <c r="P25" i="6"/>
  <c r="P22" i="6"/>
  <c r="P21" i="6"/>
  <c r="P20" i="6"/>
  <c r="P19" i="6"/>
  <c r="P18" i="6"/>
  <c r="P17" i="6"/>
  <c r="P16" i="6"/>
  <c r="P15" i="6"/>
  <c r="P14" i="6"/>
  <c r="P13" i="6"/>
  <c r="P10" i="6"/>
  <c r="P9" i="6"/>
  <c r="P8" i="6"/>
  <c r="P7" i="6"/>
  <c r="P6" i="6"/>
  <c r="P5" i="6"/>
  <c r="P4" i="6"/>
  <c r="P3" i="6"/>
  <c r="P2" i="6"/>
  <c r="O22" i="6"/>
  <c r="Q22" i="6" s="1"/>
  <c r="O58" i="6"/>
  <c r="Q58" i="6" s="1"/>
  <c r="O57" i="6"/>
  <c r="Q57" i="6" s="1"/>
  <c r="O56" i="6"/>
  <c r="O55" i="6"/>
  <c r="Q55" i="6" s="1"/>
  <c r="O54" i="6"/>
  <c r="Q54" i="6" s="1"/>
  <c r="O53" i="6"/>
  <c r="Q53" i="6" s="1"/>
  <c r="O52" i="6"/>
  <c r="Q52" i="6" s="1"/>
  <c r="O51" i="6"/>
  <c r="Q51" i="6" s="1"/>
  <c r="O50" i="6"/>
  <c r="Q50" i="6" s="1"/>
  <c r="O49" i="6"/>
  <c r="Q49" i="6" s="1"/>
  <c r="O48" i="6"/>
  <c r="Q48" i="6" s="1"/>
  <c r="O47" i="6"/>
  <c r="Q47" i="6" s="1"/>
  <c r="O46" i="6"/>
  <c r="Q46" i="6" s="1"/>
  <c r="O45" i="6"/>
  <c r="Q45" i="6" s="1"/>
  <c r="O44" i="6"/>
  <c r="Q44" i="6" s="1"/>
  <c r="O43" i="6"/>
  <c r="Q43" i="6" s="1"/>
  <c r="O42" i="6"/>
  <c r="Q42" i="6" s="1"/>
  <c r="O41" i="6"/>
  <c r="O40" i="6"/>
  <c r="Q40" i="6" s="1"/>
  <c r="O39" i="6"/>
  <c r="Q39" i="6" s="1"/>
  <c r="O38" i="6"/>
  <c r="O37" i="6"/>
  <c r="O36" i="6"/>
  <c r="Q36" i="6" s="1"/>
  <c r="O35" i="6"/>
  <c r="Q35" i="6" s="1"/>
  <c r="O34" i="6"/>
  <c r="Q34" i="6" s="1"/>
  <c r="O33" i="6"/>
  <c r="Q33" i="6" s="1"/>
  <c r="O32" i="6"/>
  <c r="Q32" i="6" s="1"/>
  <c r="O31" i="6"/>
  <c r="Q31" i="6" s="1"/>
  <c r="O30" i="6"/>
  <c r="Q30" i="6" s="1"/>
  <c r="O29" i="6"/>
  <c r="Q29" i="6" s="1"/>
  <c r="O28" i="6"/>
  <c r="Q28" i="6" s="1"/>
  <c r="O27" i="6"/>
  <c r="Q27" i="6" s="1"/>
  <c r="O26" i="6"/>
  <c r="Q26" i="6" s="1"/>
  <c r="O25" i="6"/>
  <c r="Q25" i="6" s="1"/>
  <c r="O24" i="6"/>
  <c r="Q24" i="6" s="1"/>
  <c r="O23" i="6"/>
  <c r="Q23" i="6" s="1"/>
  <c r="O21" i="6"/>
  <c r="Q21" i="6" s="1"/>
  <c r="O20" i="6"/>
  <c r="Q20" i="6" s="1"/>
  <c r="O19" i="6"/>
  <c r="Q19" i="6" s="1"/>
  <c r="O18" i="6"/>
  <c r="Q18" i="6" s="1"/>
  <c r="O17" i="6"/>
  <c r="Q17" i="6" s="1"/>
  <c r="O16" i="6"/>
  <c r="Q16" i="6" s="1"/>
  <c r="O15" i="6"/>
  <c r="Q15" i="6" s="1"/>
  <c r="O14" i="6"/>
  <c r="Q14" i="6" s="1"/>
  <c r="O13" i="6"/>
  <c r="Q13" i="6" s="1"/>
  <c r="O12" i="6"/>
  <c r="Q12" i="6" s="1"/>
  <c r="O11" i="6"/>
  <c r="Q11" i="6" s="1"/>
  <c r="O10" i="6"/>
  <c r="Q10" i="6" s="1"/>
  <c r="O9" i="6"/>
  <c r="Q9" i="6" s="1"/>
  <c r="O8" i="6"/>
  <c r="Q8" i="6" s="1"/>
  <c r="O7" i="6"/>
  <c r="Q7" i="6" s="1"/>
  <c r="O6" i="6"/>
  <c r="Q6" i="6" s="1"/>
  <c r="O5" i="6"/>
  <c r="Q5" i="6" s="1"/>
  <c r="O4" i="6"/>
  <c r="O3" i="6"/>
  <c r="Q3" i="6" s="1"/>
  <c r="O2" i="6"/>
  <c r="Q2" i="6" s="1"/>
  <c r="P25" i="1"/>
  <c r="L7" i="5"/>
  <c r="L6" i="5"/>
  <c r="K7" i="5"/>
  <c r="K6" i="5"/>
  <c r="J7" i="5"/>
  <c r="J6" i="5"/>
  <c r="I7" i="5"/>
  <c r="I6" i="5"/>
  <c r="D9" i="5"/>
  <c r="B9" i="5"/>
  <c r="N22" i="9" l="1"/>
  <c r="M22" i="9"/>
  <c r="M11" i="9" l="1"/>
  <c r="T6" i="9"/>
  <c r="T5" i="9"/>
  <c r="T3" i="9"/>
  <c r="N11" i="9" s="1"/>
  <c r="T2" i="9"/>
  <c r="Q3" i="8"/>
  <c r="Q2" i="8"/>
  <c r="Q10" i="8"/>
  <c r="Q9" i="8"/>
  <c r="T47" i="9"/>
  <c r="S47" i="9"/>
  <c r="N58" i="3"/>
  <c r="M58" i="3"/>
  <c r="N57" i="3"/>
  <c r="M57" i="3"/>
  <c r="T48" i="3"/>
  <c r="S48" i="3"/>
  <c r="R11" i="3"/>
  <c r="Q17" i="1"/>
  <c r="Q16" i="1"/>
  <c r="Q5" i="1"/>
  <c r="Q4" i="1"/>
  <c r="J4" i="2" l="1"/>
  <c r="I3" i="2"/>
  <c r="J3" i="2"/>
  <c r="I4" i="2"/>
  <c r="I5" i="2"/>
  <c r="J5" i="2"/>
  <c r="I6" i="2"/>
  <c r="J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N3" i="4"/>
  <c r="J11" i="4" s="1"/>
  <c r="N2" i="4"/>
  <c r="I5" i="4" s="1"/>
  <c r="A5" i="4"/>
  <c r="A6" i="4" s="1"/>
  <c r="A7" i="4" s="1"/>
  <c r="A8" i="4" s="1"/>
  <c r="A9" i="4" s="1"/>
  <c r="A10" i="4" s="1"/>
  <c r="A11" i="4" s="1"/>
  <c r="A12" i="4" s="1"/>
  <c r="A4" i="4"/>
  <c r="A3" i="4"/>
  <c r="T6" i="3"/>
  <c r="T5" i="3"/>
  <c r="T3" i="3"/>
  <c r="N46" i="3" s="1"/>
  <c r="T2" i="3"/>
  <c r="M46" i="3" s="1"/>
  <c r="M23" i="3" l="1"/>
  <c r="M11" i="3"/>
  <c r="M24" i="3"/>
  <c r="M12" i="3"/>
  <c r="M37" i="3"/>
  <c r="M36" i="3"/>
  <c r="N37" i="3"/>
  <c r="N23" i="3"/>
  <c r="N11" i="3"/>
  <c r="N12" i="3"/>
  <c r="N24" i="3"/>
  <c r="N36" i="3"/>
  <c r="I9" i="4"/>
  <c r="I2" i="4"/>
  <c r="I6" i="4"/>
  <c r="J3" i="4"/>
  <c r="I7" i="4"/>
  <c r="J4" i="4"/>
  <c r="J12" i="4"/>
  <c r="J5" i="4"/>
  <c r="J6" i="4"/>
  <c r="J7" i="4"/>
  <c r="J8" i="4"/>
  <c r="J9" i="4"/>
  <c r="I8" i="4"/>
  <c r="I10" i="4"/>
  <c r="I3" i="4"/>
  <c r="I11" i="4"/>
  <c r="I4" i="4"/>
  <c r="I12" i="4"/>
  <c r="J2" i="4"/>
  <c r="J10" i="4"/>
</calcChain>
</file>

<file path=xl/sharedStrings.xml><?xml version="1.0" encoding="utf-8"?>
<sst xmlns="http://schemas.openxmlformats.org/spreadsheetml/2006/main" count="1190" uniqueCount="259">
  <si>
    <t>CH4 std</t>
  </si>
  <si>
    <t>CO2 std</t>
  </si>
  <si>
    <t>Time</t>
  </si>
  <si>
    <t>CH4 hgt</t>
  </si>
  <si>
    <t>CH4 area</t>
  </si>
  <si>
    <t>CO2 hgt</t>
  </si>
  <si>
    <t>CO2 area</t>
  </si>
  <si>
    <t>Notes</t>
  </si>
  <si>
    <t>File name</t>
  </si>
  <si>
    <t>File Name</t>
  </si>
  <si>
    <t>NA</t>
  </si>
  <si>
    <t>CH4 % Diff</t>
  </si>
  <si>
    <t>CO2 % Diff</t>
  </si>
  <si>
    <t>Max area</t>
  </si>
  <si>
    <t>Calibration check value</t>
  </si>
  <si>
    <t xml:space="preserve">Vial </t>
  </si>
  <si>
    <t>Site</t>
  </si>
  <si>
    <t>Location</t>
  </si>
  <si>
    <t>Rep</t>
  </si>
  <si>
    <t>Collection Date</t>
  </si>
  <si>
    <t>CH4 Peak hgt</t>
  </si>
  <si>
    <t>CH4 Peak area</t>
  </si>
  <si>
    <t>CO2 Peak hgt</t>
  </si>
  <si>
    <t>CO2 Peak area</t>
  </si>
  <si>
    <t>Run Date</t>
  </si>
  <si>
    <t>dev CH4</t>
  </si>
  <si>
    <t>dev Co2</t>
  </si>
  <si>
    <t>dilution sample vol (ml)</t>
  </si>
  <si>
    <t>dilution status</t>
  </si>
  <si>
    <t>dev CO2</t>
  </si>
  <si>
    <t>std curve 30 ppm CH4</t>
  </si>
  <si>
    <t>std curve 2000 ppm CO2</t>
  </si>
  <si>
    <t>CH4 max area</t>
  </si>
  <si>
    <t>CO2 max area</t>
  </si>
  <si>
    <t>ID</t>
  </si>
  <si>
    <t>Vial #</t>
  </si>
  <si>
    <t>Dilution 1</t>
  </si>
  <si>
    <t>Dilution 2</t>
  </si>
  <si>
    <t>Dilution 3</t>
  </si>
  <si>
    <t>Date</t>
  </si>
  <si>
    <t>CH4 conc</t>
  </si>
  <si>
    <t>CO2 conc</t>
  </si>
  <si>
    <t>Avg area</t>
  </si>
  <si>
    <t>Std area</t>
  </si>
  <si>
    <t>Raw data area</t>
  </si>
  <si>
    <t>Dilution Factor</t>
  </si>
  <si>
    <t>CH4</t>
  </si>
  <si>
    <t>CO2</t>
  </si>
  <si>
    <t>CO2  area</t>
  </si>
  <si>
    <t>EDC_B_1</t>
  </si>
  <si>
    <t>EDC_B_02</t>
  </si>
  <si>
    <t>EDC_B_03</t>
  </si>
  <si>
    <t>EDC_B_04</t>
  </si>
  <si>
    <t>EDC_B_05</t>
  </si>
  <si>
    <t>EDC_B_06</t>
  </si>
  <si>
    <t>EDC_B_07</t>
  </si>
  <si>
    <t>EDC_B_08</t>
  </si>
  <si>
    <t>EDC_B_09</t>
  </si>
  <si>
    <t>EDC_B_10</t>
  </si>
  <si>
    <t>EDC_B_11</t>
  </si>
  <si>
    <t>EDC_B_12</t>
  </si>
  <si>
    <t>EDC_B_13</t>
  </si>
  <si>
    <t>EDC_B_14</t>
  </si>
  <si>
    <t>EDC_B_15</t>
  </si>
  <si>
    <t>0206</t>
  </si>
  <si>
    <t>Sister3</t>
  </si>
  <si>
    <t>bottom</t>
  </si>
  <si>
    <t>0207</t>
  </si>
  <si>
    <t>EDC_B_16</t>
  </si>
  <si>
    <t>EDC_B_17</t>
  </si>
  <si>
    <t>diluted 1% std</t>
  </si>
  <si>
    <t>1 mL in 59 mL zero air</t>
  </si>
  <si>
    <t>0.2313x - 0.7207</t>
  </si>
  <si>
    <t>M1V1=M2V2</t>
  </si>
  <si>
    <t>EDC_B_18</t>
  </si>
  <si>
    <t>calibration check (200 ppm CH4, 10000 CO2)</t>
  </si>
  <si>
    <t>when running Picks start with top and bottom samples. If CH4 area &lt;2 call me</t>
  </si>
  <si>
    <t>EDC_B_19</t>
  </si>
  <si>
    <t>0208</t>
  </si>
  <si>
    <t>EDC_B_20</t>
  </si>
  <si>
    <t>0190</t>
  </si>
  <si>
    <t>Deans</t>
  </si>
  <si>
    <t>inlet</t>
  </si>
  <si>
    <t>EDC_B_21</t>
  </si>
  <si>
    <t>0191</t>
  </si>
  <si>
    <t>EDC_B_22</t>
  </si>
  <si>
    <t>0192</t>
  </si>
  <si>
    <t>EDC_B_23</t>
  </si>
  <si>
    <t>0226</t>
  </si>
  <si>
    <t>EDC_B_24</t>
  </si>
  <si>
    <t>std curve 200 ppm CH4</t>
  </si>
  <si>
    <t>std curve 1% CO2</t>
  </si>
  <si>
    <t>EDC_B_25</t>
  </si>
  <si>
    <t>0227</t>
  </si>
  <si>
    <t>EDC_B_26</t>
  </si>
  <si>
    <t>EDC_B_27</t>
  </si>
  <si>
    <t>0228</t>
  </si>
  <si>
    <t>0231</t>
  </si>
  <si>
    <t>outlet</t>
  </si>
  <si>
    <t>EDC_B_28</t>
  </si>
  <si>
    <t>EDC_B_29</t>
  </si>
  <si>
    <t>DIL1</t>
  </si>
  <si>
    <t>DIL2</t>
  </si>
  <si>
    <t>DIL3</t>
  </si>
  <si>
    <t>EDC_B_30</t>
  </si>
  <si>
    <t>EDC_B_31</t>
  </si>
  <si>
    <t>EDC_B_32</t>
  </si>
  <si>
    <t>0276</t>
  </si>
  <si>
    <t>Picks</t>
  </si>
  <si>
    <t>top</t>
  </si>
  <si>
    <t>EDC_B_33</t>
  </si>
  <si>
    <t>0277</t>
  </si>
  <si>
    <t>EDC_B_34</t>
  </si>
  <si>
    <t>0278</t>
  </si>
  <si>
    <t>EDC_B_35</t>
  </si>
  <si>
    <t>0279</t>
  </si>
  <si>
    <t>EDC_B_36</t>
  </si>
  <si>
    <t>EDC_B_37</t>
  </si>
  <si>
    <t>EDC_B_38</t>
  </si>
  <si>
    <t>EDC_B_39</t>
  </si>
  <si>
    <t>0280</t>
  </si>
  <si>
    <t>0281</t>
  </si>
  <si>
    <t>EDC_B_40</t>
  </si>
  <si>
    <t>0282</t>
  </si>
  <si>
    <t>EDC_B_41</t>
  </si>
  <si>
    <t>0283</t>
  </si>
  <si>
    <t>EDC_B_42</t>
  </si>
  <si>
    <t>0284</t>
  </si>
  <si>
    <t>EDC_B_43</t>
  </si>
  <si>
    <t>0285</t>
  </si>
  <si>
    <t>oulet</t>
  </si>
  <si>
    <t>EDC_B_44</t>
  </si>
  <si>
    <t>0286</t>
  </si>
  <si>
    <t>EDC_B_45</t>
  </si>
  <si>
    <t>EDC_B_46</t>
  </si>
  <si>
    <t>Needle bent</t>
  </si>
  <si>
    <t>Diluted 1% std</t>
  </si>
  <si>
    <t>1 mL into 10 glass syringe</t>
  </si>
  <si>
    <t>EDC_B_47</t>
  </si>
  <si>
    <t>EDC_B_48</t>
  </si>
  <si>
    <t>EDC_B_49</t>
  </si>
  <si>
    <t>EDC_B_50</t>
  </si>
  <si>
    <t>EDC_B_51</t>
  </si>
  <si>
    <t>EDC_B_52</t>
  </si>
  <si>
    <t>EDC_B_53</t>
  </si>
  <si>
    <t>EDC_B_54</t>
  </si>
  <si>
    <t>0218</t>
  </si>
  <si>
    <t>D3E</t>
  </si>
  <si>
    <t>EDC_B_55</t>
  </si>
  <si>
    <t>0219</t>
  </si>
  <si>
    <t>1A-2C</t>
  </si>
  <si>
    <t>0220</t>
  </si>
  <si>
    <t>2D-4A</t>
  </si>
  <si>
    <t>0221</t>
  </si>
  <si>
    <t>EDC_B_56</t>
  </si>
  <si>
    <t>4B-5A</t>
  </si>
  <si>
    <t>EDC_B_57</t>
  </si>
  <si>
    <t>0222</t>
  </si>
  <si>
    <t>5B-5E</t>
  </si>
  <si>
    <t>EDC_B_58</t>
  </si>
  <si>
    <t>0223</t>
  </si>
  <si>
    <t>0224</t>
  </si>
  <si>
    <t>0225</t>
  </si>
  <si>
    <t>Fresh bubbles</t>
  </si>
  <si>
    <t>EDC_B_59</t>
  </si>
  <si>
    <t>EDC_B_60</t>
  </si>
  <si>
    <t>8/31/22</t>
  </si>
  <si>
    <t>0261</t>
  </si>
  <si>
    <t>P1D</t>
  </si>
  <si>
    <t>EDC_B_61</t>
  </si>
  <si>
    <t>Rerun</t>
  </si>
  <si>
    <t>0.2 mL into 10 glass syringe</t>
  </si>
  <si>
    <t>0.1 mL into 10 glass syringe</t>
  </si>
  <si>
    <t>EDC_B_62</t>
  </si>
  <si>
    <t>EDC_B_63</t>
  </si>
  <si>
    <t>EDC_B_64</t>
  </si>
  <si>
    <t>EDC_B_65</t>
  </si>
  <si>
    <t>EDC_B_66</t>
  </si>
  <si>
    <t>EDC_B_67</t>
  </si>
  <si>
    <t>0262</t>
  </si>
  <si>
    <t>EDC_B_68</t>
  </si>
  <si>
    <t>0263</t>
  </si>
  <si>
    <t>P5A</t>
  </si>
  <si>
    <t>Outside std curve but did not rerun</t>
  </si>
  <si>
    <t>0264</t>
  </si>
  <si>
    <t>EDC_B_69</t>
  </si>
  <si>
    <t>EDC_B_70</t>
  </si>
  <si>
    <t>EDC_B_71</t>
  </si>
  <si>
    <t>P2A</t>
  </si>
  <si>
    <t>0265</t>
  </si>
  <si>
    <t>EDC_B_72</t>
  </si>
  <si>
    <t>EDC_B_73</t>
  </si>
  <si>
    <t>EDC_B_74</t>
  </si>
  <si>
    <t>EDC_B_75</t>
  </si>
  <si>
    <t>EDC_B_76</t>
  </si>
  <si>
    <t>EDC_B_77</t>
  </si>
  <si>
    <t>0266</t>
  </si>
  <si>
    <t>EDC_B_78</t>
  </si>
  <si>
    <t>EDC_B_79</t>
  </si>
  <si>
    <t>0267</t>
  </si>
  <si>
    <t>1A-1D</t>
  </si>
  <si>
    <t>EDC_B_81</t>
  </si>
  <si>
    <t>0268</t>
  </si>
  <si>
    <t>1E-2C</t>
  </si>
  <si>
    <t>2D-3B</t>
  </si>
  <si>
    <t>0270</t>
  </si>
  <si>
    <t>EDC_B_82</t>
  </si>
  <si>
    <t>EDC_B_83</t>
  </si>
  <si>
    <t>0271</t>
  </si>
  <si>
    <t>3C-4E</t>
  </si>
  <si>
    <t>EDC_B_84</t>
  </si>
  <si>
    <t>0272</t>
  </si>
  <si>
    <t>5A-5E</t>
  </si>
  <si>
    <t>EDC_B_85</t>
  </si>
  <si>
    <t>EDC_B_86</t>
  </si>
  <si>
    <t>0273</t>
  </si>
  <si>
    <t>0274</t>
  </si>
  <si>
    <t>0275</t>
  </si>
  <si>
    <t>no over-pressure, started to pull on inserting needle</t>
  </si>
  <si>
    <t>EDC_B_87</t>
  </si>
  <si>
    <t>EDC_B_88</t>
  </si>
  <si>
    <t>EDC_B_89</t>
  </si>
  <si>
    <t>0176</t>
  </si>
  <si>
    <t>EDC_B_90</t>
  </si>
  <si>
    <t>D1A-D3B</t>
  </si>
  <si>
    <t>0177</t>
  </si>
  <si>
    <t>D3C-D5B</t>
  </si>
  <si>
    <t>EDC_B_91</t>
  </si>
  <si>
    <t>0178</t>
  </si>
  <si>
    <t>0179</t>
  </si>
  <si>
    <t>0180</t>
  </si>
  <si>
    <t>EDC_B_92</t>
  </si>
  <si>
    <t>EDC_B_93</t>
  </si>
  <si>
    <t>EDC_B_94</t>
  </si>
  <si>
    <t>0194</t>
  </si>
  <si>
    <t>0193</t>
  </si>
  <si>
    <t>P3B</t>
  </si>
  <si>
    <t>EDC_B_95</t>
  </si>
  <si>
    <t>Not diluted</t>
  </si>
  <si>
    <t>Sister 3</t>
  </si>
  <si>
    <t>EDC_B_96</t>
  </si>
  <si>
    <t>P5C</t>
  </si>
  <si>
    <t>EDC_B_97</t>
  </si>
  <si>
    <t>0195</t>
  </si>
  <si>
    <t>1B-3D</t>
  </si>
  <si>
    <t>EDC_B_98</t>
  </si>
  <si>
    <t>EDC_B_99</t>
  </si>
  <si>
    <t>10000 ppm</t>
  </si>
  <si>
    <t xml:space="preserve">20000 ppm </t>
  </si>
  <si>
    <t>Vial</t>
  </si>
  <si>
    <t>CO2 curve</t>
  </si>
  <si>
    <t>Measured CH4 conc ppm</t>
  </si>
  <si>
    <t>Measured CO2 conc ppm</t>
  </si>
  <si>
    <t>Undiluted CH4 conc ppm</t>
  </si>
  <si>
    <t>Undiluted CO2 conc ppm</t>
  </si>
  <si>
    <t>Sample Vol</t>
  </si>
  <si>
    <t>Final Vol</t>
  </si>
  <si>
    <t>CO2 Curve</t>
  </si>
  <si>
    <t>I think this should say 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</si>
</sst>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0" fillId="2" borderId="0" xfId="0" applyFill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3" borderId="0" xfId="0" applyFill="1"/>
    <xf numFmtId="49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 wrapText="1"/>
    </xf>
    <xf numFmtId="166" fontId="1" fillId="0" borderId="0" xfId="0" applyNumberFormat="1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vertical="top"/>
    </xf>
    <xf numFmtId="49" fontId="0" fillId="0" borderId="0" xfId="0" applyNumberFormat="1"/>
    <xf numFmtId="49" fontId="1" fillId="0" borderId="0" xfId="0" applyNumberFormat="1" applyFont="1"/>
    <xf numFmtId="14" fontId="0" fillId="0" borderId="0" xfId="0" applyNumberFormat="1"/>
    <xf numFmtId="14" fontId="0" fillId="0" borderId="1" xfId="0" applyNumberFormat="1" applyBorder="1"/>
    <xf numFmtId="0" fontId="0" fillId="0" borderId="0" xfId="0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49" fontId="1" fillId="4" borderId="0" xfId="0" applyNumberFormat="1" applyFont="1" applyFill="1"/>
    <xf numFmtId="0" fontId="0" fillId="4" borderId="0" xfId="0" applyFill="1"/>
    <xf numFmtId="14" fontId="0" fillId="4" borderId="0" xfId="0" applyNumberFormat="1" applyFill="1"/>
    <xf numFmtId="49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'stability check'!$D$1</c:f>
              <c:strCache>
                <c:ptCount val="1"/>
                <c:pt idx="0">
                  <c:v>CH4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check'!$C$2:$C$27</c:f>
              <c:numCache>
                <c:formatCode>[$-F400]h:mm:ss\ AM/PM</c:formatCode>
                <c:ptCount val="26"/>
                <c:pt idx="0">
                  <c:v>0.39999999999999997</c:v>
                </c:pt>
                <c:pt idx="1">
                  <c:v>0.40416666666666662</c:v>
                </c:pt>
                <c:pt idx="2">
                  <c:v>0.40763888888888888</c:v>
                </c:pt>
              </c:numCache>
            </c:numRef>
          </c:xVal>
          <c:yVal>
            <c:numRef>
              <c:f>'stability check'!$D$2:$D$27</c:f>
              <c:numCache>
                <c:formatCode>General</c:formatCode>
                <c:ptCount val="26"/>
                <c:pt idx="0">
                  <c:v>46.960500000000003</c:v>
                </c:pt>
                <c:pt idx="1">
                  <c:v>47.000599999999999</c:v>
                </c:pt>
                <c:pt idx="2">
                  <c:v>46.9315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3-4B84-8BF2-D81E9652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61408"/>
        <c:axId val="1346661824"/>
      </c:scatterChart>
      <c:valAx>
        <c:axId val="13466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1824"/>
        <c:crosses val="autoZero"/>
        <c:crossBetween val="midCat"/>
      </c:valAx>
      <c:valAx>
        <c:axId val="1346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'stability check'!$F$1</c:f>
              <c:strCache>
                <c:ptCount val="1"/>
                <c:pt idx="0">
                  <c:v>CO2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check'!$C$2:$C$27</c:f>
              <c:numCache>
                <c:formatCode>[$-F400]h:mm:ss\ AM/PM</c:formatCode>
                <c:ptCount val="26"/>
                <c:pt idx="0">
                  <c:v>0.39999999999999997</c:v>
                </c:pt>
                <c:pt idx="1">
                  <c:v>0.40416666666666662</c:v>
                </c:pt>
                <c:pt idx="2">
                  <c:v>0.40763888888888888</c:v>
                </c:pt>
              </c:numCache>
            </c:numRef>
          </c:xVal>
          <c:yVal>
            <c:numRef>
              <c:f>'stability check'!$F$2:$F$27</c:f>
              <c:numCache>
                <c:formatCode>General</c:formatCode>
                <c:ptCount val="26"/>
                <c:pt idx="0">
                  <c:v>2303.6741999999999</c:v>
                </c:pt>
                <c:pt idx="1">
                  <c:v>2322.9776000000002</c:v>
                </c:pt>
                <c:pt idx="2">
                  <c:v>2321.4537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8-4DD1-A489-31728FD6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97424"/>
        <c:axId val="679598256"/>
      </c:scatterChart>
      <c:valAx>
        <c:axId val="6795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8256"/>
        <c:crosses val="autoZero"/>
        <c:crossBetween val="midCat"/>
      </c:valAx>
      <c:valAx>
        <c:axId val="6795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367672790901137E-2"/>
                  <c:y val="-3.35224586288416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=y = 0.2313x - 0.7207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30</c:v>
                </c:pt>
                <c:pt idx="6">
                  <c:v>30</c:v>
                </c:pt>
                <c:pt idx="7">
                  <c:v>200</c:v>
                </c:pt>
                <c:pt idx="8">
                  <c:v>200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xVal>
          <c:yVal>
            <c:numRef>
              <c:f>'std curve'!$C$2:$C$13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3.9491999999999998</c:v>
                </c:pt>
                <c:pt idx="6">
                  <c:v>3.9468000000000001</c:v>
                </c:pt>
                <c:pt idx="7">
                  <c:v>47.673499999999997</c:v>
                </c:pt>
                <c:pt idx="8">
                  <c:v>47.406999999999996</c:v>
                </c:pt>
                <c:pt idx="9">
                  <c:v>2300.4929999999999</c:v>
                </c:pt>
                <c:pt idx="10">
                  <c:v>2292.5342000000001</c:v>
                </c:pt>
                <c:pt idx="11">
                  <c:v>2343.2370000000001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5-4D80-9CA3-CD5B961C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63472"/>
        <c:axId val="1336467632"/>
      </c:scatterChart>
      <c:valAx>
        <c:axId val="13364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7632"/>
        <c:crosses val="autoZero"/>
        <c:crossBetween val="midCat"/>
      </c:valAx>
      <c:valAx>
        <c:axId val="1336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low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curve'!$B$2:$B$10</c:f>
              <c:numCache>
                <c:formatCode>General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2000</c:v>
                </c:pt>
                <c:pt idx="6">
                  <c:v>2000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xVal>
          <c:yVal>
            <c:numRef>
              <c:f>'std curve'!$E$2:$E$10</c:f>
              <c:numCache>
                <c:formatCode>General</c:formatCode>
                <c:ptCount val="9"/>
                <c:pt idx="0">
                  <c:v>127.1605</c:v>
                </c:pt>
                <c:pt idx="1">
                  <c:v>126.6686</c:v>
                </c:pt>
                <c:pt idx="2">
                  <c:v>127.9452</c:v>
                </c:pt>
                <c:pt idx="3">
                  <c:v>267.1148</c:v>
                </c:pt>
                <c:pt idx="4">
                  <c:v>264.99149999999997</c:v>
                </c:pt>
                <c:pt idx="5">
                  <c:v>544.048</c:v>
                </c:pt>
                <c:pt idx="6">
                  <c:v>539.3546</c:v>
                </c:pt>
                <c:pt idx="7">
                  <c:v>2496.0228000000002</c:v>
                </c:pt>
                <c:pt idx="8">
                  <c:v>2476.7846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E-4D56-9436-7CCFADF4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2240"/>
        <c:axId val="1336539744"/>
      </c:scatterChart>
      <c:valAx>
        <c:axId val="13365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9744"/>
        <c:crosses val="autoZero"/>
        <c:crossBetween val="midCat"/>
      </c:valAx>
      <c:valAx>
        <c:axId val="1336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high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curve'!$B$9:$B$13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xVal>
          <c:yVal>
            <c:numRef>
              <c:f>'std curve'!$E$9:$E$13</c:f>
              <c:numCache>
                <c:formatCode>General</c:formatCode>
                <c:ptCount val="5"/>
                <c:pt idx="0">
                  <c:v>2496.0228000000002</c:v>
                </c:pt>
                <c:pt idx="1">
                  <c:v>2476.7846</c:v>
                </c:pt>
                <c:pt idx="2">
                  <c:v>4337.0869000000002</c:v>
                </c:pt>
                <c:pt idx="3">
                  <c:v>4306.9022000000004</c:v>
                </c:pt>
                <c:pt idx="4">
                  <c:v>4408.6956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F-4A2C-AF51-FC9F2793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51583"/>
        <c:axId val="1036561567"/>
      </c:scatterChart>
      <c:valAx>
        <c:axId val="103655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61567"/>
        <c:crosses val="autoZero"/>
        <c:crossBetween val="midCat"/>
      </c:valAx>
      <c:valAx>
        <c:axId val="10365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5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low curve force through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425634295713035E-2"/>
                  <c:y val="-1.8168562263050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curve'!$U$2:$U$16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2000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xVal>
          <c:yVal>
            <c:numRef>
              <c:f>'std curve'!$V$2:$V$16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127.1605</c:v>
                </c:pt>
                <c:pt idx="4">
                  <c:v>126.6686</c:v>
                </c:pt>
                <c:pt idx="5">
                  <c:v>127.9452</c:v>
                </c:pt>
                <c:pt idx="6">
                  <c:v>267.1148</c:v>
                </c:pt>
                <c:pt idx="7">
                  <c:v>264.99149999999997</c:v>
                </c:pt>
                <c:pt idx="8">
                  <c:v>544.048</c:v>
                </c:pt>
                <c:pt idx="9">
                  <c:v>539.3546</c:v>
                </c:pt>
                <c:pt idx="10">
                  <c:v>2496.0228000000002</c:v>
                </c:pt>
                <c:pt idx="11">
                  <c:v>2476.7846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B-4B4B-9408-8829A25B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47392"/>
        <c:axId val="854148224"/>
      </c:scatterChart>
      <c:valAx>
        <c:axId val="8541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48224"/>
        <c:crosses val="autoZero"/>
        <c:crossBetween val="midCat"/>
      </c:valAx>
      <c:valAx>
        <c:axId val="8541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367672790901137E-2"/>
                  <c:y val="-3.35224586288416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=y = 0.2313x - 0.7207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200</c:v>
                </c:pt>
                <c:pt idx="4">
                  <c:v>10000</c:v>
                </c:pt>
              </c:numCache>
            </c:numRef>
          </c:xVal>
          <c:yVal>
            <c:numRef>
              <c:f>'std curve (2)'!$C$2:$C$6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3.6408</c:v>
                </c:pt>
                <c:pt idx="3">
                  <c:v>46.822800000000001</c:v>
                </c:pt>
                <c:pt idx="4">
                  <c:v>2299.2446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F4-40D1-A310-0EB85EA3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63472"/>
        <c:axId val="1336467632"/>
      </c:scatterChart>
      <c:valAx>
        <c:axId val="13364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7632"/>
        <c:crosses val="autoZero"/>
        <c:crossBetween val="midCat"/>
      </c:valAx>
      <c:valAx>
        <c:axId val="1336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low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(2)'!$B$2:$B$5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10000</c:v>
                </c:pt>
              </c:numCache>
            </c:numRef>
          </c:xVal>
          <c:yVal>
            <c:numRef>
              <c:f>'std curve (2)'!$E$2:$E$5</c:f>
              <c:numCache>
                <c:formatCode>General</c:formatCode>
                <c:ptCount val="4"/>
                <c:pt idx="0">
                  <c:v>120.9524</c:v>
                </c:pt>
                <c:pt idx="1">
                  <c:v>252.2774</c:v>
                </c:pt>
                <c:pt idx="2">
                  <c:v>519.71019999999999</c:v>
                </c:pt>
                <c:pt idx="3">
                  <c:v>2313.7784000000001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1-445A-B392-E00BE4D9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2240"/>
        <c:axId val="1336539744"/>
      </c:scatterChart>
      <c:valAx>
        <c:axId val="13365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9744"/>
        <c:crosses val="autoZero"/>
        <c:crossBetween val="midCat"/>
      </c:valAx>
      <c:valAx>
        <c:axId val="1336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high</a:t>
            </a:r>
            <a:r>
              <a:rPr lang="en-US" baseline="0"/>
              <a:t>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30271216097986E-4"/>
                  <c:y val="-4.0497229512977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('std curve (2)'!$B$5,'std curve (2)'!$E$5)</c:f>
              <c:numCache>
                <c:formatCode>General</c:formatCode>
                <c:ptCount val="2"/>
                <c:pt idx="0">
                  <c:v>10000</c:v>
                </c:pt>
                <c:pt idx="1">
                  <c:v>2313.7784000000001</c:v>
                </c:pt>
              </c:numCache>
            </c:numRef>
          </c:xVal>
          <c:yVal>
            <c:numRef>
              <c:f>('std curve (2)'!$B$6,'std curve (2)'!$E$6)</c:f>
              <c:numCache>
                <c:formatCode>General</c:formatCode>
                <c:ptCount val="2"/>
                <c:pt idx="0">
                  <c:v>20000</c:v>
                </c:pt>
                <c:pt idx="1">
                  <c:v>3901.4295000000002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E-43FA-9193-16386CD1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53999"/>
        <c:axId val="1131857327"/>
      </c:scatterChart>
      <c:valAx>
        <c:axId val="1131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57327"/>
        <c:crosses val="autoZero"/>
        <c:crossBetween val="midCat"/>
      </c:valAx>
      <c:valAx>
        <c:axId val="11318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146050</xdr:rowOff>
    </xdr:from>
    <xdr:to>
      <xdr:col>17</xdr:col>
      <xdr:colOff>409575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064EC-7A17-49F2-8A8F-6775BE8F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111125</xdr:colOff>
      <xdr:row>16</xdr:row>
      <xdr:rowOff>44450</xdr:rowOff>
    </xdr:from>
    <xdr:to>
      <xdr:col>17</xdr:col>
      <xdr:colOff>415925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3D387-31AD-456E-AE23-15B1C2EC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1</xdr:row>
      <xdr:rowOff>120650</xdr:rowOff>
    </xdr:from>
    <xdr:to>
      <xdr:col>14</xdr:col>
      <xdr:colOff>460375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F161E-6C82-489F-A12B-AC1ADB399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168275</xdr:colOff>
      <xdr:row>16</xdr:row>
      <xdr:rowOff>57150</xdr:rowOff>
    </xdr:from>
    <xdr:to>
      <xdr:col>14</xdr:col>
      <xdr:colOff>473075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5D666-DDEA-4084-B0B0-EFFA9324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120650</xdr:rowOff>
    </xdr:from>
    <xdr:to>
      <xdr:col>7</xdr:col>
      <xdr:colOff>304800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6E222-95B3-CFD9-6678-EC3B04B7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53975</xdr:colOff>
      <xdr:row>14</xdr:row>
      <xdr:rowOff>66675</xdr:rowOff>
    </xdr:from>
    <xdr:to>
      <xdr:col>27</xdr:col>
      <xdr:colOff>314325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767429-0A69-4014-4178-32698DFA3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1</xdr:row>
      <xdr:rowOff>120650</xdr:rowOff>
    </xdr:from>
    <xdr:to>
      <xdr:col>14</xdr:col>
      <xdr:colOff>460375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37C76-E5B5-4C7B-86D7-2354A0729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14</xdr:row>
      <xdr:rowOff>6350</xdr:rowOff>
    </xdr:from>
    <xdr:to>
      <xdr:col>14</xdr:col>
      <xdr:colOff>485775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F7E86-1332-465F-B1E7-E313530B1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101600</xdr:rowOff>
    </xdr:from>
    <xdr:to>
      <xdr:col>7</xdr:col>
      <xdr:colOff>260350</xdr:colOff>
      <xdr:row>28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89875-2FA0-48C4-2A70-9842CA5F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5891-F4D8-4F67-A0C7-B9B2514D45D6}">
  <dimension ref="A1:J27"/>
  <sheetViews>
    <sheetView workbookViewId="0">
      <selection activeCell="E9" sqref="E9"/>
    </sheetView>
  </sheetViews>
  <sheetFormatPr defaultColWidth="8.81640625" defaultRowHeight="14.5" x14ac:dyDescent="0.35"/>
  <cols>
    <col min="3" max="3" width="10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6</v>
      </c>
      <c r="G1" s="1" t="s">
        <v>5</v>
      </c>
      <c r="H1" s="1" t="s">
        <v>9</v>
      </c>
      <c r="I1" s="1" t="s">
        <v>11</v>
      </c>
      <c r="J1" s="1" t="s">
        <v>12</v>
      </c>
    </row>
    <row r="2" spans="1:10" x14ac:dyDescent="0.35">
      <c r="A2">
        <v>200</v>
      </c>
      <c r="B2">
        <v>10000</v>
      </c>
      <c r="C2" s="2">
        <v>0.39999999999999997</v>
      </c>
      <c r="D2">
        <v>46.960500000000003</v>
      </c>
      <c r="E2">
        <v>10.864000000000001</v>
      </c>
      <c r="F2">
        <v>2303.6741999999999</v>
      </c>
      <c r="G2">
        <v>207.90100000000001</v>
      </c>
      <c r="H2" t="s">
        <v>49</v>
      </c>
      <c r="I2" t="s">
        <v>10</v>
      </c>
      <c r="J2" t="s">
        <v>10</v>
      </c>
    </row>
    <row r="3" spans="1:10" x14ac:dyDescent="0.35">
      <c r="A3">
        <v>200</v>
      </c>
      <c r="B3">
        <v>10000</v>
      </c>
      <c r="C3" s="2">
        <v>0.40416666666666662</v>
      </c>
      <c r="D3">
        <v>47.000599999999999</v>
      </c>
      <c r="E3">
        <v>10.875</v>
      </c>
      <c r="F3">
        <v>2322.9776000000002</v>
      </c>
      <c r="G3">
        <v>209.78899999999999</v>
      </c>
      <c r="H3" t="s">
        <v>50</v>
      </c>
      <c r="I3">
        <f>100*(D3-D2)/AVERAGE(D2:D3)</f>
        <v>8.5354471158799461E-2</v>
      </c>
      <c r="J3">
        <f>100*(F3-F2)/AVERAGE(F2:F3)</f>
        <v>0.83444360347153157</v>
      </c>
    </row>
    <row r="4" spans="1:10" x14ac:dyDescent="0.35">
      <c r="A4">
        <v>200</v>
      </c>
      <c r="B4">
        <v>10000</v>
      </c>
      <c r="C4" s="2">
        <v>0.40763888888888888</v>
      </c>
      <c r="D4">
        <v>46.9315</v>
      </c>
      <c r="E4">
        <v>10.863</v>
      </c>
      <c r="F4">
        <v>2321.4537</v>
      </c>
      <c r="G4">
        <v>209.95400000000001</v>
      </c>
      <c r="H4" t="s">
        <v>51</v>
      </c>
      <c r="I4">
        <f t="shared" ref="I4:I25" si="0">100*(D4-D3)/AVERAGE(D3:D4)</f>
        <v>-0.14712755277482104</v>
      </c>
      <c r="J4">
        <f>100*(F4-F3)/AVERAGE(F3:F4)</f>
        <v>-6.5622673759869785E-2</v>
      </c>
    </row>
    <row r="5" spans="1:10" x14ac:dyDescent="0.35">
      <c r="C5" s="2"/>
      <c r="I5">
        <f t="shared" si="0"/>
        <v>-99.999999999999986</v>
      </c>
      <c r="J5">
        <f>100*(F5-E5)/AVERAGE(F4:F5)</f>
        <v>0</v>
      </c>
    </row>
    <row r="6" spans="1:10" x14ac:dyDescent="0.35">
      <c r="C6" s="2"/>
      <c r="I6" t="e">
        <f t="shared" si="0"/>
        <v>#DIV/0!</v>
      </c>
      <c r="J6" t="e">
        <f t="shared" ref="J6:J25" si="1">100*(F6-F5)/AVERAGE(F5:F6)</f>
        <v>#DIV/0!</v>
      </c>
    </row>
    <row r="7" spans="1:10" x14ac:dyDescent="0.35">
      <c r="C7" s="2"/>
      <c r="I7" t="e">
        <f t="shared" si="0"/>
        <v>#DIV/0!</v>
      </c>
      <c r="J7" t="e">
        <f t="shared" si="1"/>
        <v>#DIV/0!</v>
      </c>
    </row>
    <row r="8" spans="1:10" x14ac:dyDescent="0.35">
      <c r="C8" s="2"/>
      <c r="I8" t="e">
        <f t="shared" si="0"/>
        <v>#DIV/0!</v>
      </c>
      <c r="J8" t="e">
        <f t="shared" si="1"/>
        <v>#DIV/0!</v>
      </c>
    </row>
    <row r="9" spans="1:10" x14ac:dyDescent="0.35">
      <c r="C9" s="2"/>
      <c r="I9" t="e">
        <f t="shared" si="0"/>
        <v>#DIV/0!</v>
      </c>
      <c r="J9" t="e">
        <f t="shared" si="1"/>
        <v>#DIV/0!</v>
      </c>
    </row>
    <row r="10" spans="1:10" x14ac:dyDescent="0.35">
      <c r="C10" s="2"/>
      <c r="I10" t="e">
        <f t="shared" si="0"/>
        <v>#DIV/0!</v>
      </c>
      <c r="J10" t="e">
        <f t="shared" si="1"/>
        <v>#DIV/0!</v>
      </c>
    </row>
    <row r="11" spans="1:10" x14ac:dyDescent="0.35">
      <c r="C11" s="2"/>
      <c r="I11" t="e">
        <f t="shared" si="0"/>
        <v>#DIV/0!</v>
      </c>
      <c r="J11" t="e">
        <f t="shared" si="1"/>
        <v>#DIV/0!</v>
      </c>
    </row>
    <row r="12" spans="1:10" x14ac:dyDescent="0.35">
      <c r="C12" s="2"/>
      <c r="I12" t="e">
        <f t="shared" si="0"/>
        <v>#DIV/0!</v>
      </c>
      <c r="J12" t="e">
        <f t="shared" si="1"/>
        <v>#DIV/0!</v>
      </c>
    </row>
    <row r="13" spans="1:10" x14ac:dyDescent="0.35">
      <c r="C13" s="2"/>
      <c r="I13" t="e">
        <f t="shared" si="0"/>
        <v>#DIV/0!</v>
      </c>
      <c r="J13" t="e">
        <f t="shared" si="1"/>
        <v>#DIV/0!</v>
      </c>
    </row>
    <row r="14" spans="1:10" x14ac:dyDescent="0.35">
      <c r="C14" s="2"/>
      <c r="I14" t="e">
        <f t="shared" si="0"/>
        <v>#DIV/0!</v>
      </c>
      <c r="J14" t="e">
        <f t="shared" si="1"/>
        <v>#DIV/0!</v>
      </c>
    </row>
    <row r="15" spans="1:10" x14ac:dyDescent="0.35">
      <c r="C15" s="2"/>
      <c r="I15" t="e">
        <f t="shared" si="0"/>
        <v>#DIV/0!</v>
      </c>
      <c r="J15" t="e">
        <f t="shared" si="1"/>
        <v>#DIV/0!</v>
      </c>
    </row>
    <row r="16" spans="1:10" x14ac:dyDescent="0.35">
      <c r="C16" s="2"/>
      <c r="I16" t="e">
        <f t="shared" si="0"/>
        <v>#DIV/0!</v>
      </c>
      <c r="J16" t="e">
        <f t="shared" si="1"/>
        <v>#DIV/0!</v>
      </c>
    </row>
    <row r="17" spans="3:10" x14ac:dyDescent="0.35">
      <c r="C17" s="2"/>
      <c r="I17" t="e">
        <f t="shared" si="0"/>
        <v>#DIV/0!</v>
      </c>
      <c r="J17" t="e">
        <f t="shared" si="1"/>
        <v>#DIV/0!</v>
      </c>
    </row>
    <row r="18" spans="3:10" x14ac:dyDescent="0.35">
      <c r="C18" s="2"/>
      <c r="I18" t="e">
        <f t="shared" si="0"/>
        <v>#DIV/0!</v>
      </c>
      <c r="J18" t="e">
        <f t="shared" si="1"/>
        <v>#DIV/0!</v>
      </c>
    </row>
    <row r="19" spans="3:10" x14ac:dyDescent="0.35">
      <c r="C19" s="2"/>
      <c r="I19" t="e">
        <f t="shared" si="0"/>
        <v>#DIV/0!</v>
      </c>
      <c r="J19" t="e">
        <f t="shared" si="1"/>
        <v>#DIV/0!</v>
      </c>
    </row>
    <row r="20" spans="3:10" x14ac:dyDescent="0.35">
      <c r="C20" s="2"/>
      <c r="I20" t="e">
        <f t="shared" si="0"/>
        <v>#DIV/0!</v>
      </c>
      <c r="J20" t="e">
        <f t="shared" si="1"/>
        <v>#DIV/0!</v>
      </c>
    </row>
    <row r="21" spans="3:10" x14ac:dyDescent="0.35">
      <c r="C21" s="2"/>
      <c r="I21" t="e">
        <f t="shared" si="0"/>
        <v>#DIV/0!</v>
      </c>
      <c r="J21" t="e">
        <f t="shared" si="1"/>
        <v>#DIV/0!</v>
      </c>
    </row>
    <row r="22" spans="3:10" x14ac:dyDescent="0.35">
      <c r="C22" s="2"/>
      <c r="I22" t="e">
        <f t="shared" si="0"/>
        <v>#DIV/0!</v>
      </c>
      <c r="J22" t="e">
        <f t="shared" si="1"/>
        <v>#DIV/0!</v>
      </c>
    </row>
    <row r="23" spans="3:10" x14ac:dyDescent="0.35">
      <c r="C23" s="2"/>
      <c r="I23" t="e">
        <f t="shared" si="0"/>
        <v>#DIV/0!</v>
      </c>
      <c r="J23" t="e">
        <f t="shared" si="1"/>
        <v>#DIV/0!</v>
      </c>
    </row>
    <row r="24" spans="3:10" x14ac:dyDescent="0.35">
      <c r="C24" s="2"/>
      <c r="I24" t="e">
        <f t="shared" si="0"/>
        <v>#DIV/0!</v>
      </c>
      <c r="J24" t="e">
        <f t="shared" si="1"/>
        <v>#DIV/0!</v>
      </c>
    </row>
    <row r="25" spans="3:10" x14ac:dyDescent="0.35">
      <c r="C25" s="2"/>
      <c r="I25" t="e">
        <f t="shared" si="0"/>
        <v>#DIV/0!</v>
      </c>
      <c r="J25" t="e">
        <f t="shared" si="1"/>
        <v>#DIV/0!</v>
      </c>
    </row>
    <row r="26" spans="3:10" x14ac:dyDescent="0.35">
      <c r="C26" s="2"/>
    </row>
    <row r="27" spans="3:10" x14ac:dyDescent="0.35">
      <c r="C2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EE23-6E75-47C9-898E-12C9BF393C79}">
  <dimension ref="A1:V25"/>
  <sheetViews>
    <sheetView topLeftCell="A4" workbookViewId="0">
      <selection activeCell="Z14" sqref="Z14"/>
    </sheetView>
  </sheetViews>
  <sheetFormatPr defaultColWidth="8.81640625" defaultRowHeight="14.5" x14ac:dyDescent="0.35"/>
  <cols>
    <col min="16" max="16" width="20.1796875" bestFit="1" customWidth="1"/>
  </cols>
  <sheetData>
    <row r="1" spans="1:22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5</v>
      </c>
      <c r="G1" s="1" t="s">
        <v>8</v>
      </c>
      <c r="H1" s="1"/>
    </row>
    <row r="2" spans="1:22" x14ac:dyDescent="0.35">
      <c r="A2">
        <v>1</v>
      </c>
      <c r="B2">
        <v>500</v>
      </c>
      <c r="C2">
        <v>0</v>
      </c>
      <c r="D2">
        <v>0</v>
      </c>
      <c r="E2">
        <v>127.1605</v>
      </c>
      <c r="F2">
        <v>15.358000000000001</v>
      </c>
      <c r="G2" t="s">
        <v>52</v>
      </c>
      <c r="U2">
        <v>0</v>
      </c>
      <c r="V2">
        <v>0</v>
      </c>
    </row>
    <row r="3" spans="1:22" x14ac:dyDescent="0.35">
      <c r="A3">
        <v>1</v>
      </c>
      <c r="B3">
        <v>500</v>
      </c>
      <c r="C3">
        <v>0</v>
      </c>
      <c r="D3">
        <v>0</v>
      </c>
      <c r="E3">
        <v>126.6686</v>
      </c>
      <c r="F3">
        <v>15.295</v>
      </c>
      <c r="G3" t="s">
        <v>53</v>
      </c>
      <c r="P3" s="1" t="s">
        <v>46</v>
      </c>
      <c r="U3">
        <v>0</v>
      </c>
      <c r="V3">
        <v>0</v>
      </c>
    </row>
    <row r="4" spans="1:22" x14ac:dyDescent="0.35">
      <c r="A4">
        <v>1</v>
      </c>
      <c r="B4">
        <v>500</v>
      </c>
      <c r="C4">
        <v>0</v>
      </c>
      <c r="D4">
        <v>0</v>
      </c>
      <c r="E4">
        <v>127.9452</v>
      </c>
      <c r="F4">
        <v>15.414</v>
      </c>
      <c r="G4" t="s">
        <v>54</v>
      </c>
      <c r="P4" s="4" t="s">
        <v>14</v>
      </c>
      <c r="Q4" s="4">
        <f>0.2313*200-0.7207</f>
        <v>45.539299999999997</v>
      </c>
      <c r="U4">
        <v>0</v>
      </c>
      <c r="V4">
        <v>0</v>
      </c>
    </row>
    <row r="5" spans="1:22" x14ac:dyDescent="0.35">
      <c r="A5">
        <v>5</v>
      </c>
      <c r="B5">
        <v>1000</v>
      </c>
      <c r="C5">
        <v>0</v>
      </c>
      <c r="D5">
        <v>0</v>
      </c>
      <c r="E5">
        <v>267.1148</v>
      </c>
      <c r="F5">
        <v>30.085000000000001</v>
      </c>
      <c r="G5" t="s">
        <v>55</v>
      </c>
      <c r="P5" s="7" t="s">
        <v>13</v>
      </c>
      <c r="Q5" s="7">
        <f>0.2313*10000-0.7207</f>
        <v>2312.2793000000001</v>
      </c>
      <c r="U5">
        <v>500</v>
      </c>
      <c r="V5">
        <v>127.1605</v>
      </c>
    </row>
    <row r="6" spans="1:22" x14ac:dyDescent="0.35">
      <c r="A6">
        <v>5</v>
      </c>
      <c r="B6">
        <v>1000</v>
      </c>
      <c r="C6">
        <v>0</v>
      </c>
      <c r="D6">
        <v>0</v>
      </c>
      <c r="E6">
        <v>264.99149999999997</v>
      </c>
      <c r="F6">
        <v>29.873999999999999</v>
      </c>
      <c r="G6" t="s">
        <v>56</v>
      </c>
      <c r="U6">
        <v>500</v>
      </c>
      <c r="V6">
        <v>126.6686</v>
      </c>
    </row>
    <row r="7" spans="1:22" x14ac:dyDescent="0.35">
      <c r="A7">
        <v>30</v>
      </c>
      <c r="B7">
        <v>2000</v>
      </c>
      <c r="C7">
        <v>3.9491999999999998</v>
      </c>
      <c r="D7">
        <v>0.90700000000000003</v>
      </c>
      <c r="E7">
        <v>544.048</v>
      </c>
      <c r="F7">
        <v>57.758000000000003</v>
      </c>
      <c r="G7" t="s">
        <v>57</v>
      </c>
      <c r="U7">
        <v>500</v>
      </c>
      <c r="V7">
        <v>127.9452</v>
      </c>
    </row>
    <row r="8" spans="1:22" x14ac:dyDescent="0.35">
      <c r="A8">
        <v>30</v>
      </c>
      <c r="B8">
        <v>2000</v>
      </c>
      <c r="C8">
        <v>3.9468000000000001</v>
      </c>
      <c r="D8">
        <v>0.90600000000000003</v>
      </c>
      <c r="E8">
        <v>539.3546</v>
      </c>
      <c r="F8">
        <v>57.279000000000003</v>
      </c>
      <c r="G8" t="s">
        <v>58</v>
      </c>
      <c r="U8">
        <v>1000</v>
      </c>
      <c r="V8">
        <v>267.1148</v>
      </c>
    </row>
    <row r="9" spans="1:22" x14ac:dyDescent="0.35">
      <c r="A9">
        <v>200</v>
      </c>
      <c r="B9">
        <v>10000</v>
      </c>
      <c r="C9">
        <v>47.673499999999997</v>
      </c>
      <c r="D9">
        <v>11.125</v>
      </c>
      <c r="E9">
        <v>2496.0228000000002</v>
      </c>
      <c r="F9">
        <v>221.934</v>
      </c>
      <c r="G9" t="s">
        <v>59</v>
      </c>
      <c r="U9">
        <v>1000</v>
      </c>
      <c r="V9">
        <v>264.99149999999997</v>
      </c>
    </row>
    <row r="10" spans="1:22" x14ac:dyDescent="0.35">
      <c r="A10">
        <v>200</v>
      </c>
      <c r="B10">
        <v>10000</v>
      </c>
      <c r="C10">
        <v>47.406999999999996</v>
      </c>
      <c r="D10">
        <v>11.103</v>
      </c>
      <c r="E10">
        <v>2476.7846</v>
      </c>
      <c r="F10">
        <v>219.69200000000001</v>
      </c>
      <c r="G10" t="s">
        <v>60</v>
      </c>
      <c r="U10">
        <v>2000</v>
      </c>
      <c r="V10">
        <v>544.048</v>
      </c>
    </row>
    <row r="11" spans="1:22" x14ac:dyDescent="0.35">
      <c r="A11">
        <v>10000</v>
      </c>
      <c r="B11">
        <v>20000</v>
      </c>
      <c r="C11">
        <v>2300.4929999999999</v>
      </c>
      <c r="D11">
        <v>437.40100000000001</v>
      </c>
      <c r="E11">
        <v>4337.0869000000002</v>
      </c>
      <c r="F11">
        <v>341.74099999999999</v>
      </c>
      <c r="G11" t="s">
        <v>61</v>
      </c>
      <c r="U11">
        <v>2000</v>
      </c>
      <c r="V11">
        <v>539.3546</v>
      </c>
    </row>
    <row r="12" spans="1:22" x14ac:dyDescent="0.35">
      <c r="A12">
        <v>10000</v>
      </c>
      <c r="B12">
        <v>20000</v>
      </c>
      <c r="C12">
        <v>2292.5342000000001</v>
      </c>
      <c r="D12">
        <v>435.97399999999999</v>
      </c>
      <c r="E12">
        <v>4306.9022000000004</v>
      </c>
      <c r="F12">
        <v>338.91399999999999</v>
      </c>
      <c r="G12" t="s">
        <v>62</v>
      </c>
      <c r="U12">
        <v>10000</v>
      </c>
      <c r="V12">
        <v>2496.0228000000002</v>
      </c>
    </row>
    <row r="13" spans="1:22" x14ac:dyDescent="0.35">
      <c r="A13">
        <v>10000</v>
      </c>
      <c r="B13">
        <v>20000</v>
      </c>
      <c r="C13">
        <v>2343.2370000000001</v>
      </c>
      <c r="D13">
        <v>44.933</v>
      </c>
      <c r="E13">
        <v>4408.6956</v>
      </c>
      <c r="F13">
        <v>344.51299999999998</v>
      </c>
      <c r="G13" t="s">
        <v>63</v>
      </c>
      <c r="U13">
        <v>10000</v>
      </c>
      <c r="V13">
        <v>2476.7846</v>
      </c>
    </row>
    <row r="15" spans="1:22" x14ac:dyDescent="0.35">
      <c r="P15" s="1" t="s">
        <v>47</v>
      </c>
    </row>
    <row r="16" spans="1:22" x14ac:dyDescent="0.35">
      <c r="P16" s="4" t="s">
        <v>14</v>
      </c>
      <c r="Q16" s="4">
        <f>0.2472*10000+19.25</f>
        <v>2491.25</v>
      </c>
    </row>
    <row r="17" spans="16:17" x14ac:dyDescent="0.35">
      <c r="P17" s="7" t="s">
        <v>13</v>
      </c>
      <c r="Q17" s="7">
        <f>0.1864*20000+621.91</f>
        <v>4349.91</v>
      </c>
    </row>
    <row r="25" spans="16:17" x14ac:dyDescent="0.35">
      <c r="P25">
        <f>0.2472*10000+19.25</f>
        <v>2491.25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D1A-51A9-4667-B7A7-58FCE5B6E50B}">
  <dimension ref="A1:T58"/>
  <sheetViews>
    <sheetView workbookViewId="0">
      <pane ySplit="1" topLeftCell="A8" activePane="bottomLeft" state="frozen"/>
      <selection pane="bottomLeft" activeCell="A22" sqref="A22"/>
    </sheetView>
  </sheetViews>
  <sheetFormatPr defaultColWidth="8.81640625" defaultRowHeight="14.5" x14ac:dyDescent="0.35"/>
  <cols>
    <col min="1" max="1" width="35.36328125" style="21" customWidth="1"/>
    <col min="5" max="5" width="9.453125" bestFit="1" customWidth="1"/>
    <col min="6" max="6" width="10.453125" customWidth="1"/>
    <col min="8" max="8" width="10" customWidth="1"/>
    <col min="15" max="15" width="16" customWidth="1"/>
    <col min="19" max="19" width="11" customWidth="1"/>
  </cols>
  <sheetData>
    <row r="1" spans="1:20" s="6" customFormat="1" x14ac:dyDescent="0.35">
      <c r="A1" s="26" t="s">
        <v>249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48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25</v>
      </c>
      <c r="N1" s="5" t="s">
        <v>29</v>
      </c>
      <c r="O1" s="5" t="s">
        <v>27</v>
      </c>
      <c r="P1" s="5" t="s">
        <v>28</v>
      </c>
    </row>
    <row r="2" spans="1:20" x14ac:dyDescent="0.35">
      <c r="A2" s="21" t="s">
        <v>64</v>
      </c>
      <c r="B2" t="s">
        <v>65</v>
      </c>
      <c r="C2" t="s">
        <v>66</v>
      </c>
      <c r="D2">
        <v>1</v>
      </c>
      <c r="E2" s="23">
        <v>44796</v>
      </c>
      <c r="F2">
        <v>35.531599999999997</v>
      </c>
      <c r="G2">
        <v>8.3780000000000001</v>
      </c>
      <c r="H2">
        <v>314.161</v>
      </c>
      <c r="I2">
        <v>34.981000000000002</v>
      </c>
      <c r="J2" s="23">
        <v>44846</v>
      </c>
      <c r="K2" t="s">
        <v>68</v>
      </c>
      <c r="R2" s="4" t="s">
        <v>90</v>
      </c>
      <c r="S2" s="4"/>
      <c r="T2" s="4">
        <f>'std curve'!Q4</f>
        <v>45.539299999999997</v>
      </c>
    </row>
    <row r="3" spans="1:20" x14ac:dyDescent="0.35">
      <c r="A3" s="21" t="s">
        <v>67</v>
      </c>
      <c r="B3" t="s">
        <v>65</v>
      </c>
      <c r="C3" t="s">
        <v>66</v>
      </c>
      <c r="D3">
        <v>2</v>
      </c>
      <c r="E3" s="23">
        <v>44796</v>
      </c>
      <c r="F3">
        <v>20.771999999999998</v>
      </c>
      <c r="G3">
        <v>5.0609999999999999</v>
      </c>
      <c r="H3">
        <v>223.19900000000001</v>
      </c>
      <c r="I3">
        <v>25.545000000000002</v>
      </c>
      <c r="J3" s="23">
        <v>44846</v>
      </c>
      <c r="K3" t="s">
        <v>69</v>
      </c>
      <c r="R3" s="4" t="s">
        <v>91</v>
      </c>
      <c r="S3" s="4"/>
      <c r="T3" s="4">
        <f>'std curve'!Q16</f>
        <v>2491.25</v>
      </c>
    </row>
    <row r="4" spans="1:20" x14ac:dyDescent="0.35">
      <c r="A4" s="21" t="s">
        <v>70</v>
      </c>
      <c r="B4" t="s">
        <v>10</v>
      </c>
      <c r="C4" t="s">
        <v>10</v>
      </c>
      <c r="D4">
        <v>1</v>
      </c>
      <c r="E4" t="s">
        <v>10</v>
      </c>
      <c r="F4">
        <v>1.7838000000000001</v>
      </c>
      <c r="G4">
        <v>0.38700000000000001</v>
      </c>
      <c r="H4">
        <v>7.9135999999999997</v>
      </c>
      <c r="I4">
        <v>1.0089999999999999</v>
      </c>
      <c r="J4" s="23">
        <v>44846</v>
      </c>
      <c r="K4" t="s">
        <v>74</v>
      </c>
      <c r="O4" t="s">
        <v>71</v>
      </c>
    </row>
    <row r="5" spans="1:20" x14ac:dyDescent="0.35">
      <c r="A5" s="21" t="s">
        <v>70</v>
      </c>
      <c r="B5" t="s">
        <v>10</v>
      </c>
      <c r="C5" t="s">
        <v>10</v>
      </c>
      <c r="D5">
        <v>2</v>
      </c>
      <c r="E5" t="s">
        <v>10</v>
      </c>
      <c r="F5">
        <v>7.7161999999999997</v>
      </c>
      <c r="G5">
        <v>1.831</v>
      </c>
      <c r="H5">
        <v>27.223800000000001</v>
      </c>
      <c r="I5">
        <v>3.6949999999999998</v>
      </c>
      <c r="J5" s="23">
        <v>44846</v>
      </c>
      <c r="K5" t="s">
        <v>77</v>
      </c>
      <c r="R5" s="7" t="s">
        <v>32</v>
      </c>
      <c r="S5" s="7"/>
      <c r="T5" s="7">
        <f>'std curve'!Q5</f>
        <v>2312.2793000000001</v>
      </c>
    </row>
    <row r="6" spans="1:20" x14ac:dyDescent="0.35">
      <c r="A6" s="21" t="s">
        <v>78</v>
      </c>
      <c r="B6" t="s">
        <v>65</v>
      </c>
      <c r="C6" t="s">
        <v>66</v>
      </c>
      <c r="D6">
        <v>3</v>
      </c>
      <c r="E6" s="23">
        <v>44796</v>
      </c>
      <c r="F6">
        <v>19.814800000000002</v>
      </c>
      <c r="G6">
        <v>4.8499999999999996</v>
      </c>
      <c r="H6">
        <v>239.80279999999999</v>
      </c>
      <c r="I6">
        <v>27.067</v>
      </c>
      <c r="J6" s="23">
        <v>44846</v>
      </c>
      <c r="K6" t="s">
        <v>79</v>
      </c>
      <c r="R6" s="7" t="s">
        <v>33</v>
      </c>
      <c r="S6" s="7"/>
      <c r="T6" s="7">
        <f>'std curve'!Q17</f>
        <v>4349.91</v>
      </c>
    </row>
    <row r="7" spans="1:20" x14ac:dyDescent="0.35">
      <c r="A7" s="21" t="s">
        <v>80</v>
      </c>
      <c r="B7" t="s">
        <v>81</v>
      </c>
      <c r="C7" t="s">
        <v>82</v>
      </c>
      <c r="D7">
        <v>1</v>
      </c>
      <c r="E7" s="23">
        <v>44789</v>
      </c>
      <c r="F7">
        <v>60.446399999999997</v>
      </c>
      <c r="G7">
        <v>13.737</v>
      </c>
      <c r="H7">
        <v>650.37300000000005</v>
      </c>
      <c r="I7">
        <v>66.718999999999994</v>
      </c>
      <c r="J7" s="23">
        <v>44846</v>
      </c>
      <c r="K7" t="s">
        <v>83</v>
      </c>
    </row>
    <row r="8" spans="1:20" x14ac:dyDescent="0.35">
      <c r="A8" s="21" t="s">
        <v>84</v>
      </c>
      <c r="B8" t="s">
        <v>81</v>
      </c>
      <c r="C8" t="s">
        <v>82</v>
      </c>
      <c r="D8">
        <v>2</v>
      </c>
      <c r="E8" s="23">
        <v>44789</v>
      </c>
      <c r="F8">
        <v>110.5558</v>
      </c>
      <c r="G8">
        <v>24.116</v>
      </c>
      <c r="H8">
        <v>964.20360000000005</v>
      </c>
      <c r="I8">
        <v>94.456000000000003</v>
      </c>
      <c r="J8" s="23">
        <v>44846</v>
      </c>
      <c r="K8" t="s">
        <v>85</v>
      </c>
    </row>
    <row r="9" spans="1:20" x14ac:dyDescent="0.35">
      <c r="A9" s="21" t="s">
        <v>86</v>
      </c>
      <c r="B9" t="s">
        <v>81</v>
      </c>
      <c r="C9" t="s">
        <v>82</v>
      </c>
      <c r="D9">
        <v>3</v>
      </c>
      <c r="E9" s="23">
        <v>44789</v>
      </c>
      <c r="F9">
        <v>96.322800000000001</v>
      </c>
      <c r="G9">
        <v>21.195</v>
      </c>
      <c r="H9">
        <v>839.28740000000005</v>
      </c>
      <c r="I9">
        <v>83.322000000000003</v>
      </c>
      <c r="J9" s="23">
        <v>44846</v>
      </c>
      <c r="K9" t="s">
        <v>87</v>
      </c>
    </row>
    <row r="10" spans="1:20" x14ac:dyDescent="0.35">
      <c r="A10" s="21" t="s">
        <v>88</v>
      </c>
      <c r="B10" t="s">
        <v>81</v>
      </c>
      <c r="C10" t="s">
        <v>82</v>
      </c>
      <c r="D10">
        <v>1</v>
      </c>
      <c r="E10" s="23">
        <v>44804</v>
      </c>
      <c r="F10">
        <v>105.968</v>
      </c>
      <c r="G10">
        <v>23.184999999999999</v>
      </c>
      <c r="H10">
        <v>914.74540000000002</v>
      </c>
      <c r="I10">
        <v>89.661000000000001</v>
      </c>
      <c r="J10" s="23">
        <v>44846</v>
      </c>
      <c r="K10" t="s">
        <v>89</v>
      </c>
      <c r="R10" t="s">
        <v>72</v>
      </c>
    </row>
    <row r="11" spans="1:20" x14ac:dyDescent="0.35">
      <c r="A11" s="22" t="s">
        <v>75</v>
      </c>
      <c r="B11" t="s">
        <v>10</v>
      </c>
      <c r="C11" t="s">
        <v>10</v>
      </c>
      <c r="D11" t="s">
        <v>10</v>
      </c>
      <c r="E11" t="s">
        <v>10</v>
      </c>
      <c r="F11">
        <v>46.757599999999996</v>
      </c>
      <c r="G11">
        <v>10.973000000000001</v>
      </c>
      <c r="H11">
        <v>2350.5911999999998</v>
      </c>
      <c r="I11">
        <v>200.518</v>
      </c>
      <c r="J11" s="23">
        <v>44846</v>
      </c>
      <c r="K11" t="s">
        <v>92</v>
      </c>
      <c r="M11">
        <f>100*(F11-$T$2)/AVERAGE($T$2,F11)</f>
        <v>2.6399586551660983</v>
      </c>
      <c r="N11">
        <f>100*(H11-$T$3)/AVERAGE($T$3,H11)</f>
        <v>-5.8101368545502963</v>
      </c>
      <c r="R11">
        <f>(F4+0.7207)/0.2313</f>
        <v>10.827929096411587</v>
      </c>
    </row>
    <row r="12" spans="1:20" x14ac:dyDescent="0.35">
      <c r="A12" s="22" t="s">
        <v>75</v>
      </c>
      <c r="B12" t="s">
        <v>10</v>
      </c>
      <c r="C12" t="s">
        <v>10</v>
      </c>
      <c r="D12" t="s">
        <v>10</v>
      </c>
      <c r="E12" s="23" t="s">
        <v>10</v>
      </c>
      <c r="F12">
        <v>47.2896</v>
      </c>
      <c r="G12">
        <v>11.103</v>
      </c>
      <c r="H12">
        <v>2403.9162999999999</v>
      </c>
      <c r="I12">
        <v>204.45599999999999</v>
      </c>
      <c r="J12" s="23">
        <v>44846</v>
      </c>
      <c r="K12" t="s">
        <v>94</v>
      </c>
      <c r="M12">
        <f>100*(F12-$T$2)/AVERAGE($T$2,F12)</f>
        <v>3.7710238944983789</v>
      </c>
      <c r="N12">
        <f>100*(H12-$T$3)/AVERAGE($T$3,H12)</f>
        <v>-3.5681606976253346</v>
      </c>
    </row>
    <row r="13" spans="1:20" x14ac:dyDescent="0.35">
      <c r="A13" s="21" t="s">
        <v>93</v>
      </c>
      <c r="B13" t="s">
        <v>81</v>
      </c>
      <c r="C13" t="s">
        <v>82</v>
      </c>
      <c r="D13">
        <v>2</v>
      </c>
      <c r="E13" s="23">
        <v>44804</v>
      </c>
      <c r="F13">
        <v>191.27500000000001</v>
      </c>
      <c r="G13">
        <v>40.872</v>
      </c>
      <c r="H13">
        <v>1524.7582</v>
      </c>
      <c r="I13">
        <v>139.202</v>
      </c>
      <c r="J13" s="23">
        <v>44846</v>
      </c>
      <c r="K13" t="s">
        <v>95</v>
      </c>
    </row>
    <row r="14" spans="1:20" x14ac:dyDescent="0.35">
      <c r="A14" s="21" t="s">
        <v>96</v>
      </c>
      <c r="B14" t="s">
        <v>81</v>
      </c>
      <c r="C14" t="s">
        <v>82</v>
      </c>
      <c r="D14">
        <v>3</v>
      </c>
      <c r="E14" s="23">
        <v>44804</v>
      </c>
      <c r="F14">
        <v>158.65280000000001</v>
      </c>
      <c r="G14">
        <v>34.093000000000004</v>
      </c>
      <c r="H14">
        <v>1465.0255999999999</v>
      </c>
      <c r="I14">
        <v>134.16800000000001</v>
      </c>
      <c r="J14" s="23">
        <v>44846</v>
      </c>
      <c r="K14" t="s">
        <v>99</v>
      </c>
      <c r="R14" t="s">
        <v>73</v>
      </c>
    </row>
    <row r="15" spans="1:20" x14ac:dyDescent="0.35">
      <c r="A15" s="21" t="s">
        <v>97</v>
      </c>
      <c r="B15" t="s">
        <v>81</v>
      </c>
      <c r="C15" t="s">
        <v>98</v>
      </c>
      <c r="D15">
        <v>3</v>
      </c>
      <c r="E15" s="23">
        <v>44804</v>
      </c>
      <c r="F15">
        <v>23.494700000000002</v>
      </c>
      <c r="G15">
        <v>5.742</v>
      </c>
      <c r="H15">
        <v>314.76839999999999</v>
      </c>
      <c r="I15">
        <v>34.131999999999998</v>
      </c>
      <c r="J15" s="23">
        <v>44846</v>
      </c>
      <c r="K15" t="s">
        <v>100</v>
      </c>
    </row>
    <row r="16" spans="1:20" x14ac:dyDescent="0.35">
      <c r="A16" s="21" t="s">
        <v>101</v>
      </c>
      <c r="B16" t="s">
        <v>10</v>
      </c>
      <c r="C16" t="s">
        <v>10</v>
      </c>
      <c r="D16" t="s">
        <v>10</v>
      </c>
      <c r="E16" t="s">
        <v>10</v>
      </c>
      <c r="F16">
        <v>1989.5816</v>
      </c>
      <c r="G16">
        <v>384.81400000000002</v>
      </c>
      <c r="H16">
        <v>3549.7964000000002</v>
      </c>
      <c r="I16">
        <v>274.69299999999998</v>
      </c>
      <c r="J16" s="23">
        <v>44846</v>
      </c>
      <c r="K16" t="s">
        <v>104</v>
      </c>
    </row>
    <row r="17" spans="1:18" x14ac:dyDescent="0.35">
      <c r="A17" s="21" t="s">
        <v>102</v>
      </c>
      <c r="B17" t="s">
        <v>10</v>
      </c>
      <c r="C17" t="s">
        <v>10</v>
      </c>
      <c r="D17" t="s">
        <v>10</v>
      </c>
      <c r="E17" t="s">
        <v>10</v>
      </c>
      <c r="F17">
        <v>2065.7646</v>
      </c>
      <c r="G17">
        <v>397.85199999999998</v>
      </c>
      <c r="H17">
        <v>3659.4971999999998</v>
      </c>
      <c r="I17">
        <v>230.178</v>
      </c>
      <c r="J17" s="23">
        <v>44846</v>
      </c>
      <c r="K17" t="s">
        <v>105</v>
      </c>
      <c r="R17" t="s">
        <v>76</v>
      </c>
    </row>
    <row r="18" spans="1:18" x14ac:dyDescent="0.35">
      <c r="A18" s="21" t="s">
        <v>103</v>
      </c>
      <c r="B18" t="s">
        <v>10</v>
      </c>
      <c r="C18" t="s">
        <v>10</v>
      </c>
      <c r="D18" t="s">
        <v>10</v>
      </c>
      <c r="E18" t="s">
        <v>10</v>
      </c>
      <c r="F18">
        <v>2061.4881999999998</v>
      </c>
      <c r="G18">
        <v>396.334</v>
      </c>
      <c r="H18">
        <v>3663.0239999999999</v>
      </c>
      <c r="I18">
        <v>279.89</v>
      </c>
      <c r="J18" s="23">
        <v>44846</v>
      </c>
      <c r="K18" t="s">
        <v>106</v>
      </c>
    </row>
    <row r="19" spans="1:18" x14ac:dyDescent="0.35">
      <c r="A19" s="21" t="s">
        <v>107</v>
      </c>
      <c r="B19" t="s">
        <v>108</v>
      </c>
      <c r="C19" t="s">
        <v>109</v>
      </c>
      <c r="D19">
        <v>1</v>
      </c>
      <c r="E19" s="23">
        <v>44817</v>
      </c>
      <c r="F19">
        <v>852.00049999999999</v>
      </c>
      <c r="G19">
        <v>173.267</v>
      </c>
      <c r="H19">
        <v>1885.1787999999999</v>
      </c>
      <c r="I19">
        <v>164.25200000000001</v>
      </c>
      <c r="J19" s="23">
        <v>44846</v>
      </c>
      <c r="K19" t="s">
        <v>110</v>
      </c>
    </row>
    <row r="20" spans="1:18" x14ac:dyDescent="0.35">
      <c r="A20" s="21" t="s">
        <v>111</v>
      </c>
      <c r="B20" t="s">
        <v>108</v>
      </c>
      <c r="C20" t="s">
        <v>109</v>
      </c>
      <c r="D20">
        <v>2</v>
      </c>
      <c r="E20" s="23">
        <v>44817</v>
      </c>
      <c r="F20">
        <v>906.59270000000004</v>
      </c>
      <c r="G20">
        <v>183.893</v>
      </c>
      <c r="H20">
        <v>1833.2309</v>
      </c>
      <c r="I20">
        <v>160.37299999999999</v>
      </c>
      <c r="J20" s="23">
        <v>44846</v>
      </c>
      <c r="K20" t="s">
        <v>112</v>
      </c>
    </row>
    <row r="21" spans="1:18" x14ac:dyDescent="0.35">
      <c r="A21" s="21" t="s">
        <v>113</v>
      </c>
      <c r="B21" t="s">
        <v>108</v>
      </c>
      <c r="C21" t="s">
        <v>109</v>
      </c>
      <c r="D21">
        <v>3</v>
      </c>
      <c r="E21" s="23">
        <v>44817</v>
      </c>
      <c r="F21">
        <v>889.57360000000006</v>
      </c>
      <c r="G21">
        <v>180.53800000000001</v>
      </c>
      <c r="H21">
        <v>1859.4449999999999</v>
      </c>
      <c r="I21">
        <v>161.92500000000001</v>
      </c>
      <c r="J21" s="23">
        <v>44846</v>
      </c>
      <c r="K21" t="s">
        <v>114</v>
      </c>
    </row>
    <row r="22" spans="1:18" x14ac:dyDescent="0.35">
      <c r="A22" s="21" t="s">
        <v>115</v>
      </c>
      <c r="B22" t="s">
        <v>108</v>
      </c>
      <c r="C22" t="s">
        <v>66</v>
      </c>
      <c r="D22">
        <v>1</v>
      </c>
      <c r="E22" s="23">
        <v>44817</v>
      </c>
      <c r="F22">
        <v>1750.8737000000001</v>
      </c>
      <c r="G22">
        <v>339.63</v>
      </c>
      <c r="H22">
        <v>2651.9897000000001</v>
      </c>
      <c r="I22">
        <v>216.11600000000001</v>
      </c>
      <c r="J22" s="23">
        <v>44846</v>
      </c>
      <c r="K22" t="s">
        <v>116</v>
      </c>
    </row>
    <row r="23" spans="1:18" x14ac:dyDescent="0.35">
      <c r="A23" s="22" t="s">
        <v>75</v>
      </c>
      <c r="B23" t="s">
        <v>10</v>
      </c>
      <c r="C23" t="s">
        <v>10</v>
      </c>
      <c r="D23" t="s">
        <v>10</v>
      </c>
      <c r="E23" t="s">
        <v>10</v>
      </c>
      <c r="F23">
        <v>46.96</v>
      </c>
      <c r="G23">
        <v>11.074</v>
      </c>
      <c r="H23">
        <v>2355.6419999999998</v>
      </c>
      <c r="I23">
        <v>196.56399999999999</v>
      </c>
      <c r="J23" s="23">
        <v>44846</v>
      </c>
      <c r="K23" t="s">
        <v>117</v>
      </c>
      <c r="M23">
        <f>100*(F23-$T$2)/AVERAGE($T$2,F23)</f>
        <v>3.0718070298910445</v>
      </c>
      <c r="N23">
        <f>100*(H23-$T$3)/AVERAGE($T$3,H23)</f>
        <v>-5.5956683169338284</v>
      </c>
    </row>
    <row r="24" spans="1:18" x14ac:dyDescent="0.35">
      <c r="A24" s="22" t="s">
        <v>75</v>
      </c>
      <c r="B24" t="s">
        <v>10</v>
      </c>
      <c r="C24" t="s">
        <v>10</v>
      </c>
      <c r="D24" t="s">
        <v>10</v>
      </c>
      <c r="E24" t="s">
        <v>10</v>
      </c>
      <c r="F24">
        <v>47.287799999999997</v>
      </c>
      <c r="G24">
        <v>11.1</v>
      </c>
      <c r="H24">
        <v>2388.0868</v>
      </c>
      <c r="I24">
        <v>198.93600000000001</v>
      </c>
      <c r="J24" s="23">
        <v>44846</v>
      </c>
      <c r="K24" t="s">
        <v>118</v>
      </c>
      <c r="M24">
        <f>100*(F24-$T$2)/AVERAGE($T$2,F24)</f>
        <v>3.7672188401878328</v>
      </c>
      <c r="N24">
        <f>100*(H24-$T$3)/AVERAGE($T$3,H24)</f>
        <v>-4.2285746702297722</v>
      </c>
    </row>
    <row r="25" spans="1:18" x14ac:dyDescent="0.35">
      <c r="A25" s="21" t="s">
        <v>120</v>
      </c>
      <c r="B25" t="s">
        <v>108</v>
      </c>
      <c r="C25" t="s">
        <v>66</v>
      </c>
      <c r="D25">
        <v>2</v>
      </c>
      <c r="E25" s="23">
        <v>44817</v>
      </c>
      <c r="F25">
        <v>873.33199999999999</v>
      </c>
      <c r="G25">
        <v>177.041</v>
      </c>
      <c r="H25">
        <v>1865.1220000000001</v>
      </c>
      <c r="I25">
        <v>161.65799999999999</v>
      </c>
      <c r="J25" s="23">
        <v>44846</v>
      </c>
      <c r="K25" t="s">
        <v>119</v>
      </c>
    </row>
    <row r="26" spans="1:18" x14ac:dyDescent="0.35">
      <c r="A26" s="21" t="s">
        <v>121</v>
      </c>
      <c r="B26" t="s">
        <v>108</v>
      </c>
      <c r="C26" t="s">
        <v>66</v>
      </c>
      <c r="D26">
        <v>3</v>
      </c>
      <c r="E26" s="23">
        <v>44817</v>
      </c>
      <c r="F26">
        <v>759.22559999999999</v>
      </c>
      <c r="G26">
        <v>155.273</v>
      </c>
      <c r="H26">
        <v>1760.6266000000001</v>
      </c>
      <c r="I26">
        <v>153.797</v>
      </c>
      <c r="J26" s="23">
        <v>44846</v>
      </c>
      <c r="K26" t="s">
        <v>122</v>
      </c>
    </row>
    <row r="27" spans="1:18" x14ac:dyDescent="0.35">
      <c r="A27" s="21" t="s">
        <v>123</v>
      </c>
      <c r="B27" t="s">
        <v>108</v>
      </c>
      <c r="C27" t="s">
        <v>82</v>
      </c>
      <c r="D27">
        <v>1</v>
      </c>
      <c r="E27" s="23">
        <v>44817</v>
      </c>
      <c r="F27">
        <v>103.61660000000001</v>
      </c>
      <c r="G27">
        <v>22.683</v>
      </c>
      <c r="H27">
        <v>598.75570000000005</v>
      </c>
      <c r="I27">
        <v>60.252000000000002</v>
      </c>
      <c r="J27" s="23">
        <v>44846</v>
      </c>
      <c r="K27" t="s">
        <v>124</v>
      </c>
      <c r="L27" t="s">
        <v>135</v>
      </c>
    </row>
    <row r="28" spans="1:18" x14ac:dyDescent="0.35">
      <c r="A28" s="21" t="s">
        <v>125</v>
      </c>
      <c r="B28" t="s">
        <v>108</v>
      </c>
      <c r="C28" t="s">
        <v>82</v>
      </c>
      <c r="D28">
        <v>2</v>
      </c>
      <c r="E28" s="23">
        <v>44817</v>
      </c>
      <c r="F28">
        <v>81.714600000000004</v>
      </c>
      <c r="G28">
        <v>18.193000000000001</v>
      </c>
      <c r="H28">
        <v>566.7817</v>
      </c>
      <c r="I28">
        <v>57.353000000000002</v>
      </c>
      <c r="J28" s="23">
        <v>44846</v>
      </c>
      <c r="K28" t="s">
        <v>126</v>
      </c>
    </row>
    <row r="29" spans="1:18" x14ac:dyDescent="0.35">
      <c r="A29" s="21" t="s">
        <v>127</v>
      </c>
      <c r="B29" t="s">
        <v>108</v>
      </c>
      <c r="C29" t="s">
        <v>82</v>
      </c>
      <c r="D29">
        <v>3</v>
      </c>
      <c r="E29" s="23">
        <v>44817</v>
      </c>
      <c r="F29">
        <v>83.470200000000006</v>
      </c>
      <c r="G29">
        <v>18.555</v>
      </c>
      <c r="H29">
        <v>628.12660000000005</v>
      </c>
      <c r="I29">
        <v>62.789000000000001</v>
      </c>
      <c r="J29" s="23">
        <v>44846</v>
      </c>
      <c r="K29" t="s">
        <v>128</v>
      </c>
    </row>
    <row r="30" spans="1:18" x14ac:dyDescent="0.35">
      <c r="A30" s="21" t="s">
        <v>136</v>
      </c>
      <c r="B30" t="s">
        <v>10</v>
      </c>
      <c r="C30" t="s">
        <v>10</v>
      </c>
      <c r="D30" t="s">
        <v>10</v>
      </c>
      <c r="E30" t="s">
        <v>10</v>
      </c>
      <c r="F30">
        <v>227.48220000000001</v>
      </c>
      <c r="G30">
        <v>48.067999999999998</v>
      </c>
      <c r="H30">
        <v>434.59129999999999</v>
      </c>
      <c r="I30">
        <v>45.033999999999999</v>
      </c>
      <c r="J30" s="23">
        <v>44846</v>
      </c>
      <c r="K30" t="s">
        <v>131</v>
      </c>
      <c r="O30" t="s">
        <v>137</v>
      </c>
    </row>
    <row r="31" spans="1:18" x14ac:dyDescent="0.35">
      <c r="A31" s="21" t="s">
        <v>136</v>
      </c>
      <c r="B31" t="s">
        <v>10</v>
      </c>
      <c r="C31" t="s">
        <v>10</v>
      </c>
      <c r="D31" t="s">
        <v>10</v>
      </c>
      <c r="E31" t="s">
        <v>10</v>
      </c>
      <c r="F31">
        <v>136.77799999999999</v>
      </c>
      <c r="G31">
        <v>29.384</v>
      </c>
      <c r="H31">
        <v>261.92419999999998</v>
      </c>
      <c r="I31">
        <v>28.584</v>
      </c>
      <c r="J31" s="23">
        <v>44846</v>
      </c>
      <c r="K31" t="s">
        <v>133</v>
      </c>
    </row>
    <row r="32" spans="1:18" x14ac:dyDescent="0.35">
      <c r="A32" s="21" t="s">
        <v>136</v>
      </c>
      <c r="B32" t="s">
        <v>10</v>
      </c>
      <c r="C32" t="s">
        <v>10</v>
      </c>
      <c r="D32" t="s">
        <v>10</v>
      </c>
      <c r="E32" t="s">
        <v>10</v>
      </c>
      <c r="F32">
        <v>205.2431</v>
      </c>
      <c r="G32">
        <v>43.441000000000003</v>
      </c>
      <c r="H32">
        <v>391.47390000000001</v>
      </c>
      <c r="I32">
        <v>40.926000000000002</v>
      </c>
      <c r="J32" s="23">
        <v>44846</v>
      </c>
      <c r="K32" t="s">
        <v>134</v>
      </c>
    </row>
    <row r="33" spans="1:20" x14ac:dyDescent="0.35">
      <c r="A33" s="21" t="s">
        <v>136</v>
      </c>
      <c r="B33" t="s">
        <v>10</v>
      </c>
      <c r="C33" t="s">
        <v>10</v>
      </c>
      <c r="D33" t="s">
        <v>10</v>
      </c>
      <c r="E33" t="s">
        <v>10</v>
      </c>
      <c r="F33">
        <v>228.1585</v>
      </c>
      <c r="G33">
        <v>48.213000000000001</v>
      </c>
      <c r="H33">
        <v>439.51679999999999</v>
      </c>
      <c r="I33">
        <v>45.344000000000001</v>
      </c>
      <c r="J33" s="23">
        <v>44846</v>
      </c>
      <c r="K33" t="s">
        <v>138</v>
      </c>
    </row>
    <row r="34" spans="1:20" x14ac:dyDescent="0.35">
      <c r="A34" s="21" t="s">
        <v>136</v>
      </c>
      <c r="B34" t="s">
        <v>10</v>
      </c>
      <c r="C34" t="s">
        <v>10</v>
      </c>
      <c r="D34" t="s">
        <v>10</v>
      </c>
      <c r="E34" t="s">
        <v>10</v>
      </c>
      <c r="F34">
        <v>244.81020000000001</v>
      </c>
      <c r="G34">
        <v>51.69</v>
      </c>
      <c r="H34">
        <v>466.4042</v>
      </c>
      <c r="I34">
        <v>47.795000000000002</v>
      </c>
      <c r="J34" s="23">
        <v>44846</v>
      </c>
      <c r="K34" t="s">
        <v>139</v>
      </c>
    </row>
    <row r="35" spans="1:20" x14ac:dyDescent="0.35">
      <c r="A35" s="21" t="s">
        <v>136</v>
      </c>
      <c r="B35" t="s">
        <v>10</v>
      </c>
      <c r="C35" t="s">
        <v>10</v>
      </c>
      <c r="D35" t="s">
        <v>10</v>
      </c>
      <c r="E35" t="s">
        <v>10</v>
      </c>
      <c r="F35">
        <v>242.53059999999999</v>
      </c>
      <c r="G35">
        <v>51.087000000000003</v>
      </c>
      <c r="H35">
        <v>465.07279999999997</v>
      </c>
      <c r="I35">
        <v>47.648000000000003</v>
      </c>
      <c r="J35" s="23">
        <v>44846</v>
      </c>
      <c r="K35" t="s">
        <v>140</v>
      </c>
    </row>
    <row r="36" spans="1:20" x14ac:dyDescent="0.35">
      <c r="A36" s="22" t="s">
        <v>75</v>
      </c>
      <c r="B36" t="s">
        <v>10</v>
      </c>
      <c r="C36" t="s">
        <v>10</v>
      </c>
      <c r="D36" t="s">
        <v>10</v>
      </c>
      <c r="E36" t="s">
        <v>10</v>
      </c>
      <c r="F36">
        <v>46.763800000000003</v>
      </c>
      <c r="G36">
        <v>11.032999999999999</v>
      </c>
      <c r="H36">
        <v>2305.8029000000001</v>
      </c>
      <c r="I36">
        <v>190.262</v>
      </c>
      <c r="J36" s="23">
        <v>44846</v>
      </c>
      <c r="K36" t="s">
        <v>141</v>
      </c>
      <c r="M36">
        <f>100*(F36-$T$2)/AVERAGE($T$2,F36)</f>
        <v>2.6532153307960535</v>
      </c>
      <c r="N36">
        <f>100*(H36-$T$3)/AVERAGE($T$3,H36)</f>
        <v>-7.7317096086224035</v>
      </c>
    </row>
    <row r="37" spans="1:20" x14ac:dyDescent="0.35">
      <c r="A37" s="22" t="s">
        <v>75</v>
      </c>
      <c r="B37" t="s">
        <v>10</v>
      </c>
      <c r="C37" t="s">
        <v>10</v>
      </c>
      <c r="D37" t="s">
        <v>10</v>
      </c>
      <c r="E37" t="s">
        <v>10</v>
      </c>
      <c r="F37">
        <v>46.569400000000002</v>
      </c>
      <c r="G37">
        <v>10.997999999999999</v>
      </c>
      <c r="H37">
        <v>2299.9720000000002</v>
      </c>
      <c r="I37">
        <v>189.82</v>
      </c>
      <c r="J37" s="23">
        <v>44846</v>
      </c>
      <c r="K37" t="s">
        <v>142</v>
      </c>
      <c r="M37">
        <f>100*(F37-$T$2)/AVERAGE($T$2,F37)</f>
        <v>2.2367051103750342</v>
      </c>
      <c r="N37">
        <f>100*(H37-$T$3)/AVERAGE($T$3,H37)</f>
        <v>-7.9845183546076477</v>
      </c>
    </row>
    <row r="38" spans="1:20" x14ac:dyDescent="0.35">
      <c r="A38" s="21" t="s">
        <v>129</v>
      </c>
      <c r="B38" t="s">
        <v>108</v>
      </c>
      <c r="C38" t="s">
        <v>130</v>
      </c>
      <c r="D38">
        <v>1</v>
      </c>
      <c r="E38" s="23">
        <v>44817</v>
      </c>
      <c r="F38">
        <v>2.0855999999999999</v>
      </c>
      <c r="G38">
        <v>0.47</v>
      </c>
      <c r="H38">
        <v>624.87559999999996</v>
      </c>
      <c r="I38">
        <v>61.994</v>
      </c>
      <c r="J38" s="23">
        <v>44846</v>
      </c>
      <c r="K38" t="s">
        <v>143</v>
      </c>
    </row>
    <row r="39" spans="1:20" x14ac:dyDescent="0.35">
      <c r="A39" s="21" t="s">
        <v>132</v>
      </c>
      <c r="B39" t="s">
        <v>108</v>
      </c>
      <c r="C39" t="s">
        <v>98</v>
      </c>
      <c r="D39">
        <v>2</v>
      </c>
      <c r="E39" s="23">
        <v>44817</v>
      </c>
      <c r="F39">
        <v>1.3746</v>
      </c>
      <c r="G39">
        <v>0.30399999999999999</v>
      </c>
      <c r="H39">
        <v>478.15170000000001</v>
      </c>
      <c r="I39">
        <v>48.813000000000002</v>
      </c>
      <c r="J39" s="23">
        <v>44846</v>
      </c>
      <c r="K39" t="s">
        <v>144</v>
      </c>
    </row>
    <row r="40" spans="1:20" x14ac:dyDescent="0.35">
      <c r="A40" s="21" t="s">
        <v>146</v>
      </c>
      <c r="B40" t="s">
        <v>81</v>
      </c>
      <c r="C40" t="s">
        <v>147</v>
      </c>
      <c r="D40">
        <v>4</v>
      </c>
      <c r="E40" s="23">
        <v>44803</v>
      </c>
      <c r="F40">
        <v>2377.4306000000001</v>
      </c>
      <c r="G40">
        <v>443.19600000000003</v>
      </c>
      <c r="H40">
        <v>128.88759999999999</v>
      </c>
      <c r="I40">
        <v>15.12</v>
      </c>
      <c r="J40" s="23">
        <v>44846</v>
      </c>
      <c r="K40" t="s">
        <v>145</v>
      </c>
      <c r="O40" t="s">
        <v>137</v>
      </c>
    </row>
    <row r="41" spans="1:20" x14ac:dyDescent="0.35">
      <c r="A41" s="21" t="s">
        <v>149</v>
      </c>
      <c r="B41" t="s">
        <v>81</v>
      </c>
      <c r="C41" t="s">
        <v>150</v>
      </c>
      <c r="D41" t="s">
        <v>10</v>
      </c>
      <c r="E41" s="23">
        <v>44804</v>
      </c>
      <c r="F41">
        <v>1933.2565999999999</v>
      </c>
      <c r="G41">
        <v>368.40699999999998</v>
      </c>
      <c r="H41">
        <v>32.658299999999997</v>
      </c>
      <c r="I41">
        <v>4.3410000000000002</v>
      </c>
      <c r="J41" s="23">
        <v>44846</v>
      </c>
      <c r="K41" t="s">
        <v>148</v>
      </c>
      <c r="O41" t="s">
        <v>137</v>
      </c>
    </row>
    <row r="42" spans="1:20" x14ac:dyDescent="0.35">
      <c r="A42" s="21" t="s">
        <v>151</v>
      </c>
      <c r="B42" t="s">
        <v>81</v>
      </c>
      <c r="C42" t="s">
        <v>152</v>
      </c>
      <c r="D42" t="s">
        <v>10</v>
      </c>
      <c r="E42" s="23">
        <v>44804</v>
      </c>
      <c r="F42">
        <v>2087.518</v>
      </c>
      <c r="G42">
        <v>395.08199999999999</v>
      </c>
      <c r="H42">
        <v>38.985999999999997</v>
      </c>
      <c r="I42">
        <v>5.1459999999999999</v>
      </c>
      <c r="J42" s="23">
        <v>44846</v>
      </c>
      <c r="K42" t="s">
        <v>154</v>
      </c>
      <c r="O42" t="s">
        <v>137</v>
      </c>
    </row>
    <row r="43" spans="1:20" x14ac:dyDescent="0.35">
      <c r="A43" s="21" t="s">
        <v>153</v>
      </c>
      <c r="B43" t="s">
        <v>81</v>
      </c>
      <c r="C43" t="s">
        <v>155</v>
      </c>
      <c r="D43" t="s">
        <v>10</v>
      </c>
      <c r="E43" s="23">
        <v>44804</v>
      </c>
      <c r="F43">
        <v>4433.4390999999996</v>
      </c>
      <c r="G43">
        <v>755.39800000000002</v>
      </c>
      <c r="H43">
        <v>35.752000000000002</v>
      </c>
      <c r="I43">
        <v>4.7240000000000002</v>
      </c>
      <c r="J43" s="23">
        <v>44846</v>
      </c>
      <c r="K43" t="s">
        <v>156</v>
      </c>
      <c r="O43" t="s">
        <v>137</v>
      </c>
    </row>
    <row r="44" spans="1:20" x14ac:dyDescent="0.35">
      <c r="A44" s="21" t="s">
        <v>157</v>
      </c>
      <c r="B44" t="s">
        <v>81</v>
      </c>
      <c r="C44" t="s">
        <v>158</v>
      </c>
      <c r="D44" t="s">
        <v>10</v>
      </c>
      <c r="E44" s="23">
        <v>44804</v>
      </c>
      <c r="F44">
        <v>3979.9503</v>
      </c>
      <c r="G44">
        <v>691.15700000000004</v>
      </c>
      <c r="H44">
        <v>38.288800000000002</v>
      </c>
      <c r="I44">
        <v>5.0469999999999997</v>
      </c>
      <c r="J44" s="23">
        <v>44846</v>
      </c>
      <c r="K44" t="s">
        <v>159</v>
      </c>
      <c r="O44" t="s">
        <v>137</v>
      </c>
    </row>
    <row r="45" spans="1:20" x14ac:dyDescent="0.35">
      <c r="A45" s="21" t="s">
        <v>153</v>
      </c>
      <c r="B45" t="s">
        <v>81</v>
      </c>
      <c r="C45" t="s">
        <v>155</v>
      </c>
      <c r="D45" t="s">
        <v>10</v>
      </c>
      <c r="E45" s="23">
        <v>44804</v>
      </c>
      <c r="F45">
        <v>1836.6786</v>
      </c>
      <c r="G45">
        <v>351.68</v>
      </c>
      <c r="H45">
        <v>11.8378</v>
      </c>
      <c r="I45">
        <v>1.526</v>
      </c>
      <c r="J45" s="23">
        <v>44846</v>
      </c>
      <c r="K45" t="s">
        <v>164</v>
      </c>
      <c r="L45" t="s">
        <v>170</v>
      </c>
      <c r="O45" t="s">
        <v>171</v>
      </c>
    </row>
    <row r="46" spans="1:20" x14ac:dyDescent="0.35">
      <c r="A46" s="22" t="s">
        <v>75</v>
      </c>
      <c r="B46" t="s">
        <v>10</v>
      </c>
      <c r="C46" t="s">
        <v>10</v>
      </c>
      <c r="D46" t="s">
        <v>10</v>
      </c>
      <c r="E46" t="s">
        <v>10</v>
      </c>
      <c r="F46">
        <v>46.940600000000003</v>
      </c>
      <c r="G46">
        <v>11.051</v>
      </c>
      <c r="H46">
        <v>2310.5092</v>
      </c>
      <c r="I46">
        <v>189.369</v>
      </c>
      <c r="J46" s="23">
        <v>44846</v>
      </c>
      <c r="K46" t="s">
        <v>165</v>
      </c>
      <c r="M46">
        <f>100*(F46-$T$2)/AVERAGE($T$2,F46)</f>
        <v>3.0304963565055894</v>
      </c>
      <c r="N46">
        <f>100*(H46-$T$3)/AVERAGE($T$3,H46)</f>
        <v>-7.5281076152256867</v>
      </c>
    </row>
    <row r="47" spans="1:20" x14ac:dyDescent="0.35">
      <c r="A47" s="21" t="s">
        <v>157</v>
      </c>
      <c r="B47" t="s">
        <v>81</v>
      </c>
      <c r="C47" t="s">
        <v>158</v>
      </c>
      <c r="D47" t="s">
        <v>10</v>
      </c>
      <c r="E47" s="23">
        <v>44804</v>
      </c>
      <c r="F47">
        <v>1082.5272</v>
      </c>
      <c r="G47">
        <v>215.613</v>
      </c>
      <c r="H47">
        <v>5.2939999999999996</v>
      </c>
      <c r="I47">
        <v>0.65400000000000003</v>
      </c>
      <c r="J47" s="23">
        <v>44846</v>
      </c>
      <c r="K47" t="s">
        <v>169</v>
      </c>
      <c r="L47" t="s">
        <v>170</v>
      </c>
      <c r="O47" t="s">
        <v>171</v>
      </c>
      <c r="S47">
        <v>2310.3263999999999</v>
      </c>
      <c r="T47">
        <v>2995.2732000000001</v>
      </c>
    </row>
    <row r="48" spans="1:20" x14ac:dyDescent="0.35">
      <c r="A48" s="21" t="s">
        <v>160</v>
      </c>
      <c r="B48" t="s">
        <v>81</v>
      </c>
      <c r="C48" t="s">
        <v>163</v>
      </c>
      <c r="D48">
        <v>1</v>
      </c>
      <c r="E48" s="23">
        <v>44804</v>
      </c>
      <c r="F48">
        <v>2310.3263999999999</v>
      </c>
      <c r="G48">
        <v>431.69200000000001</v>
      </c>
      <c r="H48">
        <v>121.729</v>
      </c>
      <c r="I48">
        <v>14.349</v>
      </c>
      <c r="J48" s="23">
        <v>44846</v>
      </c>
      <c r="K48" t="s">
        <v>173</v>
      </c>
      <c r="O48" t="s">
        <v>172</v>
      </c>
      <c r="S48">
        <f>(S47+ 0.7207)/0.2313</f>
        <v>9991.5568525724157</v>
      </c>
      <c r="T48">
        <f>(T47+ 0.7207)/0.2313</f>
        <v>12952.848681366191</v>
      </c>
    </row>
    <row r="49" spans="1:15" x14ac:dyDescent="0.35">
      <c r="A49" s="21" t="s">
        <v>161</v>
      </c>
      <c r="B49" t="s">
        <v>81</v>
      </c>
      <c r="C49" t="s">
        <v>163</v>
      </c>
      <c r="D49">
        <v>2</v>
      </c>
      <c r="E49" s="23">
        <v>44804</v>
      </c>
      <c r="F49">
        <v>2134.5154000000002</v>
      </c>
      <c r="G49">
        <v>402.45800000000003</v>
      </c>
      <c r="H49">
        <v>75.984099999999998</v>
      </c>
      <c r="I49">
        <v>9.4819999999999993</v>
      </c>
      <c r="J49" s="23">
        <v>44846</v>
      </c>
      <c r="K49" t="s">
        <v>174</v>
      </c>
      <c r="O49" t="s">
        <v>172</v>
      </c>
    </row>
    <row r="50" spans="1:15" x14ac:dyDescent="0.35">
      <c r="A50" s="21" t="s">
        <v>162</v>
      </c>
      <c r="B50" t="s">
        <v>81</v>
      </c>
      <c r="C50" t="s">
        <v>163</v>
      </c>
      <c r="D50">
        <v>3</v>
      </c>
      <c r="E50" s="21" t="s">
        <v>166</v>
      </c>
      <c r="F50">
        <v>838.37009999999998</v>
      </c>
      <c r="G50">
        <v>169.40600000000001</v>
      </c>
      <c r="H50">
        <v>17.976900000000001</v>
      </c>
      <c r="I50">
        <v>2.3570000000000002</v>
      </c>
      <c r="J50" s="23">
        <v>44846</v>
      </c>
      <c r="K50" t="s">
        <v>175</v>
      </c>
      <c r="O50" t="s">
        <v>172</v>
      </c>
    </row>
    <row r="51" spans="1:15" x14ac:dyDescent="0.35">
      <c r="A51" s="21" t="s">
        <v>162</v>
      </c>
      <c r="B51" t="s">
        <v>81</v>
      </c>
      <c r="C51" t="s">
        <v>163</v>
      </c>
      <c r="D51">
        <v>3</v>
      </c>
      <c r="E51" s="21" t="s">
        <v>166</v>
      </c>
      <c r="F51">
        <v>1200.2003</v>
      </c>
      <c r="G51">
        <v>237.62200000000001</v>
      </c>
      <c r="H51">
        <v>31.250399999999999</v>
      </c>
      <c r="I51">
        <v>4.1459999999999999</v>
      </c>
      <c r="J51" s="23">
        <v>44846</v>
      </c>
      <c r="K51" t="s">
        <v>176</v>
      </c>
      <c r="L51" t="s">
        <v>170</v>
      </c>
      <c r="O51" t="s">
        <v>172</v>
      </c>
    </row>
    <row r="52" spans="1:15" x14ac:dyDescent="0.35">
      <c r="A52" s="21" t="s">
        <v>167</v>
      </c>
      <c r="B52" t="s">
        <v>108</v>
      </c>
      <c r="C52" t="s">
        <v>168</v>
      </c>
      <c r="D52">
        <v>2</v>
      </c>
      <c r="E52" s="23">
        <v>44817</v>
      </c>
      <c r="F52">
        <v>2773.7723999999998</v>
      </c>
      <c r="G52">
        <v>507.06099999999998</v>
      </c>
      <c r="H52">
        <v>72.745800000000003</v>
      </c>
      <c r="I52">
        <v>9.109</v>
      </c>
      <c r="J52" s="23">
        <v>44846</v>
      </c>
      <c r="K52" t="s">
        <v>177</v>
      </c>
      <c r="O52" t="s">
        <v>171</v>
      </c>
    </row>
    <row r="53" spans="1:15" x14ac:dyDescent="0.35">
      <c r="A53" s="21" t="s">
        <v>167</v>
      </c>
      <c r="B53" t="s">
        <v>108</v>
      </c>
      <c r="C53" t="s">
        <v>168</v>
      </c>
      <c r="D53">
        <v>2</v>
      </c>
      <c r="E53" s="23">
        <v>44817</v>
      </c>
      <c r="F53">
        <v>1592.4241999999999</v>
      </c>
      <c r="G53">
        <v>308.923</v>
      </c>
      <c r="H53">
        <v>29.5488</v>
      </c>
      <c r="I53">
        <v>3.9159999999999999</v>
      </c>
      <c r="J53" s="23">
        <v>44846</v>
      </c>
      <c r="K53" t="s">
        <v>178</v>
      </c>
      <c r="L53" t="s">
        <v>170</v>
      </c>
      <c r="O53" t="s">
        <v>172</v>
      </c>
    </row>
    <row r="54" spans="1:15" x14ac:dyDescent="0.35">
      <c r="A54" s="21" t="s">
        <v>179</v>
      </c>
      <c r="B54" t="s">
        <v>108</v>
      </c>
      <c r="C54" t="s">
        <v>168</v>
      </c>
      <c r="D54">
        <v>4</v>
      </c>
      <c r="E54" s="23">
        <v>44817</v>
      </c>
      <c r="F54">
        <v>2995.2732000000001</v>
      </c>
      <c r="G54">
        <v>542.03099999999995</v>
      </c>
      <c r="H54">
        <v>49.988100000000003</v>
      </c>
      <c r="I54">
        <v>6.4749999999999996</v>
      </c>
      <c r="J54" s="23">
        <v>44846</v>
      </c>
      <c r="K54" t="s">
        <v>180</v>
      </c>
      <c r="L54" t="s">
        <v>183</v>
      </c>
      <c r="O54" t="s">
        <v>172</v>
      </c>
    </row>
    <row r="55" spans="1:15" x14ac:dyDescent="0.35">
      <c r="A55" s="21" t="s">
        <v>181</v>
      </c>
      <c r="B55" t="s">
        <v>108</v>
      </c>
      <c r="C55" t="s">
        <v>182</v>
      </c>
      <c r="D55">
        <v>5</v>
      </c>
      <c r="E55" s="23">
        <v>44817</v>
      </c>
      <c r="F55">
        <v>1004.1704</v>
      </c>
      <c r="G55">
        <v>201.10400000000001</v>
      </c>
      <c r="H55">
        <v>98.909400000000005</v>
      </c>
      <c r="I55">
        <v>11.955</v>
      </c>
      <c r="J55" s="23">
        <v>44846</v>
      </c>
      <c r="K55" t="s">
        <v>185</v>
      </c>
      <c r="O55" t="s">
        <v>172</v>
      </c>
    </row>
    <row r="56" spans="1:15" x14ac:dyDescent="0.35">
      <c r="A56" s="21" t="s">
        <v>184</v>
      </c>
      <c r="B56" t="s">
        <v>108</v>
      </c>
      <c r="C56" t="s">
        <v>168</v>
      </c>
      <c r="D56">
        <v>7</v>
      </c>
      <c r="E56" s="23">
        <v>44818</v>
      </c>
      <c r="F56">
        <v>2765.7103999999999</v>
      </c>
      <c r="G56">
        <v>505.76900000000001</v>
      </c>
      <c r="H56">
        <v>56.100999999999999</v>
      </c>
      <c r="I56">
        <v>7.2119999999999997</v>
      </c>
      <c r="J56" s="23">
        <v>44846</v>
      </c>
      <c r="K56" t="s">
        <v>186</v>
      </c>
      <c r="O56" t="s">
        <v>172</v>
      </c>
    </row>
    <row r="57" spans="1:15" x14ac:dyDescent="0.35">
      <c r="A57" s="22" t="s">
        <v>75</v>
      </c>
      <c r="B57" t="s">
        <v>10</v>
      </c>
      <c r="C57" t="s">
        <v>10</v>
      </c>
      <c r="D57" t="s">
        <v>10</v>
      </c>
      <c r="E57" t="s">
        <v>10</v>
      </c>
      <c r="F57">
        <v>46.9696</v>
      </c>
      <c r="G57">
        <v>11.058999999999999</v>
      </c>
      <c r="H57">
        <v>2275.2215999999999</v>
      </c>
      <c r="I57">
        <v>184.73400000000001</v>
      </c>
      <c r="J57" s="23">
        <v>44846</v>
      </c>
      <c r="K57" t="s">
        <v>187</v>
      </c>
      <c r="M57">
        <f>100*(F57-$T$2)/AVERAGE($T$2,F57)</f>
        <v>3.092243016617866</v>
      </c>
      <c r="N57">
        <f>100*(H57-$T$3)/AVERAGE($T$3,H57)</f>
        <v>-9.0644996185438362</v>
      </c>
    </row>
    <row r="58" spans="1:15" x14ac:dyDescent="0.35">
      <c r="A58" s="22" t="s">
        <v>75</v>
      </c>
      <c r="B58" t="s">
        <v>10</v>
      </c>
      <c r="C58" t="s">
        <v>10</v>
      </c>
      <c r="D58" t="s">
        <v>10</v>
      </c>
      <c r="E58" t="s">
        <v>10</v>
      </c>
      <c r="F58">
        <v>46.666800000000002</v>
      </c>
      <c r="G58">
        <v>11.031000000000001</v>
      </c>
      <c r="H58">
        <v>2276.2444</v>
      </c>
      <c r="I58">
        <v>184.82900000000001</v>
      </c>
      <c r="J58" s="23">
        <v>44846</v>
      </c>
      <c r="K58" t="s">
        <v>190</v>
      </c>
      <c r="M58">
        <f>100*(F58-$T$2)/AVERAGE($T$2,F58)</f>
        <v>2.4456082623600932</v>
      </c>
      <c r="N58">
        <f>100*(H58-$T$3)/AVERAGE($T$3,H58)</f>
        <v>-9.0196477210335058</v>
      </c>
    </row>
  </sheetData>
  <phoneticPr fontId="3" type="noConversion"/>
  <conditionalFormatting sqref="G2:H20 F21:G21 G22:G662 H38:H58">
    <cfRule type="cellIs" dxfId="3" priority="2" operator="greaterThan">
      <formula>$T$5</formula>
    </cfRule>
  </conditionalFormatting>
  <conditionalFormatting sqref="I2:I692">
    <cfRule type="cellIs" dxfId="2" priority="1" operator="greaterThan">
      <formula>$T$6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478E-F632-4820-A73F-0FEAC1BB7C74}">
  <dimension ref="A1:U58"/>
  <sheetViews>
    <sheetView tabSelected="1" topLeftCell="A6" workbookViewId="0">
      <selection activeCell="H16" sqref="H16"/>
    </sheetView>
  </sheetViews>
  <sheetFormatPr defaultColWidth="8.81640625" defaultRowHeight="14.5" x14ac:dyDescent="0.35"/>
  <cols>
    <col min="1" max="1" width="35.36328125" style="21" customWidth="1"/>
    <col min="5" max="5" width="9.453125" bestFit="1" customWidth="1"/>
    <col min="6" max="6" width="10.453125" customWidth="1"/>
    <col min="8" max="8" width="10" customWidth="1"/>
    <col min="13" max="13" width="16" customWidth="1"/>
  </cols>
  <sheetData>
    <row r="1" spans="1:21" s="19" customFormat="1" ht="27" customHeight="1" x14ac:dyDescent="0.35">
      <c r="A1" s="28" t="s">
        <v>249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4</v>
      </c>
      <c r="G1" s="28" t="s">
        <v>3</v>
      </c>
      <c r="H1" s="28" t="s">
        <v>48</v>
      </c>
      <c r="I1" s="28" t="s">
        <v>5</v>
      </c>
      <c r="J1" s="28" t="s">
        <v>24</v>
      </c>
      <c r="K1" s="28" t="s">
        <v>8</v>
      </c>
      <c r="L1" s="28" t="s">
        <v>7</v>
      </c>
      <c r="M1" s="28" t="s">
        <v>27</v>
      </c>
      <c r="N1" s="28" t="s">
        <v>28</v>
      </c>
      <c r="O1" s="28" t="s">
        <v>250</v>
      </c>
      <c r="P1" s="28" t="s">
        <v>251</v>
      </c>
      <c r="Q1" s="28" t="s">
        <v>252</v>
      </c>
      <c r="R1" s="28" t="s">
        <v>255</v>
      </c>
      <c r="S1" s="28" t="s">
        <v>256</v>
      </c>
      <c r="T1" s="27" t="s">
        <v>253</v>
      </c>
      <c r="U1" s="27" t="s">
        <v>254</v>
      </c>
    </row>
    <row r="2" spans="1:21" x14ac:dyDescent="0.35">
      <c r="A2" s="21" t="s">
        <v>64</v>
      </c>
      <c r="B2" t="s">
        <v>65</v>
      </c>
      <c r="C2" t="s">
        <v>66</v>
      </c>
      <c r="D2">
        <v>1</v>
      </c>
      <c r="E2" s="23">
        <v>44796</v>
      </c>
      <c r="F2">
        <v>35.531599999999997</v>
      </c>
      <c r="G2">
        <v>8.3780000000000001</v>
      </c>
      <c r="H2">
        <v>314.161</v>
      </c>
      <c r="I2">
        <v>34.981000000000002</v>
      </c>
      <c r="J2" s="23">
        <v>44846</v>
      </c>
      <c r="K2" t="s">
        <v>68</v>
      </c>
      <c r="L2" t="s">
        <v>10</v>
      </c>
      <c r="M2" t="s">
        <v>10</v>
      </c>
      <c r="N2">
        <v>0</v>
      </c>
      <c r="O2" t="str">
        <f>IF(H2&gt;'std curve'!$Q$16, "high", "low")</f>
        <v>low</v>
      </c>
      <c r="P2">
        <f>((F2+0.7207)/0.2313)*'dilution factor'!$L$6</f>
        <v>177.73657059832539</v>
      </c>
      <c r="Q2">
        <f>IF(O2="low",((H2-19.25)/0.2472)*'dilution factor'!$L$7,((H2-621.91)/0.1864)*'dilution factor'!$L$7)</f>
        <v>1432.092480737937</v>
      </c>
      <c r="R2" t="s">
        <v>10</v>
      </c>
      <c r="S2" t="s">
        <v>10</v>
      </c>
      <c r="T2">
        <f>IF(R2="NA", P2, (P2*S2)/R2)</f>
        <v>177.73657059832539</v>
      </c>
      <c r="U2">
        <f>IF(R2="NA", Q2, (Q2*S2)/R2)</f>
        <v>1432.092480737937</v>
      </c>
    </row>
    <row r="3" spans="1:21" x14ac:dyDescent="0.35">
      <c r="A3" s="21" t="s">
        <v>67</v>
      </c>
      <c r="B3" t="s">
        <v>65</v>
      </c>
      <c r="C3" t="s">
        <v>66</v>
      </c>
      <c r="D3">
        <v>2</v>
      </c>
      <c r="E3" s="23">
        <v>44796</v>
      </c>
      <c r="F3">
        <v>20.771999999999998</v>
      </c>
      <c r="G3">
        <v>5.0609999999999999</v>
      </c>
      <c r="H3">
        <v>223.19900000000001</v>
      </c>
      <c r="I3">
        <v>25.545000000000002</v>
      </c>
      <c r="J3" s="23">
        <v>44846</v>
      </c>
      <c r="K3" t="s">
        <v>69</v>
      </c>
      <c r="L3" t="s">
        <v>10</v>
      </c>
      <c r="M3" t="s">
        <v>10</v>
      </c>
      <c r="N3">
        <v>0</v>
      </c>
      <c r="O3" t="str">
        <f>IF(H3&gt;'std curve'!$Q$16, "high", "low")</f>
        <v>low</v>
      </c>
      <c r="P3">
        <f>((F3+0.7207)/0.2313)*'dilution factor'!$L$6</f>
        <v>105.37369465933548</v>
      </c>
      <c r="Q3">
        <f>IF(O3="low",((H3-19.25)/0.2472)*'dilution factor'!$L$7,((H3-621.91)/0.1864)*'dilution factor'!$L$7)</f>
        <v>990.37956995168543</v>
      </c>
      <c r="R3" t="s">
        <v>10</v>
      </c>
      <c r="S3" t="s">
        <v>10</v>
      </c>
      <c r="T3">
        <f t="shared" ref="T3:T58" si="0">IF(R3="NA", P3, (P3*S3)/R3)</f>
        <v>105.37369465933548</v>
      </c>
      <c r="U3">
        <f t="shared" ref="U3:U58" si="1">IF(R3="NA", Q3, (Q3*S3)/R3)</f>
        <v>990.37956995168543</v>
      </c>
    </row>
    <row r="4" spans="1:21" x14ac:dyDescent="0.35">
      <c r="A4" s="21" t="s">
        <v>70</v>
      </c>
      <c r="B4" t="s">
        <v>10</v>
      </c>
      <c r="C4" t="s">
        <v>10</v>
      </c>
      <c r="D4">
        <v>1</v>
      </c>
      <c r="E4" t="s">
        <v>10</v>
      </c>
      <c r="F4">
        <v>1.7838000000000001</v>
      </c>
      <c r="G4">
        <v>0.38700000000000001</v>
      </c>
      <c r="H4">
        <v>7.9135999999999997</v>
      </c>
      <c r="I4">
        <v>1.0089999999999999</v>
      </c>
      <c r="J4" s="23">
        <v>44846</v>
      </c>
      <c r="K4" t="s">
        <v>74</v>
      </c>
      <c r="L4" t="s">
        <v>10</v>
      </c>
      <c r="M4" t="s">
        <v>71</v>
      </c>
      <c r="N4">
        <v>1</v>
      </c>
      <c r="O4" t="str">
        <f>IF(H4&gt;'std curve'!$Q$16, "high", "low")</f>
        <v>low</v>
      </c>
      <c r="P4">
        <f>((F4+0.7207)/0.2313)*'dilution factor'!$L$6</f>
        <v>12.278979294100125</v>
      </c>
      <c r="Q4">
        <f>IF(O4="low",((H4-19.25)/0.2472)*'dilution factor'!$L$7,((H4-621.91)/0.1864)*'dilution factor'!$L$7)</f>
        <v>-55.049737712860988</v>
      </c>
      <c r="R4">
        <v>1</v>
      </c>
      <c r="S4">
        <v>60</v>
      </c>
      <c r="T4">
        <f t="shared" si="0"/>
        <v>736.73875764600757</v>
      </c>
      <c r="U4">
        <f t="shared" si="1"/>
        <v>-3302.9842627716594</v>
      </c>
    </row>
    <row r="5" spans="1:21" x14ac:dyDescent="0.35">
      <c r="A5" s="21" t="s">
        <v>70</v>
      </c>
      <c r="B5" t="s">
        <v>10</v>
      </c>
      <c r="C5" t="s">
        <v>10</v>
      </c>
      <c r="D5">
        <v>2</v>
      </c>
      <c r="E5" t="s">
        <v>10</v>
      </c>
      <c r="F5">
        <v>7.7161999999999997</v>
      </c>
      <c r="G5">
        <v>1.831</v>
      </c>
      <c r="H5">
        <v>27.223800000000001</v>
      </c>
      <c r="I5">
        <v>3.6949999999999998</v>
      </c>
      <c r="J5" s="23">
        <v>44846</v>
      </c>
      <c r="K5" t="s">
        <v>77</v>
      </c>
      <c r="L5" t="s">
        <v>10</v>
      </c>
      <c r="M5" t="s">
        <v>10</v>
      </c>
      <c r="N5">
        <v>0</v>
      </c>
      <c r="O5" t="str">
        <f>IF(H5&gt;'std curve'!$Q$16, "high", "low")</f>
        <v>low</v>
      </c>
      <c r="P5">
        <f>((F5+0.7207)/0.2313)*'dilution factor'!$L$6</f>
        <v>41.364152687719432</v>
      </c>
      <c r="Q5">
        <f>IF(O5="low",((H5-19.25)/0.2472)*'dilution factor'!$L$7,((H5-621.91)/0.1864)*'dilution factor'!$L$7)</f>
        <v>38.720898925127109</v>
      </c>
      <c r="R5" t="s">
        <v>10</v>
      </c>
      <c r="S5" t="s">
        <v>10</v>
      </c>
      <c r="T5">
        <f t="shared" si="0"/>
        <v>41.364152687719432</v>
      </c>
      <c r="U5">
        <f t="shared" si="1"/>
        <v>38.720898925127109</v>
      </c>
    </row>
    <row r="6" spans="1:21" x14ac:dyDescent="0.35">
      <c r="A6" s="21" t="s">
        <v>78</v>
      </c>
      <c r="B6" t="s">
        <v>65</v>
      </c>
      <c r="C6" t="s">
        <v>66</v>
      </c>
      <c r="D6">
        <v>3</v>
      </c>
      <c r="E6" s="23">
        <v>44796</v>
      </c>
      <c r="F6">
        <v>19.814800000000002</v>
      </c>
      <c r="G6">
        <v>4.8499999999999996</v>
      </c>
      <c r="H6">
        <v>239.80279999999999</v>
      </c>
      <c r="I6">
        <v>27.067</v>
      </c>
      <c r="J6" s="23">
        <v>44846</v>
      </c>
      <c r="K6" t="s">
        <v>79</v>
      </c>
      <c r="L6" t="s">
        <v>10</v>
      </c>
      <c r="M6" t="s">
        <v>10</v>
      </c>
      <c r="N6">
        <v>0</v>
      </c>
      <c r="O6" t="str">
        <f>IF(H6&gt;'std curve'!$Q$16, "high", "low")</f>
        <v>low</v>
      </c>
      <c r="P6">
        <f>((F6+0.7207)/0.2313)*'dilution factor'!$L$6</f>
        <v>100.6807663381885</v>
      </c>
      <c r="Q6">
        <f>IF(O6="low",((H6-19.25)/0.2472)*'dilution factor'!$L$7,((H6-621.91)/0.1864)*'dilution factor'!$L$7)</f>
        <v>1071.0078853813454</v>
      </c>
      <c r="R6" t="s">
        <v>10</v>
      </c>
      <c r="S6" t="s">
        <v>10</v>
      </c>
      <c r="T6">
        <f t="shared" si="0"/>
        <v>100.6807663381885</v>
      </c>
      <c r="U6">
        <f t="shared" si="1"/>
        <v>1071.0078853813454</v>
      </c>
    </row>
    <row r="7" spans="1:21" x14ac:dyDescent="0.35">
      <c r="A7" s="21" t="s">
        <v>80</v>
      </c>
      <c r="B7" t="s">
        <v>81</v>
      </c>
      <c r="C7" t="s">
        <v>82</v>
      </c>
      <c r="D7">
        <v>1</v>
      </c>
      <c r="E7" s="23">
        <v>44789</v>
      </c>
      <c r="F7">
        <v>60.446399999999997</v>
      </c>
      <c r="G7">
        <v>13.737</v>
      </c>
      <c r="H7">
        <v>650.37300000000005</v>
      </c>
      <c r="I7">
        <v>66.718999999999994</v>
      </c>
      <c r="J7" s="23">
        <v>44846</v>
      </c>
      <c r="K7" t="s">
        <v>83</v>
      </c>
      <c r="L7" t="s">
        <v>10</v>
      </c>
      <c r="M7" t="s">
        <v>10</v>
      </c>
      <c r="N7">
        <v>0</v>
      </c>
      <c r="O7" t="str">
        <f>IF(H7&gt;'std curve'!$Q$16, "high", "low")</f>
        <v>low</v>
      </c>
      <c r="P7">
        <f>((F7+0.7207)/0.2313)*'dilution factor'!$L$6</f>
        <v>299.88802331010248</v>
      </c>
      <c r="Q7">
        <f>IF(O7="low",((H7-19.25)/0.2472)*'dilution factor'!$L$7,((H7-621.91)/0.1864)*'dilution factor'!$L$7)</f>
        <v>3064.7432707520875</v>
      </c>
      <c r="R7" t="s">
        <v>10</v>
      </c>
      <c r="S7" t="s">
        <v>10</v>
      </c>
      <c r="T7">
        <f t="shared" si="0"/>
        <v>299.88802331010248</v>
      </c>
      <c r="U7">
        <f t="shared" si="1"/>
        <v>3064.7432707520875</v>
      </c>
    </row>
    <row r="8" spans="1:21" x14ac:dyDescent="0.35">
      <c r="A8" s="21" t="s">
        <v>84</v>
      </c>
      <c r="B8" t="s">
        <v>81</v>
      </c>
      <c r="C8" t="s">
        <v>82</v>
      </c>
      <c r="D8">
        <v>2</v>
      </c>
      <c r="E8" s="23">
        <v>44789</v>
      </c>
      <c r="F8">
        <v>110.5558</v>
      </c>
      <c r="G8">
        <v>24.116</v>
      </c>
      <c r="H8">
        <v>964.20360000000005</v>
      </c>
      <c r="I8">
        <v>94.456000000000003</v>
      </c>
      <c r="J8" s="23">
        <v>44846</v>
      </c>
      <c r="K8" t="s">
        <v>85</v>
      </c>
      <c r="L8" t="s">
        <v>10</v>
      </c>
      <c r="M8" t="s">
        <v>10</v>
      </c>
      <c r="N8">
        <v>0</v>
      </c>
      <c r="O8" t="str">
        <f>IF(H8&gt;'std curve'!$Q$16, "high", "low")</f>
        <v>low</v>
      </c>
      <c r="P8">
        <f>((F8+0.7207)/0.2313)*'dilution factor'!$L$6</f>
        <v>545.56272286681269</v>
      </c>
      <c r="Q8">
        <f>IF(O8="low",((H8-19.25)/0.2472)*'dilution factor'!$L$7,((H8-621.91)/0.1864)*'dilution factor'!$L$7)</f>
        <v>4588.7096283497194</v>
      </c>
      <c r="R8" t="s">
        <v>10</v>
      </c>
      <c r="S8" t="s">
        <v>10</v>
      </c>
      <c r="T8">
        <f t="shared" si="0"/>
        <v>545.56272286681269</v>
      </c>
      <c r="U8">
        <f t="shared" si="1"/>
        <v>4588.7096283497194</v>
      </c>
    </row>
    <row r="9" spans="1:21" x14ac:dyDescent="0.35">
      <c r="A9" s="21" t="s">
        <v>86</v>
      </c>
      <c r="B9" t="s">
        <v>81</v>
      </c>
      <c r="C9" t="s">
        <v>82</v>
      </c>
      <c r="D9">
        <v>3</v>
      </c>
      <c r="E9" s="23">
        <v>44789</v>
      </c>
      <c r="F9">
        <v>96.322800000000001</v>
      </c>
      <c r="G9">
        <v>21.195</v>
      </c>
      <c r="H9">
        <v>839.28740000000005</v>
      </c>
      <c r="I9">
        <v>83.322000000000003</v>
      </c>
      <c r="J9" s="23">
        <v>44846</v>
      </c>
      <c r="K9" t="s">
        <v>87</v>
      </c>
      <c r="L9" t="s">
        <v>10</v>
      </c>
      <c r="M9" t="s">
        <v>10</v>
      </c>
      <c r="N9">
        <v>0</v>
      </c>
      <c r="O9" t="str">
        <f>IF(H9&gt;'std curve'!$Q$16, "high", "low")</f>
        <v>low</v>
      </c>
      <c r="P9">
        <f>((F9+0.7207)/0.2313)*'dilution factor'!$L$6</f>
        <v>475.78164389179688</v>
      </c>
      <c r="Q9">
        <f>IF(O9="low",((H9-19.25)/0.2472)*'dilution factor'!$L$7,((H9-621.91)/0.1864)*'dilution factor'!$L$7)</f>
        <v>3982.1145852948443</v>
      </c>
      <c r="R9" t="s">
        <v>10</v>
      </c>
      <c r="S9" t="s">
        <v>10</v>
      </c>
      <c r="T9">
        <f t="shared" si="0"/>
        <v>475.78164389179688</v>
      </c>
      <c r="U9">
        <f t="shared" si="1"/>
        <v>3982.1145852948443</v>
      </c>
    </row>
    <row r="10" spans="1:21" x14ac:dyDescent="0.35">
      <c r="A10" s="21" t="s">
        <v>88</v>
      </c>
      <c r="B10" t="s">
        <v>81</v>
      </c>
      <c r="C10" t="s">
        <v>82</v>
      </c>
      <c r="D10">
        <v>1</v>
      </c>
      <c r="E10" s="23">
        <v>44804</v>
      </c>
      <c r="F10">
        <v>105.968</v>
      </c>
      <c r="G10">
        <v>23.184999999999999</v>
      </c>
      <c r="H10">
        <v>914.74540000000002</v>
      </c>
      <c r="I10">
        <v>89.661000000000001</v>
      </c>
      <c r="J10" s="23">
        <v>44846</v>
      </c>
      <c r="K10" t="s">
        <v>89</v>
      </c>
      <c r="L10" t="s">
        <v>10</v>
      </c>
      <c r="M10" t="s">
        <v>10</v>
      </c>
      <c r="N10">
        <v>0</v>
      </c>
      <c r="O10" t="str">
        <f>IF(H10&gt;'std curve'!$Q$16, "high", "low")</f>
        <v>low</v>
      </c>
      <c r="P10">
        <f>((F10+0.7207)/0.2313)*'dilution factor'!$L$6</f>
        <v>523.06980962845273</v>
      </c>
      <c r="Q10">
        <f>IF(O10="low",((H10-19.25)/0.2472)*'dilution factor'!$L$7,((H10-621.91)/0.1864)*'dilution factor'!$L$7)</f>
        <v>4348.5398268474592</v>
      </c>
      <c r="R10" t="s">
        <v>10</v>
      </c>
      <c r="S10" t="s">
        <v>10</v>
      </c>
      <c r="T10">
        <f t="shared" si="0"/>
        <v>523.06980962845273</v>
      </c>
      <c r="U10">
        <f t="shared" si="1"/>
        <v>4348.5398268474592</v>
      </c>
    </row>
    <row r="11" spans="1:21" x14ac:dyDescent="0.35">
      <c r="A11" s="29" t="s">
        <v>75</v>
      </c>
      <c r="B11" s="30" t="s">
        <v>10</v>
      </c>
      <c r="C11" s="30" t="s">
        <v>10</v>
      </c>
      <c r="D11" s="30" t="s">
        <v>10</v>
      </c>
      <c r="E11" s="30" t="s">
        <v>10</v>
      </c>
      <c r="F11" s="30">
        <v>46.757599999999996</v>
      </c>
      <c r="G11" s="30">
        <v>10.973000000000001</v>
      </c>
      <c r="H11" s="30">
        <v>2350.5911999999998</v>
      </c>
      <c r="I11" s="30">
        <v>200.518</v>
      </c>
      <c r="J11" s="31">
        <v>44846</v>
      </c>
      <c r="K11" s="30" t="s">
        <v>92</v>
      </c>
      <c r="L11" s="30" t="s">
        <v>10</v>
      </c>
      <c r="M11" s="30" t="s">
        <v>10</v>
      </c>
      <c r="N11" s="30">
        <v>0</v>
      </c>
      <c r="O11" s="30" t="str">
        <f>IF(H11&gt;'std curve'!$Q$16, "high", "low")</f>
        <v>low</v>
      </c>
      <c r="P11" s="30">
        <f>((F11+0.7207)/0.2313)</f>
        <v>205.26718547341113</v>
      </c>
      <c r="Q11" s="30">
        <f>IF(O11="low",((H11-19.25)/0.2472),((H11-621.91)/0.1864))</f>
        <v>9430.9919093851131</v>
      </c>
      <c r="R11" t="s">
        <v>10</v>
      </c>
      <c r="S11" t="s">
        <v>10</v>
      </c>
      <c r="T11">
        <f t="shared" si="0"/>
        <v>205.26718547341113</v>
      </c>
      <c r="U11">
        <f t="shared" si="1"/>
        <v>9430.9919093851131</v>
      </c>
    </row>
    <row r="12" spans="1:21" x14ac:dyDescent="0.35">
      <c r="A12" s="29" t="s">
        <v>75</v>
      </c>
      <c r="B12" s="30" t="s">
        <v>10</v>
      </c>
      <c r="C12" s="30" t="s">
        <v>10</v>
      </c>
      <c r="D12" s="30" t="s">
        <v>10</v>
      </c>
      <c r="E12" s="31" t="s">
        <v>10</v>
      </c>
      <c r="F12" s="30">
        <v>47.2896</v>
      </c>
      <c r="G12" s="30">
        <v>11.103</v>
      </c>
      <c r="H12" s="30">
        <v>2403.9162999999999</v>
      </c>
      <c r="I12" s="30">
        <v>204.45599999999999</v>
      </c>
      <c r="J12" s="31">
        <v>44846</v>
      </c>
      <c r="K12" s="30" t="s">
        <v>94</v>
      </c>
      <c r="L12" s="30" t="s">
        <v>10</v>
      </c>
      <c r="M12" s="30" t="s">
        <v>10</v>
      </c>
      <c r="N12" s="30">
        <v>0</v>
      </c>
      <c r="O12" s="30" t="str">
        <f>IF(H12&gt;'std curve'!$Q$16, "high", "low")</f>
        <v>low</v>
      </c>
      <c r="P12" s="30">
        <f>((F12+0.7207)/0.2313)</f>
        <v>207.56722870730653</v>
      </c>
      <c r="Q12" s="30">
        <f>IF(O12="low",((H12-19.25)/0.2472),((H12-621.91)/0.1864))</f>
        <v>9646.7083333333321</v>
      </c>
      <c r="R12" t="s">
        <v>10</v>
      </c>
      <c r="S12" t="s">
        <v>10</v>
      </c>
      <c r="T12">
        <f t="shared" si="0"/>
        <v>207.56722870730653</v>
      </c>
      <c r="U12">
        <f t="shared" si="1"/>
        <v>9646.7083333333321</v>
      </c>
    </row>
    <row r="13" spans="1:21" x14ac:dyDescent="0.35">
      <c r="A13" s="21" t="s">
        <v>93</v>
      </c>
      <c r="B13" t="s">
        <v>81</v>
      </c>
      <c r="C13" t="s">
        <v>82</v>
      </c>
      <c r="D13">
        <v>2</v>
      </c>
      <c r="E13" s="23">
        <v>44804</v>
      </c>
      <c r="F13">
        <v>191.27500000000001</v>
      </c>
      <c r="G13">
        <v>40.872</v>
      </c>
      <c r="H13">
        <v>1524.7582</v>
      </c>
      <c r="I13">
        <v>139.202</v>
      </c>
      <c r="J13" s="23">
        <v>44846</v>
      </c>
      <c r="K13" t="s">
        <v>95</v>
      </c>
      <c r="L13" t="s">
        <v>10</v>
      </c>
      <c r="M13" t="s">
        <v>10</v>
      </c>
      <c r="N13">
        <v>0</v>
      </c>
      <c r="O13" t="str">
        <f>IF(H13&gt;'std curve'!$Q$16, "high", "low")</f>
        <v>low</v>
      </c>
      <c r="P13">
        <f>((F13+0.7207)/0.2313)*'dilution factor'!$L$6</f>
        <v>941.31013170543383</v>
      </c>
      <c r="Q13">
        <f>IF(O13="low",((H13-19.25)/0.2472)*'dilution factor'!$L$7,((H13-621.91)/0.1864)*'dilution factor'!$L$7)</f>
        <v>7310.7716324901612</v>
      </c>
      <c r="R13" t="s">
        <v>10</v>
      </c>
      <c r="S13" t="s">
        <v>10</v>
      </c>
      <c r="T13">
        <f t="shared" si="0"/>
        <v>941.31013170543383</v>
      </c>
      <c r="U13">
        <f t="shared" si="1"/>
        <v>7310.7716324901612</v>
      </c>
    </row>
    <row r="14" spans="1:21" x14ac:dyDescent="0.35">
      <c r="A14" s="21" t="s">
        <v>96</v>
      </c>
      <c r="B14" t="s">
        <v>81</v>
      </c>
      <c r="C14" t="s">
        <v>82</v>
      </c>
      <c r="D14">
        <v>3</v>
      </c>
      <c r="E14" s="23">
        <v>44804</v>
      </c>
      <c r="F14">
        <v>158.65280000000001</v>
      </c>
      <c r="G14">
        <v>34.093000000000004</v>
      </c>
      <c r="H14">
        <v>1465.0255999999999</v>
      </c>
      <c r="I14">
        <v>134.16800000000001</v>
      </c>
      <c r="J14" s="23">
        <v>44846</v>
      </c>
      <c r="K14" t="s">
        <v>99</v>
      </c>
      <c r="L14" t="s">
        <v>10</v>
      </c>
      <c r="M14" t="s">
        <v>10</v>
      </c>
      <c r="N14">
        <v>0</v>
      </c>
      <c r="O14" t="str">
        <f>IF(H14&gt;'std curve'!$Q$16, "high", "low")</f>
        <v>low</v>
      </c>
      <c r="P14">
        <f>((F14+0.7207)/0.2313)*'dilution factor'!$L$6</f>
        <v>781.37109464095272</v>
      </c>
      <c r="Q14">
        <f>IF(O14="low",((H14-19.25)/0.2472)*'dilution factor'!$L$7,((H14-621.91)/0.1864)*'dilution factor'!$L$7)</f>
        <v>7020.7091820731639</v>
      </c>
      <c r="R14" t="s">
        <v>10</v>
      </c>
      <c r="S14" t="s">
        <v>10</v>
      </c>
      <c r="T14">
        <f t="shared" si="0"/>
        <v>781.37109464095272</v>
      </c>
      <c r="U14">
        <f t="shared" si="1"/>
        <v>7020.7091820731639</v>
      </c>
    </row>
    <row r="15" spans="1:21" x14ac:dyDescent="0.35">
      <c r="A15" s="21" t="s">
        <v>97</v>
      </c>
      <c r="B15" t="s">
        <v>81</v>
      </c>
      <c r="C15" t="s">
        <v>98</v>
      </c>
      <c r="D15">
        <v>3</v>
      </c>
      <c r="E15" s="23">
        <v>44804</v>
      </c>
      <c r="F15">
        <v>23.494700000000002</v>
      </c>
      <c r="G15">
        <v>5.742</v>
      </c>
      <c r="H15">
        <v>314.76839999999999</v>
      </c>
      <c r="I15">
        <v>34.131999999999998</v>
      </c>
      <c r="J15" s="23">
        <v>44846</v>
      </c>
      <c r="K15" t="s">
        <v>100</v>
      </c>
      <c r="L15" t="s">
        <v>10</v>
      </c>
      <c r="M15" t="s">
        <v>10</v>
      </c>
      <c r="N15">
        <v>0</v>
      </c>
      <c r="O15" t="str">
        <f>IF(H15&gt;'std curve'!$Q$16, "high", "low")</f>
        <v>low</v>
      </c>
      <c r="P15">
        <f>((F15+0.7207)/0.2313)*'dilution factor'!$L$6</f>
        <v>118.72245765556086</v>
      </c>
      <c r="Q15">
        <f>IF(O15="low",((H15-19.25)/0.2472)*'dilution factor'!$L$7,((H15-621.91)/0.1864)*'dilution factor'!$L$7)</f>
        <v>1435.0420247454515</v>
      </c>
      <c r="R15" t="s">
        <v>10</v>
      </c>
      <c r="S15" t="s">
        <v>10</v>
      </c>
      <c r="T15">
        <f t="shared" si="0"/>
        <v>118.72245765556086</v>
      </c>
      <c r="U15">
        <f t="shared" si="1"/>
        <v>1435.0420247454515</v>
      </c>
    </row>
    <row r="16" spans="1:21" x14ac:dyDescent="0.35">
      <c r="A16" s="21" t="s">
        <v>101</v>
      </c>
      <c r="B16" t="s">
        <v>10</v>
      </c>
      <c r="C16" t="s">
        <v>10</v>
      </c>
      <c r="D16" t="s">
        <v>10</v>
      </c>
      <c r="E16" t="s">
        <v>10</v>
      </c>
      <c r="F16">
        <v>1989.5816</v>
      </c>
      <c r="G16">
        <v>384.81400000000002</v>
      </c>
      <c r="H16">
        <v>3549.7964000000002</v>
      </c>
      <c r="I16">
        <v>274.69299999999998</v>
      </c>
      <c r="J16" s="23">
        <v>44846</v>
      </c>
      <c r="K16" t="s">
        <v>104</v>
      </c>
      <c r="L16" t="s">
        <v>10</v>
      </c>
      <c r="M16" t="s">
        <v>10</v>
      </c>
      <c r="N16">
        <v>0</v>
      </c>
      <c r="O16" t="str">
        <f>IF(H16&gt;'std curve'!$Q$16, "high", "low")</f>
        <v>high</v>
      </c>
      <c r="P16">
        <f>((F16+0.7207)/0.2313)*'dilution factor'!$L$6</f>
        <v>9757.9879140346784</v>
      </c>
      <c r="Q16">
        <f>IF(O16="low",((H16-19.25)/0.2472)*'dilution factor'!$L$7,((H16-621.91)/0.1864)*'dilution factor'!$L$7)</f>
        <v>18855.44877705396</v>
      </c>
      <c r="R16" t="s">
        <v>10</v>
      </c>
      <c r="S16" t="s">
        <v>10</v>
      </c>
      <c r="T16">
        <f t="shared" si="0"/>
        <v>9757.9879140346784</v>
      </c>
      <c r="U16">
        <f t="shared" si="1"/>
        <v>18855.44877705396</v>
      </c>
    </row>
    <row r="17" spans="1:21" x14ac:dyDescent="0.35">
      <c r="A17" s="21" t="s">
        <v>102</v>
      </c>
      <c r="B17" t="s">
        <v>10</v>
      </c>
      <c r="C17" t="s">
        <v>10</v>
      </c>
      <c r="D17" t="s">
        <v>10</v>
      </c>
      <c r="E17" t="s">
        <v>10</v>
      </c>
      <c r="F17">
        <v>2065.7646</v>
      </c>
      <c r="G17">
        <v>397.85199999999998</v>
      </c>
      <c r="H17">
        <v>3659.4971999999998</v>
      </c>
      <c r="I17">
        <v>230.178</v>
      </c>
      <c r="J17" s="23">
        <v>44846</v>
      </c>
      <c r="K17" t="s">
        <v>105</v>
      </c>
      <c r="L17" t="s">
        <v>10</v>
      </c>
      <c r="M17" t="s">
        <v>10</v>
      </c>
      <c r="N17">
        <v>0</v>
      </c>
      <c r="O17" t="str">
        <f>IF(H17&gt;'std curve'!$Q$16, "high", "low")</f>
        <v>high</v>
      </c>
      <c r="P17">
        <f>((F17+0.7207)/0.2313)*'dilution factor'!$L$6</f>
        <v>10131.495392398594</v>
      </c>
      <c r="Q17">
        <f>IF(O17="low",((H17-19.25)/0.2472)*'dilution factor'!$L$7,((H17-621.91)/0.1864)*'dilution factor'!$L$7)</f>
        <v>19561.916697121429</v>
      </c>
      <c r="R17" t="s">
        <v>10</v>
      </c>
      <c r="S17" t="s">
        <v>10</v>
      </c>
      <c r="T17">
        <f t="shared" si="0"/>
        <v>10131.495392398594</v>
      </c>
      <c r="U17">
        <f t="shared" si="1"/>
        <v>19561.916697121429</v>
      </c>
    </row>
    <row r="18" spans="1:21" x14ac:dyDescent="0.35">
      <c r="A18" s="21" t="s">
        <v>103</v>
      </c>
      <c r="B18" t="s">
        <v>10</v>
      </c>
      <c r="C18" t="s">
        <v>10</v>
      </c>
      <c r="D18" t="s">
        <v>10</v>
      </c>
      <c r="E18" t="s">
        <v>10</v>
      </c>
      <c r="F18">
        <v>2061.4881999999998</v>
      </c>
      <c r="G18">
        <v>396.334</v>
      </c>
      <c r="H18">
        <v>3663.0239999999999</v>
      </c>
      <c r="I18">
        <v>279.89</v>
      </c>
      <c r="J18" s="23">
        <v>44846</v>
      </c>
      <c r="K18" t="s">
        <v>106</v>
      </c>
      <c r="L18" t="s">
        <v>10</v>
      </c>
      <c r="M18" t="s">
        <v>10</v>
      </c>
      <c r="N18">
        <v>0</v>
      </c>
      <c r="O18" t="str">
        <f>IF(H18&gt;'std curve'!$Q$16, "high", "low")</f>
        <v>high</v>
      </c>
      <c r="P18">
        <f>((F18+0.7207)/0.2313)*'dilution factor'!$L$6</f>
        <v>10110.529200722294</v>
      </c>
      <c r="Q18">
        <f>IF(O18="low",((H18-19.25)/0.2472)*'dilution factor'!$L$7,((H18-621.91)/0.1864)*'dilution factor'!$L$7)</f>
        <v>19584.629120918649</v>
      </c>
      <c r="R18" t="s">
        <v>10</v>
      </c>
      <c r="S18" t="s">
        <v>10</v>
      </c>
      <c r="T18">
        <f t="shared" si="0"/>
        <v>10110.529200722294</v>
      </c>
      <c r="U18">
        <f t="shared" si="1"/>
        <v>19584.629120918649</v>
      </c>
    </row>
    <row r="19" spans="1:21" x14ac:dyDescent="0.35">
      <c r="A19" s="21" t="s">
        <v>107</v>
      </c>
      <c r="B19" t="s">
        <v>108</v>
      </c>
      <c r="C19" t="s">
        <v>109</v>
      </c>
      <c r="D19">
        <v>1</v>
      </c>
      <c r="E19" s="23">
        <v>44817</v>
      </c>
      <c r="F19">
        <v>852.00049999999999</v>
      </c>
      <c r="G19">
        <v>173.267</v>
      </c>
      <c r="H19">
        <v>1885.1787999999999</v>
      </c>
      <c r="I19">
        <v>164.25200000000001</v>
      </c>
      <c r="J19" s="23">
        <v>44846</v>
      </c>
      <c r="K19" t="s">
        <v>110</v>
      </c>
      <c r="L19" t="s">
        <v>10</v>
      </c>
      <c r="M19" t="s">
        <v>10</v>
      </c>
      <c r="N19">
        <v>0</v>
      </c>
      <c r="O19" t="str">
        <f>IF(H19&gt;'std curve'!$Q$16, "high", "low")</f>
        <v>low</v>
      </c>
      <c r="P19">
        <f>((F19+0.7207)/0.2313)*'dilution factor'!$L$6</f>
        <v>4180.6931357317671</v>
      </c>
      <c r="Q19">
        <f>IF(O19="low",((H19-19.25)/0.2472)*'dilution factor'!$L$7,((H19-621.91)/0.1864)*'dilution factor'!$L$7)</f>
        <v>9060.9797670224616</v>
      </c>
      <c r="R19" t="s">
        <v>10</v>
      </c>
      <c r="S19" t="s">
        <v>10</v>
      </c>
      <c r="T19">
        <f t="shared" si="0"/>
        <v>4180.6931357317671</v>
      </c>
      <c r="U19">
        <f t="shared" si="1"/>
        <v>9060.9797670224616</v>
      </c>
    </row>
    <row r="20" spans="1:21" x14ac:dyDescent="0.35">
      <c r="A20" s="21" t="s">
        <v>111</v>
      </c>
      <c r="B20" t="s">
        <v>108</v>
      </c>
      <c r="C20" t="s">
        <v>109</v>
      </c>
      <c r="D20">
        <v>2</v>
      </c>
      <c r="E20" s="23">
        <v>44817</v>
      </c>
      <c r="F20">
        <v>906.59270000000004</v>
      </c>
      <c r="G20">
        <v>183.893</v>
      </c>
      <c r="H20">
        <v>1833.2309</v>
      </c>
      <c r="I20">
        <v>160.37299999999999</v>
      </c>
      <c r="J20" s="23">
        <v>44846</v>
      </c>
      <c r="K20" t="s">
        <v>112</v>
      </c>
      <c r="L20" t="s">
        <v>10</v>
      </c>
      <c r="M20" t="s">
        <v>10</v>
      </c>
      <c r="N20">
        <v>0</v>
      </c>
      <c r="O20" t="str">
        <f>IF(H20&gt;'std curve'!$Q$16, "high", "low")</f>
        <v>low</v>
      </c>
      <c r="P20">
        <f>((F20+0.7207)/0.2313)*'dilution factor'!$L$6</f>
        <v>4448.3459580193985</v>
      </c>
      <c r="Q20">
        <f>IF(O20="low",((H20-19.25)/0.2472)*'dilution factor'!$L$7,((H20-621.91)/0.1864)*'dilution factor'!$L$7)</f>
        <v>8808.719942939515</v>
      </c>
      <c r="R20" t="s">
        <v>10</v>
      </c>
      <c r="S20" t="s">
        <v>10</v>
      </c>
      <c r="T20">
        <f t="shared" si="0"/>
        <v>4448.3459580193985</v>
      </c>
      <c r="U20">
        <f t="shared" si="1"/>
        <v>8808.719942939515</v>
      </c>
    </row>
    <row r="21" spans="1:21" x14ac:dyDescent="0.35">
      <c r="A21" s="21" t="s">
        <v>113</v>
      </c>
      <c r="B21" t="s">
        <v>108</v>
      </c>
      <c r="C21" t="s">
        <v>109</v>
      </c>
      <c r="D21">
        <v>3</v>
      </c>
      <c r="E21" s="23">
        <v>44817</v>
      </c>
      <c r="F21">
        <v>889.57360000000006</v>
      </c>
      <c r="G21">
        <v>180.53800000000001</v>
      </c>
      <c r="H21">
        <v>1859.4449999999999</v>
      </c>
      <c r="I21">
        <v>161.92500000000001</v>
      </c>
      <c r="J21" s="23">
        <v>44846</v>
      </c>
      <c r="K21" t="s">
        <v>114</v>
      </c>
      <c r="L21" t="s">
        <v>10</v>
      </c>
      <c r="M21" t="s">
        <v>10</v>
      </c>
      <c r="N21">
        <v>0</v>
      </c>
      <c r="O21" t="str">
        <f>IF(H21&gt;'std curve'!$Q$16, "high", "low")</f>
        <v>low</v>
      </c>
      <c r="P21">
        <f>((F21+0.7207)/0.2313)*'dilution factor'!$L$6</f>
        <v>4364.9052806369991</v>
      </c>
      <c r="Q21">
        <f>IF(O21="low",((H21-19.25)/0.2472)*'dilution factor'!$L$7,((H21-621.91)/0.1864)*'dilution factor'!$L$7)</f>
        <v>8936.0160271795485</v>
      </c>
      <c r="R21" t="s">
        <v>10</v>
      </c>
      <c r="S21" t="s">
        <v>10</v>
      </c>
      <c r="T21">
        <f t="shared" si="0"/>
        <v>4364.9052806369991</v>
      </c>
      <c r="U21">
        <f t="shared" si="1"/>
        <v>8936.0160271795485</v>
      </c>
    </row>
    <row r="22" spans="1:21" x14ac:dyDescent="0.35">
      <c r="A22" s="21" t="s">
        <v>115</v>
      </c>
      <c r="B22" t="s">
        <v>108</v>
      </c>
      <c r="C22" t="s">
        <v>66</v>
      </c>
      <c r="D22">
        <v>1</v>
      </c>
      <c r="E22" s="23">
        <v>44817</v>
      </c>
      <c r="F22">
        <v>1750.8737000000001</v>
      </c>
      <c r="G22">
        <v>339.63</v>
      </c>
      <c r="H22">
        <v>2651.9897000000001</v>
      </c>
      <c r="I22">
        <v>216.11600000000001</v>
      </c>
      <c r="J22" s="23">
        <v>44846</v>
      </c>
      <c r="K22" t="s">
        <v>116</v>
      </c>
      <c r="L22" t="s">
        <v>10</v>
      </c>
      <c r="M22" t="s">
        <v>10</v>
      </c>
      <c r="N22">
        <v>0</v>
      </c>
      <c r="O22" t="str">
        <f>IF(H22&gt;'std curve'!$Q$16, "high", "low")</f>
        <v>high</v>
      </c>
      <c r="P22">
        <f>((F22+0.7207)/0.2313)*'dilution factor'!$L$6</f>
        <v>8587.6587619332131</v>
      </c>
      <c r="Q22">
        <f>IF(O22="low",((H22-19.25)/0.2472)*'dilution factor'!$L$7,((H22-621.91)/0.1864)*'dilution factor'!$L$7)</f>
        <v>13073.616447921979</v>
      </c>
      <c r="R22" t="s">
        <v>10</v>
      </c>
      <c r="S22" t="s">
        <v>10</v>
      </c>
      <c r="T22">
        <f t="shared" si="0"/>
        <v>8587.6587619332131</v>
      </c>
      <c r="U22">
        <f t="shared" si="1"/>
        <v>13073.616447921979</v>
      </c>
    </row>
    <row r="23" spans="1:21" x14ac:dyDescent="0.35">
      <c r="A23" s="29" t="s">
        <v>75</v>
      </c>
      <c r="B23" s="30" t="s">
        <v>10</v>
      </c>
      <c r="C23" s="30" t="s">
        <v>10</v>
      </c>
      <c r="D23" s="30" t="s">
        <v>10</v>
      </c>
      <c r="E23" s="30" t="s">
        <v>10</v>
      </c>
      <c r="F23" s="30">
        <v>46.96</v>
      </c>
      <c r="G23" s="30">
        <v>11.074</v>
      </c>
      <c r="H23" s="30">
        <v>2355.6419999999998</v>
      </c>
      <c r="I23" s="30">
        <v>196.56399999999999</v>
      </c>
      <c r="J23" s="31">
        <v>44846</v>
      </c>
      <c r="K23" s="30" t="s">
        <v>117</v>
      </c>
      <c r="L23" s="30" t="s">
        <v>10</v>
      </c>
      <c r="M23" s="30" t="s">
        <v>10</v>
      </c>
      <c r="N23" s="30">
        <v>0</v>
      </c>
      <c r="O23" s="30" t="str">
        <f>IF(H23&gt;'std curve'!$Q$16, "high", "low")</f>
        <v>low</v>
      </c>
      <c r="P23" s="30">
        <f>((F23+0.7207)/0.2313)</f>
        <v>206.14223951578037</v>
      </c>
      <c r="Q23" s="30">
        <f>IF(O23="low",((H23-19.25)/0.2472),((H23-621.91)/0.1864))</f>
        <v>9451.4239482200646</v>
      </c>
      <c r="R23" t="s">
        <v>10</v>
      </c>
      <c r="S23" t="s">
        <v>10</v>
      </c>
      <c r="T23">
        <f t="shared" si="0"/>
        <v>206.14223951578037</v>
      </c>
      <c r="U23">
        <f t="shared" si="1"/>
        <v>9451.4239482200646</v>
      </c>
    </row>
    <row r="24" spans="1:21" x14ac:dyDescent="0.35">
      <c r="A24" s="29" t="s">
        <v>75</v>
      </c>
      <c r="B24" s="30" t="s">
        <v>10</v>
      </c>
      <c r="C24" s="30" t="s">
        <v>10</v>
      </c>
      <c r="D24" s="30" t="s">
        <v>10</v>
      </c>
      <c r="E24" s="30" t="s">
        <v>10</v>
      </c>
      <c r="F24" s="30">
        <v>47.287799999999997</v>
      </c>
      <c r="G24" s="30">
        <v>11.1</v>
      </c>
      <c r="H24" s="30">
        <v>2388.0868</v>
      </c>
      <c r="I24" s="30">
        <v>198.93600000000001</v>
      </c>
      <c r="J24" s="31">
        <v>44846</v>
      </c>
      <c r="K24" s="30" t="s">
        <v>118</v>
      </c>
      <c r="L24" s="30" t="s">
        <v>10</v>
      </c>
      <c r="M24" s="30" t="s">
        <v>10</v>
      </c>
      <c r="N24" s="30">
        <v>0</v>
      </c>
      <c r="O24" s="30" t="str">
        <f>IF(H24&gt;'std curve'!$Q$16, "high", "low")</f>
        <v>low</v>
      </c>
      <c r="P24" s="30">
        <f>((F24+0.7207)/0.2313)</f>
        <v>207.5594466061392</v>
      </c>
      <c r="Q24" s="30">
        <f>IF(O24="low",((H24-19.25)/0.2472),((H24-621.91)/0.1864))</f>
        <v>9582.6731391585763</v>
      </c>
      <c r="R24" t="s">
        <v>10</v>
      </c>
      <c r="S24" t="s">
        <v>10</v>
      </c>
      <c r="T24">
        <f t="shared" si="0"/>
        <v>207.5594466061392</v>
      </c>
      <c r="U24">
        <f t="shared" si="1"/>
        <v>9582.6731391585763</v>
      </c>
    </row>
    <row r="25" spans="1:21" x14ac:dyDescent="0.35">
      <c r="A25" s="21" t="s">
        <v>120</v>
      </c>
      <c r="B25" t="s">
        <v>108</v>
      </c>
      <c r="C25" t="s">
        <v>66</v>
      </c>
      <c r="D25">
        <v>2</v>
      </c>
      <c r="E25" s="23">
        <v>44817</v>
      </c>
      <c r="F25">
        <v>873.33199999999999</v>
      </c>
      <c r="G25">
        <v>177.041</v>
      </c>
      <c r="H25">
        <v>1865.1220000000001</v>
      </c>
      <c r="I25">
        <v>161.65799999999999</v>
      </c>
      <c r="J25" s="23">
        <v>44846</v>
      </c>
      <c r="K25" t="s">
        <v>119</v>
      </c>
      <c r="L25" t="s">
        <v>10</v>
      </c>
      <c r="M25" t="s">
        <v>10</v>
      </c>
      <c r="N25">
        <v>0</v>
      </c>
      <c r="O25" t="str">
        <f>IF(H25&gt;'std curve'!$Q$16, "high", "low")</f>
        <v>low</v>
      </c>
      <c r="P25">
        <f>((F25+0.7207)/0.2313)*'dilution factor'!$L$6</f>
        <v>4285.2765043930158</v>
      </c>
      <c r="Q25">
        <f>IF(O25="low",((H25-19.25)/0.2472)*'dilution factor'!$L$7,((H25-621.91)/0.1864)*'dilution factor'!$L$7)</f>
        <v>8963.5836289751715</v>
      </c>
      <c r="R25" t="s">
        <v>10</v>
      </c>
      <c r="S25" t="s">
        <v>10</v>
      </c>
      <c r="T25">
        <f t="shared" si="0"/>
        <v>4285.2765043930158</v>
      </c>
      <c r="U25">
        <f t="shared" si="1"/>
        <v>8963.5836289751715</v>
      </c>
    </row>
    <row r="26" spans="1:21" x14ac:dyDescent="0.35">
      <c r="A26" s="21" t="s">
        <v>121</v>
      </c>
      <c r="B26" t="s">
        <v>108</v>
      </c>
      <c r="C26" t="s">
        <v>66</v>
      </c>
      <c r="D26">
        <v>3</v>
      </c>
      <c r="E26" s="23">
        <v>44817</v>
      </c>
      <c r="F26">
        <v>759.22559999999999</v>
      </c>
      <c r="G26">
        <v>155.273</v>
      </c>
      <c r="H26">
        <v>1760.6266000000001</v>
      </c>
      <c r="I26">
        <v>153.797</v>
      </c>
      <c r="J26" s="23">
        <v>44846</v>
      </c>
      <c r="K26" t="s">
        <v>122</v>
      </c>
      <c r="L26" t="s">
        <v>10</v>
      </c>
      <c r="M26" t="s">
        <v>10</v>
      </c>
      <c r="N26">
        <v>0</v>
      </c>
      <c r="O26" t="str">
        <f>IF(H26&gt;'std curve'!$Q$16, "high", "low")</f>
        <v>low</v>
      </c>
      <c r="P26">
        <f>((F26+0.7207)/0.2313)*'dilution factor'!$L$6</f>
        <v>3725.839441935716</v>
      </c>
      <c r="Q26">
        <f>IF(O26="low",((H26-19.25)/0.2472)*'dilution factor'!$L$7,((H26-621.91)/0.1864)*'dilution factor'!$L$7)</f>
        <v>8456.152313725137</v>
      </c>
      <c r="R26" t="s">
        <v>10</v>
      </c>
      <c r="S26" t="s">
        <v>10</v>
      </c>
      <c r="T26">
        <f t="shared" si="0"/>
        <v>3725.839441935716</v>
      </c>
      <c r="U26">
        <f t="shared" si="1"/>
        <v>8456.152313725137</v>
      </c>
    </row>
    <row r="27" spans="1:21" x14ac:dyDescent="0.35">
      <c r="A27" s="21" t="s">
        <v>123</v>
      </c>
      <c r="B27" t="s">
        <v>108</v>
      </c>
      <c r="C27" t="s">
        <v>82</v>
      </c>
      <c r="D27">
        <v>1</v>
      </c>
      <c r="E27" s="23">
        <v>44817</v>
      </c>
      <c r="F27">
        <v>103.61660000000001</v>
      </c>
      <c r="G27">
        <v>22.683</v>
      </c>
      <c r="H27">
        <v>598.75570000000005</v>
      </c>
      <c r="I27">
        <v>60.252000000000002</v>
      </c>
      <c r="J27" s="23">
        <v>44846</v>
      </c>
      <c r="K27" t="s">
        <v>124</v>
      </c>
      <c r="L27" t="s">
        <v>135</v>
      </c>
      <c r="M27" t="s">
        <v>10</v>
      </c>
      <c r="N27">
        <v>0</v>
      </c>
      <c r="O27" t="str">
        <f>IF(H27&gt;'std curve'!$Q$16, "high", "low")</f>
        <v>low</v>
      </c>
      <c r="P27">
        <f>((F27+0.7207)/0.2313)*'dilution factor'!$L$6</f>
        <v>511.54144392186583</v>
      </c>
      <c r="Q27">
        <f>IF(O27="low",((H27-19.25)/0.2472)*'dilution factor'!$L$7,((H27-621.91)/0.1864)*'dilution factor'!$L$7)</f>
        <v>2814.088845498386</v>
      </c>
      <c r="R27" t="s">
        <v>10</v>
      </c>
      <c r="S27" t="s">
        <v>10</v>
      </c>
      <c r="T27">
        <f t="shared" si="0"/>
        <v>511.54144392186583</v>
      </c>
      <c r="U27">
        <f t="shared" si="1"/>
        <v>2814.088845498386</v>
      </c>
    </row>
    <row r="28" spans="1:21" x14ac:dyDescent="0.35">
      <c r="A28" s="21" t="s">
        <v>125</v>
      </c>
      <c r="B28" t="s">
        <v>108</v>
      </c>
      <c r="C28" t="s">
        <v>82</v>
      </c>
      <c r="D28">
        <v>2</v>
      </c>
      <c r="E28" s="23">
        <v>44817</v>
      </c>
      <c r="F28">
        <v>81.714600000000004</v>
      </c>
      <c r="G28">
        <v>18.193000000000001</v>
      </c>
      <c r="H28">
        <v>566.7817</v>
      </c>
      <c r="I28">
        <v>57.353000000000002</v>
      </c>
      <c r="J28" s="23">
        <v>44846</v>
      </c>
      <c r="K28" t="s">
        <v>126</v>
      </c>
      <c r="L28" t="s">
        <v>10</v>
      </c>
      <c r="M28" t="s">
        <v>10</v>
      </c>
      <c r="N28">
        <v>0</v>
      </c>
      <c r="O28" t="str">
        <f>IF(H28&gt;'std curve'!$Q$16, "high", "low")</f>
        <v>low</v>
      </c>
      <c r="P28">
        <f>((F28+0.7207)/0.2313)*'dilution factor'!$L$6</f>
        <v>404.16104683686638</v>
      </c>
      <c r="Q28">
        <f>IF(O28="low",((H28-19.25)/0.2472)*'dilution factor'!$L$7,((H28-621.91)/0.1864)*'dilution factor'!$L$7)</f>
        <v>2658.8225957514633</v>
      </c>
      <c r="R28" t="s">
        <v>10</v>
      </c>
      <c r="S28" t="s">
        <v>10</v>
      </c>
      <c r="T28">
        <f t="shared" si="0"/>
        <v>404.16104683686638</v>
      </c>
      <c r="U28">
        <f t="shared" si="1"/>
        <v>2658.8225957514633</v>
      </c>
    </row>
    <row r="29" spans="1:21" x14ac:dyDescent="0.35">
      <c r="A29" s="21" t="s">
        <v>127</v>
      </c>
      <c r="B29" t="s">
        <v>108</v>
      </c>
      <c r="C29" t="s">
        <v>82</v>
      </c>
      <c r="D29">
        <v>3</v>
      </c>
      <c r="E29" s="23">
        <v>44817</v>
      </c>
      <c r="F29">
        <v>83.470200000000006</v>
      </c>
      <c r="G29">
        <v>18.555</v>
      </c>
      <c r="H29">
        <v>628.12660000000005</v>
      </c>
      <c r="I29">
        <v>62.789000000000001</v>
      </c>
      <c r="J29" s="23">
        <v>44846</v>
      </c>
      <c r="K29" t="s">
        <v>128</v>
      </c>
      <c r="L29" t="s">
        <v>10</v>
      </c>
      <c r="M29" t="s">
        <v>10</v>
      </c>
      <c r="N29">
        <v>0</v>
      </c>
      <c r="O29" t="str">
        <f>IF(H29&gt;'std curve'!$Q$16, "high", "low")</f>
        <v>low</v>
      </c>
      <c r="P29">
        <f>((F29+0.7207)/0.2313)*'dilution factor'!$L$6</f>
        <v>412.76834412124344</v>
      </c>
      <c r="Q29">
        <f>IF(O29="low",((H29-19.25)/0.2472)*'dilution factor'!$L$7,((H29-621.91)/0.1864)*'dilution factor'!$L$7)</f>
        <v>2956.7144004709235</v>
      </c>
      <c r="R29" t="s">
        <v>10</v>
      </c>
      <c r="S29" t="s">
        <v>10</v>
      </c>
      <c r="T29">
        <f t="shared" si="0"/>
        <v>412.76834412124344</v>
      </c>
      <c r="U29">
        <f t="shared" si="1"/>
        <v>2956.7144004709235</v>
      </c>
    </row>
    <row r="30" spans="1:21" x14ac:dyDescent="0.35">
      <c r="A30" s="21" t="s">
        <v>136</v>
      </c>
      <c r="B30" t="s">
        <v>10</v>
      </c>
      <c r="C30" t="s">
        <v>10</v>
      </c>
      <c r="D30" t="s">
        <v>10</v>
      </c>
      <c r="E30" t="s">
        <v>10</v>
      </c>
      <c r="F30">
        <v>227.48220000000001</v>
      </c>
      <c r="G30">
        <v>48.067999999999998</v>
      </c>
      <c r="H30">
        <v>434.59129999999999</v>
      </c>
      <c r="I30">
        <v>45.033999999999999</v>
      </c>
      <c r="J30" s="23">
        <v>44846</v>
      </c>
      <c r="K30" t="s">
        <v>131</v>
      </c>
      <c r="L30" t="s">
        <v>10</v>
      </c>
      <c r="M30" t="s">
        <v>137</v>
      </c>
      <c r="N30">
        <v>1</v>
      </c>
      <c r="O30" t="str">
        <f>IF(H30&gt;'std curve'!$Q$16, "high", "low")</f>
        <v>low</v>
      </c>
      <c r="P30">
        <f>((F30+0.7207)/0.2313)*'dilution factor'!$L$6</f>
        <v>1118.8255875238974</v>
      </c>
      <c r="Q30">
        <f>IF(O30="low",((H30-19.25)/0.2472)*'dilution factor'!$L$7,((H30-621.91)/0.1864)*'dilution factor'!$L$7)</f>
        <v>2016.9039224373444</v>
      </c>
      <c r="R30">
        <v>1</v>
      </c>
      <c r="S30">
        <v>10</v>
      </c>
      <c r="T30">
        <f t="shared" si="0"/>
        <v>11188.255875238974</v>
      </c>
      <c r="U30">
        <f t="shared" si="1"/>
        <v>20169.039224373442</v>
      </c>
    </row>
    <row r="31" spans="1:21" x14ac:dyDescent="0.35">
      <c r="A31" s="21" t="s">
        <v>136</v>
      </c>
      <c r="B31" t="s">
        <v>10</v>
      </c>
      <c r="C31" t="s">
        <v>10</v>
      </c>
      <c r="D31" t="s">
        <v>10</v>
      </c>
      <c r="E31" t="s">
        <v>10</v>
      </c>
      <c r="F31">
        <v>136.77799999999999</v>
      </c>
      <c r="G31">
        <v>29.384</v>
      </c>
      <c r="H31">
        <v>261.92419999999998</v>
      </c>
      <c r="I31">
        <v>28.584</v>
      </c>
      <c r="J31" s="23">
        <v>44846</v>
      </c>
      <c r="K31" t="s">
        <v>133</v>
      </c>
      <c r="L31" t="s">
        <v>10</v>
      </c>
      <c r="M31" t="s">
        <v>10</v>
      </c>
      <c r="N31">
        <v>1</v>
      </c>
      <c r="O31" t="str">
        <f>IF(H31&gt;'std curve'!$Q$16, "high", "low")</f>
        <v>low</v>
      </c>
      <c r="P31">
        <f>((F31+0.7207)/0.2313)*'dilution factor'!$L$6</f>
        <v>674.12405281121357</v>
      </c>
      <c r="Q31">
        <f>IF(O31="low",((H31-19.25)/0.2472)*'dilution factor'!$L$7,((H31-621.91)/0.1864)*'dilution factor'!$L$7)</f>
        <v>1178.4297536853294</v>
      </c>
      <c r="R31">
        <v>1</v>
      </c>
      <c r="S31">
        <v>10</v>
      </c>
      <c r="T31">
        <f t="shared" si="0"/>
        <v>6741.2405281121355</v>
      </c>
      <c r="U31">
        <f t="shared" si="1"/>
        <v>11784.297536853293</v>
      </c>
    </row>
    <row r="32" spans="1:21" x14ac:dyDescent="0.35">
      <c r="A32" s="21" t="s">
        <v>136</v>
      </c>
      <c r="B32" t="s">
        <v>10</v>
      </c>
      <c r="C32" t="s">
        <v>10</v>
      </c>
      <c r="D32" t="s">
        <v>10</v>
      </c>
      <c r="E32" t="s">
        <v>10</v>
      </c>
      <c r="F32">
        <v>205.2431</v>
      </c>
      <c r="G32">
        <v>43.441000000000003</v>
      </c>
      <c r="H32">
        <v>391.47390000000001</v>
      </c>
      <c r="I32">
        <v>40.926000000000002</v>
      </c>
      <c r="J32" s="23">
        <v>44846</v>
      </c>
      <c r="K32" t="s">
        <v>134</v>
      </c>
      <c r="L32" t="s">
        <v>10</v>
      </c>
      <c r="M32" t="s">
        <v>10</v>
      </c>
      <c r="N32">
        <v>1</v>
      </c>
      <c r="O32" t="str">
        <f>IF(H32&gt;'std curve'!$Q$16, "high", "low")</f>
        <v>low</v>
      </c>
      <c r="P32">
        <f>((F32+0.7207)/0.2313)*'dilution factor'!$L$6</f>
        <v>1009.7924677716826</v>
      </c>
      <c r="Q32">
        <f>IF(O32="low",((H32-19.25)/0.2472)*'dilution factor'!$L$7,((H32-621.91)/0.1864)*'dilution factor'!$L$7)</f>
        <v>1807.5251460303268</v>
      </c>
      <c r="R32">
        <v>1</v>
      </c>
      <c r="S32">
        <v>10</v>
      </c>
      <c r="T32">
        <f t="shared" si="0"/>
        <v>10097.924677716826</v>
      </c>
      <c r="U32">
        <f t="shared" si="1"/>
        <v>18075.251460303269</v>
      </c>
    </row>
    <row r="33" spans="1:21" x14ac:dyDescent="0.35">
      <c r="A33" s="21" t="s">
        <v>136</v>
      </c>
      <c r="B33" t="s">
        <v>10</v>
      </c>
      <c r="C33" t="s">
        <v>10</v>
      </c>
      <c r="D33" t="s">
        <v>10</v>
      </c>
      <c r="E33" t="s">
        <v>10</v>
      </c>
      <c r="F33">
        <v>228.1585</v>
      </c>
      <c r="G33">
        <v>48.213000000000001</v>
      </c>
      <c r="H33">
        <v>439.51679999999999</v>
      </c>
      <c r="I33">
        <v>45.344000000000001</v>
      </c>
      <c r="J33" s="23">
        <v>44846</v>
      </c>
      <c r="K33" t="s">
        <v>138</v>
      </c>
      <c r="L33" t="s">
        <v>10</v>
      </c>
      <c r="M33" t="s">
        <v>10</v>
      </c>
      <c r="N33">
        <v>1</v>
      </c>
      <c r="O33" t="str">
        <f>IF(H33&gt;'std curve'!$Q$16, "high", "low")</f>
        <v>low</v>
      </c>
      <c r="P33">
        <f>((F33+0.7207)/0.2313)*'dilution factor'!$L$6</f>
        <v>1122.1413286684772</v>
      </c>
      <c r="Q33">
        <f>IF(O33="low",((H33-19.25)/0.2472)*'dilution factor'!$L$7,((H33-621.91)/0.1864)*'dilution factor'!$L$7)</f>
        <v>2040.8222283461596</v>
      </c>
      <c r="R33">
        <v>1</v>
      </c>
      <c r="S33">
        <v>10</v>
      </c>
      <c r="T33">
        <f t="shared" si="0"/>
        <v>11221.413286684772</v>
      </c>
      <c r="U33">
        <f t="shared" si="1"/>
        <v>20408.222283461597</v>
      </c>
    </row>
    <row r="34" spans="1:21" x14ac:dyDescent="0.35">
      <c r="A34" s="21" t="s">
        <v>136</v>
      </c>
      <c r="B34" t="s">
        <v>10</v>
      </c>
      <c r="C34" t="s">
        <v>10</v>
      </c>
      <c r="D34" t="s">
        <v>10</v>
      </c>
      <c r="E34" t="s">
        <v>10</v>
      </c>
      <c r="F34">
        <v>244.81020000000001</v>
      </c>
      <c r="G34">
        <v>51.69</v>
      </c>
      <c r="H34">
        <v>466.4042</v>
      </c>
      <c r="I34">
        <v>47.795000000000002</v>
      </c>
      <c r="J34" s="23">
        <v>44846</v>
      </c>
      <c r="K34" t="s">
        <v>139</v>
      </c>
      <c r="L34" t="s">
        <v>10</v>
      </c>
      <c r="M34" t="s">
        <v>10</v>
      </c>
      <c r="N34">
        <v>1</v>
      </c>
      <c r="O34" t="str">
        <f>IF(H34&gt;'std curve'!$Q$16, "high", "low")</f>
        <v>low</v>
      </c>
      <c r="P34">
        <f>((F34+0.7207)/0.2313)*'dilution factor'!$L$6</f>
        <v>1203.7807295515145</v>
      </c>
      <c r="Q34">
        <f>IF(O34="low",((H34-19.25)/0.2472)*'dilution factor'!$L$7,((H34-621.91)/0.1864)*'dilution factor'!$L$7)</f>
        <v>2171.3878680360772</v>
      </c>
      <c r="R34">
        <v>1</v>
      </c>
      <c r="S34">
        <v>10</v>
      </c>
      <c r="T34">
        <f t="shared" si="0"/>
        <v>12037.807295515144</v>
      </c>
      <c r="U34">
        <f t="shared" si="1"/>
        <v>21713.878680360773</v>
      </c>
    </row>
    <row r="35" spans="1:21" x14ac:dyDescent="0.35">
      <c r="A35" s="21" t="s">
        <v>136</v>
      </c>
      <c r="B35" t="s">
        <v>10</v>
      </c>
      <c r="C35" t="s">
        <v>10</v>
      </c>
      <c r="D35" t="s">
        <v>10</v>
      </c>
      <c r="E35" t="s">
        <v>10</v>
      </c>
      <c r="F35">
        <v>242.53059999999999</v>
      </c>
      <c r="G35">
        <v>51.087000000000003</v>
      </c>
      <c r="H35">
        <v>465.07279999999997</v>
      </c>
      <c r="I35">
        <v>47.648000000000003</v>
      </c>
      <c r="J35" s="23">
        <v>44846</v>
      </c>
      <c r="K35" t="s">
        <v>140</v>
      </c>
      <c r="L35" t="s">
        <v>10</v>
      </c>
      <c r="M35" t="s">
        <v>10</v>
      </c>
      <c r="N35">
        <v>1</v>
      </c>
      <c r="O35" t="str">
        <f>IF(H35&gt;'std curve'!$Q$16, "high", "low")</f>
        <v>low</v>
      </c>
      <c r="P35">
        <f>((F35+0.7207)/0.2313)*'dilution factor'!$L$6</f>
        <v>1192.604382496681</v>
      </c>
      <c r="Q35">
        <f>IF(O35="low",((H35-19.25)/0.2472)*'dilution factor'!$L$7,((H35-621.91)/0.1864)*'dilution factor'!$L$7)</f>
        <v>2164.9225685767333</v>
      </c>
      <c r="R35">
        <v>1</v>
      </c>
      <c r="S35">
        <v>10</v>
      </c>
      <c r="T35">
        <f t="shared" si="0"/>
        <v>11926.04382496681</v>
      </c>
      <c r="U35">
        <f t="shared" si="1"/>
        <v>21649.225685767335</v>
      </c>
    </row>
    <row r="36" spans="1:21" x14ac:dyDescent="0.35">
      <c r="A36" s="29" t="s">
        <v>75</v>
      </c>
      <c r="B36" s="30" t="s">
        <v>10</v>
      </c>
      <c r="C36" s="30" t="s">
        <v>10</v>
      </c>
      <c r="D36" s="30" t="s">
        <v>10</v>
      </c>
      <c r="E36" s="30" t="s">
        <v>10</v>
      </c>
      <c r="F36" s="30">
        <v>46.763800000000003</v>
      </c>
      <c r="G36" s="30">
        <v>11.032999999999999</v>
      </c>
      <c r="H36" s="30">
        <v>2305.8029000000001</v>
      </c>
      <c r="I36" s="30">
        <v>190.262</v>
      </c>
      <c r="J36" s="31">
        <v>44846</v>
      </c>
      <c r="K36" s="30" t="s">
        <v>141</v>
      </c>
      <c r="L36" s="30" t="s">
        <v>10</v>
      </c>
      <c r="M36" s="30" t="s">
        <v>10</v>
      </c>
      <c r="N36" s="30"/>
      <c r="O36" s="30" t="str">
        <f>IF(H36&gt;'std curve'!$Q$16, "high", "low")</f>
        <v>low</v>
      </c>
      <c r="P36" s="30">
        <f>((F36+0.7207)/0.2313)</f>
        <v>205.29399048854302</v>
      </c>
      <c r="Q36" s="30">
        <f>IF(O36="low",((H36-19.25)/0.2472),((H36-621.91)/0.1864))</f>
        <v>9249.8094660194183</v>
      </c>
      <c r="R36" t="s">
        <v>10</v>
      </c>
      <c r="S36" t="s">
        <v>10</v>
      </c>
      <c r="T36">
        <f t="shared" si="0"/>
        <v>205.29399048854302</v>
      </c>
      <c r="U36">
        <f t="shared" si="1"/>
        <v>9249.8094660194183</v>
      </c>
    </row>
    <row r="37" spans="1:21" x14ac:dyDescent="0.35">
      <c r="A37" s="29" t="s">
        <v>75</v>
      </c>
      <c r="B37" s="30" t="s">
        <v>10</v>
      </c>
      <c r="C37" s="30" t="s">
        <v>10</v>
      </c>
      <c r="D37" s="30" t="s">
        <v>10</v>
      </c>
      <c r="E37" s="30" t="s">
        <v>10</v>
      </c>
      <c r="F37" s="30">
        <v>46.569400000000002</v>
      </c>
      <c r="G37" s="30">
        <v>10.997999999999999</v>
      </c>
      <c r="H37" s="30">
        <v>2299.9720000000002</v>
      </c>
      <c r="I37" s="30">
        <v>189.82</v>
      </c>
      <c r="J37" s="31">
        <v>44846</v>
      </c>
      <c r="K37" s="30" t="s">
        <v>142</v>
      </c>
      <c r="L37" s="30" t="s">
        <v>10</v>
      </c>
      <c r="M37" s="30" t="s">
        <v>10</v>
      </c>
      <c r="N37" s="30"/>
      <c r="O37" s="30" t="str">
        <f>IF(H37&gt;'std curve'!$Q$16, "high", "low")</f>
        <v>low</v>
      </c>
      <c r="P37" s="30">
        <f>((F37+0.7207)/0.2313)</f>
        <v>204.45352356247298</v>
      </c>
      <c r="Q37" s="30">
        <f>IF(O37="low",((H37-19.25)/0.2472),((H37-621.91)/0.1864))</f>
        <v>9226.2216828478977</v>
      </c>
      <c r="R37" t="s">
        <v>10</v>
      </c>
      <c r="S37" t="s">
        <v>10</v>
      </c>
      <c r="T37">
        <f t="shared" si="0"/>
        <v>204.45352356247298</v>
      </c>
      <c r="U37">
        <f t="shared" si="1"/>
        <v>9226.2216828478977</v>
      </c>
    </row>
    <row r="38" spans="1:21" x14ac:dyDescent="0.35">
      <c r="A38" s="21" t="s">
        <v>129</v>
      </c>
      <c r="B38" t="s">
        <v>108</v>
      </c>
      <c r="C38" t="s">
        <v>130</v>
      </c>
      <c r="D38">
        <v>1</v>
      </c>
      <c r="E38" s="23">
        <v>44817</v>
      </c>
      <c r="F38">
        <v>2.0855999999999999</v>
      </c>
      <c r="G38">
        <v>0.47</v>
      </c>
      <c r="H38">
        <v>624.87559999999996</v>
      </c>
      <c r="I38">
        <v>61.994</v>
      </c>
      <c r="J38" s="23">
        <v>44846</v>
      </c>
      <c r="K38" t="s">
        <v>143</v>
      </c>
      <c r="L38" t="s">
        <v>10</v>
      </c>
      <c r="M38" t="s">
        <v>10</v>
      </c>
      <c r="O38" t="str">
        <f>IF(H38&gt;'std curve'!$Q$16, "high", "low")</f>
        <v>low</v>
      </c>
      <c r="P38">
        <f>((F38+0.7207)/0.2313)*'dilution factor'!$L$6</f>
        <v>13.758634295481405</v>
      </c>
      <c r="Q38">
        <f>IF(O38="low",((H38-19.25)/0.2472)*'dilution factor'!$L$7,((H38-621.91)/0.1864)*'dilution factor'!$L$7)</f>
        <v>2940.9274930484162</v>
      </c>
      <c r="R38" t="s">
        <v>10</v>
      </c>
      <c r="S38" t="s">
        <v>10</v>
      </c>
      <c r="T38">
        <f t="shared" si="0"/>
        <v>13.758634295481405</v>
      </c>
      <c r="U38">
        <f t="shared" si="1"/>
        <v>2940.9274930484162</v>
      </c>
    </row>
    <row r="39" spans="1:21" x14ac:dyDescent="0.35">
      <c r="A39" s="21" t="s">
        <v>132</v>
      </c>
      <c r="B39" t="s">
        <v>108</v>
      </c>
      <c r="C39" t="s">
        <v>98</v>
      </c>
      <c r="D39">
        <v>2</v>
      </c>
      <c r="E39" s="23">
        <v>44817</v>
      </c>
      <c r="F39">
        <v>1.3746</v>
      </c>
      <c r="G39">
        <v>0.30399999999999999</v>
      </c>
      <c r="H39">
        <v>478.15170000000001</v>
      </c>
      <c r="I39">
        <v>48.813000000000002</v>
      </c>
      <c r="J39" s="23">
        <v>44846</v>
      </c>
      <c r="K39" t="s">
        <v>144</v>
      </c>
      <c r="L39" t="s">
        <v>10</v>
      </c>
      <c r="M39" t="s">
        <v>10</v>
      </c>
      <c r="O39" t="str">
        <f>IF(H39&gt;'std curve'!$Q$16, "high", "low")</f>
        <v>low</v>
      </c>
      <c r="P39">
        <f>((F39+0.7207)/0.2313)*'dilution factor'!$L$6</f>
        <v>10.272767145109999</v>
      </c>
      <c r="Q39">
        <f>IF(O39="low",((H39-19.25)/0.2472)*'dilution factor'!$L$7,((H39-621.91)/0.1864)*'dilution factor'!$L$7)</f>
        <v>2228.4339138514888</v>
      </c>
      <c r="R39" t="s">
        <v>10</v>
      </c>
      <c r="S39" t="s">
        <v>10</v>
      </c>
      <c r="T39">
        <f t="shared" si="0"/>
        <v>10.272767145109999</v>
      </c>
      <c r="U39">
        <f t="shared" si="1"/>
        <v>2228.4339138514888</v>
      </c>
    </row>
    <row r="40" spans="1:21" x14ac:dyDescent="0.35">
      <c r="A40" s="21" t="s">
        <v>146</v>
      </c>
      <c r="B40" t="s">
        <v>81</v>
      </c>
      <c r="C40" t="s">
        <v>147</v>
      </c>
      <c r="D40">
        <v>4</v>
      </c>
      <c r="E40" s="23">
        <v>44803</v>
      </c>
      <c r="F40">
        <v>2377.4306000000001</v>
      </c>
      <c r="G40">
        <v>443.19600000000003</v>
      </c>
      <c r="H40">
        <v>128.88759999999999</v>
      </c>
      <c r="I40">
        <v>15.12</v>
      </c>
      <c r="J40" s="23">
        <v>44846</v>
      </c>
      <c r="K40" t="s">
        <v>145</v>
      </c>
      <c r="L40" t="s">
        <v>10</v>
      </c>
      <c r="M40" t="s">
        <v>137</v>
      </c>
      <c r="N40">
        <v>1</v>
      </c>
      <c r="O40" t="str">
        <f>IF(H40&gt;'std curve'!$Q$16, "high", "low")</f>
        <v>low</v>
      </c>
      <c r="P40">
        <f>((F40+0.7207)/0.2313)*'dilution factor'!$L$6</f>
        <v>11659.521090412174</v>
      </c>
      <c r="Q40">
        <f>IF(O40="low",((H40-19.25)/0.2472)*'dilution factor'!$L$7,((H40-621.91)/0.1864)*'dilution factor'!$L$7)</f>
        <v>532.40191978649023</v>
      </c>
      <c r="R40">
        <v>1</v>
      </c>
      <c r="S40">
        <v>10</v>
      </c>
      <c r="T40">
        <f t="shared" si="0"/>
        <v>116595.21090412175</v>
      </c>
      <c r="U40">
        <f t="shared" si="1"/>
        <v>5324.0191978649018</v>
      </c>
    </row>
    <row r="41" spans="1:21" x14ac:dyDescent="0.35">
      <c r="A41" s="21" t="s">
        <v>149</v>
      </c>
      <c r="B41" t="s">
        <v>81</v>
      </c>
      <c r="C41" t="s">
        <v>150</v>
      </c>
      <c r="D41" t="s">
        <v>10</v>
      </c>
      <c r="E41" s="23">
        <v>44804</v>
      </c>
      <c r="F41">
        <v>1933.2565999999999</v>
      </c>
      <c r="G41">
        <v>368.40699999999998</v>
      </c>
      <c r="H41">
        <v>32.658299999999997</v>
      </c>
      <c r="I41">
        <v>4.3410000000000002</v>
      </c>
      <c r="J41" s="23">
        <v>44846</v>
      </c>
      <c r="K41" t="s">
        <v>148</v>
      </c>
      <c r="L41" t="s">
        <v>10</v>
      </c>
      <c r="M41" t="s">
        <v>137</v>
      </c>
      <c r="N41">
        <v>1</v>
      </c>
      <c r="O41" t="str">
        <f>IF(H41&gt;'std curve'!$Q$16, "high", "low")</f>
        <v>low</v>
      </c>
      <c r="P41">
        <f>((F41+0.7207)/0.2313)*'dilution factor'!$L$6</f>
        <v>9481.8395775442859</v>
      </c>
      <c r="Q41">
        <f>IF(O41="low",((H41-19.25)/0.2472)*'dilution factor'!$L$7,((H41-621.91)/0.1864)*'dilution factor'!$L$7)</f>
        <v>65.110916885021155</v>
      </c>
      <c r="R41">
        <v>1</v>
      </c>
      <c r="S41">
        <v>10</v>
      </c>
      <c r="T41">
        <f t="shared" si="0"/>
        <v>94818.395775442856</v>
      </c>
      <c r="U41">
        <f t="shared" si="1"/>
        <v>651.10916885021152</v>
      </c>
    </row>
    <row r="42" spans="1:21" x14ac:dyDescent="0.35">
      <c r="A42" s="21" t="s">
        <v>151</v>
      </c>
      <c r="B42" t="s">
        <v>81</v>
      </c>
      <c r="C42" t="s">
        <v>152</v>
      </c>
      <c r="D42" t="s">
        <v>10</v>
      </c>
      <c r="E42" s="23">
        <v>44804</v>
      </c>
      <c r="F42">
        <v>2087.518</v>
      </c>
      <c r="G42">
        <v>395.08199999999999</v>
      </c>
      <c r="H42">
        <v>38.985999999999997</v>
      </c>
      <c r="I42">
        <v>5.1459999999999999</v>
      </c>
      <c r="J42" s="23">
        <v>44846</v>
      </c>
      <c r="K42" t="s">
        <v>154</v>
      </c>
      <c r="L42" t="s">
        <v>10</v>
      </c>
      <c r="M42" t="s">
        <v>137</v>
      </c>
      <c r="N42">
        <v>1</v>
      </c>
      <c r="O42" t="str">
        <f>IF(H42&gt;'std curve'!$Q$16, "high", "low")</f>
        <v>low</v>
      </c>
      <c r="P42">
        <f>((F42+0.7207)/0.2313)*'dilution factor'!$L$6</f>
        <v>10238.147238346401</v>
      </c>
      <c r="Q42">
        <f>IF(O42="low",((H42-19.25)/0.2472)*'dilution factor'!$L$7,((H42-621.91)/0.1864)*'dilution factor'!$L$7)</f>
        <v>95.838328173055316</v>
      </c>
      <c r="R42">
        <v>1</v>
      </c>
      <c r="S42">
        <v>10</v>
      </c>
      <c r="T42">
        <f t="shared" si="0"/>
        <v>102381.472383464</v>
      </c>
      <c r="U42">
        <f t="shared" si="1"/>
        <v>958.38328173055311</v>
      </c>
    </row>
    <row r="43" spans="1:21" x14ac:dyDescent="0.35">
      <c r="A43" s="21" t="s">
        <v>153</v>
      </c>
      <c r="B43" t="s">
        <v>81</v>
      </c>
      <c r="C43" t="s">
        <v>155</v>
      </c>
      <c r="D43" t="s">
        <v>10</v>
      </c>
      <c r="E43" s="23">
        <v>44804</v>
      </c>
      <c r="F43">
        <v>4433.4390999999996</v>
      </c>
      <c r="G43">
        <v>755.39800000000002</v>
      </c>
      <c r="H43">
        <v>35.752000000000002</v>
      </c>
      <c r="I43">
        <v>4.7240000000000002</v>
      </c>
      <c r="J43" s="23">
        <v>44846</v>
      </c>
      <c r="K43" t="s">
        <v>156</v>
      </c>
      <c r="L43" t="s">
        <v>10</v>
      </c>
      <c r="M43" t="s">
        <v>137</v>
      </c>
      <c r="N43">
        <v>1</v>
      </c>
      <c r="O43" t="str">
        <f>IF(H43&gt;'std curve'!$Q$16, "high", "low")</f>
        <v>low</v>
      </c>
      <c r="P43">
        <f>((F43+0.7207)/0.2313)*'dilution factor'!$L$6</f>
        <v>21739.651176255196</v>
      </c>
      <c r="Q43">
        <f>IF(O43="low",((H43-19.25)/0.2472)*'dilution factor'!$L$7,((H43-621.91)/0.1864)*'dilution factor'!$L$7)</f>
        <v>80.133973019444639</v>
      </c>
      <c r="R43">
        <v>1</v>
      </c>
      <c r="S43">
        <v>10</v>
      </c>
      <c r="T43">
        <f t="shared" si="0"/>
        <v>217396.51176255196</v>
      </c>
      <c r="U43">
        <f t="shared" si="1"/>
        <v>801.33973019444636</v>
      </c>
    </row>
    <row r="44" spans="1:21" x14ac:dyDescent="0.35">
      <c r="A44" s="21" t="s">
        <v>157</v>
      </c>
      <c r="B44" t="s">
        <v>81</v>
      </c>
      <c r="C44" t="s">
        <v>158</v>
      </c>
      <c r="D44" t="s">
        <v>10</v>
      </c>
      <c r="E44" s="23">
        <v>44804</v>
      </c>
      <c r="F44">
        <v>3979.9503</v>
      </c>
      <c r="G44">
        <v>691.15700000000004</v>
      </c>
      <c r="H44">
        <v>38.288800000000002</v>
      </c>
      <c r="I44">
        <v>5.0469999999999997</v>
      </c>
      <c r="J44" s="23">
        <v>44846</v>
      </c>
      <c r="K44" t="s">
        <v>159</v>
      </c>
      <c r="L44" t="s">
        <v>10</v>
      </c>
      <c r="M44" t="s">
        <v>137</v>
      </c>
      <c r="N44">
        <v>1</v>
      </c>
      <c r="O44" t="str">
        <f>IF(H44&gt;'std curve'!$Q$16, "high", "low")</f>
        <v>low</v>
      </c>
      <c r="P44">
        <f>((F44+0.7207)/0.2313)*'dilution factor'!$L$6</f>
        <v>19516.30137178073</v>
      </c>
      <c r="Q44">
        <f>IF(O44="low",((H44-19.25)/0.2472)*'dilution factor'!$L$7,((H44-621.91)/0.1864)*'dilution factor'!$L$7)</f>
        <v>92.452713945134064</v>
      </c>
      <c r="R44">
        <v>1</v>
      </c>
      <c r="S44">
        <v>10</v>
      </c>
      <c r="T44">
        <f t="shared" si="0"/>
        <v>195163.01371780731</v>
      </c>
      <c r="U44">
        <f t="shared" si="1"/>
        <v>924.52713945134064</v>
      </c>
    </row>
    <row r="45" spans="1:21" x14ac:dyDescent="0.35">
      <c r="A45" s="21" t="s">
        <v>153</v>
      </c>
      <c r="B45" t="s">
        <v>81</v>
      </c>
      <c r="C45" t="s">
        <v>155</v>
      </c>
      <c r="D45" t="s">
        <v>10</v>
      </c>
      <c r="E45" s="23">
        <v>44804</v>
      </c>
      <c r="F45">
        <v>1836.6786</v>
      </c>
      <c r="G45">
        <v>351.68</v>
      </c>
      <c r="H45">
        <v>11.8378</v>
      </c>
      <c r="I45">
        <v>1.526</v>
      </c>
      <c r="J45" s="23">
        <v>44846</v>
      </c>
      <c r="K45" t="s">
        <v>164</v>
      </c>
      <c r="L45" t="s">
        <v>170</v>
      </c>
      <c r="M45" t="s">
        <v>171</v>
      </c>
      <c r="N45">
        <v>1</v>
      </c>
      <c r="O45" t="str">
        <f>IF(H45&gt;'std curve'!$Q$16, "high", "low")</f>
        <v>low</v>
      </c>
      <c r="P45">
        <f>((F45+0.7207)/0.2313)*'dilution factor'!$L$6</f>
        <v>9008.3401715688015</v>
      </c>
      <c r="Q45">
        <f>IF(O45="low",((H45-19.25)/0.2472)*'dilution factor'!$L$7,((H45-621.91)/0.1864)*'dilution factor'!$L$7)</f>
        <v>-35.993760442051112</v>
      </c>
      <c r="R45">
        <v>0.2</v>
      </c>
      <c r="S45">
        <v>10</v>
      </c>
      <c r="T45">
        <f t="shared" si="0"/>
        <v>450417.00857844006</v>
      </c>
      <c r="U45">
        <f t="shared" si="1"/>
        <v>-1799.6880221025554</v>
      </c>
    </row>
    <row r="46" spans="1:21" x14ac:dyDescent="0.35">
      <c r="A46" s="29" t="s">
        <v>75</v>
      </c>
      <c r="B46" s="30" t="s">
        <v>10</v>
      </c>
      <c r="C46" s="30" t="s">
        <v>10</v>
      </c>
      <c r="D46" s="30" t="s">
        <v>10</v>
      </c>
      <c r="E46" s="30" t="s">
        <v>10</v>
      </c>
      <c r="F46" s="30">
        <v>46.940600000000003</v>
      </c>
      <c r="G46" s="30">
        <v>11.051</v>
      </c>
      <c r="H46" s="30">
        <v>2310.5092</v>
      </c>
      <c r="I46" s="30">
        <v>189.369</v>
      </c>
      <c r="J46" s="31">
        <v>44846</v>
      </c>
      <c r="K46" s="30" t="s">
        <v>165</v>
      </c>
      <c r="L46" s="30" t="s">
        <v>10</v>
      </c>
      <c r="M46" s="30" t="s">
        <v>10</v>
      </c>
      <c r="N46" s="30">
        <v>0</v>
      </c>
      <c r="O46" s="30" t="str">
        <f>IF(H46&gt;'std curve'!$Q$16, "high", "low")</f>
        <v>low</v>
      </c>
      <c r="P46" s="30">
        <f>((F46+0.7207)/0.2313)</f>
        <v>206.05836575875489</v>
      </c>
      <c r="Q46" s="30">
        <f>IF(O46="low",((H46-19.25)/0.2472),((H46-621.91)/0.1864))</f>
        <v>9268.8478964401293</v>
      </c>
      <c r="R46" t="s">
        <v>10</v>
      </c>
      <c r="S46" t="s">
        <v>10</v>
      </c>
      <c r="T46">
        <f t="shared" si="0"/>
        <v>206.05836575875489</v>
      </c>
      <c r="U46">
        <f t="shared" si="1"/>
        <v>9268.8478964401293</v>
      </c>
    </row>
    <row r="47" spans="1:21" x14ac:dyDescent="0.35">
      <c r="A47" s="21" t="s">
        <v>157</v>
      </c>
      <c r="B47" t="s">
        <v>81</v>
      </c>
      <c r="C47" t="s">
        <v>158</v>
      </c>
      <c r="D47" t="s">
        <v>10</v>
      </c>
      <c r="E47" s="23">
        <v>44804</v>
      </c>
      <c r="F47">
        <v>1082.5272</v>
      </c>
      <c r="G47">
        <v>215.613</v>
      </c>
      <c r="H47">
        <v>5.2939999999999996</v>
      </c>
      <c r="I47">
        <v>0.65400000000000003</v>
      </c>
      <c r="J47" s="23">
        <v>44846</v>
      </c>
      <c r="K47" t="s">
        <v>169</v>
      </c>
      <c r="L47" t="s">
        <v>170</v>
      </c>
      <c r="M47" t="s">
        <v>171</v>
      </c>
      <c r="N47">
        <v>1</v>
      </c>
      <c r="O47" t="str">
        <f>IF(H47&gt;'std curve'!$Q$16, "high", "low")</f>
        <v>low</v>
      </c>
      <c r="P47">
        <f>((F47+0.7207)/0.2313)*'dilution factor'!$L$6</f>
        <v>5310.911772600296</v>
      </c>
      <c r="Q47">
        <f>IF(O47="low",((H47-19.25)/0.2472)*'dilution factor'!$L$7,((H47-621.91)/0.1864)*'dilution factor'!$L$7)</f>
        <v>-67.770556748234711</v>
      </c>
      <c r="R47">
        <v>0.2</v>
      </c>
      <c r="S47">
        <v>10</v>
      </c>
      <c r="T47">
        <f t="shared" si="0"/>
        <v>265545.5886300148</v>
      </c>
      <c r="U47">
        <f t="shared" si="1"/>
        <v>-3388.5278374117352</v>
      </c>
    </row>
    <row r="48" spans="1:21" x14ac:dyDescent="0.35">
      <c r="A48" s="21" t="s">
        <v>160</v>
      </c>
      <c r="B48" t="s">
        <v>81</v>
      </c>
      <c r="C48" t="s">
        <v>163</v>
      </c>
      <c r="D48">
        <v>1</v>
      </c>
      <c r="E48" s="23">
        <v>44804</v>
      </c>
      <c r="F48">
        <v>2310.3263999999999</v>
      </c>
      <c r="G48">
        <v>431.69200000000001</v>
      </c>
      <c r="H48">
        <v>121.729</v>
      </c>
      <c r="I48">
        <v>14.349</v>
      </c>
      <c r="J48" s="23">
        <v>44846</v>
      </c>
      <c r="K48" t="s">
        <v>173</v>
      </c>
      <c r="L48" t="s">
        <v>10</v>
      </c>
      <c r="M48" t="s">
        <v>172</v>
      </c>
      <c r="N48">
        <v>1</v>
      </c>
      <c r="O48" t="str">
        <f>IF(H48&gt;'std curve'!$Q$16, "high", "low")</f>
        <v>low</v>
      </c>
      <c r="P48">
        <f>((F48+0.7207)/0.2313)*'dilution factor'!$L$6</f>
        <v>11330.524850704785</v>
      </c>
      <c r="Q48">
        <f>IF(O48="low",((H48-19.25)/0.2472)*'dilution factor'!$L$7,((H48-621.91)/0.1864)*'dilution factor'!$L$7)</f>
        <v>497.63964495574265</v>
      </c>
      <c r="R48">
        <v>0.1</v>
      </c>
      <c r="S48">
        <v>10</v>
      </c>
      <c r="T48">
        <f t="shared" si="0"/>
        <v>1133052.4850704784</v>
      </c>
      <c r="U48">
        <f t="shared" si="1"/>
        <v>49763.964495574262</v>
      </c>
    </row>
    <row r="49" spans="1:21" x14ac:dyDescent="0.35">
      <c r="A49" s="21" t="s">
        <v>161</v>
      </c>
      <c r="B49" t="s">
        <v>81</v>
      </c>
      <c r="C49" t="s">
        <v>163</v>
      </c>
      <c r="D49">
        <v>2</v>
      </c>
      <c r="E49" s="23">
        <v>44804</v>
      </c>
      <c r="F49">
        <v>2134.5154000000002</v>
      </c>
      <c r="G49">
        <v>402.45800000000003</v>
      </c>
      <c r="H49">
        <v>75.984099999999998</v>
      </c>
      <c r="I49">
        <v>9.4819999999999993</v>
      </c>
      <c r="J49" s="23">
        <v>44846</v>
      </c>
      <c r="K49" t="s">
        <v>174</v>
      </c>
      <c r="L49" t="s">
        <v>10</v>
      </c>
      <c r="M49" t="s">
        <v>172</v>
      </c>
      <c r="N49">
        <v>1</v>
      </c>
      <c r="O49" t="str">
        <f>IF(H49&gt;'std curve'!$Q$16, "high", "low")</f>
        <v>low</v>
      </c>
      <c r="P49">
        <f>((F49+0.7207)/0.2313)*'dilution factor'!$L$6</f>
        <v>10468.564527815972</v>
      </c>
      <c r="Q49">
        <f>IF(O49="low",((H49-19.25)/0.2472)*'dilution factor'!$L$7,((H49-621.91)/0.1864)*'dilution factor'!$L$7)</f>
        <v>275.50168698839371</v>
      </c>
      <c r="R49">
        <v>0.1</v>
      </c>
      <c r="S49">
        <v>10</v>
      </c>
      <c r="T49">
        <f t="shared" si="0"/>
        <v>1046856.4527815972</v>
      </c>
      <c r="U49">
        <f t="shared" si="1"/>
        <v>27550.16869883937</v>
      </c>
    </row>
    <row r="50" spans="1:21" x14ac:dyDescent="0.35">
      <c r="A50" s="21" t="s">
        <v>162</v>
      </c>
      <c r="B50" t="s">
        <v>81</v>
      </c>
      <c r="C50" t="s">
        <v>163</v>
      </c>
      <c r="D50">
        <v>3</v>
      </c>
      <c r="E50" s="21" t="s">
        <v>166</v>
      </c>
      <c r="F50">
        <v>838.37009999999998</v>
      </c>
      <c r="G50">
        <v>169.40600000000001</v>
      </c>
      <c r="H50">
        <v>17.976900000000001</v>
      </c>
      <c r="I50">
        <v>2.3570000000000002</v>
      </c>
      <c r="J50" s="23">
        <v>44846</v>
      </c>
      <c r="K50" t="s">
        <v>175</v>
      </c>
      <c r="L50" t="s">
        <v>10</v>
      </c>
      <c r="M50" t="s">
        <v>172</v>
      </c>
      <c r="N50">
        <v>1</v>
      </c>
      <c r="O50" t="str">
        <f>IF(H50&gt;'std curve'!$Q$16, "high", "low")</f>
        <v>low</v>
      </c>
      <c r="P50">
        <f>((F50+0.7207)/0.2313)*'dilution factor'!$L$6</f>
        <v>4113.8664639927756</v>
      </c>
      <c r="Q50">
        <f>IF(O50="low",((H50-19.25)/0.2472)*'dilution factor'!$L$7,((H50-621.91)/0.1864)*'dilution factor'!$L$7)</f>
        <v>-6.1821937371866991</v>
      </c>
      <c r="R50">
        <v>0.1</v>
      </c>
      <c r="S50">
        <v>10</v>
      </c>
      <c r="T50">
        <f t="shared" si="0"/>
        <v>411386.6463992775</v>
      </c>
      <c r="U50">
        <f t="shared" si="1"/>
        <v>-618.21937371866989</v>
      </c>
    </row>
    <row r="51" spans="1:21" x14ac:dyDescent="0.35">
      <c r="A51" s="21" t="s">
        <v>162</v>
      </c>
      <c r="B51" t="s">
        <v>81</v>
      </c>
      <c r="C51" t="s">
        <v>163</v>
      </c>
      <c r="D51">
        <v>3</v>
      </c>
      <c r="E51" s="21" t="s">
        <v>166</v>
      </c>
      <c r="F51">
        <v>1200.2003</v>
      </c>
      <c r="G51">
        <v>237.62200000000001</v>
      </c>
      <c r="H51">
        <v>31.250399999999999</v>
      </c>
      <c r="I51">
        <v>4.1459999999999999</v>
      </c>
      <c r="J51" s="23">
        <v>44846</v>
      </c>
      <c r="K51" t="s">
        <v>176</v>
      </c>
      <c r="L51" t="s">
        <v>170</v>
      </c>
      <c r="M51" t="s">
        <v>172</v>
      </c>
      <c r="N51">
        <v>1</v>
      </c>
      <c r="O51" t="str">
        <f>IF(H51&gt;'std curve'!$Q$16, "high", "low")</f>
        <v>low</v>
      </c>
      <c r="P51">
        <f>((F51+0.7207)/0.2313)*'dilution factor'!$L$6</f>
        <v>5887.8355331802823</v>
      </c>
      <c r="Q51">
        <f>IF(O51="low",((H51-19.25)/0.2472)*'dilution factor'!$L$7,((H51-621.91)/0.1864)*'dilution factor'!$L$7)</f>
        <v>58.274132215643149</v>
      </c>
      <c r="R51">
        <v>0.1</v>
      </c>
      <c r="S51">
        <v>10</v>
      </c>
      <c r="T51">
        <f t="shared" si="0"/>
        <v>588783.55331802822</v>
      </c>
      <c r="U51">
        <f t="shared" si="1"/>
        <v>5827.413221564314</v>
      </c>
    </row>
    <row r="52" spans="1:21" x14ac:dyDescent="0.35">
      <c r="A52" s="21" t="s">
        <v>167</v>
      </c>
      <c r="B52" t="s">
        <v>108</v>
      </c>
      <c r="C52" t="s">
        <v>168</v>
      </c>
      <c r="D52">
        <v>2</v>
      </c>
      <c r="E52" s="23">
        <v>44817</v>
      </c>
      <c r="F52">
        <v>2773.7723999999998</v>
      </c>
      <c r="G52">
        <v>507.06099999999998</v>
      </c>
      <c r="H52">
        <v>72.745800000000003</v>
      </c>
      <c r="I52">
        <v>9.109</v>
      </c>
      <c r="J52" s="23">
        <v>44846</v>
      </c>
      <c r="K52" t="s">
        <v>177</v>
      </c>
      <c r="L52" t="s">
        <v>10</v>
      </c>
      <c r="M52" t="s">
        <v>171</v>
      </c>
      <c r="N52">
        <v>1</v>
      </c>
      <c r="O52" t="str">
        <f>IF(H52&gt;'std curve'!$Q$16, "high", "low")</f>
        <v>low</v>
      </c>
      <c r="P52">
        <f>((F52+0.7207)/0.2313)*'dilution factor'!$L$6</f>
        <v>13602.692484138017</v>
      </c>
      <c r="Q52">
        <f>IF(O52="low",((H52-19.25)/0.2472)*'dilution factor'!$L$7,((H52-621.91)/0.1864)*'dilution factor'!$L$7)</f>
        <v>259.77645096676804</v>
      </c>
      <c r="R52">
        <v>0.2</v>
      </c>
      <c r="S52">
        <v>10</v>
      </c>
      <c r="T52">
        <f t="shared" si="0"/>
        <v>680134.62420690071</v>
      </c>
      <c r="U52">
        <f t="shared" si="1"/>
        <v>12988.822548338403</v>
      </c>
    </row>
    <row r="53" spans="1:21" x14ac:dyDescent="0.35">
      <c r="A53" s="21" t="s">
        <v>167</v>
      </c>
      <c r="B53" t="s">
        <v>108</v>
      </c>
      <c r="C53" t="s">
        <v>168</v>
      </c>
      <c r="D53">
        <v>2</v>
      </c>
      <c r="E53" s="23">
        <v>44817</v>
      </c>
      <c r="F53">
        <v>1592.4241999999999</v>
      </c>
      <c r="G53">
        <v>308.923</v>
      </c>
      <c r="H53">
        <v>29.5488</v>
      </c>
      <c r="I53">
        <v>3.9159999999999999</v>
      </c>
      <c r="J53" s="23">
        <v>44846</v>
      </c>
      <c r="K53" t="s">
        <v>178</v>
      </c>
      <c r="L53" t="s">
        <v>170</v>
      </c>
      <c r="M53" t="s">
        <v>172</v>
      </c>
      <c r="N53">
        <v>1</v>
      </c>
      <c r="O53" t="str">
        <f>IF(H53&gt;'std curve'!$Q$16, "high", "low")</f>
        <v>low</v>
      </c>
      <c r="P53">
        <f>((F53+0.7207)/0.2313)*'dilution factor'!$L$6</f>
        <v>7810.8178237577213</v>
      </c>
      <c r="Q53">
        <f>IF(O53="low",((H53-19.25)/0.2472)*'dilution factor'!$L$7,((H53-621.91)/0.1864)*'dilution factor'!$L$7)</f>
        <v>50.011135700682118</v>
      </c>
      <c r="R53">
        <v>0.1</v>
      </c>
      <c r="S53">
        <v>10</v>
      </c>
      <c r="T53">
        <f t="shared" si="0"/>
        <v>781081.78237577213</v>
      </c>
      <c r="U53">
        <f t="shared" si="1"/>
        <v>5001.1135700682116</v>
      </c>
    </row>
    <row r="54" spans="1:21" x14ac:dyDescent="0.35">
      <c r="A54" s="21" t="s">
        <v>179</v>
      </c>
      <c r="B54" t="s">
        <v>108</v>
      </c>
      <c r="C54" t="s">
        <v>168</v>
      </c>
      <c r="D54">
        <v>4</v>
      </c>
      <c r="E54" s="23">
        <v>44817</v>
      </c>
      <c r="F54">
        <v>2995.2732000000001</v>
      </c>
      <c r="G54">
        <v>542.03099999999995</v>
      </c>
      <c r="H54">
        <v>49.988100000000003</v>
      </c>
      <c r="I54">
        <v>6.4749999999999996</v>
      </c>
      <c r="J54" s="23">
        <v>44846</v>
      </c>
      <c r="K54" t="s">
        <v>180</v>
      </c>
      <c r="L54" t="s">
        <v>183</v>
      </c>
      <c r="M54" t="s">
        <v>172</v>
      </c>
      <c r="N54">
        <v>1</v>
      </c>
      <c r="O54" t="str">
        <f>IF(H54&gt;'std curve'!$Q$16, "high", "low")</f>
        <v>low</v>
      </c>
      <c r="P54">
        <f>((F54+0.7207)/0.2313)*'dilution factor'!$L$6</f>
        <v>14688.659238710432</v>
      </c>
      <c r="Q54">
        <f>IF(O54="low",((H54-19.25)/0.2472)*'dilution factor'!$L$7,((H54-621.91)/0.1864)*'dilution factor'!$L$7)</f>
        <v>149.26469979814513</v>
      </c>
      <c r="R54">
        <v>0.1</v>
      </c>
      <c r="S54">
        <v>10</v>
      </c>
      <c r="T54">
        <f t="shared" si="0"/>
        <v>1468865.9238710431</v>
      </c>
      <c r="U54">
        <f t="shared" si="1"/>
        <v>14926.469979814512</v>
      </c>
    </row>
    <row r="55" spans="1:21" x14ac:dyDescent="0.35">
      <c r="A55" s="21" t="s">
        <v>181</v>
      </c>
      <c r="B55" t="s">
        <v>108</v>
      </c>
      <c r="C55" t="s">
        <v>182</v>
      </c>
      <c r="D55">
        <v>5</v>
      </c>
      <c r="E55" s="23">
        <v>44817</v>
      </c>
      <c r="F55">
        <v>1004.1704</v>
      </c>
      <c r="G55">
        <v>201.10400000000001</v>
      </c>
      <c r="H55">
        <v>98.909400000000005</v>
      </c>
      <c r="I55">
        <v>11.955</v>
      </c>
      <c r="J55" s="23">
        <v>44846</v>
      </c>
      <c r="K55" t="s">
        <v>185</v>
      </c>
      <c r="L55" t="s">
        <v>10</v>
      </c>
      <c r="M55" t="s">
        <v>172</v>
      </c>
      <c r="N55">
        <v>1</v>
      </c>
      <c r="O55" t="str">
        <f>IF(H55&gt;'std curve'!$Q$16, "high", "low")</f>
        <v>low</v>
      </c>
      <c r="P55">
        <f>((F55+0.7207)/0.2313)*'dilution factor'!$L$6</f>
        <v>4926.7466599023746</v>
      </c>
      <c r="Q55">
        <f>IF(O55="low",((H55-19.25)/0.2472)*'dilution factor'!$L$7,((H55-621.91)/0.1864)*'dilution factor'!$L$7)</f>
        <v>386.82730640802009</v>
      </c>
      <c r="R55">
        <v>0.1</v>
      </c>
      <c r="S55">
        <v>10</v>
      </c>
      <c r="T55">
        <f t="shared" si="0"/>
        <v>492674.66599023744</v>
      </c>
      <c r="U55">
        <f t="shared" si="1"/>
        <v>38682.730640802009</v>
      </c>
    </row>
    <row r="56" spans="1:21" x14ac:dyDescent="0.35">
      <c r="A56" s="21" t="s">
        <v>184</v>
      </c>
      <c r="B56" t="s">
        <v>108</v>
      </c>
      <c r="C56" t="s">
        <v>168</v>
      </c>
      <c r="D56">
        <v>7</v>
      </c>
      <c r="E56" s="23">
        <v>44818</v>
      </c>
      <c r="F56">
        <v>2765.7103999999999</v>
      </c>
      <c r="G56">
        <v>505.76900000000001</v>
      </c>
      <c r="H56">
        <v>56.100999999999999</v>
      </c>
      <c r="I56">
        <v>7.2119999999999997</v>
      </c>
      <c r="J56" s="23">
        <v>44846</v>
      </c>
      <c r="K56" t="s">
        <v>186</v>
      </c>
      <c r="L56" t="s">
        <v>10</v>
      </c>
      <c r="M56" t="s">
        <v>172</v>
      </c>
      <c r="N56">
        <v>1</v>
      </c>
      <c r="O56" t="str">
        <f>IF(H56&gt;'std curve'!$Q$16, "high", "low")</f>
        <v>low</v>
      </c>
      <c r="P56">
        <f>((F56+0.7207)/0.2313)*'dilution factor'!$L$6</f>
        <v>13563.166378700189</v>
      </c>
      <c r="Q56">
        <f>IF(O56="low",((H56-19.25)/0.2472)*'dilution factor'!$L$7,((H56-621.91)/0.1864)*'dilution factor'!$L$7)</f>
        <v>178.94903888859253</v>
      </c>
      <c r="R56">
        <v>0.1</v>
      </c>
      <c r="S56">
        <v>10</v>
      </c>
      <c r="T56">
        <f t="shared" si="0"/>
        <v>1356316.6378700188</v>
      </c>
      <c r="U56">
        <f t="shared" si="1"/>
        <v>17894.903888859251</v>
      </c>
    </row>
    <row r="57" spans="1:21" x14ac:dyDescent="0.35">
      <c r="A57" s="29" t="s">
        <v>75</v>
      </c>
      <c r="B57" s="30" t="s">
        <v>10</v>
      </c>
      <c r="C57" s="30" t="s">
        <v>10</v>
      </c>
      <c r="D57" s="30" t="s">
        <v>10</v>
      </c>
      <c r="E57" s="30" t="s">
        <v>10</v>
      </c>
      <c r="F57" s="30">
        <v>46.9696</v>
      </c>
      <c r="G57" s="30">
        <v>11.058999999999999</v>
      </c>
      <c r="H57" s="30">
        <v>2275.2215999999999</v>
      </c>
      <c r="I57" s="30">
        <v>184.73400000000001</v>
      </c>
      <c r="J57" s="31">
        <v>44846</v>
      </c>
      <c r="K57" s="30" t="s">
        <v>187</v>
      </c>
      <c r="L57" s="30" t="s">
        <v>10</v>
      </c>
      <c r="M57" s="30" t="s">
        <v>10</v>
      </c>
      <c r="N57" s="30">
        <v>0</v>
      </c>
      <c r="O57" s="30" t="str">
        <f>IF(H57&gt;'std curve'!$Q$16, "high", "low")</f>
        <v>low</v>
      </c>
      <c r="P57" s="30">
        <f>((F57+0.7207)/0.2313)</f>
        <v>206.18374405533939</v>
      </c>
      <c r="Q57" s="30">
        <f>IF(O57="low",((H57-19.25)/0.2472),((H57-621.91)/0.1864))</f>
        <v>9126.0987055016176</v>
      </c>
      <c r="R57" t="s">
        <v>10</v>
      </c>
      <c r="S57" t="s">
        <v>10</v>
      </c>
      <c r="T57">
        <f t="shared" si="0"/>
        <v>206.18374405533939</v>
      </c>
      <c r="U57">
        <f t="shared" si="1"/>
        <v>9126.0987055016176</v>
      </c>
    </row>
    <row r="58" spans="1:21" x14ac:dyDescent="0.35">
      <c r="A58" s="29" t="s">
        <v>75</v>
      </c>
      <c r="B58" s="30" t="s">
        <v>10</v>
      </c>
      <c r="C58" s="30" t="s">
        <v>10</v>
      </c>
      <c r="D58" s="30" t="s">
        <v>10</v>
      </c>
      <c r="E58" s="30" t="s">
        <v>10</v>
      </c>
      <c r="F58" s="30">
        <v>46.666800000000002</v>
      </c>
      <c r="G58" s="30">
        <v>11.031000000000001</v>
      </c>
      <c r="H58" s="30">
        <v>2276.2444</v>
      </c>
      <c r="I58" s="30">
        <v>184.82900000000001</v>
      </c>
      <c r="J58" s="31">
        <v>44846</v>
      </c>
      <c r="K58" s="30" t="s">
        <v>190</v>
      </c>
      <c r="L58" s="30" t="s">
        <v>10</v>
      </c>
      <c r="M58" s="30" t="s">
        <v>10</v>
      </c>
      <c r="N58" s="30">
        <v>0</v>
      </c>
      <c r="O58" s="30" t="str">
        <f>IF(H58&gt;'std curve'!$Q$16, "high", "low")</f>
        <v>low</v>
      </c>
      <c r="P58" s="30">
        <f>((F58+0.7207)/0.2313)</f>
        <v>204.87462170341547</v>
      </c>
      <c r="Q58" s="30">
        <f>IF(O58="low",((H58-19.25)/0.2472),((H58-621.91)/0.1864))</f>
        <v>9130.236245954693</v>
      </c>
      <c r="R58" t="s">
        <v>10</v>
      </c>
      <c r="S58" t="s">
        <v>10</v>
      </c>
      <c r="T58">
        <f t="shared" si="0"/>
        <v>204.87462170341547</v>
      </c>
      <c r="U58">
        <f t="shared" si="1"/>
        <v>9130.236245954693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BD31-6B7B-456A-AC80-5D1F7663662B}">
  <dimension ref="A1:Q10"/>
  <sheetViews>
    <sheetView topLeftCell="B1" workbookViewId="0">
      <selection activeCell="C5" sqref="C5"/>
    </sheetView>
  </sheetViews>
  <sheetFormatPr defaultColWidth="8.81640625" defaultRowHeight="14.5" x14ac:dyDescent="0.35"/>
  <cols>
    <col min="16" max="16" width="20.1796875" bestFit="1" customWidth="1"/>
  </cols>
  <sheetData>
    <row r="1" spans="1:17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5</v>
      </c>
      <c r="G1" s="1" t="s">
        <v>8</v>
      </c>
      <c r="H1" s="1"/>
    </row>
    <row r="2" spans="1:17" x14ac:dyDescent="0.35">
      <c r="A2">
        <v>1</v>
      </c>
      <c r="B2">
        <v>500</v>
      </c>
      <c r="C2">
        <v>0</v>
      </c>
      <c r="D2">
        <v>0</v>
      </c>
      <c r="E2">
        <v>120.9524</v>
      </c>
      <c r="F2">
        <v>14.369</v>
      </c>
      <c r="G2" t="s">
        <v>191</v>
      </c>
      <c r="P2" s="4" t="s">
        <v>14</v>
      </c>
      <c r="Q2" s="4">
        <f>0.2313*200-0.7207</f>
        <v>45.539299999999997</v>
      </c>
    </row>
    <row r="3" spans="1:17" x14ac:dyDescent="0.35">
      <c r="A3">
        <v>5</v>
      </c>
      <c r="B3">
        <v>1000</v>
      </c>
      <c r="C3">
        <v>0</v>
      </c>
      <c r="D3">
        <v>0</v>
      </c>
      <c r="E3">
        <v>252.2774</v>
      </c>
      <c r="F3">
        <v>27.34</v>
      </c>
      <c r="G3" t="s">
        <v>192</v>
      </c>
      <c r="P3" s="7" t="s">
        <v>13</v>
      </c>
      <c r="Q3" s="7">
        <f>0.2313*10000-0.7207</f>
        <v>2312.2793000000001</v>
      </c>
    </row>
    <row r="4" spans="1:17" x14ac:dyDescent="0.35">
      <c r="A4">
        <v>30</v>
      </c>
      <c r="B4">
        <v>2000</v>
      </c>
      <c r="C4">
        <v>3.6408</v>
      </c>
      <c r="D4">
        <v>0.84499999999999997</v>
      </c>
      <c r="E4">
        <v>519.71019999999999</v>
      </c>
      <c r="F4">
        <v>52.070999999999998</v>
      </c>
      <c r="G4" t="s">
        <v>193</v>
      </c>
    </row>
    <row r="5" spans="1:17" x14ac:dyDescent="0.35">
      <c r="A5">
        <v>200</v>
      </c>
      <c r="B5">
        <v>10000</v>
      </c>
      <c r="C5">
        <v>46.822800000000001</v>
      </c>
      <c r="D5">
        <v>11.07</v>
      </c>
      <c r="E5">
        <v>2313.7784000000001</v>
      </c>
      <c r="F5">
        <v>188.02500000000001</v>
      </c>
      <c r="G5" t="s">
        <v>194</v>
      </c>
    </row>
    <row r="6" spans="1:17" x14ac:dyDescent="0.35">
      <c r="A6">
        <v>10000</v>
      </c>
      <c r="B6">
        <v>20000</v>
      </c>
      <c r="C6">
        <v>2299.2446</v>
      </c>
      <c r="D6">
        <v>437.05799999999999</v>
      </c>
      <c r="E6">
        <v>3901.4295000000002</v>
      </c>
      <c r="F6">
        <v>283.49200000000002</v>
      </c>
      <c r="G6" t="s">
        <v>195</v>
      </c>
    </row>
    <row r="8" spans="1:17" x14ac:dyDescent="0.35">
      <c r="P8" s="1" t="s">
        <v>47</v>
      </c>
    </row>
    <row r="9" spans="1:17" x14ac:dyDescent="0.35">
      <c r="P9" s="4" t="s">
        <v>14</v>
      </c>
      <c r="Q9" s="4">
        <f>0.229*10000+28.87</f>
        <v>2318.87</v>
      </c>
    </row>
    <row r="10" spans="1:17" x14ac:dyDescent="0.35">
      <c r="P10" s="7" t="s">
        <v>13</v>
      </c>
      <c r="Q10" s="7">
        <f>2.0945*20000-944.71</f>
        <v>40945.29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66C0-5B50-4EDD-9F3F-3C3C9649BCC4}">
  <dimension ref="A1:T58"/>
  <sheetViews>
    <sheetView workbookViewId="0">
      <pane ySplit="1" topLeftCell="A2" activePane="bottomLeft" state="frozen"/>
      <selection pane="bottomLeft" activeCell="L21" sqref="L21"/>
    </sheetView>
  </sheetViews>
  <sheetFormatPr defaultColWidth="8.81640625" defaultRowHeight="14.5" x14ac:dyDescent="0.35"/>
  <cols>
    <col min="1" max="1" width="35.36328125" style="21" customWidth="1"/>
    <col min="5" max="5" width="9.453125" bestFit="1" customWidth="1"/>
    <col min="6" max="6" width="10.453125" customWidth="1"/>
    <col min="8" max="8" width="10" customWidth="1"/>
    <col min="10" max="10" width="10.453125" bestFit="1" customWidth="1"/>
    <col min="15" max="15" width="16" customWidth="1"/>
    <col min="19" max="19" width="11" customWidth="1"/>
  </cols>
  <sheetData>
    <row r="1" spans="1:20" s="6" customFormat="1" x14ac:dyDescent="0.35">
      <c r="A1" s="20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48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25</v>
      </c>
      <c r="N1" s="5" t="s">
        <v>29</v>
      </c>
      <c r="O1" s="5" t="s">
        <v>27</v>
      </c>
      <c r="P1" s="5" t="s">
        <v>28</v>
      </c>
    </row>
    <row r="2" spans="1:20" x14ac:dyDescent="0.35">
      <c r="A2" s="21" t="s">
        <v>189</v>
      </c>
      <c r="B2" t="s">
        <v>108</v>
      </c>
      <c r="C2" t="s">
        <v>188</v>
      </c>
      <c r="D2">
        <v>7</v>
      </c>
      <c r="E2" s="23">
        <v>44818</v>
      </c>
      <c r="F2">
        <v>2179.6104999999998</v>
      </c>
      <c r="G2">
        <v>410.1</v>
      </c>
      <c r="H2">
        <v>79.759600000000006</v>
      </c>
      <c r="I2">
        <v>9.8650000000000002</v>
      </c>
      <c r="J2" s="23">
        <v>44846</v>
      </c>
      <c r="K2" t="s">
        <v>197</v>
      </c>
      <c r="O2" t="s">
        <v>172</v>
      </c>
      <c r="R2" s="4" t="s">
        <v>90</v>
      </c>
      <c r="S2" s="4"/>
      <c r="T2" s="4">
        <f>'std curve (2)'!Q2</f>
        <v>45.539299999999997</v>
      </c>
    </row>
    <row r="3" spans="1:20" x14ac:dyDescent="0.35">
      <c r="A3" s="21" t="s">
        <v>196</v>
      </c>
      <c r="B3" t="s">
        <v>108</v>
      </c>
      <c r="C3" t="s">
        <v>168</v>
      </c>
      <c r="D3">
        <v>8</v>
      </c>
      <c r="E3" s="23">
        <v>44818</v>
      </c>
      <c r="F3">
        <v>1480.4160999999999</v>
      </c>
      <c r="G3">
        <v>288.822</v>
      </c>
      <c r="H3">
        <v>22.1264</v>
      </c>
      <c r="I3">
        <v>2.8969999999999998</v>
      </c>
      <c r="J3" s="23">
        <v>44846</v>
      </c>
      <c r="K3" t="s">
        <v>198</v>
      </c>
      <c r="O3" t="s">
        <v>172</v>
      </c>
      <c r="R3" s="4" t="s">
        <v>91</v>
      </c>
      <c r="S3" s="4"/>
      <c r="T3" s="4">
        <f>'std curve (2)'!Q3</f>
        <v>2312.2793000000001</v>
      </c>
    </row>
    <row r="4" spans="1:20" x14ac:dyDescent="0.35">
      <c r="A4" s="21" t="s">
        <v>199</v>
      </c>
      <c r="B4" t="s">
        <v>108</v>
      </c>
      <c r="C4" t="s">
        <v>200</v>
      </c>
      <c r="D4" t="s">
        <v>10</v>
      </c>
      <c r="E4" s="23">
        <v>44818</v>
      </c>
      <c r="F4">
        <v>1769.9856</v>
      </c>
      <c r="G4">
        <v>340.64800000000002</v>
      </c>
      <c r="H4">
        <v>52.593000000000004</v>
      </c>
      <c r="I4">
        <v>6.8049999999999997</v>
      </c>
      <c r="J4" s="23">
        <v>44846</v>
      </c>
      <c r="K4" t="s">
        <v>201</v>
      </c>
      <c r="O4" t="s">
        <v>172</v>
      </c>
    </row>
    <row r="5" spans="1:20" x14ac:dyDescent="0.35">
      <c r="A5" s="21" t="s">
        <v>202</v>
      </c>
      <c r="B5" t="s">
        <v>108</v>
      </c>
      <c r="C5" t="s">
        <v>203</v>
      </c>
      <c r="D5" t="s">
        <v>10</v>
      </c>
      <c r="E5" s="23">
        <v>44818</v>
      </c>
      <c r="F5">
        <v>1833.8743999999999</v>
      </c>
      <c r="G5">
        <v>351.36399999999998</v>
      </c>
      <c r="H5">
        <v>23.5824</v>
      </c>
      <c r="I5">
        <v>3.1080000000000001</v>
      </c>
      <c r="J5" s="23">
        <v>44846</v>
      </c>
      <c r="K5" t="s">
        <v>206</v>
      </c>
      <c r="O5" t="s">
        <v>172</v>
      </c>
      <c r="R5" s="7" t="s">
        <v>32</v>
      </c>
      <c r="S5" s="7"/>
      <c r="T5" s="7">
        <f>'std curve (2)'!Q9</f>
        <v>2318.87</v>
      </c>
    </row>
    <row r="6" spans="1:20" x14ac:dyDescent="0.35">
      <c r="A6" s="21" t="s">
        <v>205</v>
      </c>
      <c r="B6" t="s">
        <v>108</v>
      </c>
      <c r="C6" t="s">
        <v>204</v>
      </c>
      <c r="D6" t="s">
        <v>10</v>
      </c>
      <c r="E6" s="23">
        <v>44818</v>
      </c>
      <c r="F6">
        <v>268.08170000000001</v>
      </c>
      <c r="G6">
        <v>56.280999999999999</v>
      </c>
      <c r="H6">
        <v>5.6562999999999999</v>
      </c>
      <c r="I6">
        <v>0.68799999999999994</v>
      </c>
      <c r="J6" s="23">
        <v>44846</v>
      </c>
      <c r="K6" t="s">
        <v>207</v>
      </c>
      <c r="O6" t="s">
        <v>172</v>
      </c>
      <c r="R6" s="7" t="s">
        <v>33</v>
      </c>
      <c r="S6" s="7"/>
      <c r="T6" s="7">
        <f>'std curve (2)'!Q10</f>
        <v>40945.29</v>
      </c>
    </row>
    <row r="7" spans="1:20" x14ac:dyDescent="0.35">
      <c r="A7" s="21" t="s">
        <v>208</v>
      </c>
      <c r="B7" t="s">
        <v>108</v>
      </c>
      <c r="C7" t="s">
        <v>209</v>
      </c>
      <c r="D7" t="s">
        <v>10</v>
      </c>
      <c r="E7" s="23">
        <v>44818</v>
      </c>
      <c r="F7">
        <v>1720.4938</v>
      </c>
      <c r="G7">
        <v>331.52</v>
      </c>
      <c r="H7">
        <v>20.428899999999999</v>
      </c>
      <c r="I7">
        <v>2.6989999999999998</v>
      </c>
      <c r="J7" s="23">
        <v>44846</v>
      </c>
      <c r="K7" t="s">
        <v>210</v>
      </c>
      <c r="O7" t="s">
        <v>172</v>
      </c>
    </row>
    <row r="8" spans="1:20" x14ac:dyDescent="0.35">
      <c r="A8" s="21" t="s">
        <v>211</v>
      </c>
      <c r="B8" t="s">
        <v>108</v>
      </c>
      <c r="C8" t="s">
        <v>212</v>
      </c>
      <c r="D8" t="s">
        <v>10</v>
      </c>
      <c r="E8" s="23">
        <v>44818</v>
      </c>
      <c r="F8">
        <v>1163.9666999999999</v>
      </c>
      <c r="G8">
        <v>230.958</v>
      </c>
      <c r="H8">
        <v>10.2942</v>
      </c>
      <c r="I8">
        <v>1.2969999999999999</v>
      </c>
      <c r="J8" s="23">
        <v>44846</v>
      </c>
      <c r="K8" t="s">
        <v>213</v>
      </c>
      <c r="O8" t="s">
        <v>172</v>
      </c>
    </row>
    <row r="9" spans="1:20" x14ac:dyDescent="0.35">
      <c r="A9" s="21" t="s">
        <v>215</v>
      </c>
      <c r="B9" t="s">
        <v>108</v>
      </c>
      <c r="C9" t="s">
        <v>163</v>
      </c>
      <c r="D9">
        <v>1</v>
      </c>
      <c r="E9" s="23">
        <v>44818</v>
      </c>
      <c r="F9">
        <v>1008.2082</v>
      </c>
      <c r="G9">
        <v>201.958</v>
      </c>
      <c r="H9">
        <v>22.029499999999999</v>
      </c>
      <c r="I9">
        <v>2.891</v>
      </c>
      <c r="J9" s="23">
        <v>44846</v>
      </c>
      <c r="K9" t="s">
        <v>214</v>
      </c>
      <c r="O9" t="s">
        <v>172</v>
      </c>
    </row>
    <row r="10" spans="1:20" x14ac:dyDescent="0.35">
      <c r="A10" s="21" t="s">
        <v>216</v>
      </c>
      <c r="B10" t="s">
        <v>108</v>
      </c>
      <c r="C10" t="s">
        <v>163</v>
      </c>
      <c r="D10">
        <v>2</v>
      </c>
      <c r="E10" s="23">
        <v>44818</v>
      </c>
      <c r="F10">
        <v>0</v>
      </c>
      <c r="G10">
        <v>0</v>
      </c>
      <c r="H10">
        <v>0</v>
      </c>
      <c r="I10">
        <v>0</v>
      </c>
      <c r="J10" s="23">
        <v>44846</v>
      </c>
      <c r="K10" t="s">
        <v>219</v>
      </c>
      <c r="L10" t="s">
        <v>218</v>
      </c>
      <c r="O10" t="s">
        <v>172</v>
      </c>
    </row>
    <row r="11" spans="1:20" x14ac:dyDescent="0.35">
      <c r="A11" s="22" t="s">
        <v>75</v>
      </c>
      <c r="B11" t="s">
        <v>10</v>
      </c>
      <c r="C11" t="s">
        <v>10</v>
      </c>
      <c r="D11" t="s">
        <v>10</v>
      </c>
      <c r="E11" s="23">
        <v>44818</v>
      </c>
      <c r="F11">
        <v>45.870399999999997</v>
      </c>
      <c r="G11">
        <v>10.88</v>
      </c>
      <c r="H11">
        <v>2216.3535999999999</v>
      </c>
      <c r="I11">
        <v>179.62299999999999</v>
      </c>
      <c r="J11" s="23">
        <v>44846</v>
      </c>
      <c r="K11" t="s">
        <v>220</v>
      </c>
      <c r="M11">
        <f>100*(F11-$T$2)/AVERAGE(F11,$T$2)</f>
        <v>0.72443077704007197</v>
      </c>
      <c r="N11">
        <f>100*(H11-$T$3)/AVERAGE(H11,$T$3)</f>
        <v>-4.2364087404832578</v>
      </c>
    </row>
    <row r="12" spans="1:20" x14ac:dyDescent="0.35">
      <c r="A12" s="21" t="s">
        <v>217</v>
      </c>
      <c r="B12" t="s">
        <v>108</v>
      </c>
      <c r="C12" t="s">
        <v>163</v>
      </c>
      <c r="D12">
        <v>3</v>
      </c>
      <c r="E12" s="23">
        <v>44818</v>
      </c>
      <c r="F12">
        <v>2933.7212</v>
      </c>
      <c r="G12">
        <v>532.32100000000003</v>
      </c>
      <c r="H12">
        <v>125.194</v>
      </c>
      <c r="I12">
        <v>14.589</v>
      </c>
      <c r="J12" s="23">
        <v>44846</v>
      </c>
      <c r="K12" t="s">
        <v>221</v>
      </c>
      <c r="O12" t="s">
        <v>172</v>
      </c>
    </row>
    <row r="13" spans="1:20" x14ac:dyDescent="0.35">
      <c r="A13" s="21" t="s">
        <v>222</v>
      </c>
      <c r="B13" t="s">
        <v>81</v>
      </c>
      <c r="C13" t="s">
        <v>224</v>
      </c>
      <c r="D13" t="s">
        <v>10</v>
      </c>
      <c r="E13" s="23">
        <v>44790</v>
      </c>
      <c r="F13">
        <v>186.23</v>
      </c>
      <c r="G13">
        <v>39.570999999999998</v>
      </c>
      <c r="H13">
        <v>4.2393000000000001</v>
      </c>
      <c r="I13">
        <v>0.51900000000000002</v>
      </c>
      <c r="J13" s="23">
        <v>44846</v>
      </c>
      <c r="K13" t="s">
        <v>223</v>
      </c>
      <c r="O13" t="s">
        <v>172</v>
      </c>
    </row>
    <row r="14" spans="1:20" x14ac:dyDescent="0.35">
      <c r="A14" s="21" t="s">
        <v>225</v>
      </c>
      <c r="B14" t="s">
        <v>81</v>
      </c>
      <c r="C14" t="s">
        <v>226</v>
      </c>
      <c r="D14" t="s">
        <v>10</v>
      </c>
      <c r="E14" s="23">
        <v>44790</v>
      </c>
      <c r="F14">
        <v>1091.6321</v>
      </c>
      <c r="G14">
        <v>217.75399999999999</v>
      </c>
      <c r="H14">
        <v>5.6905000000000001</v>
      </c>
      <c r="I14">
        <v>0.70599999999999996</v>
      </c>
      <c r="J14" s="23">
        <v>44846</v>
      </c>
      <c r="K14" t="s">
        <v>227</v>
      </c>
      <c r="O14" t="s">
        <v>172</v>
      </c>
    </row>
    <row r="15" spans="1:20" x14ac:dyDescent="0.35">
      <c r="A15" s="21" t="s">
        <v>228</v>
      </c>
      <c r="B15" t="s">
        <v>81</v>
      </c>
      <c r="C15" t="s">
        <v>163</v>
      </c>
      <c r="D15">
        <v>1</v>
      </c>
      <c r="E15" s="23">
        <v>44790</v>
      </c>
      <c r="F15">
        <v>2168.0763999999999</v>
      </c>
      <c r="G15">
        <v>408.35399999999998</v>
      </c>
      <c r="H15">
        <v>97.197999999999993</v>
      </c>
      <c r="I15">
        <v>11.723000000000001</v>
      </c>
      <c r="J15" s="23">
        <v>44846</v>
      </c>
      <c r="K15" t="s">
        <v>231</v>
      </c>
      <c r="O15" t="s">
        <v>172</v>
      </c>
    </row>
    <row r="16" spans="1:20" x14ac:dyDescent="0.35">
      <c r="A16" s="21" t="s">
        <v>229</v>
      </c>
      <c r="B16" t="s">
        <v>81</v>
      </c>
      <c r="C16" t="s">
        <v>163</v>
      </c>
      <c r="D16">
        <v>2</v>
      </c>
      <c r="E16" s="23">
        <v>44790</v>
      </c>
      <c r="F16">
        <v>118.8792</v>
      </c>
      <c r="G16">
        <v>25.774999999999999</v>
      </c>
      <c r="H16">
        <v>3.3159999999999998</v>
      </c>
      <c r="I16">
        <v>0.39200000000000002</v>
      </c>
      <c r="J16" s="23">
        <v>44846</v>
      </c>
      <c r="K16" t="s">
        <v>232</v>
      </c>
      <c r="O16" t="s">
        <v>172</v>
      </c>
    </row>
    <row r="17" spans="1:15" x14ac:dyDescent="0.35">
      <c r="A17" s="21" t="s">
        <v>230</v>
      </c>
      <c r="B17" t="s">
        <v>81</v>
      </c>
      <c r="C17" t="s">
        <v>163</v>
      </c>
      <c r="D17">
        <v>3</v>
      </c>
      <c r="E17" s="23">
        <v>44790</v>
      </c>
      <c r="F17">
        <v>2320.1183999999998</v>
      </c>
      <c r="G17">
        <v>433.87099999999998</v>
      </c>
      <c r="H17">
        <v>76.828400000000002</v>
      </c>
      <c r="I17">
        <v>9.5259999999999998</v>
      </c>
      <c r="J17" s="23">
        <v>44846</v>
      </c>
      <c r="K17" t="s">
        <v>233</v>
      </c>
      <c r="O17" t="s">
        <v>172</v>
      </c>
    </row>
    <row r="18" spans="1:15" x14ac:dyDescent="0.35">
      <c r="A18" s="21" t="s">
        <v>235</v>
      </c>
      <c r="B18" t="s">
        <v>239</v>
      </c>
      <c r="C18" t="s">
        <v>236</v>
      </c>
      <c r="D18">
        <v>4</v>
      </c>
      <c r="E18" s="23">
        <v>44795</v>
      </c>
      <c r="F18">
        <v>25.673200000000001</v>
      </c>
      <c r="G18">
        <v>6.2450000000000001</v>
      </c>
      <c r="H18">
        <v>1.194</v>
      </c>
      <c r="I18">
        <v>0.152</v>
      </c>
      <c r="J18" s="23">
        <v>44846</v>
      </c>
      <c r="K18" t="s">
        <v>237</v>
      </c>
      <c r="O18" t="s">
        <v>172</v>
      </c>
    </row>
    <row r="19" spans="1:15" x14ac:dyDescent="0.35">
      <c r="A19" s="21" t="s">
        <v>235</v>
      </c>
      <c r="B19" t="s">
        <v>239</v>
      </c>
      <c r="C19" t="s">
        <v>236</v>
      </c>
      <c r="D19">
        <v>4</v>
      </c>
      <c r="E19" s="23">
        <v>44795</v>
      </c>
      <c r="F19">
        <v>1561.6883</v>
      </c>
      <c r="G19">
        <v>304.12200000000001</v>
      </c>
      <c r="H19">
        <v>130.83580000000001</v>
      </c>
      <c r="I19">
        <v>15.199</v>
      </c>
      <c r="J19" s="23">
        <v>44846</v>
      </c>
      <c r="K19" t="s">
        <v>240</v>
      </c>
      <c r="L19" t="s">
        <v>238</v>
      </c>
      <c r="O19" t="s">
        <v>10</v>
      </c>
    </row>
    <row r="20" spans="1:15" x14ac:dyDescent="0.35">
      <c r="A20" s="21" t="s">
        <v>234</v>
      </c>
      <c r="B20" t="s">
        <v>239</v>
      </c>
      <c r="C20" t="s">
        <v>241</v>
      </c>
      <c r="D20">
        <v>6</v>
      </c>
      <c r="E20" s="23">
        <v>44796</v>
      </c>
      <c r="F20">
        <v>2737.9243999999999</v>
      </c>
      <c r="G20">
        <v>502.02600000000001</v>
      </c>
      <c r="H20">
        <v>12.073600000000001</v>
      </c>
      <c r="I20">
        <v>1.5469999999999999</v>
      </c>
      <c r="J20" s="23">
        <v>44846</v>
      </c>
      <c r="K20" t="s">
        <v>242</v>
      </c>
      <c r="O20" t="s">
        <v>172</v>
      </c>
    </row>
    <row r="21" spans="1:15" x14ac:dyDescent="0.35">
      <c r="A21" s="21" t="s">
        <v>243</v>
      </c>
      <c r="B21" t="s">
        <v>239</v>
      </c>
      <c r="C21" t="s">
        <v>244</v>
      </c>
      <c r="D21" t="s">
        <v>10</v>
      </c>
      <c r="E21" s="23">
        <v>44796</v>
      </c>
      <c r="F21">
        <v>407.3347</v>
      </c>
      <c r="G21">
        <v>84.46</v>
      </c>
      <c r="H21">
        <v>1.9665999999999999</v>
      </c>
      <c r="I21">
        <v>0.23100000000000001</v>
      </c>
      <c r="J21" s="23">
        <v>44846</v>
      </c>
      <c r="K21" t="s">
        <v>245</v>
      </c>
      <c r="L21" t="s">
        <v>258</v>
      </c>
    </row>
    <row r="22" spans="1:15" x14ac:dyDescent="0.35">
      <c r="A22" s="22" t="s">
        <v>75</v>
      </c>
      <c r="B22" t="s">
        <v>10</v>
      </c>
      <c r="C22" t="s">
        <v>10</v>
      </c>
      <c r="D22" t="s">
        <v>10</v>
      </c>
      <c r="E22" t="s">
        <v>10</v>
      </c>
      <c r="F22">
        <v>45.8932</v>
      </c>
      <c r="G22">
        <v>10.898999999999999</v>
      </c>
      <c r="H22">
        <v>2205.779</v>
      </c>
      <c r="I22">
        <v>177.797</v>
      </c>
      <c r="J22" s="23">
        <v>44846</v>
      </c>
      <c r="K22" t="s">
        <v>246</v>
      </c>
      <c r="M22">
        <f>100*(F22-$T$2)/AVERAGE(F22,$T$2)</f>
        <v>0.77412298690291304</v>
      </c>
      <c r="N22">
        <f>100*(H22-$T$3)/AVERAGE(H22,$T$3)</f>
        <v>-4.7144278771258943</v>
      </c>
    </row>
    <row r="23" spans="1:15" x14ac:dyDescent="0.35">
      <c r="A23" s="22"/>
      <c r="J23" s="23"/>
    </row>
    <row r="24" spans="1:15" x14ac:dyDescent="0.35">
      <c r="E24" s="23"/>
      <c r="J24" s="23"/>
    </row>
    <row r="25" spans="1:15" x14ac:dyDescent="0.35">
      <c r="E25" s="23"/>
      <c r="J25" s="23"/>
    </row>
    <row r="26" spans="1:15" x14ac:dyDescent="0.35">
      <c r="E26" s="23"/>
      <c r="J26" s="23"/>
    </row>
    <row r="27" spans="1:15" x14ac:dyDescent="0.35">
      <c r="E27" s="23"/>
      <c r="J27" s="23"/>
    </row>
    <row r="28" spans="1:15" x14ac:dyDescent="0.35">
      <c r="E28" s="23"/>
      <c r="J28" s="23"/>
    </row>
    <row r="29" spans="1:15" x14ac:dyDescent="0.35">
      <c r="J29" s="23"/>
    </row>
    <row r="30" spans="1:15" x14ac:dyDescent="0.35">
      <c r="J30" s="23"/>
    </row>
    <row r="31" spans="1:15" x14ac:dyDescent="0.35">
      <c r="J31" s="23"/>
    </row>
    <row r="32" spans="1:15" x14ac:dyDescent="0.35">
      <c r="J32" s="23"/>
    </row>
    <row r="33" spans="1:20" x14ac:dyDescent="0.35">
      <c r="J33" s="23"/>
    </row>
    <row r="34" spans="1:20" x14ac:dyDescent="0.35">
      <c r="J34" s="23"/>
    </row>
    <row r="35" spans="1:20" x14ac:dyDescent="0.35">
      <c r="A35" s="22"/>
      <c r="J35" s="23"/>
    </row>
    <row r="36" spans="1:20" x14ac:dyDescent="0.35">
      <c r="A36" s="22"/>
      <c r="J36" s="23"/>
    </row>
    <row r="37" spans="1:20" x14ac:dyDescent="0.35">
      <c r="E37" s="23"/>
      <c r="J37" s="23"/>
    </row>
    <row r="38" spans="1:20" x14ac:dyDescent="0.35">
      <c r="E38" s="23"/>
      <c r="J38" s="23"/>
    </row>
    <row r="39" spans="1:20" x14ac:dyDescent="0.35">
      <c r="E39" s="23"/>
      <c r="J39" s="23"/>
    </row>
    <row r="40" spans="1:20" x14ac:dyDescent="0.35">
      <c r="E40" s="23"/>
      <c r="J40" s="23"/>
    </row>
    <row r="41" spans="1:20" x14ac:dyDescent="0.35">
      <c r="E41" s="23"/>
      <c r="J41" s="23"/>
    </row>
    <row r="42" spans="1:20" x14ac:dyDescent="0.35">
      <c r="E42" s="23"/>
      <c r="J42" s="23"/>
    </row>
    <row r="43" spans="1:20" x14ac:dyDescent="0.35">
      <c r="E43" s="23"/>
      <c r="J43" s="23"/>
    </row>
    <row r="44" spans="1:20" x14ac:dyDescent="0.35">
      <c r="E44" s="23"/>
      <c r="J44" s="23"/>
    </row>
    <row r="45" spans="1:20" x14ac:dyDescent="0.35">
      <c r="A45" s="22"/>
      <c r="J45" s="23"/>
    </row>
    <row r="46" spans="1:20" x14ac:dyDescent="0.35">
      <c r="E46" s="23"/>
      <c r="J46" s="23"/>
      <c r="S46">
        <v>2310.3263999999999</v>
      </c>
      <c r="T46">
        <v>2995.2732000000001</v>
      </c>
    </row>
    <row r="47" spans="1:20" x14ac:dyDescent="0.35">
      <c r="E47" s="23"/>
      <c r="J47" s="23"/>
      <c r="S47">
        <f>(S46+ 0.7207)/0.2313</f>
        <v>9991.5568525724157</v>
      </c>
      <c r="T47">
        <f>(T46+ 0.7207)/0.2313</f>
        <v>12952.848681366191</v>
      </c>
    </row>
    <row r="48" spans="1:20" x14ac:dyDescent="0.35">
      <c r="E48" s="23"/>
      <c r="J48" s="23"/>
    </row>
    <row r="49" spans="1:10" x14ac:dyDescent="0.35">
      <c r="E49" s="21"/>
      <c r="J49" s="23"/>
    </row>
    <row r="50" spans="1:10" x14ac:dyDescent="0.35">
      <c r="E50" s="21"/>
      <c r="J50" s="23"/>
    </row>
    <row r="51" spans="1:10" x14ac:dyDescent="0.35">
      <c r="E51" s="23"/>
      <c r="J51" s="23"/>
    </row>
    <row r="52" spans="1:10" x14ac:dyDescent="0.35">
      <c r="E52" s="23"/>
      <c r="J52" s="23"/>
    </row>
    <row r="53" spans="1:10" x14ac:dyDescent="0.35">
      <c r="E53" s="23"/>
      <c r="J53" s="23"/>
    </row>
    <row r="54" spans="1:10" x14ac:dyDescent="0.35">
      <c r="E54" s="23"/>
      <c r="J54" s="23"/>
    </row>
    <row r="55" spans="1:10" x14ac:dyDescent="0.35">
      <c r="E55" s="23"/>
      <c r="J55" s="23"/>
    </row>
    <row r="56" spans="1:10" x14ac:dyDescent="0.35">
      <c r="A56" s="22"/>
      <c r="J56" s="23"/>
    </row>
    <row r="57" spans="1:10" x14ac:dyDescent="0.35">
      <c r="A57" s="22"/>
      <c r="J57" s="23"/>
    </row>
    <row r="58" spans="1:10" x14ac:dyDescent="0.35">
      <c r="E58" s="23"/>
    </row>
  </sheetData>
  <conditionalFormatting sqref="G21:G661 H37:H57 G2:H19 F20:H20 F21:F22 H21:H22">
    <cfRule type="cellIs" dxfId="1" priority="2" operator="greaterThan">
      <formula>$T$5</formula>
    </cfRule>
  </conditionalFormatting>
  <conditionalFormatting sqref="I2:I691">
    <cfRule type="cellIs" dxfId="0" priority="1" operator="greaterThan">
      <formula>$T$6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4C06-A874-4EAC-92FF-8B88CFEE7EB6}">
  <dimension ref="A1:AB22"/>
  <sheetViews>
    <sheetView topLeftCell="A4" workbookViewId="0">
      <selection activeCell="L12" sqref="L12"/>
    </sheetView>
  </sheetViews>
  <sheetFormatPr defaultRowHeight="14.5" x14ac:dyDescent="0.35"/>
  <sheetData>
    <row r="1" spans="1:28" ht="58" x14ac:dyDescent="0.35">
      <c r="A1" s="32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4</v>
      </c>
      <c r="G1" s="28" t="s">
        <v>3</v>
      </c>
      <c r="H1" s="28" t="s">
        <v>48</v>
      </c>
      <c r="I1" s="28" t="s">
        <v>5</v>
      </c>
      <c r="J1" s="28" t="s">
        <v>24</v>
      </c>
      <c r="K1" s="28" t="s">
        <v>8</v>
      </c>
      <c r="L1" s="28" t="s">
        <v>7</v>
      </c>
      <c r="M1" s="28" t="s">
        <v>27</v>
      </c>
      <c r="N1" s="28" t="s">
        <v>28</v>
      </c>
      <c r="O1" s="28" t="s">
        <v>257</v>
      </c>
      <c r="P1" s="28" t="s">
        <v>251</v>
      </c>
      <c r="Q1" s="28" t="s">
        <v>252</v>
      </c>
      <c r="R1" s="28" t="s">
        <v>255</v>
      </c>
      <c r="S1" s="28" t="s">
        <v>256</v>
      </c>
      <c r="T1" s="28" t="s">
        <v>253</v>
      </c>
      <c r="U1" s="28" t="s">
        <v>254</v>
      </c>
      <c r="V1" s="28"/>
      <c r="W1" s="28"/>
      <c r="X1" s="28"/>
      <c r="Y1" s="28"/>
      <c r="Z1" s="28"/>
      <c r="AA1" s="28"/>
      <c r="AB1" s="28"/>
    </row>
    <row r="2" spans="1:28" x14ac:dyDescent="0.35">
      <c r="A2" s="21" t="s">
        <v>189</v>
      </c>
      <c r="B2" t="s">
        <v>108</v>
      </c>
      <c r="C2" t="s">
        <v>188</v>
      </c>
      <c r="D2">
        <v>7</v>
      </c>
      <c r="E2" s="23">
        <v>44818</v>
      </c>
      <c r="F2">
        <v>2179.6104999999998</v>
      </c>
      <c r="G2">
        <v>410.1</v>
      </c>
      <c r="H2">
        <v>79.759600000000006</v>
      </c>
      <c r="I2">
        <v>9.8650000000000002</v>
      </c>
      <c r="J2" s="23">
        <v>44846</v>
      </c>
      <c r="K2" t="s">
        <v>197</v>
      </c>
      <c r="L2" t="s">
        <v>10</v>
      </c>
      <c r="M2" t="s">
        <v>172</v>
      </c>
      <c r="O2" t="str">
        <f>IF(H2&gt;'std curve (2)'!$Q$9, "high", "low")</f>
        <v>low</v>
      </c>
      <c r="P2">
        <f>((F2+0.7202)/0.2313)*'dilution factor'!$L$6</f>
        <v>10689.652832737404</v>
      </c>
      <c r="Q2">
        <f>((H2-28.87)/0.229)*'dilution factor'!$L$7</f>
        <v>266.76086318216431</v>
      </c>
      <c r="R2">
        <v>0.1</v>
      </c>
      <c r="S2">
        <v>10</v>
      </c>
      <c r="T2">
        <f>IF(R2="NA", P2, (P2*S2)/R2)</f>
        <v>1068965.2832737402</v>
      </c>
      <c r="U2">
        <f>IF(R2="NA", Q2, (Q2*S2)/R2)</f>
        <v>26676.086318216428</v>
      </c>
    </row>
    <row r="3" spans="1:28" x14ac:dyDescent="0.35">
      <c r="A3" s="21" t="s">
        <v>196</v>
      </c>
      <c r="B3" t="s">
        <v>108</v>
      </c>
      <c r="C3" t="s">
        <v>168</v>
      </c>
      <c r="D3">
        <v>8</v>
      </c>
      <c r="E3" s="23">
        <v>44818</v>
      </c>
      <c r="F3">
        <v>1480.4160999999999</v>
      </c>
      <c r="G3">
        <v>288.822</v>
      </c>
      <c r="H3">
        <v>22.1264</v>
      </c>
      <c r="I3">
        <v>2.8969999999999998</v>
      </c>
      <c r="J3" s="23">
        <v>44846</v>
      </c>
      <c r="K3" t="s">
        <v>198</v>
      </c>
      <c r="L3" t="s">
        <v>10</v>
      </c>
      <c r="M3" t="s">
        <v>172</v>
      </c>
      <c r="O3" t="str">
        <f>IF(H3&gt;'std curve (2)'!$Q$9, "high", "low")</f>
        <v>low</v>
      </c>
      <c r="P3">
        <f>((F3+0.7202)/0.2313)*'dilution factor'!$L$6</f>
        <v>7261.6657853623756</v>
      </c>
      <c r="Q3">
        <f>((H3-28.87)/0.229)*'dilution factor'!$L$7</f>
        <v>-35.349630513017267</v>
      </c>
      <c r="R3">
        <v>0.1</v>
      </c>
      <c r="S3">
        <v>10</v>
      </c>
      <c r="T3">
        <f t="shared" ref="T3:T22" si="0">IF(R3="NA", P3, (P3*S3)/R3)</f>
        <v>726166.57853623747</v>
      </c>
      <c r="U3">
        <f t="shared" ref="U3:U22" si="1">IF(R3="NA", Q3, (Q3*S3)/R3)</f>
        <v>-3534.9630513017269</v>
      </c>
    </row>
    <row r="4" spans="1:28" x14ac:dyDescent="0.35">
      <c r="A4" s="21" t="s">
        <v>199</v>
      </c>
      <c r="B4" t="s">
        <v>108</v>
      </c>
      <c r="C4" t="s">
        <v>200</v>
      </c>
      <c r="D4" t="s">
        <v>10</v>
      </c>
      <c r="E4" s="23">
        <v>44818</v>
      </c>
      <c r="F4">
        <v>1769.9856</v>
      </c>
      <c r="G4">
        <v>340.64800000000002</v>
      </c>
      <c r="H4">
        <v>52.593000000000004</v>
      </c>
      <c r="I4">
        <v>6.8049999999999997</v>
      </c>
      <c r="J4" s="23">
        <v>44846</v>
      </c>
      <c r="K4" t="s">
        <v>201</v>
      </c>
      <c r="L4" t="s">
        <v>10</v>
      </c>
      <c r="M4" t="s">
        <v>172</v>
      </c>
      <c r="O4" t="str">
        <f>IF(H4&gt;'std curve (2)'!$Q$9, "high", "low")</f>
        <v>low</v>
      </c>
      <c r="P4">
        <f>((F4+0.7202)/0.2313)*'dilution factor'!$L$6</f>
        <v>8681.3574981605088</v>
      </c>
      <c r="Q4">
        <f>((H4-28.87)/0.229)*'dilution factor'!$L$7</f>
        <v>124.35483787002619</v>
      </c>
      <c r="R4">
        <v>0.1</v>
      </c>
      <c r="S4">
        <v>10</v>
      </c>
      <c r="T4">
        <f t="shared" si="0"/>
        <v>868135.74981605075</v>
      </c>
      <c r="U4">
        <f t="shared" si="1"/>
        <v>12435.483787002617</v>
      </c>
    </row>
    <row r="5" spans="1:28" x14ac:dyDescent="0.35">
      <c r="A5" s="21" t="s">
        <v>202</v>
      </c>
      <c r="B5" t="s">
        <v>108</v>
      </c>
      <c r="C5" t="s">
        <v>203</v>
      </c>
      <c r="D5" t="s">
        <v>10</v>
      </c>
      <c r="E5" s="23">
        <v>44818</v>
      </c>
      <c r="F5">
        <v>1833.8743999999999</v>
      </c>
      <c r="G5">
        <v>351.36399999999998</v>
      </c>
      <c r="H5">
        <v>23.5824</v>
      </c>
      <c r="I5">
        <v>3.1080000000000001</v>
      </c>
      <c r="J5" s="23">
        <v>44846</v>
      </c>
      <c r="K5" t="s">
        <v>206</v>
      </c>
      <c r="L5" t="s">
        <v>10</v>
      </c>
      <c r="M5" t="s">
        <v>172</v>
      </c>
      <c r="O5" t="str">
        <f>IF(H5&gt;'std curve (2)'!$Q$9, "high", "low")</f>
        <v>low</v>
      </c>
      <c r="P5">
        <f>((F5+0.7202)/0.2313)*'dilution factor'!$L$6</f>
        <v>8994.5893817000997</v>
      </c>
      <c r="Q5">
        <f>((H5-28.87)/0.229)*'dilution factor'!$L$7</f>
        <v>-27.717347752036023</v>
      </c>
      <c r="R5">
        <v>0.1</v>
      </c>
      <c r="S5">
        <v>10</v>
      </c>
      <c r="T5">
        <f t="shared" si="0"/>
        <v>899458.93817000987</v>
      </c>
      <c r="U5">
        <f t="shared" si="1"/>
        <v>-2771.7347752036021</v>
      </c>
    </row>
    <row r="6" spans="1:28" x14ac:dyDescent="0.35">
      <c r="A6" s="21" t="s">
        <v>205</v>
      </c>
      <c r="B6" t="s">
        <v>108</v>
      </c>
      <c r="C6" t="s">
        <v>204</v>
      </c>
      <c r="D6" t="s">
        <v>10</v>
      </c>
      <c r="E6" s="23">
        <v>44818</v>
      </c>
      <c r="F6">
        <v>268.08170000000001</v>
      </c>
      <c r="G6">
        <v>56.280999999999999</v>
      </c>
      <c r="H6">
        <v>5.6562999999999999</v>
      </c>
      <c r="I6">
        <v>0.68799999999999994</v>
      </c>
      <c r="J6" s="23">
        <v>44846</v>
      </c>
      <c r="K6" t="s">
        <v>207</v>
      </c>
      <c r="L6" t="s">
        <v>10</v>
      </c>
      <c r="M6" t="s">
        <v>172</v>
      </c>
      <c r="O6" t="str">
        <f>IF(H6&gt;'std curve (2)'!$Q$9, "high", "low")</f>
        <v>low</v>
      </c>
      <c r="P6">
        <f>((F6+0.7202)/0.2313)*'dilution factor'!$L$6</f>
        <v>1317.8730143001685</v>
      </c>
      <c r="Q6">
        <f>((H6-28.87)/0.229)*'dilution factor'!$L$7</f>
        <v>-121.68511148941647</v>
      </c>
      <c r="R6">
        <v>0.1</v>
      </c>
      <c r="S6">
        <v>10</v>
      </c>
      <c r="T6">
        <f t="shared" si="0"/>
        <v>131787.30143001684</v>
      </c>
      <c r="U6">
        <f t="shared" si="1"/>
        <v>-12168.511148941647</v>
      </c>
    </row>
    <row r="7" spans="1:28" x14ac:dyDescent="0.35">
      <c r="A7" s="21" t="s">
        <v>208</v>
      </c>
      <c r="B7" t="s">
        <v>108</v>
      </c>
      <c r="C7" t="s">
        <v>209</v>
      </c>
      <c r="D7" t="s">
        <v>10</v>
      </c>
      <c r="E7" s="23">
        <v>44818</v>
      </c>
      <c r="F7">
        <v>1720.4938</v>
      </c>
      <c r="G7">
        <v>331.52</v>
      </c>
      <c r="H7">
        <v>20.428899999999999</v>
      </c>
      <c r="I7">
        <v>2.6989999999999998</v>
      </c>
      <c r="J7" s="23">
        <v>44846</v>
      </c>
      <c r="K7" t="s">
        <v>210</v>
      </c>
      <c r="L7" t="s">
        <v>10</v>
      </c>
      <c r="M7" t="s">
        <v>172</v>
      </c>
      <c r="O7" t="str">
        <f>IF(H7&gt;'std curve (2)'!$Q$9, "high", "low")</f>
        <v>low</v>
      </c>
      <c r="P7">
        <f>((F7+0.7202)/0.2313)*'dilution factor'!$L$6</f>
        <v>8438.7107473408869</v>
      </c>
      <c r="Q7">
        <f>((H7-28.87)/0.229)*'dilution factor'!$L$7</f>
        <v>-44.247844789642052</v>
      </c>
      <c r="R7">
        <v>0.1</v>
      </c>
      <c r="S7">
        <v>10</v>
      </c>
      <c r="T7">
        <f t="shared" si="0"/>
        <v>843871.07473408862</v>
      </c>
      <c r="U7">
        <f t="shared" si="1"/>
        <v>-4424.7844789642049</v>
      </c>
    </row>
    <row r="8" spans="1:28" x14ac:dyDescent="0.35">
      <c r="A8" s="21" t="s">
        <v>211</v>
      </c>
      <c r="B8" t="s">
        <v>108</v>
      </c>
      <c r="C8" t="s">
        <v>212</v>
      </c>
      <c r="D8" t="s">
        <v>10</v>
      </c>
      <c r="E8" s="23">
        <v>44818</v>
      </c>
      <c r="F8">
        <v>1163.9666999999999</v>
      </c>
      <c r="G8">
        <v>230.958</v>
      </c>
      <c r="H8">
        <v>10.2942</v>
      </c>
      <c r="I8">
        <v>1.2969999999999999</v>
      </c>
      <c r="J8" s="23">
        <v>44846</v>
      </c>
      <c r="K8" t="s">
        <v>213</v>
      </c>
      <c r="L8" t="s">
        <v>10</v>
      </c>
      <c r="M8" t="s">
        <v>172</v>
      </c>
      <c r="O8" t="str">
        <f>IF(H8&gt;'std curve (2)'!$Q$9, "high", "low")</f>
        <v>low</v>
      </c>
      <c r="P8">
        <f>((F8+0.7202)/0.2313)*'dilution factor'!$L$6</f>
        <v>5710.1881929365782</v>
      </c>
      <c r="Q8">
        <f>((H8-28.87)/0.229)*'dilution factor'!$L$7</f>
        <v>-97.373460241370495</v>
      </c>
      <c r="R8">
        <v>0.1</v>
      </c>
      <c r="S8">
        <v>10</v>
      </c>
      <c r="T8">
        <f t="shared" si="0"/>
        <v>571018.81929365778</v>
      </c>
      <c r="U8">
        <f t="shared" si="1"/>
        <v>-9737.3460241370485</v>
      </c>
    </row>
    <row r="9" spans="1:28" x14ac:dyDescent="0.35">
      <c r="A9" s="21" t="s">
        <v>215</v>
      </c>
      <c r="B9" t="s">
        <v>108</v>
      </c>
      <c r="C9" t="s">
        <v>163</v>
      </c>
      <c r="D9">
        <v>1</v>
      </c>
      <c r="E9" s="23">
        <v>44818</v>
      </c>
      <c r="F9">
        <v>1008.2082</v>
      </c>
      <c r="G9">
        <v>201.958</v>
      </c>
      <c r="H9">
        <v>22.029499999999999</v>
      </c>
      <c r="I9">
        <v>2.891</v>
      </c>
      <c r="J9" s="23">
        <v>44846</v>
      </c>
      <c r="K9" t="s">
        <v>214</v>
      </c>
      <c r="L9" t="s">
        <v>10</v>
      </c>
      <c r="M9" t="s">
        <v>172</v>
      </c>
      <c r="O9" t="str">
        <f>IF(H9&gt;'std curve (2)'!$Q$9, "high", "low")</f>
        <v>low</v>
      </c>
      <c r="P9">
        <f>((F9+0.7202)/0.2313)*'dilution factor'!$L$6</f>
        <v>4946.5406000517341</v>
      </c>
      <c r="Q9">
        <f>((H9-28.87)/0.229)*'dilution factor'!$L$7</f>
        <v>-35.857575705008401</v>
      </c>
      <c r="R9">
        <v>0.1</v>
      </c>
      <c r="S9">
        <v>10</v>
      </c>
      <c r="T9">
        <f t="shared" si="0"/>
        <v>494654.06000517338</v>
      </c>
      <c r="U9">
        <f t="shared" si="1"/>
        <v>-3585.7575705008398</v>
      </c>
    </row>
    <row r="10" spans="1:28" x14ac:dyDescent="0.35">
      <c r="A10" s="21" t="s">
        <v>216</v>
      </c>
      <c r="B10" t="s">
        <v>108</v>
      </c>
      <c r="C10" t="s">
        <v>163</v>
      </c>
      <c r="D10">
        <v>2</v>
      </c>
      <c r="E10" s="23">
        <v>44818</v>
      </c>
      <c r="F10">
        <v>0</v>
      </c>
      <c r="G10">
        <v>0</v>
      </c>
      <c r="H10">
        <v>0</v>
      </c>
      <c r="I10">
        <v>0</v>
      </c>
      <c r="J10" s="23">
        <v>44846</v>
      </c>
      <c r="K10" t="s">
        <v>219</v>
      </c>
      <c r="L10" t="s">
        <v>218</v>
      </c>
      <c r="M10" t="s">
        <v>172</v>
      </c>
      <c r="O10" t="str">
        <f>IF(H10&gt;'std curve (2)'!$Q$9, "high", "low")</f>
        <v>low</v>
      </c>
      <c r="P10">
        <f>((F10+0.7202)/0.2313)*'dilution factor'!$L$6</f>
        <v>3.5309726043565215</v>
      </c>
      <c r="Q10">
        <f>((H10-28.87)/0.229)*'dilution factor'!$L$7</f>
        <v>-151.33516710819271</v>
      </c>
      <c r="R10">
        <v>0.1</v>
      </c>
      <c r="S10">
        <v>10</v>
      </c>
      <c r="T10">
        <f t="shared" si="0"/>
        <v>353.09726043565212</v>
      </c>
      <c r="U10">
        <f t="shared" si="1"/>
        <v>-15133.516710819271</v>
      </c>
    </row>
    <row r="11" spans="1:28" x14ac:dyDescent="0.35">
      <c r="A11" s="22" t="s">
        <v>75</v>
      </c>
      <c r="B11" t="s">
        <v>10</v>
      </c>
      <c r="C11" t="s">
        <v>10</v>
      </c>
      <c r="D11" t="s">
        <v>10</v>
      </c>
      <c r="E11" s="23">
        <v>44818</v>
      </c>
      <c r="F11">
        <v>45.870399999999997</v>
      </c>
      <c r="G11">
        <v>10.88</v>
      </c>
      <c r="H11">
        <v>2216.3535999999999</v>
      </c>
      <c r="I11">
        <v>179.62299999999999</v>
      </c>
      <c r="J11" s="23">
        <v>44846</v>
      </c>
      <c r="K11" t="s">
        <v>220</v>
      </c>
      <c r="L11" t="s">
        <v>10</v>
      </c>
      <c r="M11" t="s">
        <v>10</v>
      </c>
      <c r="N11" t="s">
        <v>10</v>
      </c>
      <c r="O11" t="str">
        <f>IF(H11&gt;'std curve (2)'!$Q$9, "high", "low")</f>
        <v>low</v>
      </c>
      <c r="P11">
        <f>((F11+0.7202)/0.2313)</f>
        <v>201.42931258106353</v>
      </c>
      <c r="Q11">
        <f>((H11-28.87)/0.229)</f>
        <v>9552.3301310043662</v>
      </c>
      <c r="R11" t="s">
        <v>10</v>
      </c>
      <c r="S11" t="s">
        <v>10</v>
      </c>
      <c r="T11">
        <f t="shared" si="0"/>
        <v>201.42931258106353</v>
      </c>
      <c r="U11">
        <f t="shared" si="1"/>
        <v>9552.3301310043662</v>
      </c>
    </row>
    <row r="12" spans="1:28" x14ac:dyDescent="0.35">
      <c r="A12" s="21" t="s">
        <v>217</v>
      </c>
      <c r="B12" t="s">
        <v>108</v>
      </c>
      <c r="C12" t="s">
        <v>163</v>
      </c>
      <c r="D12">
        <v>3</v>
      </c>
      <c r="E12" s="23">
        <v>44818</v>
      </c>
      <c r="F12">
        <v>2933.7212</v>
      </c>
      <c r="G12">
        <v>532.32100000000003</v>
      </c>
      <c r="H12">
        <v>125.194</v>
      </c>
      <c r="I12">
        <v>14.589</v>
      </c>
      <c r="J12" s="23">
        <v>44846</v>
      </c>
      <c r="K12" t="s">
        <v>221</v>
      </c>
      <c r="L12" t="s">
        <v>10</v>
      </c>
      <c r="M12" t="s">
        <v>172</v>
      </c>
      <c r="O12" t="str">
        <f>IF(H12&gt;'std curve (2)'!$Q$9, "high", "low")</f>
        <v>low</v>
      </c>
      <c r="P12">
        <f>((F12+0.7202)/0.2313)*'dilution factor'!$L$6</f>
        <v>14386.881689099693</v>
      </c>
      <c r="Q12">
        <f>((H12-28.87)/0.229)*'dilution factor'!$L$7</f>
        <v>504.92582738238843</v>
      </c>
      <c r="R12">
        <v>0.1</v>
      </c>
      <c r="S12">
        <v>10</v>
      </c>
      <c r="T12">
        <f t="shared" si="0"/>
        <v>1438688.1689099693</v>
      </c>
      <c r="U12">
        <f t="shared" si="1"/>
        <v>50492.582738238838</v>
      </c>
    </row>
    <row r="13" spans="1:28" x14ac:dyDescent="0.35">
      <c r="A13" s="21" t="s">
        <v>222</v>
      </c>
      <c r="B13" t="s">
        <v>81</v>
      </c>
      <c r="C13" t="s">
        <v>224</v>
      </c>
      <c r="D13" t="s">
        <v>10</v>
      </c>
      <c r="E13" s="23">
        <v>44790</v>
      </c>
      <c r="F13">
        <v>186.23</v>
      </c>
      <c r="G13">
        <v>39.570999999999998</v>
      </c>
      <c r="H13">
        <v>4.2393000000000001</v>
      </c>
      <c r="I13">
        <v>0.51900000000000002</v>
      </c>
      <c r="J13" s="23">
        <v>44846</v>
      </c>
      <c r="K13" t="s">
        <v>223</v>
      </c>
      <c r="L13" t="s">
        <v>10</v>
      </c>
      <c r="M13" t="s">
        <v>172</v>
      </c>
      <c r="O13" t="str">
        <f>IF(H13&gt;'std curve (2)'!$Q$9, "high", "low")</f>
        <v>low</v>
      </c>
      <c r="P13">
        <f>((F13+0.7202)/0.2313)*'dilution factor'!$L$6</f>
        <v>916.57322213131431</v>
      </c>
      <c r="Q13">
        <f>((H13-28.87)/0.229)*'dilution factor'!$L$7</f>
        <v>-129.11295810501429</v>
      </c>
      <c r="R13">
        <v>0.1</v>
      </c>
      <c r="S13">
        <v>10</v>
      </c>
      <c r="T13">
        <f t="shared" si="0"/>
        <v>91657.322213131425</v>
      </c>
      <c r="U13">
        <f t="shared" si="1"/>
        <v>-12911.295810501428</v>
      </c>
    </row>
    <row r="14" spans="1:28" x14ac:dyDescent="0.35">
      <c r="A14" s="21" t="s">
        <v>225</v>
      </c>
      <c r="B14" t="s">
        <v>81</v>
      </c>
      <c r="C14" t="s">
        <v>226</v>
      </c>
      <c r="D14" t="s">
        <v>10</v>
      </c>
      <c r="E14" s="23">
        <v>44790</v>
      </c>
      <c r="F14">
        <v>1091.6321</v>
      </c>
      <c r="G14">
        <v>217.75399999999999</v>
      </c>
      <c r="H14">
        <v>5.6905000000000001</v>
      </c>
      <c r="I14">
        <v>0.70599999999999996</v>
      </c>
      <c r="J14" s="23">
        <v>44846</v>
      </c>
      <c r="K14" t="s">
        <v>227</v>
      </c>
      <c r="L14" t="s">
        <v>10</v>
      </c>
      <c r="M14" t="s">
        <v>172</v>
      </c>
      <c r="O14" t="str">
        <f>IF(H14&gt;'std curve (2)'!$Q$9, "high", "low")</f>
        <v>low</v>
      </c>
      <c r="P14">
        <f>((F14+0.7202)/0.2313)*'dilution factor'!$L$6</f>
        <v>5355.5485220853052</v>
      </c>
      <c r="Q14">
        <f>((H14-28.87)/0.229)*'dilution factor'!$L$7</f>
        <v>-121.50583671577255</v>
      </c>
      <c r="R14">
        <v>0.1</v>
      </c>
      <c r="S14">
        <v>10</v>
      </c>
      <c r="T14">
        <f t="shared" si="0"/>
        <v>535554.85220853041</v>
      </c>
      <c r="U14">
        <f t="shared" si="1"/>
        <v>-12150.583671577255</v>
      </c>
    </row>
    <row r="15" spans="1:28" x14ac:dyDescent="0.35">
      <c r="A15" s="21" t="s">
        <v>228</v>
      </c>
      <c r="B15" t="s">
        <v>81</v>
      </c>
      <c r="C15" t="s">
        <v>163</v>
      </c>
      <c r="D15">
        <v>1</v>
      </c>
      <c r="E15" s="23">
        <v>44790</v>
      </c>
      <c r="F15">
        <v>2168.0763999999999</v>
      </c>
      <c r="G15">
        <v>408.35399999999998</v>
      </c>
      <c r="H15">
        <v>97.197999999999993</v>
      </c>
      <c r="I15">
        <v>11.723000000000001</v>
      </c>
      <c r="J15" s="23">
        <v>44846</v>
      </c>
      <c r="K15" t="s">
        <v>231</v>
      </c>
      <c r="L15" t="s">
        <v>10</v>
      </c>
      <c r="M15" t="s">
        <v>172</v>
      </c>
      <c r="O15" t="str">
        <f>IF(H15&gt;'std curve (2)'!$Q$9, "high", "low")</f>
        <v>low</v>
      </c>
      <c r="P15">
        <f>((F15+0.7202)/0.2313)*'dilution factor'!$L$6</f>
        <v>10633.103830910262</v>
      </c>
      <c r="Q15">
        <f>((H15-28.87)/0.229)*'dilution factor'!$L$7</f>
        <v>358.17212671176276</v>
      </c>
      <c r="R15">
        <v>0.1</v>
      </c>
      <c r="S15">
        <v>10</v>
      </c>
      <c r="T15">
        <f t="shared" si="0"/>
        <v>1063310.383091026</v>
      </c>
      <c r="U15">
        <f t="shared" si="1"/>
        <v>35817.212671176276</v>
      </c>
    </row>
    <row r="16" spans="1:28" x14ac:dyDescent="0.35">
      <c r="A16" s="21" t="s">
        <v>229</v>
      </c>
      <c r="B16" t="s">
        <v>81</v>
      </c>
      <c r="C16" t="s">
        <v>163</v>
      </c>
      <c r="D16">
        <v>2</v>
      </c>
      <c r="E16" s="23">
        <v>44790</v>
      </c>
      <c r="F16">
        <v>118.8792</v>
      </c>
      <c r="G16">
        <v>25.774999999999999</v>
      </c>
      <c r="H16">
        <v>3.3159999999999998</v>
      </c>
      <c r="I16">
        <v>0.39200000000000002</v>
      </c>
      <c r="J16" s="23">
        <v>44846</v>
      </c>
      <c r="K16" t="s">
        <v>232</v>
      </c>
      <c r="L16" t="s">
        <v>10</v>
      </c>
      <c r="M16" t="s">
        <v>172</v>
      </c>
      <c r="O16" t="str">
        <f>IF(H16&gt;'std curve (2)'!$Q$9, "high", "low")</f>
        <v>low</v>
      </c>
      <c r="P16">
        <f>((F16+0.7202)/0.2313)*'dilution factor'!$L$6</f>
        <v>586.36796014645574</v>
      </c>
      <c r="Q16">
        <f>((H16-28.87)/0.229)*'dilution factor'!$L$7</f>
        <v>-133.95285279815576</v>
      </c>
      <c r="R16">
        <v>0.1</v>
      </c>
      <c r="S16">
        <v>10</v>
      </c>
      <c r="T16">
        <f t="shared" si="0"/>
        <v>58636.796014645566</v>
      </c>
      <c r="U16">
        <f t="shared" si="1"/>
        <v>-13395.285279815575</v>
      </c>
    </row>
    <row r="17" spans="1:21" x14ac:dyDescent="0.35">
      <c r="A17" s="21" t="s">
        <v>230</v>
      </c>
      <c r="B17" t="s">
        <v>81</v>
      </c>
      <c r="C17" t="s">
        <v>163</v>
      </c>
      <c r="D17">
        <v>3</v>
      </c>
      <c r="E17" s="23">
        <v>44790</v>
      </c>
      <c r="F17">
        <v>2320.1183999999998</v>
      </c>
      <c r="G17">
        <v>433.87099999999998</v>
      </c>
      <c r="H17">
        <v>76.828400000000002</v>
      </c>
      <c r="I17">
        <v>9.5259999999999998</v>
      </c>
      <c r="J17" s="23">
        <v>44846</v>
      </c>
      <c r="K17" t="s">
        <v>233</v>
      </c>
      <c r="L17" t="s">
        <v>10</v>
      </c>
      <c r="M17" t="s">
        <v>172</v>
      </c>
      <c r="O17" t="str">
        <f>IF(H17&gt;'std curve (2)'!$Q$9, "high", "low")</f>
        <v>low</v>
      </c>
      <c r="P17">
        <f>((F17+0.7202)/0.2313)*'dilution factor'!$L$6</f>
        <v>11378.53029121514</v>
      </c>
      <c r="Q17">
        <f>((H17-28.87)/0.229)*'dilution factor'!$L$7</f>
        <v>251.39565217324383</v>
      </c>
      <c r="R17">
        <v>0.1</v>
      </c>
      <c r="S17">
        <v>10</v>
      </c>
      <c r="T17">
        <f t="shared" si="0"/>
        <v>1137853.0291215139</v>
      </c>
      <c r="U17">
        <f t="shared" si="1"/>
        <v>25139.565217324383</v>
      </c>
    </row>
    <row r="18" spans="1:21" x14ac:dyDescent="0.35">
      <c r="A18" s="21" t="s">
        <v>235</v>
      </c>
      <c r="B18" t="s">
        <v>239</v>
      </c>
      <c r="C18" t="s">
        <v>236</v>
      </c>
      <c r="D18">
        <v>4</v>
      </c>
      <c r="E18" s="23">
        <v>44795</v>
      </c>
      <c r="F18">
        <v>25.673200000000001</v>
      </c>
      <c r="G18">
        <v>6.2450000000000001</v>
      </c>
      <c r="H18">
        <v>1.194</v>
      </c>
      <c r="I18">
        <v>0.152</v>
      </c>
      <c r="J18" s="23">
        <v>44846</v>
      </c>
      <c r="K18" t="s">
        <v>237</v>
      </c>
      <c r="L18" t="s">
        <v>10</v>
      </c>
      <c r="M18" t="s">
        <v>172</v>
      </c>
      <c r="O18" t="str">
        <f>IF(H18&gt;'std curve (2)'!$Q$9, "high", "low")</f>
        <v>low</v>
      </c>
      <c r="P18">
        <f>((F18+0.7202)/0.2313)*'dilution factor'!$L$6</f>
        <v>129.40068360986314</v>
      </c>
      <c r="Q18">
        <f>((H18-28.87)/0.229)*'dilution factor'!$L$7</f>
        <v>-145.07627588799244</v>
      </c>
      <c r="R18">
        <v>0.1</v>
      </c>
      <c r="S18">
        <v>10</v>
      </c>
      <c r="T18">
        <f t="shared" si="0"/>
        <v>12940.068360986312</v>
      </c>
      <c r="U18">
        <f t="shared" si="1"/>
        <v>-14507.627588799243</v>
      </c>
    </row>
    <row r="19" spans="1:21" x14ac:dyDescent="0.35">
      <c r="A19" s="21" t="s">
        <v>235</v>
      </c>
      <c r="B19" t="s">
        <v>239</v>
      </c>
      <c r="C19" t="s">
        <v>236</v>
      </c>
      <c r="D19">
        <v>4</v>
      </c>
      <c r="E19" s="23">
        <v>44795</v>
      </c>
      <c r="F19">
        <v>1561.6883</v>
      </c>
      <c r="G19">
        <v>304.12200000000001</v>
      </c>
      <c r="H19">
        <v>130.83580000000001</v>
      </c>
      <c r="I19">
        <v>15.199</v>
      </c>
      <c r="J19" s="23">
        <v>44846</v>
      </c>
      <c r="K19" t="s">
        <v>240</v>
      </c>
      <c r="L19" t="s">
        <v>238</v>
      </c>
      <c r="M19" t="s">
        <v>10</v>
      </c>
      <c r="N19" t="s">
        <v>10</v>
      </c>
      <c r="O19" t="str">
        <f>IF(H19&gt;'std curve (2)'!$Q$9, "high", "low")</f>
        <v>low</v>
      </c>
      <c r="P19">
        <f>((F19+0.7202)/0.2313)*'dilution factor'!$L$6</f>
        <v>7660.1244242068415</v>
      </c>
      <c r="Q19">
        <f>((H19-28.87)/0.229)*'dilution factor'!$L$7</f>
        <v>534.49987469070163</v>
      </c>
      <c r="R19" t="s">
        <v>10</v>
      </c>
      <c r="S19" t="s">
        <v>10</v>
      </c>
      <c r="T19">
        <f t="shared" si="0"/>
        <v>7660.1244242068415</v>
      </c>
      <c r="U19">
        <f t="shared" si="1"/>
        <v>534.49987469070163</v>
      </c>
    </row>
    <row r="20" spans="1:21" x14ac:dyDescent="0.35">
      <c r="A20" s="21" t="s">
        <v>234</v>
      </c>
      <c r="B20" t="s">
        <v>239</v>
      </c>
      <c r="C20" t="s">
        <v>241</v>
      </c>
      <c r="D20">
        <v>6</v>
      </c>
      <c r="E20" s="23">
        <v>44796</v>
      </c>
      <c r="F20">
        <v>2737.9243999999999</v>
      </c>
      <c r="G20">
        <v>502.02600000000001</v>
      </c>
      <c r="H20">
        <v>12.073600000000001</v>
      </c>
      <c r="I20">
        <v>1.5469999999999999</v>
      </c>
      <c r="J20" s="23">
        <v>44846</v>
      </c>
      <c r="K20" t="s">
        <v>242</v>
      </c>
      <c r="L20" t="s">
        <v>10</v>
      </c>
      <c r="M20" t="s">
        <v>172</v>
      </c>
      <c r="O20" t="str">
        <f>IF(H20&gt;'std curve (2)'!$Q$9, "high", "low")</f>
        <v>low</v>
      </c>
      <c r="P20">
        <f>((F20+0.7202)/0.2313)*'dilution factor'!$L$6</f>
        <v>13426.935650748299</v>
      </c>
      <c r="Q20">
        <f>((H20-28.87)/0.229)*'dilution factor'!$L$7</f>
        <v>-88.045930059440522</v>
      </c>
      <c r="R20">
        <v>0.1</v>
      </c>
      <c r="S20">
        <v>10</v>
      </c>
      <c r="T20">
        <f t="shared" si="0"/>
        <v>1342693.5650748299</v>
      </c>
      <c r="U20">
        <f t="shared" si="1"/>
        <v>-8804.5930059440525</v>
      </c>
    </row>
    <row r="21" spans="1:21" x14ac:dyDescent="0.35">
      <c r="A21" s="21" t="s">
        <v>243</v>
      </c>
      <c r="B21" t="s">
        <v>239</v>
      </c>
      <c r="C21" t="s">
        <v>244</v>
      </c>
      <c r="D21" t="s">
        <v>10</v>
      </c>
      <c r="E21" s="23">
        <v>44796</v>
      </c>
      <c r="F21">
        <v>407.3347</v>
      </c>
      <c r="G21">
        <v>84.46</v>
      </c>
      <c r="H21">
        <v>1.9665999999999999</v>
      </c>
      <c r="I21">
        <v>0.23100000000000001</v>
      </c>
      <c r="J21" s="23">
        <v>44846</v>
      </c>
      <c r="K21" t="s">
        <v>245</v>
      </c>
      <c r="L21" t="s">
        <v>258</v>
      </c>
      <c r="M21" t="s">
        <v>172</v>
      </c>
      <c r="O21" t="str">
        <f>IF(H21&gt;'std curve (2)'!$Q$9, "high", "low")</f>
        <v>low</v>
      </c>
      <c r="P21">
        <f>((F21+0.7202)/0.2313)*'dilution factor'!$L$6</f>
        <v>2000.5979907990004</v>
      </c>
      <c r="Q21">
        <f>((H21-28.87)/0.229)*'dilution factor'!$L$7</f>
        <v>-141.02634342842231</v>
      </c>
      <c r="R21">
        <v>0.1</v>
      </c>
      <c r="S21">
        <v>10</v>
      </c>
      <c r="T21">
        <f t="shared" si="0"/>
        <v>200059.79907990003</v>
      </c>
      <c r="U21">
        <f t="shared" si="1"/>
        <v>-14102.63434284223</v>
      </c>
    </row>
    <row r="22" spans="1:21" x14ac:dyDescent="0.35">
      <c r="A22" s="22" t="s">
        <v>75</v>
      </c>
      <c r="B22" t="s">
        <v>10</v>
      </c>
      <c r="C22" t="s">
        <v>10</v>
      </c>
      <c r="D22" t="s">
        <v>10</v>
      </c>
      <c r="E22" t="s">
        <v>10</v>
      </c>
      <c r="F22">
        <v>45.8932</v>
      </c>
      <c r="G22">
        <v>10.898999999999999</v>
      </c>
      <c r="H22">
        <v>2205.779</v>
      </c>
      <c r="I22">
        <v>177.797</v>
      </c>
      <c r="J22" s="23">
        <v>44846</v>
      </c>
      <c r="K22" t="s">
        <v>246</v>
      </c>
      <c r="L22" t="s">
        <v>10</v>
      </c>
      <c r="M22" t="s">
        <v>10</v>
      </c>
      <c r="N22" t="s">
        <v>10</v>
      </c>
      <c r="O22" t="str">
        <f>IF(H22&gt;'std curve (2)'!$Q$9, "high", "low")</f>
        <v>low</v>
      </c>
      <c r="P22">
        <f>((F22+0.7202)/0.2313)</f>
        <v>201.5278858625162</v>
      </c>
      <c r="Q22">
        <f>((H22-28.87)/0.229)</f>
        <v>9506.1528384279482</v>
      </c>
      <c r="R22" t="s">
        <v>10</v>
      </c>
      <c r="S22" t="s">
        <v>10</v>
      </c>
      <c r="T22">
        <f t="shared" si="0"/>
        <v>201.5278858625162</v>
      </c>
      <c r="U22">
        <f t="shared" si="1"/>
        <v>9506.1528384279482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30EA-58C9-40F2-9E14-557F8A5CE8D3}">
  <dimension ref="A1:N12"/>
  <sheetViews>
    <sheetView workbookViewId="0">
      <selection activeCell="F1" sqref="F1"/>
    </sheetView>
  </sheetViews>
  <sheetFormatPr defaultColWidth="8.81640625" defaultRowHeight="14.5" x14ac:dyDescent="0.35"/>
  <sheetData>
    <row r="1" spans="1:14" x14ac:dyDescent="0.35">
      <c r="A1" s="5" t="s">
        <v>34</v>
      </c>
      <c r="B1" s="8" t="s">
        <v>15</v>
      </c>
      <c r="C1" s="9" t="s">
        <v>4</v>
      </c>
      <c r="D1" s="10" t="s">
        <v>3</v>
      </c>
      <c r="E1" s="9" t="s">
        <v>6</v>
      </c>
      <c r="F1" s="10" t="s">
        <v>5</v>
      </c>
      <c r="G1" s="3" t="s">
        <v>24</v>
      </c>
      <c r="H1" s="3" t="s">
        <v>8</v>
      </c>
      <c r="I1" s="3" t="s">
        <v>25</v>
      </c>
      <c r="J1" s="3" t="s">
        <v>26</v>
      </c>
    </row>
    <row r="2" spans="1:14" x14ac:dyDescent="0.35">
      <c r="A2">
        <v>1</v>
      </c>
      <c r="I2" t="e">
        <f>(1-D2/$N$2)*100</f>
        <v>#DIV/0!</v>
      </c>
      <c r="J2" t="e">
        <f>(1-F2/$N$3) *100</f>
        <v>#DIV/0!</v>
      </c>
      <c r="L2" s="4" t="s">
        <v>30</v>
      </c>
      <c r="M2" s="4"/>
      <c r="N2" s="4">
        <f>'std curve'!K4</f>
        <v>0</v>
      </c>
    </row>
    <row r="3" spans="1:14" x14ac:dyDescent="0.35">
      <c r="A3">
        <f>A2+1</f>
        <v>2</v>
      </c>
      <c r="I3" t="e">
        <f t="shared" ref="I3:I12" si="0">(1-D3/$N$2)*100</f>
        <v>#DIV/0!</v>
      </c>
      <c r="J3" t="e">
        <f t="shared" ref="J3:J12" si="1">(1-F3/$N$3) *100</f>
        <v>#DIV/0!</v>
      </c>
      <c r="L3" s="4" t="s">
        <v>31</v>
      </c>
      <c r="M3" s="4"/>
      <c r="N3" s="4">
        <f>'std curve'!K16</f>
        <v>0</v>
      </c>
    </row>
    <row r="4" spans="1:14" x14ac:dyDescent="0.35">
      <c r="A4">
        <f t="shared" ref="A4:A12" si="2">A3+1</f>
        <v>3</v>
      </c>
      <c r="I4" t="e">
        <f t="shared" si="0"/>
        <v>#DIV/0!</v>
      </c>
      <c r="J4" t="e">
        <f t="shared" si="1"/>
        <v>#DIV/0!</v>
      </c>
    </row>
    <row r="5" spans="1:14" x14ac:dyDescent="0.35">
      <c r="A5">
        <f t="shared" si="2"/>
        <v>4</v>
      </c>
      <c r="I5" t="e">
        <f t="shared" si="0"/>
        <v>#DIV/0!</v>
      </c>
      <c r="J5" t="e">
        <f t="shared" si="1"/>
        <v>#DIV/0!</v>
      </c>
    </row>
    <row r="6" spans="1:14" x14ac:dyDescent="0.35">
      <c r="A6">
        <f t="shared" si="2"/>
        <v>5</v>
      </c>
      <c r="I6" t="e">
        <f t="shared" si="0"/>
        <v>#DIV/0!</v>
      </c>
      <c r="J6" t="e">
        <f t="shared" si="1"/>
        <v>#DIV/0!</v>
      </c>
    </row>
    <row r="7" spans="1:14" x14ac:dyDescent="0.35">
      <c r="A7">
        <f t="shared" si="2"/>
        <v>6</v>
      </c>
      <c r="I7" t="e">
        <f t="shared" si="0"/>
        <v>#DIV/0!</v>
      </c>
      <c r="J7" t="e">
        <f t="shared" si="1"/>
        <v>#DIV/0!</v>
      </c>
    </row>
    <row r="8" spans="1:14" x14ac:dyDescent="0.35">
      <c r="A8">
        <f t="shared" si="2"/>
        <v>7</v>
      </c>
      <c r="I8" t="e">
        <f t="shared" si="0"/>
        <v>#DIV/0!</v>
      </c>
      <c r="J8" t="e">
        <f t="shared" si="1"/>
        <v>#DIV/0!</v>
      </c>
    </row>
    <row r="9" spans="1:14" x14ac:dyDescent="0.35">
      <c r="A9">
        <f t="shared" si="2"/>
        <v>8</v>
      </c>
      <c r="I9" t="e">
        <f t="shared" si="0"/>
        <v>#DIV/0!</v>
      </c>
      <c r="J9" t="e">
        <f t="shared" si="1"/>
        <v>#DIV/0!</v>
      </c>
    </row>
    <row r="10" spans="1:14" x14ac:dyDescent="0.35">
      <c r="A10">
        <f t="shared" si="2"/>
        <v>9</v>
      </c>
      <c r="I10" t="e">
        <f t="shared" si="0"/>
        <v>#DIV/0!</v>
      </c>
      <c r="J10" t="e">
        <f t="shared" si="1"/>
        <v>#DIV/0!</v>
      </c>
    </row>
    <row r="11" spans="1:14" x14ac:dyDescent="0.35">
      <c r="A11">
        <f t="shared" si="2"/>
        <v>10</v>
      </c>
      <c r="I11" t="e">
        <f t="shared" si="0"/>
        <v>#DIV/0!</v>
      </c>
      <c r="J11" t="e">
        <f t="shared" si="1"/>
        <v>#DIV/0!</v>
      </c>
    </row>
    <row r="12" spans="1:14" x14ac:dyDescent="0.35">
      <c r="A12">
        <f t="shared" si="2"/>
        <v>11</v>
      </c>
      <c r="I12" t="e">
        <f t="shared" si="0"/>
        <v>#DIV/0!</v>
      </c>
      <c r="J12" t="e">
        <f t="shared" si="1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7AB3-4D61-48B6-9283-53171410833C}">
  <dimension ref="A1:L9"/>
  <sheetViews>
    <sheetView workbookViewId="0">
      <selection sqref="A1:L9"/>
    </sheetView>
  </sheetViews>
  <sheetFormatPr defaultColWidth="8.81640625" defaultRowHeight="14.5" x14ac:dyDescent="0.35"/>
  <cols>
    <col min="2" max="2" width="11.81640625" bestFit="1" customWidth="1"/>
    <col min="3" max="3" width="13" bestFit="1" customWidth="1"/>
    <col min="4" max="4" width="12" bestFit="1" customWidth="1"/>
    <col min="5" max="5" width="13.1796875" bestFit="1" customWidth="1"/>
    <col min="10" max="10" width="14" bestFit="1" customWidth="1"/>
    <col min="12" max="12" width="14.36328125" bestFit="1" customWidth="1"/>
  </cols>
  <sheetData>
    <row r="1" spans="1:12" x14ac:dyDescent="0.35">
      <c r="A1" s="17" t="s">
        <v>39</v>
      </c>
      <c r="B1" s="24">
        <v>44846</v>
      </c>
    </row>
    <row r="2" spans="1:12" x14ac:dyDescent="0.35">
      <c r="A2" s="17" t="s">
        <v>40</v>
      </c>
      <c r="B2" s="16" t="s">
        <v>247</v>
      </c>
    </row>
    <row r="3" spans="1:12" x14ac:dyDescent="0.35">
      <c r="A3" s="17" t="s">
        <v>41</v>
      </c>
      <c r="B3" s="16" t="s">
        <v>248</v>
      </c>
    </row>
    <row r="5" spans="1:12" ht="15.5" x14ac:dyDescent="0.35">
      <c r="A5" s="11" t="s">
        <v>35</v>
      </c>
      <c r="B5" s="11" t="s">
        <v>21</v>
      </c>
      <c r="C5" s="11" t="s">
        <v>20</v>
      </c>
      <c r="D5" s="11" t="s">
        <v>23</v>
      </c>
      <c r="E5" s="11" t="s">
        <v>22</v>
      </c>
      <c r="I5" s="14" t="s">
        <v>43</v>
      </c>
      <c r="J5" s="14" t="s">
        <v>44</v>
      </c>
      <c r="K5" s="14" t="s">
        <v>42</v>
      </c>
      <c r="L5" s="14" t="s">
        <v>45</v>
      </c>
    </row>
    <row r="6" spans="1:12" x14ac:dyDescent="0.35">
      <c r="A6" s="12" t="s">
        <v>36</v>
      </c>
      <c r="B6">
        <v>1989.5816</v>
      </c>
      <c r="C6">
        <v>384.81400000000002</v>
      </c>
      <c r="D6">
        <v>3549.7964000000002</v>
      </c>
      <c r="E6">
        <v>274.69299999999998</v>
      </c>
      <c r="H6" t="s">
        <v>46</v>
      </c>
      <c r="I6" s="25">
        <f>0.2313*10000-0.7207</f>
        <v>2312.2793000000001</v>
      </c>
      <c r="J6" s="13">
        <f>AVERAGE('std curve'!C11:C13)</f>
        <v>2312.0880666666667</v>
      </c>
      <c r="K6" s="13">
        <f>AVERAGE(I6:J6)</f>
        <v>2312.1836833333336</v>
      </c>
      <c r="L6" s="13">
        <f>K6/B9</f>
        <v>1.1340099463866475</v>
      </c>
    </row>
    <row r="7" spans="1:12" x14ac:dyDescent="0.35">
      <c r="A7" s="12" t="s">
        <v>37</v>
      </c>
      <c r="B7">
        <v>2065.7646</v>
      </c>
      <c r="C7">
        <v>397.85199999999998</v>
      </c>
      <c r="D7">
        <v>3659.4971999999998</v>
      </c>
      <c r="E7">
        <v>230.178</v>
      </c>
      <c r="H7" s="18" t="s">
        <v>47</v>
      </c>
      <c r="I7" s="25">
        <f>0.1864*20000+621.91</f>
        <v>4349.91</v>
      </c>
      <c r="J7" s="13">
        <f>AVERAGE('std curve'!E11:E13)</f>
        <v>4350.8949000000002</v>
      </c>
      <c r="K7" s="13">
        <f>AVERAGE(I7:J7)</f>
        <v>4350.4024499999996</v>
      </c>
      <c r="L7" s="13">
        <f>K7/D9</f>
        <v>1.2004071100719131</v>
      </c>
    </row>
    <row r="8" spans="1:12" x14ac:dyDescent="0.35">
      <c r="A8" s="12" t="s">
        <v>38</v>
      </c>
      <c r="B8">
        <v>2061.4881999999998</v>
      </c>
      <c r="C8">
        <v>396.334</v>
      </c>
      <c r="D8">
        <v>3663.0239999999999</v>
      </c>
      <c r="E8">
        <v>279.89</v>
      </c>
    </row>
    <row r="9" spans="1:12" x14ac:dyDescent="0.35">
      <c r="A9" s="15" t="s">
        <v>42</v>
      </c>
      <c r="B9" s="13">
        <f>AVERAGE(B6:B8)</f>
        <v>2038.9448</v>
      </c>
      <c r="C9" s="13"/>
      <c r="D9" s="13">
        <f>AVERAGE(D6:D8)</f>
        <v>3624.1058666666668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stability check</vt:lpstr>
      <vt:lpstr>std curve</vt:lpstr>
      <vt:lpstr>raw data</vt:lpstr>
      <vt:lpstr>headpace equilibration</vt:lpstr>
      <vt:lpstr>std curve (2)</vt:lpstr>
      <vt:lpstr>raw data (2)</vt:lpstr>
      <vt:lpstr>Sheet1</vt:lpstr>
      <vt:lpstr>run calibration check</vt:lpstr>
      <vt:lpstr>dilution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Naslund</dc:creator>
  <cp:lastModifiedBy>Laura Naslund</cp:lastModifiedBy>
  <dcterms:created xsi:type="dcterms:W3CDTF">2022-03-31T20:11:31Z</dcterms:created>
  <dcterms:modified xsi:type="dcterms:W3CDTF">2022-10-28T14:54:01Z</dcterms:modified>
</cp:coreProperties>
</file>