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OneDrive\Documents\000UGA\Research\5-N-EWN\5-Data\2-GC Data\"/>
    </mc:Choice>
  </mc:AlternateContent>
  <xr:revisionPtr revIDLastSave="0" documentId="13_ncr:1_{9D286FAE-E38D-4BFF-9316-933416DE47DE}" xr6:coauthVersionLast="47" xr6:coauthVersionMax="47" xr10:uidLastSave="{00000000-0000-0000-0000-000000000000}"/>
  <bookViews>
    <workbookView xWindow="-38510" yWindow="-3260" windowWidth="38620" windowHeight="21100" activeTab="8" xr2:uid="{8B4FC8D4-E10F-4E7F-9BFC-16429CFD63D6}"/>
  </bookViews>
  <sheets>
    <sheet name="stability check" sheetId="2" r:id="rId1"/>
    <sheet name="std curve" sheetId="1" r:id="rId2"/>
    <sheet name="raw data" sheetId="3" r:id="rId3"/>
    <sheet name="medium gain calc" sheetId="9" r:id="rId4"/>
    <sheet name="run calibration check" sheetId="4" r:id="rId5"/>
    <sheet name="dilution factor" sheetId="5" r:id="rId6"/>
    <sheet name="std curve (2)" sheetId="7" r:id="rId7"/>
    <sheet name="raw data (2)" sheetId="8" r:id="rId8"/>
    <sheet name="high gain calc" sheetId="6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2" i="6" l="1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P15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P28" i="7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2" i="9"/>
  <c r="Q22" i="9"/>
  <c r="Q23" i="9"/>
  <c r="Q12" i="9"/>
  <c r="Q11" i="9"/>
  <c r="Q30" i="9"/>
  <c r="Q29" i="9"/>
  <c r="Q28" i="9"/>
  <c r="Q27" i="9"/>
  <c r="Q26" i="9"/>
  <c r="Q25" i="9"/>
  <c r="Q24" i="9"/>
  <c r="Q21" i="9"/>
  <c r="Q20" i="9"/>
  <c r="Q19" i="9"/>
  <c r="Q18" i="9"/>
  <c r="Q17" i="9"/>
  <c r="Q16" i="9"/>
  <c r="Q15" i="9"/>
  <c r="Q14" i="9"/>
  <c r="Q13" i="9"/>
  <c r="Q10" i="9"/>
  <c r="Q9" i="9"/>
  <c r="Q8" i="9"/>
  <c r="Q7" i="9"/>
  <c r="Q6" i="9"/>
  <c r="Q5" i="9"/>
  <c r="Q4" i="9"/>
  <c r="Q3" i="9"/>
  <c r="Q2" i="9"/>
  <c r="P23" i="9"/>
  <c r="P22" i="9"/>
  <c r="P12" i="9"/>
  <c r="P11" i="9"/>
  <c r="P30" i="9"/>
  <c r="P29" i="9"/>
  <c r="P28" i="9"/>
  <c r="P27" i="9"/>
  <c r="P26" i="9"/>
  <c r="P25" i="9"/>
  <c r="P24" i="9"/>
  <c r="P21" i="9"/>
  <c r="P20" i="9"/>
  <c r="P19" i="9"/>
  <c r="P18" i="9"/>
  <c r="P17" i="9"/>
  <c r="P16" i="9"/>
  <c r="P15" i="9"/>
  <c r="P14" i="9"/>
  <c r="P13" i="9"/>
  <c r="P10" i="9"/>
  <c r="P9" i="9"/>
  <c r="P8" i="9"/>
  <c r="P7" i="9"/>
  <c r="P6" i="9"/>
  <c r="P5" i="9"/>
  <c r="P4" i="9"/>
  <c r="P3" i="9"/>
  <c r="P2" i="9"/>
  <c r="D9" i="5"/>
  <c r="B9" i="5"/>
  <c r="J7" i="5"/>
  <c r="I7" i="5"/>
  <c r="K7" i="5" s="1"/>
  <c r="L7" i="5" s="1"/>
  <c r="K6" i="5"/>
  <c r="L6" i="5" s="1"/>
  <c r="J6" i="5"/>
  <c r="I6" i="5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N48" i="8" l="1"/>
  <c r="M48" i="8"/>
  <c r="N37" i="8" l="1"/>
  <c r="M37" i="8"/>
  <c r="N36" i="8"/>
  <c r="M36" i="8"/>
  <c r="T6" i="8" l="1"/>
  <c r="T5" i="8"/>
  <c r="T3" i="8"/>
  <c r="N12" i="8" s="1"/>
  <c r="T2" i="8"/>
  <c r="Q16" i="7"/>
  <c r="Q15" i="7"/>
  <c r="Q4" i="7"/>
  <c r="Q3" i="7"/>
  <c r="Q23" i="3"/>
  <c r="P23" i="3"/>
  <c r="Q22" i="3"/>
  <c r="P22" i="3"/>
  <c r="Q11" i="3"/>
  <c r="P11" i="3"/>
  <c r="Q12" i="3"/>
  <c r="P12" i="3"/>
  <c r="Q16" i="1"/>
  <c r="T5" i="3"/>
  <c r="T3" i="3"/>
  <c r="T2" i="3"/>
  <c r="Q4" i="1"/>
  <c r="Q3" i="1"/>
  <c r="Q15" i="1"/>
  <c r="I3" i="2"/>
  <c r="J3" i="2"/>
  <c r="I4" i="2"/>
  <c r="J4" i="2"/>
  <c r="I5" i="2"/>
  <c r="J5" i="2"/>
  <c r="I6" i="2"/>
  <c r="J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N3" i="4"/>
  <c r="J11" i="4" s="1"/>
  <c r="N2" i="4"/>
  <c r="I5" i="4" s="1"/>
  <c r="A5" i="4"/>
  <c r="A6" i="4" s="1"/>
  <c r="A7" i="4" s="1"/>
  <c r="A8" i="4" s="1"/>
  <c r="A9" i="4" s="1"/>
  <c r="A10" i="4" s="1"/>
  <c r="A11" i="4" s="1"/>
  <c r="A12" i="4" s="1"/>
  <c r="A4" i="4"/>
  <c r="A3" i="4"/>
  <c r="T6" i="3"/>
  <c r="N13" i="8" l="1"/>
  <c r="M24" i="8"/>
  <c r="M25" i="8"/>
  <c r="N24" i="8"/>
  <c r="N25" i="8"/>
  <c r="M12" i="8"/>
  <c r="M13" i="8"/>
  <c r="I9" i="4"/>
  <c r="I2" i="4"/>
  <c r="I6" i="4"/>
  <c r="J3" i="4"/>
  <c r="I7" i="4"/>
  <c r="J4" i="4"/>
  <c r="J12" i="4"/>
  <c r="J5" i="4"/>
  <c r="J6" i="4"/>
  <c r="J7" i="4"/>
  <c r="J8" i="4"/>
  <c r="J9" i="4"/>
  <c r="I8" i="4"/>
  <c r="I10" i="4"/>
  <c r="I3" i="4"/>
  <c r="I11" i="4"/>
  <c r="I4" i="4"/>
  <c r="I12" i="4"/>
  <c r="J2" i="4"/>
  <c r="J10" i="4"/>
</calcChain>
</file>

<file path=xl/sharedStrings.xml><?xml version="1.0" encoding="utf-8"?>
<sst xmlns="http://schemas.openxmlformats.org/spreadsheetml/2006/main" count="1114" uniqueCount="272">
  <si>
    <t>CH4 std</t>
  </si>
  <si>
    <t>CO2 std</t>
  </si>
  <si>
    <t>Time</t>
  </si>
  <si>
    <t>CH4 hgt</t>
  </si>
  <si>
    <t>CH4 area</t>
  </si>
  <si>
    <t>CO2 hgt</t>
  </si>
  <si>
    <t>CO2 area</t>
  </si>
  <si>
    <t>Notes</t>
  </si>
  <si>
    <t>File name</t>
  </si>
  <si>
    <t>File Name</t>
  </si>
  <si>
    <t>NA</t>
  </si>
  <si>
    <t>CH4 % Diff</t>
  </si>
  <si>
    <t>CO2 % Diff</t>
  </si>
  <si>
    <t>Max area</t>
  </si>
  <si>
    <t>Calibration check value</t>
  </si>
  <si>
    <t xml:space="preserve">Vial </t>
  </si>
  <si>
    <t>Site</t>
  </si>
  <si>
    <t>Location</t>
  </si>
  <si>
    <t>Rep</t>
  </si>
  <si>
    <t>Collection Date</t>
  </si>
  <si>
    <t>CH4 Peak hgt</t>
  </si>
  <si>
    <t>CH4 Peak area</t>
  </si>
  <si>
    <t>CO2 Peak hgt</t>
  </si>
  <si>
    <t>CO2 Peak area</t>
  </si>
  <si>
    <t>Run Date</t>
  </si>
  <si>
    <t>dev CH4</t>
  </si>
  <si>
    <t>dev Co2</t>
  </si>
  <si>
    <t>dilution sample vol (ml)</t>
  </si>
  <si>
    <t>dilution status</t>
  </si>
  <si>
    <t>dev CO2</t>
  </si>
  <si>
    <t>calibration check</t>
  </si>
  <si>
    <t>std curve 30 ppm CH4</t>
  </si>
  <si>
    <t>std curve 2000 ppm CO2</t>
  </si>
  <si>
    <t>CH4 max area</t>
  </si>
  <si>
    <t>CO2 max area</t>
  </si>
  <si>
    <t>ID</t>
  </si>
  <si>
    <t>Vial #</t>
  </si>
  <si>
    <t>Dilution 1</t>
  </si>
  <si>
    <t>Dilution 2</t>
  </si>
  <si>
    <t>Dilution 3</t>
  </si>
  <si>
    <t>Date</t>
  </si>
  <si>
    <t>CH4 conc</t>
  </si>
  <si>
    <t>CO2 conc</t>
  </si>
  <si>
    <t>Avg area</t>
  </si>
  <si>
    <t>Std area</t>
  </si>
  <si>
    <t>Raw data area</t>
  </si>
  <si>
    <t>Dilution Factor</t>
  </si>
  <si>
    <t>CH4</t>
  </si>
  <si>
    <t>CO2</t>
  </si>
  <si>
    <t>CO2  area</t>
  </si>
  <si>
    <t>EDC_B_103</t>
  </si>
  <si>
    <t>EDC_C_02</t>
  </si>
  <si>
    <t>EDC_C_03</t>
  </si>
  <si>
    <t>EDC_C_04</t>
  </si>
  <si>
    <t>EDC_C_05</t>
  </si>
  <si>
    <t>EDC_C_06</t>
  </si>
  <si>
    <t>EDC_C_07</t>
  </si>
  <si>
    <t>EDC_C_08</t>
  </si>
  <si>
    <t>EDC_C_09</t>
  </si>
  <si>
    <t>EDC_C_10</t>
  </si>
  <si>
    <t>EDC_C_11</t>
  </si>
  <si>
    <t>0196</t>
  </si>
  <si>
    <t>3E-4D</t>
  </si>
  <si>
    <t>EDC_C_12</t>
  </si>
  <si>
    <t>EDC_C_13</t>
  </si>
  <si>
    <t>EDC_C_14</t>
  </si>
  <si>
    <t>EDC_C_15</t>
  </si>
  <si>
    <t>0197</t>
  </si>
  <si>
    <t>0198</t>
  </si>
  <si>
    <t>EDC_C_16</t>
  </si>
  <si>
    <t>0199</t>
  </si>
  <si>
    <t>EDC_C_17</t>
  </si>
  <si>
    <t>0200</t>
  </si>
  <si>
    <t>EDC_C_18</t>
  </si>
  <si>
    <t>std curve 200 ppm CH4</t>
  </si>
  <si>
    <t>std curve 10000 ppm CO2</t>
  </si>
  <si>
    <t>0201</t>
  </si>
  <si>
    <t>Sister3</t>
  </si>
  <si>
    <t>Fresh bubbles</t>
  </si>
  <si>
    <t>0202</t>
  </si>
  <si>
    <t>4E,5B</t>
  </si>
  <si>
    <t>5C-5D</t>
  </si>
  <si>
    <t>5E</t>
  </si>
  <si>
    <t>EDC_C_19</t>
  </si>
  <si>
    <t>EDC_C_20</t>
  </si>
  <si>
    <t>0.1 mL into 10 glass syringe</t>
  </si>
  <si>
    <t>0238</t>
  </si>
  <si>
    <t>Catfish</t>
  </si>
  <si>
    <t>C5D</t>
  </si>
  <si>
    <t>EDC_C_21</t>
  </si>
  <si>
    <t>0239</t>
  </si>
  <si>
    <t>C5A</t>
  </si>
  <si>
    <t>EDC_C_22</t>
  </si>
  <si>
    <t>EDC_C_23</t>
  </si>
  <si>
    <t>EDC_C_24</t>
  </si>
  <si>
    <t>0240</t>
  </si>
  <si>
    <t>EDC_C_25</t>
  </si>
  <si>
    <t>2A-2D</t>
  </si>
  <si>
    <t>0241</t>
  </si>
  <si>
    <t>2E-3E</t>
  </si>
  <si>
    <t>EDC_C_26</t>
  </si>
  <si>
    <t>4C-4D</t>
  </si>
  <si>
    <t>0242</t>
  </si>
  <si>
    <t>EDC_C_27</t>
  </si>
  <si>
    <t>4E-5A</t>
  </si>
  <si>
    <t>0243</t>
  </si>
  <si>
    <t>EDC_C_28</t>
  </si>
  <si>
    <t>5B-5C</t>
  </si>
  <si>
    <t>5D-5E</t>
  </si>
  <si>
    <t>0244</t>
  </si>
  <si>
    <t>0245</t>
  </si>
  <si>
    <t>EDC_C_29</t>
  </si>
  <si>
    <t>EDC_C_30</t>
  </si>
  <si>
    <t>0246</t>
  </si>
  <si>
    <t>0247</t>
  </si>
  <si>
    <t>0248</t>
  </si>
  <si>
    <t>EDC_C_31</t>
  </si>
  <si>
    <t>EDC_C_32</t>
  </si>
  <si>
    <t>EDC_C_33</t>
  </si>
  <si>
    <t>EDC_C_36</t>
  </si>
  <si>
    <t>EDC_C_37</t>
  </si>
  <si>
    <t>0289</t>
  </si>
  <si>
    <t>0288</t>
  </si>
  <si>
    <t>0290</t>
  </si>
  <si>
    <t>0291</t>
  </si>
  <si>
    <t>0292</t>
  </si>
  <si>
    <t>0293</t>
  </si>
  <si>
    <t>1A-4B</t>
  </si>
  <si>
    <t>4C-5A</t>
  </si>
  <si>
    <t>5B-5D</t>
  </si>
  <si>
    <t>EDC_C_38</t>
  </si>
  <si>
    <t>EDC_C_39</t>
  </si>
  <si>
    <t>EDC_C_40</t>
  </si>
  <si>
    <t>EDC_C_41</t>
  </si>
  <si>
    <t>EDC_C_42</t>
  </si>
  <si>
    <t>EDC_C_43</t>
  </si>
  <si>
    <t>0255</t>
  </si>
  <si>
    <t>bottom</t>
  </si>
  <si>
    <t>EDC_C_44</t>
  </si>
  <si>
    <t>Decided to rerun on high gain</t>
  </si>
  <si>
    <t>EDC_C_46</t>
  </si>
  <si>
    <t>EDC_C_48</t>
  </si>
  <si>
    <t>EDC_C_47</t>
  </si>
  <si>
    <t>EDC_C_49</t>
  </si>
  <si>
    <t>EDC_C_50</t>
  </si>
  <si>
    <t>EDC_C_51</t>
  </si>
  <si>
    <t>EDC_C_52</t>
  </si>
  <si>
    <t>EDC_C_53</t>
  </si>
  <si>
    <t>EDC_C_54</t>
  </si>
  <si>
    <t>EDC_C_55</t>
  </si>
  <si>
    <t>EDC_C_56</t>
  </si>
  <si>
    <t>square peak</t>
  </si>
  <si>
    <t>calibration check 200ppm CH4 10000 CO2</t>
  </si>
  <si>
    <t>0254</t>
  </si>
  <si>
    <t>outlet</t>
  </si>
  <si>
    <t>0256</t>
  </si>
  <si>
    <t>0257</t>
  </si>
  <si>
    <t>0258</t>
  </si>
  <si>
    <t>0259</t>
  </si>
  <si>
    <t>0260</t>
  </si>
  <si>
    <t>0287</t>
  </si>
  <si>
    <t>Picks</t>
  </si>
  <si>
    <t>top</t>
  </si>
  <si>
    <t>EDC_C_57</t>
  </si>
  <si>
    <t>EDC_C_58</t>
  </si>
  <si>
    <t>EDC_C_59</t>
  </si>
  <si>
    <t>EDC_C_60</t>
  </si>
  <si>
    <t>EDC_C_61</t>
  </si>
  <si>
    <t>EDC_C_62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</si>
  <si>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</si>
  <si>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</si>
  <si>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</si>
  <si>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</si>
  <si>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</si>
  <si>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</si>
  <si>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</si>
  <si>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</si>
  <si>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</si>
  <si>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</si>
  <si>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</si>
  <si>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</si>
  <si>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inlet</t>
  </si>
  <si>
    <t>EDC_C_63</t>
  </si>
  <si>
    <t>EDC_C_64</t>
  </si>
  <si>
    <t>EDC_C_65</t>
  </si>
  <si>
    <t>EDC_C_66</t>
  </si>
  <si>
    <t>EDC_C_67</t>
  </si>
  <si>
    <t>EDC_C_68</t>
  </si>
  <si>
    <t>EDC_C_69</t>
  </si>
  <si>
    <t>EDC_C_70</t>
  </si>
  <si>
    <t>EDC_C_71</t>
  </si>
  <si>
    <t>EDC_C_73</t>
  </si>
  <si>
    <t>EDC_C_74</t>
  </si>
  <si>
    <t>EDC_C_75</t>
  </si>
  <si>
    <t>EDC_C_76</t>
  </si>
  <si>
    <t>unable to check graph curve</t>
  </si>
  <si>
    <t>hard to pull?</t>
  </si>
  <si>
    <t>hard to pull? Couldn't get more than 5mL</t>
  </si>
  <si>
    <t>room air</t>
  </si>
  <si>
    <t>EDC_C_77</t>
  </si>
  <si>
    <t>EDC_C_78</t>
  </si>
  <si>
    <t>EDC_C_79</t>
  </si>
  <si>
    <t>EDC_C_80</t>
  </si>
  <si>
    <t>Deer center bottom 1</t>
  </si>
  <si>
    <t>Deer</t>
  </si>
  <si>
    <t>center bottom</t>
  </si>
  <si>
    <t>Air rep 6</t>
  </si>
  <si>
    <t>Air</t>
  </si>
  <si>
    <t>Air rep 5</t>
  </si>
  <si>
    <t>Air rep 4</t>
  </si>
  <si>
    <t>Deer outlet rep 1</t>
  </si>
  <si>
    <t>Deer inlet rep 1</t>
  </si>
  <si>
    <t>Deer near outlet rep 1</t>
  </si>
  <si>
    <t>near outlet</t>
  </si>
  <si>
    <t>Deer near inlet rep 1</t>
  </si>
  <si>
    <t>near inlet</t>
  </si>
  <si>
    <t>Deer center bottom rep 3</t>
  </si>
  <si>
    <t xml:space="preserve">center bottom </t>
  </si>
  <si>
    <t>Air rep 1</t>
  </si>
  <si>
    <t>EDC_C_81</t>
  </si>
  <si>
    <t>EDC_C_82</t>
  </si>
  <si>
    <t>EDC_C_83</t>
  </si>
  <si>
    <t>EDC_C_84</t>
  </si>
  <si>
    <t>EDC_C_85</t>
  </si>
  <si>
    <t>too high</t>
  </si>
  <si>
    <t>EDC_C_86</t>
  </si>
  <si>
    <t>EDC_C_87</t>
  </si>
  <si>
    <t>EDC_C_88</t>
  </si>
  <si>
    <t>EDC_C_89</t>
  </si>
  <si>
    <t>EDC_C_90</t>
  </si>
  <si>
    <t>EDC_C_91</t>
  </si>
  <si>
    <t>EDC_C_92</t>
  </si>
  <si>
    <t>0136</t>
  </si>
  <si>
    <t>Pick</t>
  </si>
  <si>
    <t>EDC_C_93</t>
  </si>
  <si>
    <t>EDC_C_94</t>
  </si>
  <si>
    <t>0137</t>
  </si>
  <si>
    <t>0138</t>
  </si>
  <si>
    <t>0139</t>
  </si>
  <si>
    <t>EDC_C_95</t>
  </si>
  <si>
    <t>EDC_C_96</t>
  </si>
  <si>
    <t>0140</t>
  </si>
  <si>
    <t>EDC_C_97</t>
  </si>
  <si>
    <t>0141</t>
  </si>
  <si>
    <t>EDC_C_98</t>
  </si>
  <si>
    <t>EDC_C_99</t>
  </si>
  <si>
    <t>0142</t>
  </si>
  <si>
    <t>EDC_C_100</t>
  </si>
  <si>
    <t>0143</t>
  </si>
  <si>
    <t>EDC_C_101</t>
  </si>
  <si>
    <t>0144</t>
  </si>
  <si>
    <t>EDC_C_102</t>
  </si>
  <si>
    <t>0145</t>
  </si>
  <si>
    <t>EDC_C_103</t>
  </si>
  <si>
    <t>split peak</t>
  </si>
  <si>
    <t>0173</t>
  </si>
  <si>
    <t>EDC_C_104</t>
  </si>
  <si>
    <t>0174</t>
  </si>
  <si>
    <t>EDC_C_105</t>
  </si>
  <si>
    <t>0175</t>
  </si>
  <si>
    <t>EDC_C_106</t>
  </si>
  <si>
    <t>medium gain</t>
  </si>
  <si>
    <t>CO2 curve</t>
  </si>
  <si>
    <t>Measured CH4 conc ppm</t>
  </si>
  <si>
    <t>Measured CO2 conc ppm</t>
  </si>
  <si>
    <t>Sample Vol</t>
  </si>
  <si>
    <t>Final Vol</t>
  </si>
  <si>
    <t>Undiluted CH4 conc ppm</t>
  </si>
  <si>
    <t>Undiluted CO2 conc ppm</t>
  </si>
  <si>
    <t>10000 ppm</t>
  </si>
  <si>
    <t xml:space="preserve">20000 ppm </t>
  </si>
  <si>
    <t>CH4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</si>
</sst>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000"/>
    <numFmt numFmtId="167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 vertical="top"/>
    </xf>
    <xf numFmtId="0" fontId="0" fillId="2" borderId="0" xfId="0" applyFill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3" borderId="0" xfId="0" applyFill="1"/>
    <xf numFmtId="49" fontId="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 wrapText="1"/>
    </xf>
    <xf numFmtId="166" fontId="1" fillId="0" borderId="0" xfId="0" applyNumberFormat="1" applyFont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left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14" fontId="0" fillId="0" borderId="0" xfId="0" applyNumberFormat="1"/>
    <xf numFmtId="0" fontId="3" fillId="0" borderId="0" xfId="0" applyFont="1"/>
    <xf numFmtId="49" fontId="1" fillId="0" borderId="0" xfId="0" applyNumberFormat="1" applyFont="1"/>
    <xf numFmtId="3" fontId="0" fillId="0" borderId="0" xfId="0" applyNumberFormat="1"/>
    <xf numFmtId="0" fontId="0" fillId="0" borderId="0" xfId="0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4" borderId="0" xfId="0" applyFill="1"/>
    <xf numFmtId="167" fontId="0" fillId="0" borderId="0" xfId="0" applyNumberFormat="1"/>
    <xf numFmtId="14" fontId="0" fillId="0" borderId="1" xfId="0" applyNumberFormat="1" applyBorder="1"/>
    <xf numFmtId="0" fontId="0" fillId="0" borderId="0" xfId="0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'stability check'!$D$1</c:f>
              <c:strCache>
                <c:ptCount val="1"/>
                <c:pt idx="0">
                  <c:v>CH4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'stability check'!$C$2:$C$27</c:f>
              <c:numCache>
                <c:formatCode>[$-F400]h:mm:ss\ AM/PM</c:formatCode>
                <c:ptCount val="26"/>
                <c:pt idx="0">
                  <c:v>0.36458333333333331</c:v>
                </c:pt>
                <c:pt idx="1">
                  <c:v>0.36874999999999997</c:v>
                </c:pt>
                <c:pt idx="2">
                  <c:v>0.37291666666666662</c:v>
                </c:pt>
              </c:numCache>
            </c:numRef>
          </c:xVal>
          <c:yVal>
            <c:numRef>
              <c:f>'stability check'!$D$2:$D$27</c:f>
              <c:numCache>
                <c:formatCode>General</c:formatCode>
                <c:ptCount val="26"/>
                <c:pt idx="0">
                  <c:v>45.811199999999999</c:v>
                </c:pt>
                <c:pt idx="1">
                  <c:v>45.9236</c:v>
                </c:pt>
                <c:pt idx="2">
                  <c:v>45.981400000000001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3-4B84-8BF2-D81E96525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661408"/>
        <c:axId val="1346661824"/>
      </c:scatterChart>
      <c:valAx>
        <c:axId val="13466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61824"/>
        <c:crosses val="autoZero"/>
        <c:crossBetween val="midCat"/>
      </c:valAx>
      <c:valAx>
        <c:axId val="13466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CH4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6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'stability check'!$F$1</c:f>
              <c:strCache>
                <c:ptCount val="1"/>
                <c:pt idx="0">
                  <c:v>CO2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'stability check'!$C$2:$C$27</c:f>
              <c:numCache>
                <c:formatCode>[$-F400]h:mm:ss\ AM/PM</c:formatCode>
                <c:ptCount val="26"/>
                <c:pt idx="0">
                  <c:v>0.36458333333333331</c:v>
                </c:pt>
                <c:pt idx="1">
                  <c:v>0.36874999999999997</c:v>
                </c:pt>
                <c:pt idx="2">
                  <c:v>0.37291666666666662</c:v>
                </c:pt>
              </c:numCache>
            </c:numRef>
          </c:xVal>
          <c:yVal>
            <c:numRef>
              <c:f>'stability check'!$F$2:$F$27</c:f>
              <c:numCache>
                <c:formatCode>General</c:formatCode>
                <c:ptCount val="26"/>
                <c:pt idx="0">
                  <c:v>2205.2361999999998</c:v>
                </c:pt>
                <c:pt idx="1">
                  <c:v>2214.9740000000002</c:v>
                </c:pt>
                <c:pt idx="2">
                  <c:v>2219.6817000000001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8-4DD1-A489-31728FD67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97424"/>
        <c:axId val="679598256"/>
      </c:scatterChart>
      <c:valAx>
        <c:axId val="67959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98256"/>
        <c:crosses val="autoZero"/>
        <c:crossBetween val="midCat"/>
      </c:valAx>
      <c:valAx>
        <c:axId val="6795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9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206474190726158E-2"/>
                  <c:y val="-0.406009028871391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curve'!$A$4:$A$11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30</c:v>
                </c:pt>
                <c:pt idx="3">
                  <c:v>30</c:v>
                </c:pt>
                <c:pt idx="4">
                  <c:v>200</c:v>
                </c:pt>
                <c:pt idx="5">
                  <c:v>200</c:v>
                </c:pt>
                <c:pt idx="6">
                  <c:v>10000</c:v>
                </c:pt>
                <c:pt idx="7">
                  <c:v>10000</c:v>
                </c:pt>
              </c:numCache>
            </c:numRef>
          </c:xVal>
          <c:yVal>
            <c:numRef>
              <c:f>'std curve'!$C$4:$C$11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3.7963</c:v>
                </c:pt>
                <c:pt idx="3">
                  <c:v>3.7412000000000001</c:v>
                </c:pt>
                <c:pt idx="4">
                  <c:v>46.893500000000003</c:v>
                </c:pt>
                <c:pt idx="5">
                  <c:v>46.893900000000002</c:v>
                </c:pt>
                <c:pt idx="6">
                  <c:v>2317.6621</c:v>
                </c:pt>
                <c:pt idx="7">
                  <c:v>2308.2923999999998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5-4D80-9CA3-CD5B961C6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63472"/>
        <c:axId val="1336467632"/>
      </c:scatterChart>
      <c:valAx>
        <c:axId val="13364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concentration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67632"/>
        <c:crosses val="autoZero"/>
        <c:crossBetween val="midCat"/>
      </c:valAx>
      <c:valAx>
        <c:axId val="13364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CH4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curve'!$B$2:$B$9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1000</c:v>
                </c:pt>
                <c:pt idx="3">
                  <c:v>1000</c:v>
                </c:pt>
                <c:pt idx="4">
                  <c:v>2000</c:v>
                </c:pt>
                <c:pt idx="5">
                  <c:v>2000</c:v>
                </c:pt>
                <c:pt idx="6">
                  <c:v>10000</c:v>
                </c:pt>
                <c:pt idx="7">
                  <c:v>10000</c:v>
                </c:pt>
              </c:numCache>
            </c:numRef>
          </c:xVal>
          <c:yVal>
            <c:numRef>
              <c:f>'std curve'!$E$2:$E$9</c:f>
              <c:numCache>
                <c:formatCode>General</c:formatCode>
                <c:ptCount val="8"/>
                <c:pt idx="0">
                  <c:v>124.33620000000001</c:v>
                </c:pt>
                <c:pt idx="1">
                  <c:v>124.916</c:v>
                </c:pt>
                <c:pt idx="2">
                  <c:v>254.24189999999999</c:v>
                </c:pt>
                <c:pt idx="3">
                  <c:v>251.43360000000001</c:v>
                </c:pt>
                <c:pt idx="4">
                  <c:v>516.97730000000001</c:v>
                </c:pt>
                <c:pt idx="5">
                  <c:v>511.47250000000003</c:v>
                </c:pt>
                <c:pt idx="6">
                  <c:v>2408.4567999999999</c:v>
                </c:pt>
                <c:pt idx="7">
                  <c:v>2391.1432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E-4D56-9436-7CCFADF40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542240"/>
        <c:axId val="1336539744"/>
      </c:scatterChart>
      <c:valAx>
        <c:axId val="13365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39744"/>
        <c:crosses val="autoZero"/>
        <c:crossBetween val="midCat"/>
      </c:valAx>
      <c:valAx>
        <c:axId val="13365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high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curve'!$C$1</c:f>
              <c:strCache>
                <c:ptCount val="1"/>
                <c:pt idx="0">
                  <c:v>CH4 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curve'!$B$8:$B$11</c:f>
              <c:numCache>
                <c:formatCode>General</c:formatCode>
                <c:ptCount val="4"/>
                <c:pt idx="0">
                  <c:v>10000</c:v>
                </c:pt>
                <c:pt idx="1">
                  <c:v>10000</c:v>
                </c:pt>
                <c:pt idx="2">
                  <c:v>20000</c:v>
                </c:pt>
                <c:pt idx="3">
                  <c:v>20000</c:v>
                </c:pt>
              </c:numCache>
            </c:numRef>
          </c:xVal>
          <c:yVal>
            <c:numRef>
              <c:f>'std curve'!$E$8:$E$11</c:f>
              <c:numCache>
                <c:formatCode>General</c:formatCode>
                <c:ptCount val="4"/>
                <c:pt idx="0">
                  <c:v>2408.4567999999999</c:v>
                </c:pt>
                <c:pt idx="1">
                  <c:v>2391.1432</c:v>
                </c:pt>
                <c:pt idx="2">
                  <c:v>4189.4888000000001</c:v>
                </c:pt>
                <c:pt idx="3">
                  <c:v>4159.9633999999996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D-7E45-AB25-90E192479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171743"/>
        <c:axId val="1999977215"/>
      </c:scatterChart>
      <c:valAx>
        <c:axId val="200017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77215"/>
        <c:crosses val="autoZero"/>
        <c:crossBetween val="midCat"/>
      </c:valAx>
      <c:valAx>
        <c:axId val="19999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7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206474190726158E-2"/>
                  <c:y val="-0.406009028871391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 (2)'!$A$2:$A$9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30</c:v>
                </c:pt>
                <c:pt idx="5">
                  <c:v>30</c:v>
                </c:pt>
                <c:pt idx="6">
                  <c:v>200</c:v>
                </c:pt>
                <c:pt idx="7">
                  <c:v>200</c:v>
                </c:pt>
              </c:numCache>
            </c:numRef>
          </c:xVal>
          <c:yVal>
            <c:numRef>
              <c:f>'std curve (2)'!$C$2:$C$9</c:f>
              <c:numCache>
                <c:formatCode>General</c:formatCode>
                <c:ptCount val="8"/>
                <c:pt idx="0">
                  <c:v>2.2324000000000002</c:v>
                </c:pt>
                <c:pt idx="1">
                  <c:v>2.1364999999999998</c:v>
                </c:pt>
                <c:pt idx="2">
                  <c:v>10.4475</c:v>
                </c:pt>
                <c:pt idx="3">
                  <c:v>10.5829</c:v>
                </c:pt>
                <c:pt idx="4">
                  <c:v>75.174599999999998</c:v>
                </c:pt>
                <c:pt idx="5">
                  <c:v>74.507000000000005</c:v>
                </c:pt>
                <c:pt idx="6">
                  <c:v>990.94280000000003</c:v>
                </c:pt>
                <c:pt idx="7">
                  <c:v>986.8614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CE-3345-9617-9C37AB6DA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63472"/>
        <c:axId val="1336467632"/>
      </c:scatterChart>
      <c:valAx>
        <c:axId val="13364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concentration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67632"/>
        <c:crosses val="autoZero"/>
        <c:crossBetween val="midCat"/>
      </c:valAx>
      <c:valAx>
        <c:axId val="13364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CH4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 (2)'!$B$2:$B$9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1000</c:v>
                </c:pt>
                <c:pt idx="3">
                  <c:v>1000</c:v>
                </c:pt>
                <c:pt idx="4">
                  <c:v>2000</c:v>
                </c:pt>
                <c:pt idx="5">
                  <c:v>2000</c:v>
                </c:pt>
                <c:pt idx="6">
                  <c:v>10000</c:v>
                </c:pt>
                <c:pt idx="7">
                  <c:v>10000</c:v>
                </c:pt>
              </c:numCache>
            </c:numRef>
          </c:xVal>
          <c:yVal>
            <c:numRef>
              <c:f>'std curve (2)'!$E$2:$E$9</c:f>
              <c:numCache>
                <c:formatCode>General</c:formatCode>
                <c:ptCount val="8"/>
                <c:pt idx="0">
                  <c:v>2527.4654</c:v>
                </c:pt>
                <c:pt idx="1">
                  <c:v>2521.2249999999999</c:v>
                </c:pt>
                <c:pt idx="2">
                  <c:v>5182.5802000000003</c:v>
                </c:pt>
                <c:pt idx="3">
                  <c:v>5135.2843999999996</c:v>
                </c:pt>
                <c:pt idx="4">
                  <c:v>10488.286599999999</c:v>
                </c:pt>
                <c:pt idx="5">
                  <c:v>10450.634599999999</c:v>
                </c:pt>
                <c:pt idx="6">
                  <c:v>47541.029199999997</c:v>
                </c:pt>
                <c:pt idx="7">
                  <c:v>47334.109299999996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7-BD49-8C09-E131D1DC0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542240"/>
        <c:axId val="1336539744"/>
      </c:scatterChart>
      <c:valAx>
        <c:axId val="13365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39744"/>
        <c:crosses val="autoZero"/>
        <c:crossBetween val="midCat"/>
      </c:valAx>
      <c:valAx>
        <c:axId val="13365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</a:t>
            </a:r>
            <a:r>
              <a:rPr lang="en-US" baseline="0"/>
              <a:t> low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532152230971129E-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 (2)'!$A$2:$A$7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'std curve (2)'!$C$2:$C$7</c:f>
              <c:numCache>
                <c:formatCode>General</c:formatCode>
                <c:ptCount val="6"/>
                <c:pt idx="0">
                  <c:v>2.2324000000000002</c:v>
                </c:pt>
                <c:pt idx="1">
                  <c:v>2.1364999999999998</c:v>
                </c:pt>
                <c:pt idx="2">
                  <c:v>10.4475</c:v>
                </c:pt>
                <c:pt idx="3">
                  <c:v>10.5829</c:v>
                </c:pt>
                <c:pt idx="4">
                  <c:v>75.174599999999998</c:v>
                </c:pt>
                <c:pt idx="5">
                  <c:v>74.507000000000005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E-4217-A4B2-8D3C6932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533487"/>
        <c:axId val="1103533903"/>
      </c:scatterChart>
      <c:valAx>
        <c:axId val="110353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33903"/>
        <c:crosses val="autoZero"/>
        <c:crossBetween val="midCat"/>
      </c:valAx>
      <c:valAx>
        <c:axId val="110353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3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</a:t>
            </a:r>
            <a:r>
              <a:rPr lang="en-US" baseline="0"/>
              <a:t> high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 (2)'!$A$6:$A$9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200</c:v>
                </c:pt>
                <c:pt idx="3">
                  <c:v>200</c:v>
                </c:pt>
              </c:numCache>
            </c:numRef>
          </c:xVal>
          <c:yVal>
            <c:numRef>
              <c:f>'std curve (2)'!$C$6:$C$9</c:f>
              <c:numCache>
                <c:formatCode>General</c:formatCode>
                <c:ptCount val="4"/>
                <c:pt idx="0">
                  <c:v>75.174599999999998</c:v>
                </c:pt>
                <c:pt idx="1">
                  <c:v>74.507000000000005</c:v>
                </c:pt>
                <c:pt idx="2">
                  <c:v>990.94280000000003</c:v>
                </c:pt>
                <c:pt idx="3">
                  <c:v>986.8614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F-4D7E-8971-C5F088DFB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226191"/>
        <c:axId val="1085226607"/>
      </c:scatterChart>
      <c:valAx>
        <c:axId val="108522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26607"/>
        <c:crosses val="autoZero"/>
        <c:crossBetween val="midCat"/>
      </c:valAx>
      <c:valAx>
        <c:axId val="108522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2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146050</xdr:rowOff>
    </xdr:from>
    <xdr:to>
      <xdr:col>17</xdr:col>
      <xdr:colOff>409575</xdr:colOff>
      <xdr:row>15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064EC-7A17-49F2-8A8F-6775BE8F0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111125</xdr:colOff>
      <xdr:row>16</xdr:row>
      <xdr:rowOff>44450</xdr:rowOff>
    </xdr:from>
    <xdr:to>
      <xdr:col>17</xdr:col>
      <xdr:colOff>415925</xdr:colOff>
      <xdr:row>31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53D387-31AD-456E-AE23-15B1C2EC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0</xdr:rowOff>
    </xdr:from>
    <xdr:to>
      <xdr:col>14</xdr:col>
      <xdr:colOff>314325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F161E-6C82-489F-A12B-AC1ADB399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15</xdr:row>
      <xdr:rowOff>12700</xdr:rowOff>
    </xdr:from>
    <xdr:to>
      <xdr:col>14</xdr:col>
      <xdr:colOff>295275</xdr:colOff>
      <xdr:row>29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75D666-DDEA-4084-B0B0-EFFA93248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14</xdr:row>
      <xdr:rowOff>177800</xdr:rowOff>
    </xdr:from>
    <xdr:to>
      <xdr:col>6</xdr:col>
      <xdr:colOff>571500</xdr:colOff>
      <xdr:row>29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1CDDA9-0467-D8C2-17DC-45845872E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187562</xdr:colOff>
      <xdr:row>0</xdr:row>
      <xdr:rowOff>178037</xdr:rowOff>
    </xdr:from>
    <xdr:to>
      <xdr:col>14</xdr:col>
      <xdr:colOff>492362</xdr:colOff>
      <xdr:row>21</xdr:row>
      <xdr:rowOff>89019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A3AE8-1B69-0346-8788-06A7B5D69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89701</xdr:colOff>
      <xdr:row>24</xdr:row>
      <xdr:rowOff>18634</xdr:rowOff>
    </xdr:from>
    <xdr:to>
      <xdr:col>14</xdr:col>
      <xdr:colOff>402097</xdr:colOff>
      <xdr:row>38</xdr:row>
      <xdr:rowOff>183734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28605A-3B31-8848-91A7-90047670C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89018</xdr:colOff>
      <xdr:row>14</xdr:row>
      <xdr:rowOff>162488</xdr:rowOff>
    </xdr:from>
    <xdr:to>
      <xdr:col>7</xdr:col>
      <xdr:colOff>67654</xdr:colOff>
      <xdr:row>29</xdr:row>
      <xdr:rowOff>146108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807026-DFB2-B633-F825-E6C2A2972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77149</xdr:colOff>
      <xdr:row>30</xdr:row>
      <xdr:rowOff>14124</xdr:rowOff>
    </xdr:from>
    <xdr:to>
      <xdr:col>7</xdr:col>
      <xdr:colOff>55785</xdr:colOff>
      <xdr:row>44</xdr:row>
      <xdr:rowOff>181717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F3AC34-BA04-BDA9-95D0-433042A6E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C_Data_20221012_ED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bility check"/>
      <sheetName val="std curve"/>
      <sheetName val="raw data"/>
      <sheetName val="headpace equilibration"/>
      <sheetName val="std curve (2)"/>
      <sheetName val="raw data (2)"/>
      <sheetName val="Sheet1"/>
      <sheetName val="run calibration check"/>
      <sheetName val="dilution factor"/>
    </sheetNames>
    <sheetDataSet>
      <sheetData sheetId="0"/>
      <sheetData sheetId="1">
        <row r="11">
          <cell r="C11">
            <v>2300.4929999999999</v>
          </cell>
          <cell r="E11">
            <v>4337.0869000000002</v>
          </cell>
        </row>
        <row r="12">
          <cell r="C12">
            <v>2292.5342000000001</v>
          </cell>
          <cell r="E12">
            <v>4306.9022000000004</v>
          </cell>
        </row>
        <row r="13">
          <cell r="C13">
            <v>2343.2370000000001</v>
          </cell>
          <cell r="E13">
            <v>4408.6956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5891-F4D8-4F67-A0C7-B9B2514D45D6}">
  <dimension ref="A1:J27"/>
  <sheetViews>
    <sheetView workbookViewId="0">
      <selection activeCell="C25" sqref="C25"/>
    </sheetView>
  </sheetViews>
  <sheetFormatPr defaultColWidth="8.81640625" defaultRowHeight="14.5" x14ac:dyDescent="0.35"/>
  <cols>
    <col min="3" max="3" width="10.3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6</v>
      </c>
      <c r="G1" s="1" t="s">
        <v>5</v>
      </c>
      <c r="H1" s="1" t="s">
        <v>9</v>
      </c>
      <c r="I1" s="1" t="s">
        <v>11</v>
      </c>
      <c r="J1" s="1" t="s">
        <v>12</v>
      </c>
    </row>
    <row r="2" spans="1:10" x14ac:dyDescent="0.35">
      <c r="A2">
        <v>200</v>
      </c>
      <c r="B2">
        <v>10000</v>
      </c>
      <c r="C2" s="2">
        <v>0.36458333333333331</v>
      </c>
      <c r="D2">
        <v>45.811199999999999</v>
      </c>
      <c r="E2">
        <v>10.656000000000001</v>
      </c>
      <c r="F2">
        <v>2205.2361999999998</v>
      </c>
      <c r="G2">
        <v>201.58099999999999</v>
      </c>
      <c r="H2" t="s">
        <v>50</v>
      </c>
      <c r="I2" t="s">
        <v>10</v>
      </c>
      <c r="J2" t="s">
        <v>10</v>
      </c>
    </row>
    <row r="3" spans="1:10" x14ac:dyDescent="0.35">
      <c r="A3">
        <v>200</v>
      </c>
      <c r="B3">
        <v>10000</v>
      </c>
      <c r="C3" s="2">
        <v>0.36874999999999997</v>
      </c>
      <c r="D3">
        <v>45.9236</v>
      </c>
      <c r="E3">
        <v>10.677</v>
      </c>
      <c r="F3">
        <v>2214.9740000000002</v>
      </c>
      <c r="G3">
        <v>202.297</v>
      </c>
      <c r="H3" t="s">
        <v>51</v>
      </c>
      <c r="I3">
        <f>100*(D3-D2)/AVERAGE(D2:D3)</f>
        <v>0.2450542215168092</v>
      </c>
      <c r="J3">
        <f>100*(F3-F2)/AVERAGE(F2:F3)</f>
        <v>0.44060348080280592</v>
      </c>
    </row>
    <row r="4" spans="1:10" x14ac:dyDescent="0.35">
      <c r="A4">
        <v>200</v>
      </c>
      <c r="B4">
        <v>10000</v>
      </c>
      <c r="C4" s="2">
        <v>0.37291666666666662</v>
      </c>
      <c r="D4">
        <v>45.981400000000001</v>
      </c>
      <c r="E4">
        <v>10.683</v>
      </c>
      <c r="F4">
        <v>2219.6817000000001</v>
      </c>
      <c r="G4">
        <v>202.89599999999999</v>
      </c>
      <c r="H4" t="s">
        <v>52</v>
      </c>
      <c r="I4">
        <f t="shared" ref="I4:I25" si="0">100*(D4-D3)/AVERAGE(D3:D4)</f>
        <v>0.12578205755943703</v>
      </c>
      <c r="J4">
        <f>100*(E5-F3)/AVERAGE(F3:F4)</f>
        <v>-99.893842942531037</v>
      </c>
    </row>
    <row r="5" spans="1:10" x14ac:dyDescent="0.35">
      <c r="C5" s="2"/>
      <c r="I5">
        <f t="shared" si="0"/>
        <v>-100</v>
      </c>
      <c r="J5">
        <f>100*(F5-E5)/AVERAGE(F4:F5)</f>
        <v>0</v>
      </c>
    </row>
    <row r="6" spans="1:10" x14ac:dyDescent="0.35">
      <c r="C6" s="2"/>
      <c r="I6" t="e">
        <f t="shared" si="0"/>
        <v>#DIV/0!</v>
      </c>
      <c r="J6" t="e">
        <f t="shared" ref="J6:J25" si="1">100*(F6-F5)/AVERAGE(F5:F6)</f>
        <v>#DIV/0!</v>
      </c>
    </row>
    <row r="7" spans="1:10" x14ac:dyDescent="0.35">
      <c r="C7" s="2"/>
      <c r="I7" t="e">
        <f t="shared" si="0"/>
        <v>#DIV/0!</v>
      </c>
      <c r="J7" t="e">
        <f t="shared" si="1"/>
        <v>#DIV/0!</v>
      </c>
    </row>
    <row r="8" spans="1:10" x14ac:dyDescent="0.35">
      <c r="C8" s="2"/>
      <c r="I8" t="e">
        <f t="shared" si="0"/>
        <v>#DIV/0!</v>
      </c>
      <c r="J8" t="e">
        <f t="shared" si="1"/>
        <v>#DIV/0!</v>
      </c>
    </row>
    <row r="9" spans="1:10" x14ac:dyDescent="0.35">
      <c r="C9" s="2"/>
      <c r="I9" t="e">
        <f t="shared" si="0"/>
        <v>#DIV/0!</v>
      </c>
      <c r="J9" t="e">
        <f t="shared" si="1"/>
        <v>#DIV/0!</v>
      </c>
    </row>
    <row r="10" spans="1:10" x14ac:dyDescent="0.35">
      <c r="C10" s="2"/>
      <c r="I10" t="e">
        <f t="shared" si="0"/>
        <v>#DIV/0!</v>
      </c>
      <c r="J10" t="e">
        <f t="shared" si="1"/>
        <v>#DIV/0!</v>
      </c>
    </row>
    <row r="11" spans="1:10" x14ac:dyDescent="0.35">
      <c r="C11" s="2"/>
      <c r="I11" t="e">
        <f t="shared" si="0"/>
        <v>#DIV/0!</v>
      </c>
      <c r="J11" t="e">
        <f t="shared" si="1"/>
        <v>#DIV/0!</v>
      </c>
    </row>
    <row r="12" spans="1:10" x14ac:dyDescent="0.35">
      <c r="C12" s="2"/>
      <c r="I12" t="e">
        <f t="shared" si="0"/>
        <v>#DIV/0!</v>
      </c>
      <c r="J12" t="e">
        <f t="shared" si="1"/>
        <v>#DIV/0!</v>
      </c>
    </row>
    <row r="13" spans="1:10" x14ac:dyDescent="0.35">
      <c r="C13" s="2"/>
      <c r="I13" t="e">
        <f t="shared" si="0"/>
        <v>#DIV/0!</v>
      </c>
      <c r="J13" t="e">
        <f t="shared" si="1"/>
        <v>#DIV/0!</v>
      </c>
    </row>
    <row r="14" spans="1:10" x14ac:dyDescent="0.35">
      <c r="C14" s="2"/>
      <c r="I14" t="e">
        <f t="shared" si="0"/>
        <v>#DIV/0!</v>
      </c>
      <c r="J14" t="e">
        <f t="shared" si="1"/>
        <v>#DIV/0!</v>
      </c>
    </row>
    <row r="15" spans="1:10" x14ac:dyDescent="0.35">
      <c r="C15" s="2"/>
      <c r="I15" t="e">
        <f t="shared" si="0"/>
        <v>#DIV/0!</v>
      </c>
      <c r="J15" t="e">
        <f t="shared" si="1"/>
        <v>#DIV/0!</v>
      </c>
    </row>
    <row r="16" spans="1:10" x14ac:dyDescent="0.35">
      <c r="C16" s="2"/>
      <c r="I16" t="e">
        <f t="shared" si="0"/>
        <v>#DIV/0!</v>
      </c>
      <c r="J16" t="e">
        <f t="shared" si="1"/>
        <v>#DIV/0!</v>
      </c>
    </row>
    <row r="17" spans="3:10" x14ac:dyDescent="0.35">
      <c r="C17" s="2"/>
      <c r="I17" t="e">
        <f t="shared" si="0"/>
        <v>#DIV/0!</v>
      </c>
      <c r="J17" t="e">
        <f t="shared" si="1"/>
        <v>#DIV/0!</v>
      </c>
    </row>
    <row r="18" spans="3:10" x14ac:dyDescent="0.35">
      <c r="C18" s="2"/>
      <c r="I18" t="e">
        <f t="shared" si="0"/>
        <v>#DIV/0!</v>
      </c>
      <c r="J18" t="e">
        <f t="shared" si="1"/>
        <v>#DIV/0!</v>
      </c>
    </row>
    <row r="19" spans="3:10" x14ac:dyDescent="0.35">
      <c r="C19" s="2"/>
      <c r="I19" t="e">
        <f t="shared" si="0"/>
        <v>#DIV/0!</v>
      </c>
      <c r="J19" t="e">
        <f t="shared" si="1"/>
        <v>#DIV/0!</v>
      </c>
    </row>
    <row r="20" spans="3:10" x14ac:dyDescent="0.35">
      <c r="C20" s="2"/>
      <c r="I20" t="e">
        <f t="shared" si="0"/>
        <v>#DIV/0!</v>
      </c>
      <c r="J20" t="e">
        <f t="shared" si="1"/>
        <v>#DIV/0!</v>
      </c>
    </row>
    <row r="21" spans="3:10" x14ac:dyDescent="0.35">
      <c r="C21" s="2"/>
      <c r="I21" t="e">
        <f t="shared" si="0"/>
        <v>#DIV/0!</v>
      </c>
      <c r="J21" t="e">
        <f t="shared" si="1"/>
        <v>#DIV/0!</v>
      </c>
    </row>
    <row r="22" spans="3:10" x14ac:dyDescent="0.35">
      <c r="C22" s="2"/>
      <c r="I22" t="e">
        <f t="shared" si="0"/>
        <v>#DIV/0!</v>
      </c>
      <c r="J22" t="e">
        <f t="shared" si="1"/>
        <v>#DIV/0!</v>
      </c>
    </row>
    <row r="23" spans="3:10" x14ac:dyDescent="0.35">
      <c r="C23" s="2"/>
      <c r="I23" t="e">
        <f t="shared" si="0"/>
        <v>#DIV/0!</v>
      </c>
      <c r="J23" t="e">
        <f t="shared" si="1"/>
        <v>#DIV/0!</v>
      </c>
    </row>
    <row r="24" spans="3:10" x14ac:dyDescent="0.35">
      <c r="C24" s="2"/>
      <c r="I24" t="e">
        <f t="shared" si="0"/>
        <v>#DIV/0!</v>
      </c>
      <c r="J24" t="e">
        <f t="shared" si="1"/>
        <v>#DIV/0!</v>
      </c>
    </row>
    <row r="25" spans="3:10" x14ac:dyDescent="0.35">
      <c r="C25" s="2"/>
      <c r="I25" t="e">
        <f t="shared" si="0"/>
        <v>#DIV/0!</v>
      </c>
      <c r="J25" t="e">
        <f t="shared" si="1"/>
        <v>#DIV/0!</v>
      </c>
    </row>
    <row r="26" spans="3:10" x14ac:dyDescent="0.35">
      <c r="C26" s="2"/>
    </row>
    <row r="27" spans="3:10" x14ac:dyDescent="0.35">
      <c r="C2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EE23-6E75-47C9-898E-12C9BF393C79}">
  <dimension ref="A1:Q32"/>
  <sheetViews>
    <sheetView workbookViewId="0">
      <selection activeCell="Q22" sqref="Q22"/>
    </sheetView>
  </sheetViews>
  <sheetFormatPr defaultColWidth="8.81640625" defaultRowHeight="14.5" x14ac:dyDescent="0.35"/>
  <cols>
    <col min="16" max="16" width="20.1796875" bestFit="1" customWidth="1"/>
  </cols>
  <sheetData>
    <row r="1" spans="1:17" x14ac:dyDescent="0.35">
      <c r="A1" s="1" t="s">
        <v>0</v>
      </c>
      <c r="B1" s="1" t="s">
        <v>1</v>
      </c>
      <c r="C1" s="1" t="s">
        <v>4</v>
      </c>
      <c r="D1" s="1" t="s">
        <v>3</v>
      </c>
      <c r="E1" s="1" t="s">
        <v>6</v>
      </c>
      <c r="F1" s="1" t="s">
        <v>5</v>
      </c>
      <c r="G1" s="1" t="s">
        <v>8</v>
      </c>
      <c r="H1" s="1"/>
    </row>
    <row r="2" spans="1:17" x14ac:dyDescent="0.35">
      <c r="A2">
        <v>1</v>
      </c>
      <c r="B2">
        <v>500</v>
      </c>
      <c r="C2">
        <v>0</v>
      </c>
      <c r="D2">
        <v>0</v>
      </c>
      <c r="E2">
        <v>124.33620000000001</v>
      </c>
      <c r="F2">
        <v>15.083</v>
      </c>
      <c r="G2" t="s">
        <v>53</v>
      </c>
      <c r="P2" s="1" t="s">
        <v>47</v>
      </c>
    </row>
    <row r="3" spans="1:17" x14ac:dyDescent="0.35">
      <c r="A3">
        <v>1</v>
      </c>
      <c r="B3">
        <v>500</v>
      </c>
      <c r="C3">
        <v>0</v>
      </c>
      <c r="D3">
        <v>0</v>
      </c>
      <c r="E3">
        <v>124.916</v>
      </c>
      <c r="F3">
        <v>15.145</v>
      </c>
      <c r="G3" t="s">
        <v>54</v>
      </c>
      <c r="P3" s="4" t="s">
        <v>14</v>
      </c>
      <c r="Q3" s="4">
        <f>0.2314*200-1.2514</f>
        <v>45.028600000000004</v>
      </c>
    </row>
    <row r="4" spans="1:17" x14ac:dyDescent="0.35">
      <c r="A4">
        <v>5</v>
      </c>
      <c r="B4">
        <v>1000</v>
      </c>
      <c r="C4">
        <v>0</v>
      </c>
      <c r="D4">
        <v>0</v>
      </c>
      <c r="E4">
        <v>254.24189999999999</v>
      </c>
      <c r="F4">
        <v>28.824000000000002</v>
      </c>
      <c r="G4" t="s">
        <v>55</v>
      </c>
      <c r="P4" s="7" t="s">
        <v>13</v>
      </c>
      <c r="Q4" s="7">
        <f>0.2314*10000-1.2514</f>
        <v>2312.7485999999999</v>
      </c>
    </row>
    <row r="5" spans="1:17" x14ac:dyDescent="0.35">
      <c r="A5">
        <v>5</v>
      </c>
      <c r="B5">
        <v>1000</v>
      </c>
      <c r="C5">
        <v>0</v>
      </c>
      <c r="D5">
        <v>0</v>
      </c>
      <c r="E5">
        <v>251.43360000000001</v>
      </c>
      <c r="F5">
        <v>28.483000000000001</v>
      </c>
      <c r="G5" t="s">
        <v>56</v>
      </c>
    </row>
    <row r="6" spans="1:17" x14ac:dyDescent="0.35">
      <c r="A6">
        <v>30</v>
      </c>
      <c r="B6">
        <v>2000</v>
      </c>
      <c r="C6">
        <v>3.7963</v>
      </c>
      <c r="D6">
        <v>0.873</v>
      </c>
      <c r="E6">
        <v>516.97730000000001</v>
      </c>
      <c r="F6">
        <v>55.018999999999998</v>
      </c>
      <c r="G6" t="s">
        <v>57</v>
      </c>
    </row>
    <row r="7" spans="1:17" x14ac:dyDescent="0.35">
      <c r="A7">
        <v>30</v>
      </c>
      <c r="B7">
        <v>2000</v>
      </c>
      <c r="C7">
        <v>3.7412000000000001</v>
      </c>
      <c r="D7">
        <v>0.85799999999999998</v>
      </c>
      <c r="E7">
        <v>511.47250000000003</v>
      </c>
      <c r="F7">
        <v>54.470999999999997</v>
      </c>
      <c r="G7" t="s">
        <v>58</v>
      </c>
    </row>
    <row r="8" spans="1:17" x14ac:dyDescent="0.35">
      <c r="A8">
        <v>200</v>
      </c>
      <c r="B8">
        <v>10000</v>
      </c>
      <c r="C8">
        <v>46.893500000000003</v>
      </c>
      <c r="D8">
        <v>11.016</v>
      </c>
      <c r="E8">
        <v>2408.4567999999999</v>
      </c>
      <c r="F8">
        <v>214.97</v>
      </c>
      <c r="G8" t="s">
        <v>59</v>
      </c>
    </row>
    <row r="9" spans="1:17" x14ac:dyDescent="0.35">
      <c r="A9">
        <v>200</v>
      </c>
      <c r="B9">
        <v>10000</v>
      </c>
      <c r="C9">
        <v>46.893900000000002</v>
      </c>
      <c r="D9">
        <v>10.989000000000001</v>
      </c>
      <c r="E9">
        <v>2391.1432</v>
      </c>
      <c r="F9">
        <v>213.59299999999999</v>
      </c>
      <c r="G9" t="s">
        <v>60</v>
      </c>
    </row>
    <row r="10" spans="1:17" x14ac:dyDescent="0.35">
      <c r="A10">
        <v>10000</v>
      </c>
      <c r="B10">
        <v>20000</v>
      </c>
      <c r="C10">
        <v>2317.6621</v>
      </c>
      <c r="D10">
        <v>441.51499999999999</v>
      </c>
      <c r="E10">
        <v>4189.4888000000001</v>
      </c>
      <c r="F10">
        <v>333.08300000000003</v>
      </c>
      <c r="G10" t="s">
        <v>63</v>
      </c>
    </row>
    <row r="11" spans="1:17" x14ac:dyDescent="0.35">
      <c r="A11">
        <v>10000</v>
      </c>
      <c r="B11">
        <v>20000</v>
      </c>
      <c r="C11">
        <v>2308.2923999999998</v>
      </c>
      <c r="D11">
        <v>439.98200000000003</v>
      </c>
      <c r="E11">
        <v>4159.9633999999996</v>
      </c>
      <c r="F11">
        <v>330.37900000000002</v>
      </c>
      <c r="G11" t="s">
        <v>64</v>
      </c>
    </row>
    <row r="14" spans="1:17" x14ac:dyDescent="0.35">
      <c r="P14" s="1" t="s">
        <v>48</v>
      </c>
    </row>
    <row r="15" spans="1:17" x14ac:dyDescent="0.35">
      <c r="P15" s="4" t="s">
        <v>14</v>
      </c>
      <c r="Q15" s="4">
        <f xml:space="preserve"> 0.2385*10000 + 18.084</f>
        <v>2403.0839999999998</v>
      </c>
    </row>
    <row r="16" spans="1:17" x14ac:dyDescent="0.35">
      <c r="P16" s="7" t="s">
        <v>13</v>
      </c>
      <c r="Q16" s="7">
        <f>0.1775*20000+624.87</f>
        <v>4174.87</v>
      </c>
    </row>
    <row r="32" spans="1:1" x14ac:dyDescent="0.35">
      <c r="A32" t="s">
        <v>261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D1A-51A9-4667-B7A7-58FCE5B6E50B}">
  <dimension ref="A1:T67"/>
  <sheetViews>
    <sheetView workbookViewId="0">
      <pane ySplit="1" topLeftCell="A2" activePane="bottomLeft" state="frozen"/>
      <selection pane="bottomLeft" sqref="A1:P30"/>
    </sheetView>
  </sheetViews>
  <sheetFormatPr defaultColWidth="8.81640625" defaultRowHeight="14.5" x14ac:dyDescent="0.35"/>
  <cols>
    <col min="1" max="1" width="15.1796875" customWidth="1"/>
    <col min="6" max="6" width="11.81640625" customWidth="1"/>
    <col min="8" max="8" width="10.453125" customWidth="1"/>
    <col min="15" max="15" width="21.6328125" customWidth="1"/>
    <col min="18" max="18" width="12.81640625" customWidth="1"/>
    <col min="19" max="19" width="8.81640625" customWidth="1"/>
  </cols>
  <sheetData>
    <row r="1" spans="1:20" s="6" customFormat="1" x14ac:dyDescent="0.35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4</v>
      </c>
      <c r="G1" s="5" t="s">
        <v>3</v>
      </c>
      <c r="H1" s="5" t="s">
        <v>49</v>
      </c>
      <c r="I1" s="5" t="s">
        <v>5</v>
      </c>
      <c r="J1" s="5" t="s">
        <v>24</v>
      </c>
      <c r="K1" s="5" t="s">
        <v>8</v>
      </c>
      <c r="L1" s="5" t="s">
        <v>7</v>
      </c>
      <c r="M1" s="5" t="s">
        <v>25</v>
      </c>
      <c r="N1" s="5" t="s">
        <v>29</v>
      </c>
      <c r="O1" s="5" t="s">
        <v>27</v>
      </c>
      <c r="P1" s="5" t="s">
        <v>28</v>
      </c>
    </row>
    <row r="2" spans="1:20" x14ac:dyDescent="0.35">
      <c r="A2" s="22" t="s">
        <v>61</v>
      </c>
      <c r="B2" t="s">
        <v>77</v>
      </c>
      <c r="C2" t="s">
        <v>62</v>
      </c>
      <c r="D2" t="s">
        <v>10</v>
      </c>
      <c r="E2" s="23">
        <v>44796</v>
      </c>
      <c r="F2">
        <v>1019.5473</v>
      </c>
      <c r="G2">
        <v>204.083</v>
      </c>
      <c r="H2">
        <v>4.0564</v>
      </c>
      <c r="I2">
        <v>0.50600000000000001</v>
      </c>
      <c r="J2" s="23">
        <v>44847</v>
      </c>
      <c r="K2" t="s">
        <v>65</v>
      </c>
      <c r="O2" t="s">
        <v>85</v>
      </c>
      <c r="R2" s="4" t="s">
        <v>74</v>
      </c>
      <c r="S2" s="4"/>
      <c r="T2" s="4">
        <f>0.2314*200-1.2514</f>
        <v>45.028600000000004</v>
      </c>
    </row>
    <row r="3" spans="1:20" x14ac:dyDescent="0.35">
      <c r="A3" s="22" t="s">
        <v>67</v>
      </c>
      <c r="B3" t="s">
        <v>77</v>
      </c>
      <c r="C3" t="s">
        <v>80</v>
      </c>
      <c r="D3" t="s">
        <v>10</v>
      </c>
      <c r="E3" s="23">
        <v>44796</v>
      </c>
      <c r="F3">
        <v>1113.9090000000001</v>
      </c>
      <c r="G3">
        <v>221.98</v>
      </c>
      <c r="H3">
        <v>2.7138</v>
      </c>
      <c r="I3">
        <v>0.33</v>
      </c>
      <c r="J3" s="23">
        <v>44847</v>
      </c>
      <c r="K3" t="s">
        <v>66</v>
      </c>
      <c r="O3" t="s">
        <v>85</v>
      </c>
      <c r="R3" s="4" t="s">
        <v>75</v>
      </c>
      <c r="S3" s="4"/>
      <c r="T3" s="4">
        <f xml:space="preserve"> 0.2385*10000 + 18.084</f>
        <v>2403.0839999999998</v>
      </c>
    </row>
    <row r="4" spans="1:20" x14ac:dyDescent="0.35">
      <c r="A4" s="22" t="s">
        <v>68</v>
      </c>
      <c r="B4" t="s">
        <v>77</v>
      </c>
      <c r="C4" t="s">
        <v>81</v>
      </c>
      <c r="D4" t="s">
        <v>10</v>
      </c>
      <c r="E4" s="23">
        <v>44797</v>
      </c>
      <c r="F4">
        <v>1757.2498000000001</v>
      </c>
      <c r="G4">
        <v>338.69499999999999</v>
      </c>
      <c r="H4">
        <v>16.526900000000001</v>
      </c>
      <c r="I4">
        <v>2.2160000000000002</v>
      </c>
      <c r="J4" s="23">
        <v>44847</v>
      </c>
      <c r="K4" t="s">
        <v>69</v>
      </c>
      <c r="O4" t="s">
        <v>85</v>
      </c>
    </row>
    <row r="5" spans="1:20" x14ac:dyDescent="0.35">
      <c r="A5" s="22" t="s">
        <v>70</v>
      </c>
      <c r="B5" t="s">
        <v>77</v>
      </c>
      <c r="C5" t="s">
        <v>82</v>
      </c>
      <c r="D5" t="s">
        <v>10</v>
      </c>
      <c r="E5" s="23">
        <v>44798</v>
      </c>
      <c r="F5">
        <v>1992.9755</v>
      </c>
      <c r="G5">
        <v>379.798</v>
      </c>
      <c r="H5">
        <v>14.199</v>
      </c>
      <c r="I5">
        <v>1.8779999999999999</v>
      </c>
      <c r="J5" s="23">
        <v>44847</v>
      </c>
      <c r="K5" t="s">
        <v>71</v>
      </c>
      <c r="O5" t="s">
        <v>85</v>
      </c>
      <c r="R5" s="7" t="s">
        <v>33</v>
      </c>
      <c r="S5" s="7"/>
      <c r="T5" s="7">
        <f>0.2314*10000-1.2514</f>
        <v>2312.7485999999999</v>
      </c>
    </row>
    <row r="6" spans="1:20" x14ac:dyDescent="0.35">
      <c r="A6" s="22" t="s">
        <v>72</v>
      </c>
      <c r="B6" t="s">
        <v>77</v>
      </c>
      <c r="C6" t="s">
        <v>78</v>
      </c>
      <c r="D6">
        <v>1</v>
      </c>
      <c r="E6" s="23">
        <v>44796</v>
      </c>
      <c r="F6">
        <v>2523.0837000000001</v>
      </c>
      <c r="G6">
        <v>467.863</v>
      </c>
      <c r="H6">
        <v>33.534300000000002</v>
      </c>
      <c r="I6">
        <v>4.508</v>
      </c>
      <c r="J6" s="23">
        <v>44847</v>
      </c>
      <c r="K6" t="s">
        <v>73</v>
      </c>
      <c r="O6" t="s">
        <v>85</v>
      </c>
      <c r="R6" s="7" t="s">
        <v>34</v>
      </c>
      <c r="S6" s="7"/>
      <c r="T6" s="7">
        <f>'std curve'!Q16</f>
        <v>4174.87</v>
      </c>
    </row>
    <row r="7" spans="1:20" x14ac:dyDescent="0.35">
      <c r="A7" s="22" t="s">
        <v>76</v>
      </c>
      <c r="B7" t="s">
        <v>77</v>
      </c>
      <c r="C7" t="s">
        <v>78</v>
      </c>
      <c r="D7">
        <v>2</v>
      </c>
      <c r="E7" s="23">
        <v>44796</v>
      </c>
      <c r="F7">
        <v>885.54549999999995</v>
      </c>
      <c r="G7">
        <v>178.51900000000001</v>
      </c>
      <c r="H7">
        <v>11.7728</v>
      </c>
      <c r="I7">
        <v>1.5169999999999999</v>
      </c>
      <c r="J7" s="23">
        <v>44847</v>
      </c>
      <c r="K7" t="s">
        <v>83</v>
      </c>
      <c r="O7" t="s">
        <v>85</v>
      </c>
    </row>
    <row r="8" spans="1:20" x14ac:dyDescent="0.35">
      <c r="A8" s="22" t="s">
        <v>79</v>
      </c>
      <c r="B8" t="s">
        <v>77</v>
      </c>
      <c r="C8" t="s">
        <v>78</v>
      </c>
      <c r="D8">
        <v>3</v>
      </c>
      <c r="E8" s="23">
        <v>44796</v>
      </c>
      <c r="F8">
        <v>2072.6995999999999</v>
      </c>
      <c r="G8">
        <v>393.16699999999997</v>
      </c>
      <c r="H8">
        <v>90.33</v>
      </c>
      <c r="I8">
        <v>11.22</v>
      </c>
      <c r="J8" s="23">
        <v>44847</v>
      </c>
      <c r="K8" t="s">
        <v>84</v>
      </c>
      <c r="O8" t="s">
        <v>85</v>
      </c>
    </row>
    <row r="9" spans="1:20" x14ac:dyDescent="0.35">
      <c r="A9" s="22" t="s">
        <v>86</v>
      </c>
      <c r="B9" t="s">
        <v>87</v>
      </c>
      <c r="C9" t="s">
        <v>88</v>
      </c>
      <c r="D9" t="s">
        <v>10</v>
      </c>
      <c r="E9" s="23">
        <v>44810</v>
      </c>
      <c r="F9">
        <v>2459.8591999999999</v>
      </c>
      <c r="G9">
        <v>457.96899999999999</v>
      </c>
      <c r="H9">
        <v>278.12619999999998</v>
      </c>
      <c r="I9">
        <v>30.638000000000002</v>
      </c>
      <c r="J9" s="23">
        <v>44847</v>
      </c>
      <c r="K9" t="s">
        <v>89</v>
      </c>
      <c r="O9" t="s">
        <v>85</v>
      </c>
    </row>
    <row r="10" spans="1:20" x14ac:dyDescent="0.35">
      <c r="A10" s="22" t="s">
        <v>90</v>
      </c>
      <c r="B10" t="s">
        <v>87</v>
      </c>
      <c r="C10" t="s">
        <v>91</v>
      </c>
      <c r="D10" t="s">
        <v>10</v>
      </c>
      <c r="E10" s="23">
        <v>44811</v>
      </c>
      <c r="F10">
        <v>1913.7469000000001</v>
      </c>
      <c r="G10">
        <v>365.75700000000001</v>
      </c>
      <c r="H10">
        <v>82.993600000000001</v>
      </c>
      <c r="I10">
        <v>10.397</v>
      </c>
      <c r="J10" s="23">
        <v>44847</v>
      </c>
      <c r="K10" t="s">
        <v>92</v>
      </c>
      <c r="O10" t="s">
        <v>85</v>
      </c>
    </row>
    <row r="11" spans="1:20" x14ac:dyDescent="0.35">
      <c r="A11" s="22" t="s">
        <v>30</v>
      </c>
      <c r="B11" t="s">
        <v>10</v>
      </c>
      <c r="C11" t="s">
        <v>10</v>
      </c>
      <c r="D11" t="s">
        <v>10</v>
      </c>
      <c r="E11" t="s">
        <v>10</v>
      </c>
      <c r="F11">
        <v>68.974999999999994</v>
      </c>
      <c r="G11">
        <v>15.723000000000001</v>
      </c>
      <c r="H11">
        <v>2269.1286</v>
      </c>
      <c r="I11">
        <v>193.49299999999999</v>
      </c>
      <c r="J11" s="23">
        <v>44847</v>
      </c>
      <c r="K11" t="s">
        <v>93</v>
      </c>
      <c r="P11">
        <f>100*(F11-$T$2)/AVERAGE($T$2,F11)</f>
        <v>42.009901441708841</v>
      </c>
      <c r="Q11" s="24">
        <f>100*(H11-$T$3)/AVERAGE($T$3,H11)</f>
        <v>-5.7341311908623265</v>
      </c>
    </row>
    <row r="12" spans="1:20" x14ac:dyDescent="0.35">
      <c r="A12" s="22" t="s">
        <v>30</v>
      </c>
      <c r="B12" t="s">
        <v>10</v>
      </c>
      <c r="C12" t="s">
        <v>10</v>
      </c>
      <c r="D12" t="s">
        <v>10</v>
      </c>
      <c r="E12" t="s">
        <v>10</v>
      </c>
      <c r="F12">
        <v>46.732100000000003</v>
      </c>
      <c r="G12">
        <v>11.03</v>
      </c>
      <c r="H12">
        <v>2304.9092000000001</v>
      </c>
      <c r="I12">
        <v>196.327</v>
      </c>
      <c r="J12" s="23">
        <v>44847</v>
      </c>
      <c r="K12" t="s">
        <v>94</v>
      </c>
      <c r="P12">
        <f>100*(F12-$T$2)/AVERAGE($T$2,F12)</f>
        <v>3.7129184934291</v>
      </c>
      <c r="Q12">
        <f>100*(H12-$T$3)/AVERAGE($T$3,H12)</f>
        <v>-4.1705582752328434</v>
      </c>
    </row>
    <row r="13" spans="1:20" x14ac:dyDescent="0.35">
      <c r="A13" s="22" t="s">
        <v>95</v>
      </c>
      <c r="B13" t="s">
        <v>87</v>
      </c>
      <c r="C13" t="s">
        <v>97</v>
      </c>
      <c r="D13" t="s">
        <v>10</v>
      </c>
      <c r="E13" s="23">
        <v>44811</v>
      </c>
      <c r="F13">
        <v>994.13630000000001</v>
      </c>
      <c r="G13">
        <v>199.375</v>
      </c>
      <c r="H13">
        <v>6.9836</v>
      </c>
      <c r="I13">
        <v>0.872</v>
      </c>
      <c r="J13" s="23">
        <v>44847</v>
      </c>
      <c r="K13" t="s">
        <v>96</v>
      </c>
      <c r="O13" t="s">
        <v>85</v>
      </c>
    </row>
    <row r="14" spans="1:20" x14ac:dyDescent="0.35">
      <c r="A14" s="22" t="s">
        <v>98</v>
      </c>
      <c r="B14" t="s">
        <v>87</v>
      </c>
      <c r="C14" t="s">
        <v>99</v>
      </c>
      <c r="D14" t="s">
        <v>10</v>
      </c>
      <c r="E14" s="23">
        <v>44811</v>
      </c>
      <c r="F14">
        <v>912.1979</v>
      </c>
      <c r="G14">
        <v>183.79900000000001</v>
      </c>
      <c r="H14">
        <v>8.3149999999999995</v>
      </c>
      <c r="I14">
        <v>1.054</v>
      </c>
      <c r="J14" s="23">
        <v>44847</v>
      </c>
      <c r="K14" t="s">
        <v>100</v>
      </c>
      <c r="O14" t="s">
        <v>85</v>
      </c>
    </row>
    <row r="15" spans="1:20" x14ac:dyDescent="0.35">
      <c r="A15" s="22" t="s">
        <v>102</v>
      </c>
      <c r="B15" t="s">
        <v>87</v>
      </c>
      <c r="C15" t="s">
        <v>101</v>
      </c>
      <c r="D15" t="s">
        <v>10</v>
      </c>
      <c r="E15" s="23">
        <v>44811</v>
      </c>
      <c r="F15">
        <v>1405.9548</v>
      </c>
      <c r="G15">
        <v>275.64499999999998</v>
      </c>
      <c r="H15">
        <v>7.9893000000000001</v>
      </c>
      <c r="I15">
        <v>1.008</v>
      </c>
      <c r="J15" s="23">
        <v>44847</v>
      </c>
      <c r="K15" t="s">
        <v>103</v>
      </c>
      <c r="O15" t="s">
        <v>85</v>
      </c>
    </row>
    <row r="16" spans="1:20" x14ac:dyDescent="0.35">
      <c r="A16" s="22" t="s">
        <v>105</v>
      </c>
      <c r="B16" t="s">
        <v>87</v>
      </c>
      <c r="C16" t="s">
        <v>104</v>
      </c>
      <c r="D16" t="s">
        <v>10</v>
      </c>
      <c r="E16" s="23">
        <v>44811</v>
      </c>
      <c r="F16">
        <v>2117.0729999999999</v>
      </c>
      <c r="G16">
        <v>400.55900000000003</v>
      </c>
      <c r="H16">
        <v>172.21860000000001</v>
      </c>
      <c r="I16">
        <v>19.760999999999999</v>
      </c>
      <c r="J16" s="23">
        <v>44847</v>
      </c>
      <c r="K16" t="s">
        <v>106</v>
      </c>
      <c r="O16" t="s">
        <v>85</v>
      </c>
    </row>
    <row r="17" spans="1:17" x14ac:dyDescent="0.35">
      <c r="A17" s="22" t="s">
        <v>109</v>
      </c>
      <c r="B17" t="s">
        <v>87</v>
      </c>
      <c r="C17" t="s">
        <v>107</v>
      </c>
      <c r="D17" t="s">
        <v>10</v>
      </c>
      <c r="E17" s="23">
        <v>44811</v>
      </c>
      <c r="F17">
        <v>1684.9321</v>
      </c>
      <c r="G17">
        <v>325.697</v>
      </c>
      <c r="H17">
        <v>11.166399999999999</v>
      </c>
      <c r="I17">
        <v>1.425</v>
      </c>
      <c r="J17" s="23">
        <v>44847</v>
      </c>
      <c r="K17" t="s">
        <v>111</v>
      </c>
      <c r="O17" t="s">
        <v>85</v>
      </c>
    </row>
    <row r="18" spans="1:17" x14ac:dyDescent="0.35">
      <c r="A18" s="22" t="s">
        <v>110</v>
      </c>
      <c r="B18" t="s">
        <v>87</v>
      </c>
      <c r="C18" t="s">
        <v>108</v>
      </c>
      <c r="D18" t="s">
        <v>10</v>
      </c>
      <c r="E18" s="23">
        <v>44811</v>
      </c>
      <c r="F18">
        <v>2516.4477999999999</v>
      </c>
      <c r="G18">
        <v>466.70499999999998</v>
      </c>
      <c r="H18">
        <v>140.74619999999999</v>
      </c>
      <c r="I18">
        <v>16.446999999999999</v>
      </c>
      <c r="J18" s="23">
        <v>44847</v>
      </c>
      <c r="K18" t="s">
        <v>112</v>
      </c>
      <c r="O18" t="s">
        <v>85</v>
      </c>
    </row>
    <row r="19" spans="1:17" x14ac:dyDescent="0.35">
      <c r="A19" s="22" t="s">
        <v>113</v>
      </c>
      <c r="B19" t="s">
        <v>87</v>
      </c>
      <c r="C19" t="s">
        <v>78</v>
      </c>
      <c r="D19">
        <v>1</v>
      </c>
      <c r="E19" s="23">
        <v>44811</v>
      </c>
      <c r="F19">
        <v>1434.5152</v>
      </c>
      <c r="G19">
        <v>281.48</v>
      </c>
      <c r="H19">
        <v>79.785399999999996</v>
      </c>
      <c r="I19">
        <v>9.9779999999999998</v>
      </c>
      <c r="J19" s="23">
        <v>44847</v>
      </c>
      <c r="K19" t="s">
        <v>116</v>
      </c>
      <c r="O19" t="s">
        <v>85</v>
      </c>
    </row>
    <row r="20" spans="1:17" x14ac:dyDescent="0.35">
      <c r="A20" s="22" t="s">
        <v>114</v>
      </c>
      <c r="B20" t="s">
        <v>87</v>
      </c>
      <c r="C20" t="s">
        <v>78</v>
      </c>
      <c r="D20">
        <v>2</v>
      </c>
      <c r="E20" s="23">
        <v>44811</v>
      </c>
      <c r="F20">
        <v>965.25009999999997</v>
      </c>
      <c r="G20">
        <v>193.80199999999999</v>
      </c>
      <c r="H20">
        <v>36.1614</v>
      </c>
      <c r="I20">
        <v>4.8520000000000003</v>
      </c>
      <c r="J20" s="23">
        <v>44847</v>
      </c>
      <c r="K20" t="s">
        <v>117</v>
      </c>
      <c r="O20" t="s">
        <v>85</v>
      </c>
    </row>
    <row r="21" spans="1:17" x14ac:dyDescent="0.35">
      <c r="A21" s="22" t="s">
        <v>115</v>
      </c>
      <c r="B21" t="s">
        <v>87</v>
      </c>
      <c r="C21" t="s">
        <v>78</v>
      </c>
      <c r="D21">
        <v>3</v>
      </c>
      <c r="E21" s="23">
        <v>44811</v>
      </c>
      <c r="F21">
        <v>1744.6058</v>
      </c>
      <c r="G21">
        <v>336.2</v>
      </c>
      <c r="H21">
        <v>88.681799999999996</v>
      </c>
      <c r="I21">
        <v>10.94</v>
      </c>
      <c r="J21" s="23">
        <v>44847</v>
      </c>
      <c r="K21" t="s">
        <v>118</v>
      </c>
      <c r="O21" t="s">
        <v>85</v>
      </c>
    </row>
    <row r="22" spans="1:17" x14ac:dyDescent="0.35">
      <c r="A22" s="22" t="s">
        <v>30</v>
      </c>
      <c r="B22" t="s">
        <v>10</v>
      </c>
      <c r="C22" t="s">
        <v>10</v>
      </c>
      <c r="D22" t="s">
        <v>10</v>
      </c>
      <c r="E22" t="s">
        <v>10</v>
      </c>
      <c r="F22">
        <v>46.534700000000001</v>
      </c>
      <c r="G22">
        <v>11.000999999999999</v>
      </c>
      <c r="H22">
        <v>2272.3083999999999</v>
      </c>
      <c r="I22">
        <v>190.345</v>
      </c>
      <c r="J22" s="23">
        <v>44847</v>
      </c>
      <c r="K22" t="s">
        <v>119</v>
      </c>
      <c r="P22">
        <f>100*(F22-$T$2)/AVERAGE($T$2,F22)</f>
        <v>3.2897460008540462</v>
      </c>
      <c r="Q22">
        <f>100*(H22-$T$3)/AVERAGE($T$3,H22)</f>
        <v>-5.5942085203372427</v>
      </c>
    </row>
    <row r="23" spans="1:17" x14ac:dyDescent="0.35">
      <c r="A23" s="22" t="s">
        <v>30</v>
      </c>
      <c r="B23" t="s">
        <v>10</v>
      </c>
      <c r="C23" t="s">
        <v>10</v>
      </c>
      <c r="D23" t="s">
        <v>10</v>
      </c>
      <c r="E23" t="s">
        <v>10</v>
      </c>
      <c r="F23">
        <v>46.257399999999997</v>
      </c>
      <c r="G23">
        <v>10.929</v>
      </c>
      <c r="H23">
        <v>2261.2334000000001</v>
      </c>
      <c r="I23">
        <v>189.131</v>
      </c>
      <c r="J23" s="23">
        <v>44847</v>
      </c>
      <c r="K23" t="s">
        <v>120</v>
      </c>
      <c r="P23">
        <f>100*(F23-$T$2)/AVERAGE($T$2,F23)</f>
        <v>2.6921981464846581</v>
      </c>
      <c r="Q23">
        <f>100*(H23-$T$3)/AVERAGE($T$3,H23)</f>
        <v>-6.0823733822230777</v>
      </c>
    </row>
    <row r="24" spans="1:17" x14ac:dyDescent="0.35">
      <c r="A24" s="22" t="s">
        <v>122</v>
      </c>
      <c r="B24" t="s">
        <v>87</v>
      </c>
      <c r="C24" t="s">
        <v>127</v>
      </c>
      <c r="D24" t="s">
        <v>10</v>
      </c>
      <c r="E24" s="23">
        <v>44823</v>
      </c>
      <c r="F24">
        <v>884.28290000000004</v>
      </c>
      <c r="G24">
        <v>178.36099999999999</v>
      </c>
      <c r="H24">
        <v>7.8837999999999999</v>
      </c>
      <c r="I24">
        <v>0.996</v>
      </c>
      <c r="J24" s="23">
        <v>44847</v>
      </c>
      <c r="K24" t="s">
        <v>130</v>
      </c>
      <c r="O24" t="s">
        <v>85</v>
      </c>
    </row>
    <row r="25" spans="1:17" x14ac:dyDescent="0.35">
      <c r="A25" s="22" t="s">
        <v>121</v>
      </c>
      <c r="B25" t="s">
        <v>87</v>
      </c>
      <c r="C25" t="s">
        <v>128</v>
      </c>
      <c r="D25" t="s">
        <v>10</v>
      </c>
      <c r="E25" s="23">
        <v>44823</v>
      </c>
      <c r="F25">
        <v>1613.8420000000001</v>
      </c>
      <c r="G25">
        <v>313.17500000000001</v>
      </c>
      <c r="H25">
        <v>9.0153999999999996</v>
      </c>
      <c r="I25">
        <v>1.131</v>
      </c>
      <c r="J25" s="23">
        <v>44847</v>
      </c>
      <c r="K25" t="s">
        <v>131</v>
      </c>
      <c r="O25" t="s">
        <v>85</v>
      </c>
    </row>
    <row r="26" spans="1:17" x14ac:dyDescent="0.35">
      <c r="A26" s="22" t="s">
        <v>123</v>
      </c>
      <c r="B26" t="s">
        <v>87</v>
      </c>
      <c r="C26" t="s">
        <v>129</v>
      </c>
      <c r="D26" t="s">
        <v>10</v>
      </c>
      <c r="E26" s="23">
        <v>44823</v>
      </c>
      <c r="F26">
        <v>1747.6394</v>
      </c>
      <c r="G26">
        <v>336.83600000000001</v>
      </c>
      <c r="H26">
        <v>9.2570999999999994</v>
      </c>
      <c r="I26">
        <v>1.1830000000000001</v>
      </c>
      <c r="J26" s="23">
        <v>44847</v>
      </c>
      <c r="K26" t="s">
        <v>132</v>
      </c>
      <c r="O26" t="s">
        <v>85</v>
      </c>
    </row>
    <row r="27" spans="1:17" x14ac:dyDescent="0.35">
      <c r="A27" s="22" t="s">
        <v>124</v>
      </c>
      <c r="B27" t="s">
        <v>87</v>
      </c>
      <c r="C27" t="s">
        <v>78</v>
      </c>
      <c r="D27">
        <v>1</v>
      </c>
      <c r="E27" s="23">
        <v>44823</v>
      </c>
      <c r="F27">
        <v>1291.4734000000001</v>
      </c>
      <c r="G27">
        <v>254.90799999999999</v>
      </c>
      <c r="H27">
        <v>43.992800000000003</v>
      </c>
      <c r="I27">
        <v>5.798</v>
      </c>
      <c r="J27" s="23">
        <v>44847</v>
      </c>
      <c r="K27" t="s">
        <v>133</v>
      </c>
      <c r="O27" t="s">
        <v>85</v>
      </c>
    </row>
    <row r="28" spans="1:17" x14ac:dyDescent="0.35">
      <c r="A28" s="22" t="s">
        <v>125</v>
      </c>
      <c r="B28" t="s">
        <v>87</v>
      </c>
      <c r="C28" t="s">
        <v>78</v>
      </c>
      <c r="D28">
        <v>2</v>
      </c>
      <c r="E28" s="23">
        <v>44823</v>
      </c>
      <c r="F28">
        <v>2505.9243999999999</v>
      </c>
      <c r="G28">
        <v>465.16</v>
      </c>
      <c r="H28">
        <v>153.989</v>
      </c>
      <c r="I28">
        <v>17.725000000000001</v>
      </c>
      <c r="J28" s="23">
        <v>44847</v>
      </c>
      <c r="K28" t="s">
        <v>134</v>
      </c>
      <c r="O28" t="s">
        <v>85</v>
      </c>
    </row>
    <row r="29" spans="1:17" x14ac:dyDescent="0.35">
      <c r="A29" s="22" t="s">
        <v>126</v>
      </c>
      <c r="B29" t="s">
        <v>87</v>
      </c>
      <c r="C29" t="s">
        <v>78</v>
      </c>
      <c r="D29">
        <v>3</v>
      </c>
      <c r="E29" s="23">
        <v>44823</v>
      </c>
      <c r="F29">
        <v>1534.3130000000001</v>
      </c>
      <c r="G29">
        <v>298.90699999999998</v>
      </c>
      <c r="H29">
        <v>47.923999999999999</v>
      </c>
      <c r="I29">
        <v>6.2690000000000001</v>
      </c>
      <c r="J29" s="23">
        <v>44847</v>
      </c>
      <c r="K29" t="s">
        <v>135</v>
      </c>
      <c r="O29" t="s">
        <v>85</v>
      </c>
    </row>
    <row r="30" spans="1:17" x14ac:dyDescent="0.35">
      <c r="A30" s="22" t="s">
        <v>136</v>
      </c>
      <c r="B30" t="s">
        <v>87</v>
      </c>
      <c r="C30" t="s">
        <v>137</v>
      </c>
      <c r="D30">
        <v>1</v>
      </c>
      <c r="E30" s="23">
        <v>44810</v>
      </c>
      <c r="F30">
        <v>1.1172</v>
      </c>
      <c r="G30">
        <v>0.251</v>
      </c>
      <c r="H30">
        <v>615.69320000000005</v>
      </c>
      <c r="I30">
        <v>61.043999999999997</v>
      </c>
      <c r="J30" s="23">
        <v>44847</v>
      </c>
      <c r="K30" t="s">
        <v>138</v>
      </c>
      <c r="L30" t="s">
        <v>139</v>
      </c>
    </row>
    <row r="31" spans="1:17" x14ac:dyDescent="0.35">
      <c r="A31" s="22"/>
    </row>
    <row r="32" spans="1:17" x14ac:dyDescent="0.35">
      <c r="A32" s="22"/>
    </row>
    <row r="33" spans="1:1" x14ac:dyDescent="0.35">
      <c r="A33" s="22"/>
    </row>
    <row r="34" spans="1:1" x14ac:dyDescent="0.35">
      <c r="A34" s="22" t="s">
        <v>30</v>
      </c>
    </row>
    <row r="35" spans="1:1" x14ac:dyDescent="0.35">
      <c r="A35" s="22" t="s">
        <v>30</v>
      </c>
    </row>
    <row r="36" spans="1:1" x14ac:dyDescent="0.35">
      <c r="A36" s="22"/>
    </row>
    <row r="37" spans="1:1" x14ac:dyDescent="0.35">
      <c r="A37" s="22"/>
    </row>
    <row r="38" spans="1:1" x14ac:dyDescent="0.35">
      <c r="A38" s="22"/>
    </row>
    <row r="39" spans="1:1" x14ac:dyDescent="0.35">
      <c r="A39" s="22"/>
    </row>
    <row r="40" spans="1:1" x14ac:dyDescent="0.35">
      <c r="A40" s="22"/>
    </row>
    <row r="41" spans="1:1" x14ac:dyDescent="0.35">
      <c r="A41" s="22"/>
    </row>
    <row r="42" spans="1:1" x14ac:dyDescent="0.35">
      <c r="A42" s="22"/>
    </row>
    <row r="43" spans="1:1" x14ac:dyDescent="0.35">
      <c r="A43" s="22"/>
    </row>
    <row r="44" spans="1:1" x14ac:dyDescent="0.35">
      <c r="A44" s="22"/>
    </row>
    <row r="45" spans="1:1" x14ac:dyDescent="0.35">
      <c r="A45" s="22"/>
    </row>
    <row r="46" spans="1:1" x14ac:dyDescent="0.35">
      <c r="A46" s="22"/>
    </row>
    <row r="47" spans="1:1" x14ac:dyDescent="0.35">
      <c r="A47" s="22"/>
    </row>
    <row r="48" spans="1:1" x14ac:dyDescent="0.35">
      <c r="A48" s="22"/>
    </row>
    <row r="49" spans="1:1" x14ac:dyDescent="0.35">
      <c r="A49" s="22"/>
    </row>
    <row r="50" spans="1:1" x14ac:dyDescent="0.35">
      <c r="A50" s="22"/>
    </row>
    <row r="51" spans="1:1" x14ac:dyDescent="0.35">
      <c r="A51" s="22"/>
    </row>
    <row r="52" spans="1:1" x14ac:dyDescent="0.35">
      <c r="A52" s="22"/>
    </row>
    <row r="53" spans="1:1" x14ac:dyDescent="0.35">
      <c r="A53" s="22"/>
    </row>
    <row r="54" spans="1:1" x14ac:dyDescent="0.35">
      <c r="A54" s="22"/>
    </row>
    <row r="55" spans="1:1" x14ac:dyDescent="0.35">
      <c r="A55" s="22"/>
    </row>
    <row r="56" spans="1:1" x14ac:dyDescent="0.35">
      <c r="A56" s="22"/>
    </row>
    <row r="57" spans="1:1" x14ac:dyDescent="0.35">
      <c r="A57" s="22"/>
    </row>
    <row r="58" spans="1:1" x14ac:dyDescent="0.35">
      <c r="A58" s="22"/>
    </row>
    <row r="59" spans="1:1" x14ac:dyDescent="0.35">
      <c r="A59" s="22"/>
    </row>
    <row r="60" spans="1:1" x14ac:dyDescent="0.35">
      <c r="A60" s="22"/>
    </row>
    <row r="61" spans="1:1" x14ac:dyDescent="0.35">
      <c r="A61" s="22"/>
    </row>
    <row r="62" spans="1:1" x14ac:dyDescent="0.35">
      <c r="A62" s="22"/>
    </row>
    <row r="63" spans="1:1" x14ac:dyDescent="0.35">
      <c r="A63" s="22"/>
    </row>
    <row r="64" spans="1:1" x14ac:dyDescent="0.35">
      <c r="A64" s="22"/>
    </row>
    <row r="65" spans="1:1" x14ac:dyDescent="0.35">
      <c r="A65" s="22"/>
    </row>
    <row r="66" spans="1:1" x14ac:dyDescent="0.35">
      <c r="A66" s="22"/>
    </row>
    <row r="67" spans="1:1" x14ac:dyDescent="0.35">
      <c r="A67" s="22"/>
    </row>
  </sheetData>
  <conditionalFormatting sqref="F1:F1048576 G2:G662 H7:H30">
    <cfRule type="cellIs" dxfId="9" priority="3" operator="greaterThan">
      <formula>$T$5</formula>
    </cfRule>
  </conditionalFormatting>
  <conditionalFormatting sqref="I2:I692">
    <cfRule type="cellIs" dxfId="8" priority="2" operator="greaterThan">
      <formula>$T$6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404A-6DA2-4ECD-868F-6981384C53CA}">
  <dimension ref="A1:V30"/>
  <sheetViews>
    <sheetView workbookViewId="0">
      <selection activeCell="P2" sqref="P2"/>
    </sheetView>
  </sheetViews>
  <sheetFormatPr defaultRowHeight="14.5" x14ac:dyDescent="0.35"/>
  <sheetData>
    <row r="1" spans="1:22" ht="58" x14ac:dyDescent="0.35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4</v>
      </c>
      <c r="G1" s="5" t="s">
        <v>3</v>
      </c>
      <c r="H1" s="5" t="s">
        <v>49</v>
      </c>
      <c r="I1" s="5" t="s">
        <v>5</v>
      </c>
      <c r="J1" s="5" t="s">
        <v>24</v>
      </c>
      <c r="K1" s="5" t="s">
        <v>8</v>
      </c>
      <c r="L1" s="5" t="s">
        <v>7</v>
      </c>
      <c r="M1" s="5" t="s">
        <v>27</v>
      </c>
      <c r="N1" s="5" t="s">
        <v>28</v>
      </c>
      <c r="O1" s="5" t="s">
        <v>262</v>
      </c>
      <c r="P1" s="19" t="s">
        <v>263</v>
      </c>
      <c r="Q1" s="19" t="s">
        <v>264</v>
      </c>
      <c r="R1" s="19" t="s">
        <v>265</v>
      </c>
      <c r="S1" s="19" t="s">
        <v>266</v>
      </c>
      <c r="T1" s="19" t="s">
        <v>267</v>
      </c>
      <c r="U1" s="19" t="s">
        <v>268</v>
      </c>
      <c r="V1" s="19"/>
    </row>
    <row r="2" spans="1:22" x14ac:dyDescent="0.35">
      <c r="A2" s="22" t="s">
        <v>61</v>
      </c>
      <c r="B2" t="s">
        <v>77</v>
      </c>
      <c r="C2" t="s">
        <v>62</v>
      </c>
      <c r="D2" t="s">
        <v>10</v>
      </c>
      <c r="E2" s="23">
        <v>44796</v>
      </c>
      <c r="F2">
        <v>1019.5473</v>
      </c>
      <c r="G2">
        <v>204.083</v>
      </c>
      <c r="H2">
        <v>4.0564</v>
      </c>
      <c r="I2">
        <v>0.50600000000000001</v>
      </c>
      <c r="J2" s="23">
        <v>44847</v>
      </c>
      <c r="K2" t="s">
        <v>65</v>
      </c>
      <c r="L2" t="s">
        <v>10</v>
      </c>
      <c r="M2" t="s">
        <v>85</v>
      </c>
      <c r="N2">
        <v>1</v>
      </c>
      <c r="O2" t="str">
        <f>IF(H2&gt;'std curve'!$Q$15, "high", "low")</f>
        <v>low</v>
      </c>
      <c r="P2">
        <f>((F2+1.2514)/0.2314)*'dilution factor'!$L$6</f>
        <v>5002.5751039695742</v>
      </c>
      <c r="Q2">
        <f>((H2-18.084)/0.2385)*'dilution factor'!$L$7</f>
        <v>-70.603064055533622</v>
      </c>
      <c r="R2">
        <v>0.1</v>
      </c>
      <c r="S2">
        <v>10</v>
      </c>
      <c r="T2">
        <f>IF(R2="NA", P2, (P2*S2)/R2)</f>
        <v>500257.5103969574</v>
      </c>
      <c r="U2">
        <f>IF(R2="NA", Q2, (Q2*S2)/R2)</f>
        <v>-7060.3064055533623</v>
      </c>
    </row>
    <row r="3" spans="1:22" x14ac:dyDescent="0.35">
      <c r="A3" s="22" t="s">
        <v>67</v>
      </c>
      <c r="B3" t="s">
        <v>77</v>
      </c>
      <c r="C3" t="s">
        <v>80</v>
      </c>
      <c r="D3" t="s">
        <v>10</v>
      </c>
      <c r="E3" s="23">
        <v>44796</v>
      </c>
      <c r="F3">
        <v>1113.9090000000001</v>
      </c>
      <c r="G3">
        <v>221.98</v>
      </c>
      <c r="H3">
        <v>2.7138</v>
      </c>
      <c r="I3">
        <v>0.33</v>
      </c>
      <c r="J3" s="23">
        <v>44847</v>
      </c>
      <c r="K3" t="s">
        <v>66</v>
      </c>
      <c r="L3" t="s">
        <v>10</v>
      </c>
      <c r="M3" t="s">
        <v>85</v>
      </c>
      <c r="N3">
        <v>1</v>
      </c>
      <c r="O3" t="str">
        <f>IF(H3&gt;'std curve'!$Q$15, "high", "low")</f>
        <v>low</v>
      </c>
      <c r="P3">
        <f>((F3+1.2514)/0.2314)*'dilution factor'!$L$6</f>
        <v>5465.008580019502</v>
      </c>
      <c r="Q3">
        <f>((H3-18.084)/0.2385)*'dilution factor'!$L$7</f>
        <v>-77.360575946445792</v>
      </c>
      <c r="R3">
        <v>0.1</v>
      </c>
      <c r="S3">
        <v>10</v>
      </c>
      <c r="T3">
        <f t="shared" ref="T3:T30" si="0">IF(R3="NA", P3, (P3*S3)/R3)</f>
        <v>546500.8580019502</v>
      </c>
      <c r="U3">
        <f t="shared" ref="U3:U30" si="1">IF(R3="NA", Q3, (Q3*S3)/R3)</f>
        <v>-7736.0575946445788</v>
      </c>
    </row>
    <row r="4" spans="1:22" x14ac:dyDescent="0.35">
      <c r="A4" s="22" t="s">
        <v>68</v>
      </c>
      <c r="B4" t="s">
        <v>77</v>
      </c>
      <c r="C4" t="s">
        <v>81</v>
      </c>
      <c r="D4" t="s">
        <v>10</v>
      </c>
      <c r="E4" s="23">
        <v>44797</v>
      </c>
      <c r="F4">
        <v>1757.2498000000001</v>
      </c>
      <c r="G4">
        <v>338.69499999999999</v>
      </c>
      <c r="H4">
        <v>16.526900000000001</v>
      </c>
      <c r="I4">
        <v>2.2160000000000002</v>
      </c>
      <c r="J4" s="23">
        <v>44847</v>
      </c>
      <c r="K4" t="s">
        <v>69</v>
      </c>
      <c r="L4" t="s">
        <v>10</v>
      </c>
      <c r="M4" t="s">
        <v>85</v>
      </c>
      <c r="N4">
        <v>1</v>
      </c>
      <c r="O4" t="str">
        <f>IF(H4&gt;'std curve'!$Q$15, "high", "low")</f>
        <v>low</v>
      </c>
      <c r="P4">
        <f>((F4+1.2514)/0.2314)*'dilution factor'!$L$6</f>
        <v>8617.7953825966106</v>
      </c>
      <c r="Q4">
        <f>((H4-18.084)/0.2385)*'dilution factor'!$L$7</f>
        <v>-7.837123316951673</v>
      </c>
      <c r="R4">
        <v>0.1</v>
      </c>
      <c r="S4">
        <v>10</v>
      </c>
      <c r="T4">
        <f t="shared" si="0"/>
        <v>861779.53825966106</v>
      </c>
      <c r="U4">
        <f t="shared" si="1"/>
        <v>-783.71233169516722</v>
      </c>
    </row>
    <row r="5" spans="1:22" x14ac:dyDescent="0.35">
      <c r="A5" s="22" t="s">
        <v>70</v>
      </c>
      <c r="B5" t="s">
        <v>77</v>
      </c>
      <c r="C5" t="s">
        <v>82</v>
      </c>
      <c r="D5" t="s">
        <v>10</v>
      </c>
      <c r="E5" s="23">
        <v>44798</v>
      </c>
      <c r="F5">
        <v>1992.9755</v>
      </c>
      <c r="G5">
        <v>379.798</v>
      </c>
      <c r="H5">
        <v>14.199</v>
      </c>
      <c r="I5">
        <v>1.8779999999999999</v>
      </c>
      <c r="J5" s="23">
        <v>44847</v>
      </c>
      <c r="K5" t="s">
        <v>71</v>
      </c>
      <c r="L5" t="s">
        <v>10</v>
      </c>
      <c r="M5" t="s">
        <v>85</v>
      </c>
      <c r="N5">
        <v>1</v>
      </c>
      <c r="O5" t="str">
        <f>IF(H5&gt;'std curve'!$Q$15, "high", "low")</f>
        <v>low</v>
      </c>
      <c r="P5">
        <f>((F5+1.2514)/0.2314)*'dilution factor'!$L$6</f>
        <v>9773.0040620216532</v>
      </c>
      <c r="Q5">
        <f>((H5-18.084)/0.2385)*'dilution factor'!$L$7</f>
        <v>-19.553801352743744</v>
      </c>
      <c r="R5">
        <v>0.1</v>
      </c>
      <c r="S5">
        <v>10</v>
      </c>
      <c r="T5">
        <f t="shared" si="0"/>
        <v>977300.40620216529</v>
      </c>
      <c r="U5">
        <f t="shared" si="1"/>
        <v>-1955.3801352743744</v>
      </c>
    </row>
    <row r="6" spans="1:22" x14ac:dyDescent="0.35">
      <c r="A6" s="22" t="s">
        <v>72</v>
      </c>
      <c r="B6" t="s">
        <v>77</v>
      </c>
      <c r="C6" t="s">
        <v>78</v>
      </c>
      <c r="D6">
        <v>1</v>
      </c>
      <c r="E6" s="23">
        <v>44796</v>
      </c>
      <c r="F6">
        <v>2523.0837000000001</v>
      </c>
      <c r="G6">
        <v>467.863</v>
      </c>
      <c r="H6">
        <v>33.534300000000002</v>
      </c>
      <c r="I6">
        <v>4.508</v>
      </c>
      <c r="J6" s="23">
        <v>44847</v>
      </c>
      <c r="K6" t="s">
        <v>73</v>
      </c>
      <c r="L6" t="s">
        <v>10</v>
      </c>
      <c r="M6" t="s">
        <v>85</v>
      </c>
      <c r="N6">
        <v>1</v>
      </c>
      <c r="O6" t="str">
        <f>IF(H6&gt;'std curve'!$Q$15, "high", "low")</f>
        <v>low</v>
      </c>
      <c r="P6">
        <f>((F6+1.2514)/0.2314)*'dilution factor'!$L$6</f>
        <v>12370.877750271966</v>
      </c>
      <c r="Q6">
        <f>((H6-18.084)/0.2385)*'dilution factor'!$L$7</f>
        <v>77.763731541903908</v>
      </c>
      <c r="R6">
        <v>0.1</v>
      </c>
      <c r="S6">
        <v>10</v>
      </c>
      <c r="T6">
        <f t="shared" si="0"/>
        <v>1237087.7750271966</v>
      </c>
      <c r="U6">
        <f t="shared" si="1"/>
        <v>7776.3731541903899</v>
      </c>
    </row>
    <row r="7" spans="1:22" x14ac:dyDescent="0.35">
      <c r="A7" s="22" t="s">
        <v>76</v>
      </c>
      <c r="B7" t="s">
        <v>77</v>
      </c>
      <c r="C7" t="s">
        <v>78</v>
      </c>
      <c r="D7">
        <v>2</v>
      </c>
      <c r="E7" s="23">
        <v>44796</v>
      </c>
      <c r="F7">
        <v>885.54549999999995</v>
      </c>
      <c r="G7">
        <v>178.51900000000001</v>
      </c>
      <c r="H7">
        <v>11.7728</v>
      </c>
      <c r="I7">
        <v>1.5169999999999999</v>
      </c>
      <c r="J7" s="23">
        <v>44847</v>
      </c>
      <c r="K7" t="s">
        <v>83</v>
      </c>
      <c r="L7" t="s">
        <v>10</v>
      </c>
      <c r="M7" t="s">
        <v>85</v>
      </c>
      <c r="N7">
        <v>1</v>
      </c>
      <c r="O7" t="str">
        <f>IF(H7&gt;'std curve'!$Q$15, "high", "low")</f>
        <v>low</v>
      </c>
      <c r="P7">
        <f>((F7+1.2514)/0.2314)*'dilution factor'!$L$6</f>
        <v>4345.8794512741797</v>
      </c>
      <c r="Q7">
        <f>((H7-18.084)/0.2385)*'dilution factor'!$L$7</f>
        <v>-31.765238377718482</v>
      </c>
      <c r="R7">
        <v>0.1</v>
      </c>
      <c r="S7">
        <v>10</v>
      </c>
      <c r="T7">
        <f t="shared" si="0"/>
        <v>434587.94512741797</v>
      </c>
      <c r="U7">
        <f t="shared" si="1"/>
        <v>-3176.5238377718479</v>
      </c>
    </row>
    <row r="8" spans="1:22" x14ac:dyDescent="0.35">
      <c r="A8" s="22" t="s">
        <v>79</v>
      </c>
      <c r="B8" t="s">
        <v>77</v>
      </c>
      <c r="C8" t="s">
        <v>78</v>
      </c>
      <c r="D8">
        <v>3</v>
      </c>
      <c r="E8" s="23">
        <v>44796</v>
      </c>
      <c r="F8">
        <v>2072.6995999999999</v>
      </c>
      <c r="G8">
        <v>393.16699999999997</v>
      </c>
      <c r="H8">
        <v>90.33</v>
      </c>
      <c r="I8">
        <v>11.22</v>
      </c>
      <c r="J8" s="23">
        <v>44847</v>
      </c>
      <c r="K8" t="s">
        <v>84</v>
      </c>
      <c r="L8" t="s">
        <v>10</v>
      </c>
      <c r="M8" t="s">
        <v>85</v>
      </c>
      <c r="N8">
        <v>1</v>
      </c>
      <c r="O8" t="str">
        <f>IF(H8&gt;'std curve'!$Q$15, "high", "low")</f>
        <v>low</v>
      </c>
      <c r="P8">
        <f>((F8+1.2514)/0.2314)*'dilution factor'!$L$6</f>
        <v>10163.703812958229</v>
      </c>
      <c r="Q8">
        <f>((H8-18.084)/0.2385)*'dilution factor'!$L$7</f>
        <v>363.62520785851336</v>
      </c>
      <c r="R8">
        <v>0.1</v>
      </c>
      <c r="S8">
        <v>10</v>
      </c>
      <c r="T8">
        <f t="shared" si="0"/>
        <v>1016370.3812958228</v>
      </c>
      <c r="U8">
        <f t="shared" si="1"/>
        <v>36362.520785851339</v>
      </c>
    </row>
    <row r="9" spans="1:22" x14ac:dyDescent="0.35">
      <c r="A9" s="22" t="s">
        <v>86</v>
      </c>
      <c r="B9" t="s">
        <v>87</v>
      </c>
      <c r="C9" t="s">
        <v>88</v>
      </c>
      <c r="D9" t="s">
        <v>10</v>
      </c>
      <c r="E9" s="23">
        <v>44810</v>
      </c>
      <c r="F9">
        <v>2459.8591999999999</v>
      </c>
      <c r="G9">
        <v>457.96899999999999</v>
      </c>
      <c r="H9">
        <v>278.12619999999998</v>
      </c>
      <c r="I9">
        <v>30.638000000000002</v>
      </c>
      <c r="J9" s="23">
        <v>44847</v>
      </c>
      <c r="K9" t="s">
        <v>89</v>
      </c>
      <c r="L9" t="s">
        <v>10</v>
      </c>
      <c r="M9" t="s">
        <v>85</v>
      </c>
      <c r="N9">
        <v>1</v>
      </c>
      <c r="O9" t="str">
        <f>IF(H9&gt;'std curve'!$Q$15, "high", "low")</f>
        <v>low</v>
      </c>
      <c r="P9">
        <f>((F9+1.2514)/0.2314)*'dilution factor'!$L$6</f>
        <v>12061.036731018194</v>
      </c>
      <c r="Q9">
        <f>((H9-18.084)/0.2385)*'dilution factor'!$L$7</f>
        <v>1308.8323094286895</v>
      </c>
      <c r="R9">
        <v>0.1</v>
      </c>
      <c r="S9">
        <v>10</v>
      </c>
      <c r="T9">
        <f t="shared" si="0"/>
        <v>1206103.6731018191</v>
      </c>
      <c r="U9">
        <f t="shared" si="1"/>
        <v>130883.23094286895</v>
      </c>
    </row>
    <row r="10" spans="1:22" x14ac:dyDescent="0.35">
      <c r="A10" s="22" t="s">
        <v>90</v>
      </c>
      <c r="B10" t="s">
        <v>87</v>
      </c>
      <c r="C10" t="s">
        <v>91</v>
      </c>
      <c r="D10" t="s">
        <v>10</v>
      </c>
      <c r="E10" s="23">
        <v>44811</v>
      </c>
      <c r="F10">
        <v>1913.7469000000001</v>
      </c>
      <c r="G10">
        <v>365.75700000000001</v>
      </c>
      <c r="H10">
        <v>82.993600000000001</v>
      </c>
      <c r="I10">
        <v>10.397</v>
      </c>
      <c r="J10" s="23">
        <v>44847</v>
      </c>
      <c r="K10" t="s">
        <v>92</v>
      </c>
      <c r="L10" t="s">
        <v>10</v>
      </c>
      <c r="M10" t="s">
        <v>85</v>
      </c>
      <c r="N10">
        <v>1</v>
      </c>
      <c r="O10" t="str">
        <f>IF(H10&gt;'std curve'!$Q$15, "high", "low")</f>
        <v>low</v>
      </c>
      <c r="P10">
        <f>((F10+1.2514)/0.2314)*'dilution factor'!$L$6</f>
        <v>9384.7325821673348</v>
      </c>
      <c r="Q10">
        <f>((H10-18.084)/0.2385)*'dilution factor'!$L$7</f>
        <v>326.69998051121115</v>
      </c>
      <c r="R10">
        <v>0.1</v>
      </c>
      <c r="S10">
        <v>10</v>
      </c>
      <c r="T10">
        <f t="shared" si="0"/>
        <v>938473.25821673346</v>
      </c>
      <c r="U10">
        <f t="shared" si="1"/>
        <v>32669.998051121114</v>
      </c>
    </row>
    <row r="11" spans="1:22" x14ac:dyDescent="0.35">
      <c r="A11" s="22" t="s">
        <v>30</v>
      </c>
      <c r="B11" t="s">
        <v>10</v>
      </c>
      <c r="C11" t="s">
        <v>10</v>
      </c>
      <c r="D11" t="s">
        <v>10</v>
      </c>
      <c r="E11" t="s">
        <v>10</v>
      </c>
      <c r="F11">
        <v>68.974999999999994</v>
      </c>
      <c r="G11">
        <v>15.723000000000001</v>
      </c>
      <c r="H11">
        <v>2269.1286</v>
      </c>
      <c r="I11">
        <v>193.49299999999999</v>
      </c>
      <c r="J11" s="23">
        <v>44847</v>
      </c>
      <c r="K11" t="s">
        <v>93</v>
      </c>
      <c r="L11" t="s">
        <v>10</v>
      </c>
      <c r="M11" t="s">
        <v>10</v>
      </c>
      <c r="N11">
        <v>0</v>
      </c>
      <c r="O11" t="str">
        <f>IF(H11&gt;'std curve'!$Q$15, "high", "low")</f>
        <v>low</v>
      </c>
      <c r="P11">
        <f>((F11+1.2514)/0.2314)</f>
        <v>303.48487467588592</v>
      </c>
      <c r="Q11">
        <f>((H11-18.084)/0.2385)</f>
        <v>9438.3421383647801</v>
      </c>
      <c r="R11" t="s">
        <v>10</v>
      </c>
      <c r="S11" t="s">
        <v>10</v>
      </c>
      <c r="T11">
        <f t="shared" si="0"/>
        <v>303.48487467588592</v>
      </c>
      <c r="U11">
        <f t="shared" si="1"/>
        <v>9438.3421383647801</v>
      </c>
    </row>
    <row r="12" spans="1:22" x14ac:dyDescent="0.35">
      <c r="A12" s="22" t="s">
        <v>30</v>
      </c>
      <c r="B12" t="s">
        <v>10</v>
      </c>
      <c r="C12" t="s">
        <v>10</v>
      </c>
      <c r="D12" t="s">
        <v>10</v>
      </c>
      <c r="E12" t="s">
        <v>10</v>
      </c>
      <c r="F12">
        <v>46.732100000000003</v>
      </c>
      <c r="G12">
        <v>11.03</v>
      </c>
      <c r="H12">
        <v>2304.9092000000001</v>
      </c>
      <c r="I12">
        <v>196.327</v>
      </c>
      <c r="J12" s="23">
        <v>44847</v>
      </c>
      <c r="K12" t="s">
        <v>94</v>
      </c>
      <c r="L12" t="s">
        <v>10</v>
      </c>
      <c r="M12" t="s">
        <v>10</v>
      </c>
      <c r="N12">
        <v>0</v>
      </c>
      <c r="O12" t="str">
        <f>IF(H12&gt;'std curve'!$Q$15, "high", "low")</f>
        <v>low</v>
      </c>
      <c r="P12">
        <f>((F12+1.2514)/0.2314)</f>
        <v>207.36171132238547</v>
      </c>
      <c r="Q12">
        <f>((H12-18.084)/0.2385)</f>
        <v>9588.365618448639</v>
      </c>
      <c r="R12" t="s">
        <v>10</v>
      </c>
      <c r="S12" t="s">
        <v>10</v>
      </c>
      <c r="T12">
        <f t="shared" si="0"/>
        <v>207.36171132238547</v>
      </c>
      <c r="U12">
        <f t="shared" si="1"/>
        <v>9588.365618448639</v>
      </c>
    </row>
    <row r="13" spans="1:22" x14ac:dyDescent="0.35">
      <c r="A13" s="22" t="s">
        <v>95</v>
      </c>
      <c r="B13" t="s">
        <v>87</v>
      </c>
      <c r="C13" t="s">
        <v>97</v>
      </c>
      <c r="D13" t="s">
        <v>10</v>
      </c>
      <c r="E13" s="23">
        <v>44811</v>
      </c>
      <c r="F13">
        <v>994.13630000000001</v>
      </c>
      <c r="G13">
        <v>199.375</v>
      </c>
      <c r="H13">
        <v>6.9836</v>
      </c>
      <c r="I13">
        <v>0.872</v>
      </c>
      <c r="J13" s="23">
        <v>44847</v>
      </c>
      <c r="K13" t="s">
        <v>96</v>
      </c>
      <c r="L13" t="s">
        <v>10</v>
      </c>
      <c r="M13" t="s">
        <v>85</v>
      </c>
      <c r="N13">
        <v>1</v>
      </c>
      <c r="O13" t="str">
        <f>IF(H13&gt;'std curve'!$Q$15, "high", "low")</f>
        <v>low</v>
      </c>
      <c r="P13">
        <f>((F13+1.2514)/0.2314)*'dilution factor'!$L$6</f>
        <v>4878.0447377308919</v>
      </c>
      <c r="Q13">
        <f>((H13-18.084)/0.2385)*'dilution factor'!$L$7</f>
        <v>-55.870017126382663</v>
      </c>
      <c r="R13">
        <v>0.1</v>
      </c>
      <c r="S13">
        <v>10</v>
      </c>
      <c r="T13">
        <f t="shared" si="0"/>
        <v>487804.47377308918</v>
      </c>
      <c r="U13">
        <f t="shared" si="1"/>
        <v>-5587.0017126382663</v>
      </c>
    </row>
    <row r="14" spans="1:22" x14ac:dyDescent="0.35">
      <c r="A14" s="22" t="s">
        <v>98</v>
      </c>
      <c r="B14" t="s">
        <v>87</v>
      </c>
      <c r="C14" t="s">
        <v>99</v>
      </c>
      <c r="D14" t="s">
        <v>10</v>
      </c>
      <c r="E14" s="23">
        <v>44811</v>
      </c>
      <c r="F14">
        <v>912.1979</v>
      </c>
      <c r="G14">
        <v>183.79900000000001</v>
      </c>
      <c r="H14">
        <v>8.3149999999999995</v>
      </c>
      <c r="I14">
        <v>1.054</v>
      </c>
      <c r="J14" s="23">
        <v>44847</v>
      </c>
      <c r="K14" t="s">
        <v>100</v>
      </c>
      <c r="L14" t="s">
        <v>10</v>
      </c>
      <c r="M14" t="s">
        <v>85</v>
      </c>
      <c r="N14">
        <v>1</v>
      </c>
      <c r="O14" t="str">
        <f>IF(H14&gt;'std curve'!$Q$15, "high", "low")</f>
        <v>low</v>
      </c>
      <c r="P14">
        <f>((F14+1.2514)/0.2314)*'dilution factor'!$L$6</f>
        <v>4476.4934819356986</v>
      </c>
      <c r="Q14">
        <f>((H14-18.084)/0.2385)*'dilution factor'!$L$7</f>
        <v>-49.168876554685617</v>
      </c>
      <c r="R14">
        <v>0.1</v>
      </c>
      <c r="S14">
        <v>10</v>
      </c>
      <c r="T14">
        <f t="shared" si="0"/>
        <v>447649.34819356987</v>
      </c>
      <c r="U14">
        <f t="shared" si="1"/>
        <v>-4916.8876554685612</v>
      </c>
    </row>
    <row r="15" spans="1:22" x14ac:dyDescent="0.35">
      <c r="A15" s="22" t="s">
        <v>102</v>
      </c>
      <c r="B15" t="s">
        <v>87</v>
      </c>
      <c r="C15" t="s">
        <v>101</v>
      </c>
      <c r="D15" t="s">
        <v>10</v>
      </c>
      <c r="E15" s="23">
        <v>44811</v>
      </c>
      <c r="F15">
        <v>1405.9548</v>
      </c>
      <c r="G15">
        <v>275.64499999999998</v>
      </c>
      <c r="H15">
        <v>7.9893000000000001</v>
      </c>
      <c r="I15">
        <v>1.008</v>
      </c>
      <c r="J15" s="23">
        <v>44847</v>
      </c>
      <c r="K15" t="s">
        <v>103</v>
      </c>
      <c r="L15" t="s">
        <v>10</v>
      </c>
      <c r="M15" t="s">
        <v>85</v>
      </c>
      <c r="N15">
        <v>1</v>
      </c>
      <c r="O15" t="str">
        <f>IF(H15&gt;'std curve'!$Q$15, "high", "low")</f>
        <v>low</v>
      </c>
      <c r="P15">
        <f>((F15+1.2514)/0.2314)*'dilution factor'!$L$6</f>
        <v>6896.222244671384</v>
      </c>
      <c r="Q15">
        <f>((H15-18.084)/0.2385)*'dilution factor'!$L$7</f>
        <v>-50.808174650075223</v>
      </c>
      <c r="R15">
        <v>0.1</v>
      </c>
      <c r="S15">
        <v>10</v>
      </c>
      <c r="T15">
        <f t="shared" si="0"/>
        <v>689622.22446713841</v>
      </c>
      <c r="U15">
        <f t="shared" si="1"/>
        <v>-5080.8174650075216</v>
      </c>
    </row>
    <row r="16" spans="1:22" x14ac:dyDescent="0.35">
      <c r="A16" s="22" t="s">
        <v>105</v>
      </c>
      <c r="B16" t="s">
        <v>87</v>
      </c>
      <c r="C16" t="s">
        <v>104</v>
      </c>
      <c r="D16" t="s">
        <v>10</v>
      </c>
      <c r="E16" s="23">
        <v>44811</v>
      </c>
      <c r="F16">
        <v>2117.0729999999999</v>
      </c>
      <c r="G16">
        <v>400.55900000000003</v>
      </c>
      <c r="H16">
        <v>172.21860000000001</v>
      </c>
      <c r="I16">
        <v>19.760999999999999</v>
      </c>
      <c r="J16" s="23">
        <v>44847</v>
      </c>
      <c r="K16" t="s">
        <v>106</v>
      </c>
      <c r="L16" t="s">
        <v>10</v>
      </c>
      <c r="M16" t="s">
        <v>85</v>
      </c>
      <c r="N16">
        <v>1</v>
      </c>
      <c r="O16" t="str">
        <f>IF(H16&gt;'std curve'!$Q$15, "high", "low")</f>
        <v>low</v>
      </c>
      <c r="P16">
        <f>((F16+1.2514)/0.2314)*'dilution factor'!$L$6</f>
        <v>10381.16222676546</v>
      </c>
      <c r="Q16">
        <f>((H16-18.084)/0.2385)*'dilution factor'!$L$7</f>
        <v>775.78310166914184</v>
      </c>
      <c r="R16">
        <v>0.1</v>
      </c>
      <c r="S16">
        <v>10</v>
      </c>
      <c r="T16">
        <f t="shared" si="0"/>
        <v>1038116.222676546</v>
      </c>
      <c r="U16">
        <f t="shared" si="1"/>
        <v>77578.310166914176</v>
      </c>
    </row>
    <row r="17" spans="1:21" x14ac:dyDescent="0.35">
      <c r="A17" s="22" t="s">
        <v>109</v>
      </c>
      <c r="B17" t="s">
        <v>87</v>
      </c>
      <c r="C17" t="s">
        <v>107</v>
      </c>
      <c r="D17" t="s">
        <v>10</v>
      </c>
      <c r="E17" s="23">
        <v>44811</v>
      </c>
      <c r="F17">
        <v>1684.9321</v>
      </c>
      <c r="G17">
        <v>325.697</v>
      </c>
      <c r="H17">
        <v>11.166399999999999</v>
      </c>
      <c r="I17">
        <v>1.425</v>
      </c>
      <c r="J17" s="23">
        <v>44847</v>
      </c>
      <c r="K17" t="s">
        <v>111</v>
      </c>
      <c r="L17" t="s">
        <v>10</v>
      </c>
      <c r="M17" t="s">
        <v>85</v>
      </c>
      <c r="N17">
        <v>1</v>
      </c>
      <c r="O17" t="str">
        <f>IF(H17&gt;'std curve'!$Q$15, "high", "low")</f>
        <v>low</v>
      </c>
      <c r="P17">
        <f>((F17+1.2514)/0.2314)*'dilution factor'!$L$6</f>
        <v>8263.3917909812008</v>
      </c>
      <c r="Q17">
        <f>((H17-18.084)/0.2385)*'dilution factor'!$L$7</f>
        <v>-34.817342660936966</v>
      </c>
      <c r="R17">
        <v>0.1</v>
      </c>
      <c r="S17">
        <v>10</v>
      </c>
      <c r="T17">
        <f t="shared" si="0"/>
        <v>826339.17909812008</v>
      </c>
      <c r="U17">
        <f t="shared" si="1"/>
        <v>-3481.7342660936961</v>
      </c>
    </row>
    <row r="18" spans="1:21" x14ac:dyDescent="0.35">
      <c r="A18" s="22" t="s">
        <v>110</v>
      </c>
      <c r="B18" t="s">
        <v>87</v>
      </c>
      <c r="C18" t="s">
        <v>108</v>
      </c>
      <c r="D18" t="s">
        <v>10</v>
      </c>
      <c r="E18" s="23">
        <v>44811</v>
      </c>
      <c r="F18">
        <v>2516.4477999999999</v>
      </c>
      <c r="G18">
        <v>466.70499999999998</v>
      </c>
      <c r="H18">
        <v>140.74619999999999</v>
      </c>
      <c r="I18">
        <v>16.446999999999999</v>
      </c>
      <c r="J18" s="23">
        <v>44847</v>
      </c>
      <c r="K18" t="s">
        <v>112</v>
      </c>
      <c r="L18" t="s">
        <v>10</v>
      </c>
      <c r="M18" t="s">
        <v>85</v>
      </c>
      <c r="N18">
        <v>1</v>
      </c>
      <c r="O18" t="str">
        <f>IF(H18&gt;'std curve'!$Q$15, "high", "low")</f>
        <v>low</v>
      </c>
      <c r="P18">
        <f>((F18+1.2514)/0.2314)*'dilution factor'!$L$6</f>
        <v>12338.357540232088</v>
      </c>
      <c r="Q18">
        <f>((H18-18.084)/0.2385)*'dilution factor'!$L$7</f>
        <v>617.37768141326217</v>
      </c>
      <c r="R18">
        <v>0.1</v>
      </c>
      <c r="S18">
        <v>10</v>
      </c>
      <c r="T18">
        <f t="shared" si="0"/>
        <v>1233835.7540232087</v>
      </c>
      <c r="U18">
        <f t="shared" si="1"/>
        <v>61737.768141326211</v>
      </c>
    </row>
    <row r="19" spans="1:21" x14ac:dyDescent="0.35">
      <c r="A19" s="22" t="s">
        <v>113</v>
      </c>
      <c r="B19" t="s">
        <v>87</v>
      </c>
      <c r="C19" t="s">
        <v>78</v>
      </c>
      <c r="D19">
        <v>1</v>
      </c>
      <c r="E19" s="23">
        <v>44811</v>
      </c>
      <c r="F19">
        <v>1434.5152</v>
      </c>
      <c r="G19">
        <v>281.48</v>
      </c>
      <c r="H19">
        <v>79.785399999999996</v>
      </c>
      <c r="I19">
        <v>9.9779999999999998</v>
      </c>
      <c r="J19" s="23">
        <v>44847</v>
      </c>
      <c r="K19" t="s">
        <v>116</v>
      </c>
      <c r="L19" t="s">
        <v>10</v>
      </c>
      <c r="M19" t="s">
        <v>85</v>
      </c>
      <c r="N19">
        <v>1</v>
      </c>
      <c r="O19" t="str">
        <f>IF(H19&gt;'std curve'!$Q$15, "high", "low")</f>
        <v>low</v>
      </c>
      <c r="P19">
        <f>((F19+1.2514)/0.2314)*'dilution factor'!$L$6</f>
        <v>7036.1867117101965</v>
      </c>
      <c r="Q19">
        <f>((H19-18.084)/0.2385)*'dilution factor'!$L$7</f>
        <v>310.55261744818085</v>
      </c>
      <c r="R19">
        <v>0.1</v>
      </c>
      <c r="S19">
        <v>10</v>
      </c>
      <c r="T19">
        <f t="shared" si="0"/>
        <v>703618.67117101967</v>
      </c>
      <c r="U19">
        <f t="shared" si="1"/>
        <v>31055.261744818083</v>
      </c>
    </row>
    <row r="20" spans="1:21" x14ac:dyDescent="0.35">
      <c r="A20" s="22" t="s">
        <v>114</v>
      </c>
      <c r="B20" t="s">
        <v>87</v>
      </c>
      <c r="C20" t="s">
        <v>78</v>
      </c>
      <c r="D20">
        <v>2</v>
      </c>
      <c r="E20" s="23">
        <v>44811</v>
      </c>
      <c r="F20">
        <v>965.25009999999997</v>
      </c>
      <c r="G20">
        <v>193.80199999999999</v>
      </c>
      <c r="H20">
        <v>36.1614</v>
      </c>
      <c r="I20">
        <v>4.8520000000000003</v>
      </c>
      <c r="J20" s="23">
        <v>44847</v>
      </c>
      <c r="K20" t="s">
        <v>117</v>
      </c>
      <c r="L20" t="s">
        <v>10</v>
      </c>
      <c r="M20" t="s">
        <v>85</v>
      </c>
      <c r="N20">
        <v>1</v>
      </c>
      <c r="O20" t="str">
        <f>IF(H20&gt;'std curve'!$Q$15, "high", "low")</f>
        <v>low</v>
      </c>
      <c r="P20">
        <f>((F20+1.2514)/0.2314)*'dilution factor'!$L$6</f>
        <v>4736.4836395748243</v>
      </c>
      <c r="Q20">
        <f>((H20-18.084)/0.2385)*'dilution factor'!$L$7</f>
        <v>90.986329105299816</v>
      </c>
      <c r="R20">
        <v>0.1</v>
      </c>
      <c r="S20">
        <v>10</v>
      </c>
      <c r="T20">
        <f t="shared" si="0"/>
        <v>473648.36395748239</v>
      </c>
      <c r="U20">
        <f t="shared" si="1"/>
        <v>9098.632910529981</v>
      </c>
    </row>
    <row r="21" spans="1:21" x14ac:dyDescent="0.35">
      <c r="A21" s="22" t="s">
        <v>115</v>
      </c>
      <c r="B21" t="s">
        <v>87</v>
      </c>
      <c r="C21" t="s">
        <v>78</v>
      </c>
      <c r="D21">
        <v>3</v>
      </c>
      <c r="E21" s="23">
        <v>44811</v>
      </c>
      <c r="F21">
        <v>1744.6058</v>
      </c>
      <c r="G21">
        <v>336.2</v>
      </c>
      <c r="H21">
        <v>88.681799999999996</v>
      </c>
      <c r="I21">
        <v>10.94</v>
      </c>
      <c r="J21" s="23">
        <v>44847</v>
      </c>
      <c r="K21" t="s">
        <v>118</v>
      </c>
      <c r="L21" t="s">
        <v>10</v>
      </c>
      <c r="M21" t="s">
        <v>85</v>
      </c>
      <c r="N21">
        <v>1</v>
      </c>
      <c r="O21" t="str">
        <f>IF(H21&gt;'std curve'!$Q$15, "high", "low")</f>
        <v>low</v>
      </c>
      <c r="P21">
        <f>((F21+1.2514)/0.2314)*'dilution factor'!$L$6</f>
        <v>8555.8315893290528</v>
      </c>
      <c r="Q21">
        <f>((H21-18.084)/0.2385)*'dilution factor'!$L$7</f>
        <v>355.32956425758869</v>
      </c>
      <c r="R21">
        <v>0.1</v>
      </c>
      <c r="S21">
        <v>10</v>
      </c>
      <c r="T21">
        <f t="shared" si="0"/>
        <v>855583.15893290529</v>
      </c>
      <c r="U21">
        <f t="shared" si="1"/>
        <v>35532.956425758864</v>
      </c>
    </row>
    <row r="22" spans="1:21" x14ac:dyDescent="0.35">
      <c r="A22" s="22" t="s">
        <v>30</v>
      </c>
      <c r="B22" t="s">
        <v>10</v>
      </c>
      <c r="C22" t="s">
        <v>10</v>
      </c>
      <c r="D22" t="s">
        <v>10</v>
      </c>
      <c r="E22" t="s">
        <v>10</v>
      </c>
      <c r="F22">
        <v>46.534700000000001</v>
      </c>
      <c r="G22">
        <v>11.000999999999999</v>
      </c>
      <c r="H22">
        <v>2272.3083999999999</v>
      </c>
      <c r="I22">
        <v>190.345</v>
      </c>
      <c r="J22" s="23">
        <v>44847</v>
      </c>
      <c r="K22" t="s">
        <v>119</v>
      </c>
      <c r="L22" t="s">
        <v>10</v>
      </c>
      <c r="M22" t="s">
        <v>10</v>
      </c>
      <c r="N22">
        <v>0</v>
      </c>
      <c r="O22" t="str">
        <f>IF(H22&gt;'std curve'!$Q$15, "high", "low")</f>
        <v>low</v>
      </c>
      <c r="P22">
        <f>((F22+1.2514)/0.2314)</f>
        <v>206.50864304235091</v>
      </c>
      <c r="Q22">
        <f>((H22-18.084)/0.2385)</f>
        <v>9451.67463312369</v>
      </c>
      <c r="R22" t="s">
        <v>10</v>
      </c>
      <c r="S22" t="s">
        <v>10</v>
      </c>
      <c r="T22">
        <f t="shared" si="0"/>
        <v>206.50864304235091</v>
      </c>
      <c r="U22">
        <f t="shared" si="1"/>
        <v>9451.67463312369</v>
      </c>
    </row>
    <row r="23" spans="1:21" x14ac:dyDescent="0.35">
      <c r="A23" s="22" t="s">
        <v>30</v>
      </c>
      <c r="B23" t="s">
        <v>10</v>
      </c>
      <c r="C23" t="s">
        <v>10</v>
      </c>
      <c r="D23" t="s">
        <v>10</v>
      </c>
      <c r="E23" t="s">
        <v>10</v>
      </c>
      <c r="F23">
        <v>46.257399999999997</v>
      </c>
      <c r="G23">
        <v>10.929</v>
      </c>
      <c r="H23">
        <v>2261.2334000000001</v>
      </c>
      <c r="I23">
        <v>189.131</v>
      </c>
      <c r="J23" s="23">
        <v>44847</v>
      </c>
      <c r="K23" t="s">
        <v>120</v>
      </c>
      <c r="L23" t="s">
        <v>10</v>
      </c>
      <c r="M23" t="s">
        <v>10</v>
      </c>
      <c r="N23">
        <v>0</v>
      </c>
      <c r="O23" t="str">
        <f>IF(H23&gt;'std curve'!$Q$15, "high", "low")</f>
        <v>low</v>
      </c>
      <c r="P23">
        <f>((F23+1.2514)/0.2314)</f>
        <v>205.31028522039756</v>
      </c>
      <c r="Q23">
        <f>((H23-18.084)/0.2385)</f>
        <v>9405.2385744234816</v>
      </c>
      <c r="R23" t="s">
        <v>10</v>
      </c>
      <c r="S23" t="s">
        <v>10</v>
      </c>
      <c r="T23">
        <f t="shared" si="0"/>
        <v>205.31028522039756</v>
      </c>
      <c r="U23">
        <f t="shared" si="1"/>
        <v>9405.2385744234816</v>
      </c>
    </row>
    <row r="24" spans="1:21" x14ac:dyDescent="0.35">
      <c r="A24" s="22" t="s">
        <v>122</v>
      </c>
      <c r="B24" t="s">
        <v>87</v>
      </c>
      <c r="C24" t="s">
        <v>127</v>
      </c>
      <c r="D24" t="s">
        <v>10</v>
      </c>
      <c r="E24" s="23">
        <v>44823</v>
      </c>
      <c r="F24">
        <v>884.28290000000004</v>
      </c>
      <c r="G24">
        <v>178.36099999999999</v>
      </c>
      <c r="H24">
        <v>7.8837999999999999</v>
      </c>
      <c r="I24">
        <v>0.996</v>
      </c>
      <c r="J24" s="23">
        <v>44847</v>
      </c>
      <c r="K24" t="s">
        <v>130</v>
      </c>
      <c r="L24" t="s">
        <v>10</v>
      </c>
      <c r="M24" t="s">
        <v>85</v>
      </c>
      <c r="N24">
        <v>1</v>
      </c>
      <c r="O24" t="str">
        <f>IF(H24&gt;'std curve'!$Q$15, "high", "low")</f>
        <v>low</v>
      </c>
      <c r="P24">
        <f>((F24+1.2514)/0.2314)*'dilution factor'!$L$6</f>
        <v>4339.691893113818</v>
      </c>
      <c r="Q24">
        <f>((H24-18.084)/0.2385)*'dilution factor'!$L$7</f>
        <v>-51.33917234446762</v>
      </c>
      <c r="R24">
        <v>0.1</v>
      </c>
      <c r="S24">
        <v>10</v>
      </c>
      <c r="T24">
        <f t="shared" si="0"/>
        <v>433969.18931138178</v>
      </c>
      <c r="U24">
        <f t="shared" si="1"/>
        <v>-5133.9172344467624</v>
      </c>
    </row>
    <row r="25" spans="1:21" x14ac:dyDescent="0.35">
      <c r="A25" s="22" t="s">
        <v>121</v>
      </c>
      <c r="B25" t="s">
        <v>87</v>
      </c>
      <c r="C25" t="s">
        <v>128</v>
      </c>
      <c r="D25" t="s">
        <v>10</v>
      </c>
      <c r="E25" s="23">
        <v>44823</v>
      </c>
      <c r="F25">
        <v>1613.8420000000001</v>
      </c>
      <c r="G25">
        <v>313.17500000000001</v>
      </c>
      <c r="H25">
        <v>9.0153999999999996</v>
      </c>
      <c r="I25">
        <v>1.131</v>
      </c>
      <c r="J25" s="23">
        <v>44847</v>
      </c>
      <c r="K25" t="s">
        <v>131</v>
      </c>
      <c r="L25" t="s">
        <v>10</v>
      </c>
      <c r="M25" t="s">
        <v>85</v>
      </c>
      <c r="N25">
        <v>1</v>
      </c>
      <c r="O25" t="str">
        <f>IF(H25&gt;'std curve'!$Q$15, "high", "low")</f>
        <v>low</v>
      </c>
      <c r="P25">
        <f>((F25+1.2514)/0.2314)*'dilution factor'!$L$6</f>
        <v>7915.0042348462775</v>
      </c>
      <c r="Q25">
        <f>((H25-18.084)/0.2385)*'dilution factor'!$L$7</f>
        <v>-45.643655842340259</v>
      </c>
      <c r="R25">
        <v>0.1</v>
      </c>
      <c r="S25">
        <v>10</v>
      </c>
      <c r="T25">
        <f t="shared" si="0"/>
        <v>791500.42348462762</v>
      </c>
      <c r="U25">
        <f t="shared" si="1"/>
        <v>-4564.3655842340258</v>
      </c>
    </row>
    <row r="26" spans="1:21" x14ac:dyDescent="0.35">
      <c r="A26" s="22" t="s">
        <v>123</v>
      </c>
      <c r="B26" t="s">
        <v>87</v>
      </c>
      <c r="C26" t="s">
        <v>129</v>
      </c>
      <c r="D26" t="s">
        <v>10</v>
      </c>
      <c r="E26" s="23">
        <v>44823</v>
      </c>
      <c r="F26">
        <v>1747.6394</v>
      </c>
      <c r="G26">
        <v>336.83600000000001</v>
      </c>
      <c r="H26">
        <v>9.2570999999999994</v>
      </c>
      <c r="I26">
        <v>1.1830000000000001</v>
      </c>
      <c r="J26" s="23">
        <v>44847</v>
      </c>
      <c r="K26" t="s">
        <v>132</v>
      </c>
      <c r="L26" t="s">
        <v>10</v>
      </c>
      <c r="M26" t="s">
        <v>85</v>
      </c>
      <c r="N26">
        <v>1</v>
      </c>
      <c r="O26" t="str">
        <f>IF(H26&gt;'std curve'!$Q$15, "high", "low")</f>
        <v>low</v>
      </c>
      <c r="P26">
        <f>((F26+1.2514)/0.2314)*'dilution factor'!$L$6</f>
        <v>8570.6981950911904</v>
      </c>
      <c r="Q26">
        <f>((H26-18.084)/0.2385)*'dilution factor'!$L$7</f>
        <v>-44.42714264106403</v>
      </c>
      <c r="R26">
        <v>0.1</v>
      </c>
      <c r="S26">
        <v>10</v>
      </c>
      <c r="T26">
        <f t="shared" si="0"/>
        <v>857069.81950911891</v>
      </c>
      <c r="U26">
        <f t="shared" si="1"/>
        <v>-4442.7142641064029</v>
      </c>
    </row>
    <row r="27" spans="1:21" x14ac:dyDescent="0.35">
      <c r="A27" s="22" t="s">
        <v>124</v>
      </c>
      <c r="B27" t="s">
        <v>87</v>
      </c>
      <c r="C27" t="s">
        <v>78</v>
      </c>
      <c r="D27">
        <v>1</v>
      </c>
      <c r="E27" s="23">
        <v>44823</v>
      </c>
      <c r="F27">
        <v>1291.4734000000001</v>
      </c>
      <c r="G27">
        <v>254.90799999999999</v>
      </c>
      <c r="H27">
        <v>43.992800000000003</v>
      </c>
      <c r="I27">
        <v>5.798</v>
      </c>
      <c r="J27" s="23">
        <v>44847</v>
      </c>
      <c r="K27" t="s">
        <v>133</v>
      </c>
      <c r="L27" t="s">
        <v>10</v>
      </c>
      <c r="M27" t="s">
        <v>85</v>
      </c>
      <c r="N27">
        <v>1</v>
      </c>
      <c r="O27" t="str">
        <f>IF(H27&gt;'std curve'!$Q$15, "high", "low")</f>
        <v>low</v>
      </c>
      <c r="P27">
        <f>((F27+1.2514)/0.2314)*'dilution factor'!$L$6</f>
        <v>6335.1892011265763</v>
      </c>
      <c r="Q27">
        <f>((H27-18.084)/0.2385)*'dilution factor'!$L$7</f>
        <v>130.40296743577019</v>
      </c>
      <c r="R27">
        <v>0.1</v>
      </c>
      <c r="S27">
        <v>10</v>
      </c>
      <c r="T27">
        <f t="shared" si="0"/>
        <v>633518.92011265759</v>
      </c>
      <c r="U27">
        <f t="shared" si="1"/>
        <v>13040.296743577019</v>
      </c>
    </row>
    <row r="28" spans="1:21" x14ac:dyDescent="0.35">
      <c r="A28" s="22" t="s">
        <v>125</v>
      </c>
      <c r="B28" t="s">
        <v>87</v>
      </c>
      <c r="C28" t="s">
        <v>78</v>
      </c>
      <c r="D28">
        <v>2</v>
      </c>
      <c r="E28" s="23">
        <v>44823</v>
      </c>
      <c r="F28">
        <v>2505.9243999999999</v>
      </c>
      <c r="G28">
        <v>465.16</v>
      </c>
      <c r="H28">
        <v>153.989</v>
      </c>
      <c r="I28">
        <v>17.725000000000001</v>
      </c>
      <c r="J28" s="23">
        <v>44847</v>
      </c>
      <c r="K28" t="s">
        <v>134</v>
      </c>
      <c r="L28" t="s">
        <v>10</v>
      </c>
      <c r="M28" t="s">
        <v>85</v>
      </c>
      <c r="N28">
        <v>1</v>
      </c>
      <c r="O28" t="str">
        <f>IF(H28&gt;'std curve'!$Q$15, "high", "low")</f>
        <v>low</v>
      </c>
      <c r="P28">
        <f>((F28+1.2514)/0.2314)*'dilution factor'!$L$6</f>
        <v>12286.786061105879</v>
      </c>
      <c r="Q28">
        <f>((H28-18.084)/0.2385)*'dilution factor'!$L$7</f>
        <v>684.03072660093653</v>
      </c>
      <c r="R28">
        <v>0.1</v>
      </c>
      <c r="S28">
        <v>10</v>
      </c>
      <c r="T28">
        <f t="shared" si="0"/>
        <v>1228678.6061105877</v>
      </c>
      <c r="U28">
        <f t="shared" si="1"/>
        <v>68403.072660093647</v>
      </c>
    </row>
    <row r="29" spans="1:21" x14ac:dyDescent="0.35">
      <c r="A29" s="22" t="s">
        <v>126</v>
      </c>
      <c r="B29" t="s">
        <v>87</v>
      </c>
      <c r="C29" t="s">
        <v>78</v>
      </c>
      <c r="D29">
        <v>3</v>
      </c>
      <c r="E29" s="23">
        <v>44823</v>
      </c>
      <c r="F29">
        <v>1534.3130000000001</v>
      </c>
      <c r="G29">
        <v>298.90699999999998</v>
      </c>
      <c r="H29">
        <v>47.923999999999999</v>
      </c>
      <c r="I29">
        <v>6.2690000000000001</v>
      </c>
      <c r="J29" s="23">
        <v>44847</v>
      </c>
      <c r="K29" t="s">
        <v>135</v>
      </c>
      <c r="L29" t="s">
        <v>10</v>
      </c>
      <c r="M29" t="s">
        <v>85</v>
      </c>
      <c r="N29">
        <v>1</v>
      </c>
      <c r="O29" t="str">
        <f>IF(H29&gt;'std curve'!$Q$15, "high", "low")</f>
        <v>low</v>
      </c>
      <c r="P29">
        <f>((F29+1.2514)/0.2314)*'dilution factor'!$L$6</f>
        <v>7525.260600333816</v>
      </c>
      <c r="Q29">
        <f>((H29-18.084)/0.2385)*'dilution factor'!$L$7</f>
        <v>150.18930048027627</v>
      </c>
      <c r="R29">
        <v>0.1</v>
      </c>
      <c r="S29">
        <v>10</v>
      </c>
      <c r="T29">
        <f t="shared" si="0"/>
        <v>752526.06003338157</v>
      </c>
      <c r="U29">
        <f t="shared" si="1"/>
        <v>15018.930048027627</v>
      </c>
    </row>
    <row r="30" spans="1:21" x14ac:dyDescent="0.35">
      <c r="A30" s="22" t="s">
        <v>136</v>
      </c>
      <c r="B30" t="s">
        <v>87</v>
      </c>
      <c r="C30" t="s">
        <v>137</v>
      </c>
      <c r="D30">
        <v>1</v>
      </c>
      <c r="E30" s="23">
        <v>44810</v>
      </c>
      <c r="F30">
        <v>1.1172</v>
      </c>
      <c r="G30">
        <v>0.251</v>
      </c>
      <c r="H30">
        <v>615.69320000000005</v>
      </c>
      <c r="I30">
        <v>61.043999999999997</v>
      </c>
      <c r="J30" s="23">
        <v>44847</v>
      </c>
      <c r="K30" t="s">
        <v>138</v>
      </c>
      <c r="L30" t="s">
        <v>139</v>
      </c>
      <c r="M30" t="s">
        <v>10</v>
      </c>
      <c r="N30">
        <v>0</v>
      </c>
      <c r="O30" t="str">
        <f>IF(H30&gt;'std curve'!$Q$15, "high", "low")</f>
        <v>low</v>
      </c>
      <c r="P30">
        <f>((F30+1.2514)/0.2314)*'dilution factor'!$L$6</f>
        <v>11.607674844474559</v>
      </c>
      <c r="Q30">
        <f>((H30-18.084)/0.2385)*'dilution factor'!$L$7</f>
        <v>3007.858837418818</v>
      </c>
      <c r="R30" t="s">
        <v>10</v>
      </c>
      <c r="S30" t="s">
        <v>10</v>
      </c>
      <c r="T30">
        <f t="shared" si="0"/>
        <v>11.607674844474559</v>
      </c>
      <c r="U30">
        <f t="shared" si="1"/>
        <v>3007.858837418818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30EA-58C9-40F2-9E14-557F8A5CE8D3}">
  <dimension ref="A1:N12"/>
  <sheetViews>
    <sheetView workbookViewId="0">
      <selection activeCell="F1" sqref="F1"/>
    </sheetView>
  </sheetViews>
  <sheetFormatPr defaultColWidth="8.81640625" defaultRowHeight="14.5" x14ac:dyDescent="0.35"/>
  <sheetData>
    <row r="1" spans="1:14" x14ac:dyDescent="0.35">
      <c r="A1" s="5" t="s">
        <v>35</v>
      </c>
      <c r="B1" s="8" t="s">
        <v>15</v>
      </c>
      <c r="C1" s="9" t="s">
        <v>4</v>
      </c>
      <c r="D1" s="10" t="s">
        <v>3</v>
      </c>
      <c r="E1" s="9" t="s">
        <v>6</v>
      </c>
      <c r="F1" s="10" t="s">
        <v>5</v>
      </c>
      <c r="G1" s="3" t="s">
        <v>24</v>
      </c>
      <c r="H1" s="3" t="s">
        <v>8</v>
      </c>
      <c r="I1" s="3" t="s">
        <v>25</v>
      </c>
      <c r="J1" s="3" t="s">
        <v>26</v>
      </c>
    </row>
    <row r="2" spans="1:14" x14ac:dyDescent="0.35">
      <c r="A2">
        <v>1</v>
      </c>
      <c r="I2" t="e">
        <f>(1-D2/$N$2)*100</f>
        <v>#DIV/0!</v>
      </c>
      <c r="J2" t="e">
        <f>(1-F2/$N$3) *100</f>
        <v>#DIV/0!</v>
      </c>
      <c r="L2" s="4" t="s">
        <v>31</v>
      </c>
      <c r="M2" s="4"/>
      <c r="N2" s="4">
        <f>'std curve'!K3</f>
        <v>0</v>
      </c>
    </row>
    <row r="3" spans="1:14" x14ac:dyDescent="0.35">
      <c r="A3">
        <f>A2+1</f>
        <v>2</v>
      </c>
      <c r="I3" t="e">
        <f t="shared" ref="I3:I12" si="0">(1-D3/$N$2)*100</f>
        <v>#DIV/0!</v>
      </c>
      <c r="J3" t="e">
        <f t="shared" ref="J3:J12" si="1">(1-F3/$N$3) *100</f>
        <v>#DIV/0!</v>
      </c>
      <c r="L3" s="4" t="s">
        <v>32</v>
      </c>
      <c r="M3" s="4"/>
      <c r="N3" s="4">
        <f>'std curve'!K15</f>
        <v>0</v>
      </c>
    </row>
    <row r="4" spans="1:14" x14ac:dyDescent="0.35">
      <c r="A4">
        <f t="shared" ref="A4:A12" si="2">A3+1</f>
        <v>3</v>
      </c>
      <c r="I4" t="e">
        <f t="shared" si="0"/>
        <v>#DIV/0!</v>
      </c>
      <c r="J4" t="e">
        <f t="shared" si="1"/>
        <v>#DIV/0!</v>
      </c>
    </row>
    <row r="5" spans="1:14" x14ac:dyDescent="0.35">
      <c r="A5">
        <f t="shared" si="2"/>
        <v>4</v>
      </c>
      <c r="I5" t="e">
        <f t="shared" si="0"/>
        <v>#DIV/0!</v>
      </c>
      <c r="J5" t="e">
        <f t="shared" si="1"/>
        <v>#DIV/0!</v>
      </c>
    </row>
    <row r="6" spans="1:14" x14ac:dyDescent="0.35">
      <c r="A6">
        <f t="shared" si="2"/>
        <v>5</v>
      </c>
      <c r="I6" t="e">
        <f t="shared" si="0"/>
        <v>#DIV/0!</v>
      </c>
      <c r="J6" t="e">
        <f t="shared" si="1"/>
        <v>#DIV/0!</v>
      </c>
    </row>
    <row r="7" spans="1:14" x14ac:dyDescent="0.35">
      <c r="A7">
        <f t="shared" si="2"/>
        <v>6</v>
      </c>
      <c r="I7" t="e">
        <f t="shared" si="0"/>
        <v>#DIV/0!</v>
      </c>
      <c r="J7" t="e">
        <f t="shared" si="1"/>
        <v>#DIV/0!</v>
      </c>
    </row>
    <row r="8" spans="1:14" x14ac:dyDescent="0.35">
      <c r="A8">
        <f t="shared" si="2"/>
        <v>7</v>
      </c>
      <c r="I8" t="e">
        <f t="shared" si="0"/>
        <v>#DIV/0!</v>
      </c>
      <c r="J8" t="e">
        <f t="shared" si="1"/>
        <v>#DIV/0!</v>
      </c>
    </row>
    <row r="9" spans="1:14" x14ac:dyDescent="0.35">
      <c r="A9">
        <f t="shared" si="2"/>
        <v>8</v>
      </c>
      <c r="I9" t="e">
        <f t="shared" si="0"/>
        <v>#DIV/0!</v>
      </c>
      <c r="J9" t="e">
        <f t="shared" si="1"/>
        <v>#DIV/0!</v>
      </c>
    </row>
    <row r="10" spans="1:14" x14ac:dyDescent="0.35">
      <c r="A10">
        <f t="shared" si="2"/>
        <v>9</v>
      </c>
      <c r="I10" t="e">
        <f t="shared" si="0"/>
        <v>#DIV/0!</v>
      </c>
      <c r="J10" t="e">
        <f t="shared" si="1"/>
        <v>#DIV/0!</v>
      </c>
    </row>
    <row r="11" spans="1:14" x14ac:dyDescent="0.35">
      <c r="A11">
        <f t="shared" si="2"/>
        <v>10</v>
      </c>
      <c r="I11" t="e">
        <f t="shared" si="0"/>
        <v>#DIV/0!</v>
      </c>
      <c r="J11" t="e">
        <f t="shared" si="1"/>
        <v>#DIV/0!</v>
      </c>
    </row>
    <row r="12" spans="1:14" x14ac:dyDescent="0.35">
      <c r="A12">
        <f t="shared" si="2"/>
        <v>11</v>
      </c>
      <c r="I12" t="e">
        <f t="shared" si="0"/>
        <v>#DIV/0!</v>
      </c>
      <c r="J12" t="e">
        <f t="shared" si="1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7AB3-4D61-48B6-9283-53171410833C}">
  <dimension ref="A1:L9"/>
  <sheetViews>
    <sheetView workbookViewId="0">
      <selection activeCell="G45" sqref="G45"/>
    </sheetView>
  </sheetViews>
  <sheetFormatPr defaultColWidth="8.81640625" defaultRowHeight="14.5" x14ac:dyDescent="0.35"/>
  <cols>
    <col min="2" max="2" width="11.81640625" bestFit="1" customWidth="1"/>
    <col min="3" max="3" width="13" bestFit="1" customWidth="1"/>
    <col min="4" max="4" width="12" bestFit="1" customWidth="1"/>
    <col min="5" max="5" width="13.1796875" bestFit="1" customWidth="1"/>
    <col min="10" max="10" width="14" bestFit="1" customWidth="1"/>
    <col min="12" max="12" width="14.36328125" bestFit="1" customWidth="1"/>
  </cols>
  <sheetData>
    <row r="1" spans="1:12" x14ac:dyDescent="0.35">
      <c r="A1" s="17" t="s">
        <v>40</v>
      </c>
      <c r="B1" s="32">
        <v>44846</v>
      </c>
    </row>
    <row r="2" spans="1:12" x14ac:dyDescent="0.35">
      <c r="A2" s="17" t="s">
        <v>41</v>
      </c>
      <c r="B2" s="16" t="s">
        <v>269</v>
      </c>
    </row>
    <row r="3" spans="1:12" x14ac:dyDescent="0.35">
      <c r="A3" s="17" t="s">
        <v>42</v>
      </c>
      <c r="B3" s="16" t="s">
        <v>270</v>
      </c>
    </row>
    <row r="5" spans="1:12" ht="15.5" x14ac:dyDescent="0.35">
      <c r="A5" s="11" t="s">
        <v>36</v>
      </c>
      <c r="B5" s="11" t="s">
        <v>21</v>
      </c>
      <c r="C5" s="11" t="s">
        <v>20</v>
      </c>
      <c r="D5" s="11" t="s">
        <v>23</v>
      </c>
      <c r="E5" s="11" t="s">
        <v>22</v>
      </c>
      <c r="I5" s="14" t="s">
        <v>44</v>
      </c>
      <c r="J5" s="14" t="s">
        <v>45</v>
      </c>
      <c r="K5" s="14" t="s">
        <v>43</v>
      </c>
      <c r="L5" s="14" t="s">
        <v>46</v>
      </c>
    </row>
    <row r="6" spans="1:12" x14ac:dyDescent="0.35">
      <c r="A6" s="12" t="s">
        <v>37</v>
      </c>
      <c r="B6">
        <v>1989.5816</v>
      </c>
      <c r="C6">
        <v>384.81400000000002</v>
      </c>
      <c r="D6">
        <v>3549.7964000000002</v>
      </c>
      <c r="E6">
        <v>274.69299999999998</v>
      </c>
      <c r="H6" t="s">
        <v>47</v>
      </c>
      <c r="I6">
        <f>0.2313*10000-0.7207</f>
        <v>2312.2793000000001</v>
      </c>
      <c r="J6" s="13">
        <f>AVERAGE('[1]std curve'!C11:C13)</f>
        <v>2312.0880666666667</v>
      </c>
      <c r="K6" s="13">
        <f>AVERAGE(I6:J6)</f>
        <v>2312.1836833333336</v>
      </c>
      <c r="L6" s="13">
        <f>K6/B9</f>
        <v>1.1340099463866475</v>
      </c>
    </row>
    <row r="7" spans="1:12" x14ac:dyDescent="0.35">
      <c r="A7" s="12" t="s">
        <v>38</v>
      </c>
      <c r="B7">
        <v>2065.7646</v>
      </c>
      <c r="C7">
        <v>397.85199999999998</v>
      </c>
      <c r="D7">
        <v>3659.4971999999998</v>
      </c>
      <c r="E7">
        <v>230.178</v>
      </c>
      <c r="H7" s="18" t="s">
        <v>48</v>
      </c>
      <c r="I7">
        <f>0.1864*20000+621.91</f>
        <v>4349.91</v>
      </c>
      <c r="J7" s="13">
        <f>AVERAGE('[1]std curve'!E11:E13)</f>
        <v>4350.8949000000002</v>
      </c>
      <c r="K7" s="13">
        <f>AVERAGE(I7:J7)</f>
        <v>4350.4024499999996</v>
      </c>
      <c r="L7" s="13">
        <f>K7/D9</f>
        <v>1.2004071100719131</v>
      </c>
    </row>
    <row r="8" spans="1:12" x14ac:dyDescent="0.35">
      <c r="A8" s="12" t="s">
        <v>39</v>
      </c>
      <c r="B8">
        <v>2061.4881999999998</v>
      </c>
      <c r="C8">
        <v>396.334</v>
      </c>
      <c r="D8">
        <v>3663.0239999999999</v>
      </c>
      <c r="E8">
        <v>279.89</v>
      </c>
    </row>
    <row r="9" spans="1:12" x14ac:dyDescent="0.35">
      <c r="A9" s="15" t="s">
        <v>43</v>
      </c>
      <c r="B9" s="13">
        <f>AVERAGE(B6:B8)</f>
        <v>2038.9448</v>
      </c>
      <c r="C9" s="13"/>
      <c r="D9" s="13">
        <f>AVERAGE(D6:D8)</f>
        <v>3624.1058666666668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CEE4-EC28-A449-BDA2-E20D50BCA4AC}">
  <dimension ref="A1:Q28"/>
  <sheetViews>
    <sheetView zoomScale="107" workbookViewId="0">
      <selection activeCell="P28" sqref="P28"/>
    </sheetView>
  </sheetViews>
  <sheetFormatPr defaultColWidth="8.81640625" defaultRowHeight="14.5" x14ac:dyDescent="0.35"/>
  <cols>
    <col min="4" max="4" width="9.453125" customWidth="1"/>
    <col min="5" max="5" width="12.1796875" customWidth="1"/>
    <col min="16" max="16" width="20.1796875" bestFit="1" customWidth="1"/>
  </cols>
  <sheetData>
    <row r="1" spans="1:17" x14ac:dyDescent="0.35">
      <c r="A1" s="1" t="s">
        <v>0</v>
      </c>
      <c r="B1" s="1" t="s">
        <v>1</v>
      </c>
      <c r="C1" s="1" t="s">
        <v>4</v>
      </c>
      <c r="D1" s="1" t="s">
        <v>3</v>
      </c>
      <c r="E1" s="1" t="s">
        <v>6</v>
      </c>
      <c r="F1" s="1" t="s">
        <v>5</v>
      </c>
      <c r="G1" s="1" t="s">
        <v>8</v>
      </c>
      <c r="H1" s="1"/>
    </row>
    <row r="2" spans="1:17" x14ac:dyDescent="0.35">
      <c r="A2">
        <v>1</v>
      </c>
      <c r="B2">
        <v>500</v>
      </c>
      <c r="C2">
        <v>2.2324000000000002</v>
      </c>
      <c r="D2">
        <v>0.44700000000000001</v>
      </c>
      <c r="E2">
        <v>2527.4654</v>
      </c>
      <c r="F2">
        <v>300.24900000000002</v>
      </c>
      <c r="G2" t="s">
        <v>140</v>
      </c>
      <c r="P2" s="1" t="s">
        <v>47</v>
      </c>
    </row>
    <row r="3" spans="1:17" x14ac:dyDescent="0.35">
      <c r="A3">
        <v>1</v>
      </c>
      <c r="B3">
        <v>500</v>
      </c>
      <c r="C3">
        <v>2.1364999999999998</v>
      </c>
      <c r="D3">
        <v>0.45800000000000002</v>
      </c>
      <c r="E3">
        <v>2521.2249999999999</v>
      </c>
      <c r="F3">
        <v>299.88499999999999</v>
      </c>
      <c r="G3" t="s">
        <v>142</v>
      </c>
      <c r="P3" s="4" t="s">
        <v>14</v>
      </c>
      <c r="Q3" s="4">
        <f>5.0578*200-29.299</f>
        <v>982.26100000000008</v>
      </c>
    </row>
    <row r="4" spans="1:17" x14ac:dyDescent="0.35">
      <c r="A4">
        <v>5</v>
      </c>
      <c r="B4">
        <v>1000</v>
      </c>
      <c r="C4">
        <v>10.4475</v>
      </c>
      <c r="D4">
        <v>2.218</v>
      </c>
      <c r="E4">
        <v>5182.5802000000003</v>
      </c>
      <c r="F4">
        <v>564.10199999999998</v>
      </c>
      <c r="G4" t="s">
        <v>141</v>
      </c>
      <c r="P4" s="7" t="s">
        <v>13</v>
      </c>
      <c r="Q4" s="7">
        <f>5.0578*200-29.299</f>
        <v>982.26100000000008</v>
      </c>
    </row>
    <row r="5" spans="1:17" x14ac:dyDescent="0.35">
      <c r="A5">
        <v>5</v>
      </c>
      <c r="B5">
        <v>1000</v>
      </c>
      <c r="C5">
        <v>10.5829</v>
      </c>
      <c r="D5">
        <v>2.2480000000000002</v>
      </c>
      <c r="E5">
        <v>5135.2843999999996</v>
      </c>
      <c r="F5">
        <v>559.23900000000003</v>
      </c>
      <c r="G5" t="s">
        <v>143</v>
      </c>
    </row>
    <row r="6" spans="1:17" x14ac:dyDescent="0.35">
      <c r="A6">
        <v>30</v>
      </c>
      <c r="B6">
        <v>2000</v>
      </c>
      <c r="C6">
        <v>75.174599999999998</v>
      </c>
      <c r="D6">
        <v>17.039000000000001</v>
      </c>
      <c r="E6">
        <v>10488.286599999999</v>
      </c>
      <c r="F6">
        <v>1056.825</v>
      </c>
      <c r="G6" t="s">
        <v>144</v>
      </c>
    </row>
    <row r="7" spans="1:17" x14ac:dyDescent="0.35">
      <c r="A7">
        <v>30</v>
      </c>
      <c r="B7">
        <v>2000</v>
      </c>
      <c r="C7">
        <v>74.507000000000005</v>
      </c>
      <c r="D7">
        <v>17.02</v>
      </c>
      <c r="E7">
        <v>10450.634599999999</v>
      </c>
      <c r="F7">
        <v>1052.19</v>
      </c>
      <c r="G7" t="s">
        <v>145</v>
      </c>
    </row>
    <row r="8" spans="1:17" x14ac:dyDescent="0.35">
      <c r="A8">
        <v>200</v>
      </c>
      <c r="B8">
        <v>10000</v>
      </c>
      <c r="C8">
        <v>990.94280000000003</v>
      </c>
      <c r="D8">
        <v>232.476</v>
      </c>
      <c r="E8">
        <v>47541.029199999997</v>
      </c>
      <c r="F8">
        <v>3916.2660000000001</v>
      </c>
      <c r="G8" t="s">
        <v>146</v>
      </c>
    </row>
    <row r="9" spans="1:17" x14ac:dyDescent="0.35">
      <c r="A9">
        <v>200</v>
      </c>
      <c r="B9">
        <v>10000</v>
      </c>
      <c r="C9">
        <v>986.8614</v>
      </c>
      <c r="D9">
        <v>231.518</v>
      </c>
      <c r="E9">
        <v>47334.109299999996</v>
      </c>
      <c r="F9">
        <v>3900.5219999999999</v>
      </c>
      <c r="G9" t="s">
        <v>147</v>
      </c>
    </row>
    <row r="10" spans="1:17" x14ac:dyDescent="0.35">
      <c r="A10">
        <v>10000</v>
      </c>
      <c r="B10">
        <v>20000</v>
      </c>
      <c r="G10" t="s">
        <v>148</v>
      </c>
      <c r="H10" t="s">
        <v>151</v>
      </c>
    </row>
    <row r="11" spans="1:17" x14ac:dyDescent="0.35">
      <c r="A11">
        <v>10000</v>
      </c>
      <c r="B11">
        <v>20000</v>
      </c>
      <c r="G11" t="s">
        <v>149</v>
      </c>
    </row>
    <row r="14" spans="1:17" x14ac:dyDescent="0.35">
      <c r="P14" s="1" t="s">
        <v>48</v>
      </c>
    </row>
    <row r="15" spans="1:17" x14ac:dyDescent="0.35">
      <c r="P15" s="4" t="s">
        <v>14</v>
      </c>
      <c r="Q15" s="4">
        <f>4.6973*10000+544.28</f>
        <v>47517.279999999999</v>
      </c>
    </row>
    <row r="16" spans="1:17" x14ac:dyDescent="0.35">
      <c r="P16" s="7" t="s">
        <v>13</v>
      </c>
      <c r="Q16" s="7">
        <f>4.6973*10000+544.28</f>
        <v>47517.279999999999</v>
      </c>
    </row>
    <row r="28" spans="16:16" x14ac:dyDescent="0.35">
      <c r="P28">
        <f xml:space="preserve"> 2.5294*30 - 1.1721</f>
        <v>74.70989999999999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5B404-C203-204C-8406-EFAED620A2A4}">
  <dimension ref="A1:T69"/>
  <sheetViews>
    <sheetView workbookViewId="0">
      <pane ySplit="1" topLeftCell="A2" activePane="bottomLeft" state="frozen"/>
      <selection pane="bottomLeft" activeCell="M55" sqref="M55"/>
    </sheetView>
  </sheetViews>
  <sheetFormatPr defaultColWidth="8.81640625" defaultRowHeight="14.5" x14ac:dyDescent="0.35"/>
  <cols>
    <col min="1" max="1" width="15.1796875" customWidth="1"/>
    <col min="6" max="6" width="11.81640625" customWidth="1"/>
    <col min="8" max="8" width="11.453125" customWidth="1"/>
    <col min="15" max="15" width="21.6328125" customWidth="1"/>
    <col min="18" max="18" width="12.81640625" customWidth="1"/>
    <col min="19" max="19" width="8.81640625" customWidth="1"/>
  </cols>
  <sheetData>
    <row r="1" spans="1:20" s="6" customFormat="1" x14ac:dyDescent="0.35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4</v>
      </c>
      <c r="G1" s="5" t="s">
        <v>3</v>
      </c>
      <c r="H1" s="5" t="s">
        <v>49</v>
      </c>
      <c r="I1" s="5" t="s">
        <v>5</v>
      </c>
      <c r="J1" s="5" t="s">
        <v>24</v>
      </c>
      <c r="K1" s="5" t="s">
        <v>8</v>
      </c>
      <c r="L1" s="5" t="s">
        <v>7</v>
      </c>
      <c r="M1" s="5" t="s">
        <v>25</v>
      </c>
      <c r="N1" s="5" t="s">
        <v>29</v>
      </c>
      <c r="O1" s="5" t="s">
        <v>27</v>
      </c>
      <c r="P1" s="5" t="s">
        <v>28</v>
      </c>
    </row>
    <row r="2" spans="1:20" x14ac:dyDescent="0.35">
      <c r="A2" s="22" t="s">
        <v>153</v>
      </c>
      <c r="B2" t="s">
        <v>87</v>
      </c>
      <c r="C2" t="s">
        <v>154</v>
      </c>
      <c r="D2">
        <v>3</v>
      </c>
      <c r="E2" s="23">
        <v>44810</v>
      </c>
      <c r="F2">
        <v>152.39859999999999</v>
      </c>
      <c r="G2">
        <v>36.225000000000001</v>
      </c>
      <c r="H2">
        <v>9408.8091999999997</v>
      </c>
      <c r="I2">
        <v>959.99900000000002</v>
      </c>
      <c r="J2" s="23">
        <v>44847</v>
      </c>
      <c r="K2" t="s">
        <v>149</v>
      </c>
      <c r="R2" s="4" t="s">
        <v>74</v>
      </c>
      <c r="S2" s="4"/>
      <c r="T2" s="4">
        <f>'std curve (2)'!Q3</f>
        <v>982.26100000000008</v>
      </c>
    </row>
    <row r="3" spans="1:20" x14ac:dyDescent="0.35">
      <c r="A3" s="22" t="s">
        <v>136</v>
      </c>
      <c r="B3" t="s">
        <v>87</v>
      </c>
      <c r="C3" t="s">
        <v>137</v>
      </c>
      <c r="D3">
        <v>1</v>
      </c>
      <c r="E3" s="23">
        <v>44810</v>
      </c>
      <c r="F3">
        <v>14.489100000000001</v>
      </c>
      <c r="G3">
        <v>3.1349999999999998</v>
      </c>
      <c r="H3">
        <v>8178.8842000000004</v>
      </c>
      <c r="I3">
        <v>847.09</v>
      </c>
      <c r="J3" s="23">
        <v>44847</v>
      </c>
      <c r="K3" t="s">
        <v>150</v>
      </c>
      <c r="R3" s="4" t="s">
        <v>75</v>
      </c>
      <c r="S3" s="4"/>
      <c r="T3" s="4">
        <f>'std curve (2)'!Q15</f>
        <v>47517.279999999999</v>
      </c>
    </row>
    <row r="4" spans="1:20" x14ac:dyDescent="0.35">
      <c r="A4" s="22" t="s">
        <v>155</v>
      </c>
      <c r="B4" t="s">
        <v>87</v>
      </c>
      <c r="C4" t="s">
        <v>137</v>
      </c>
      <c r="D4">
        <v>2</v>
      </c>
      <c r="E4" s="23">
        <v>44810</v>
      </c>
      <c r="F4">
        <v>32.5105</v>
      </c>
      <c r="G4">
        <v>7.1769999999999996</v>
      </c>
      <c r="H4">
        <v>10478.1672</v>
      </c>
      <c r="I4">
        <v>1054.867</v>
      </c>
      <c r="J4" s="23">
        <v>44847</v>
      </c>
      <c r="K4" t="s">
        <v>163</v>
      </c>
    </row>
    <row r="5" spans="1:20" x14ac:dyDescent="0.35">
      <c r="A5" s="22" t="s">
        <v>156</v>
      </c>
      <c r="B5" t="s">
        <v>87</v>
      </c>
      <c r="C5" t="s">
        <v>137</v>
      </c>
      <c r="D5">
        <v>3</v>
      </c>
      <c r="E5" s="23">
        <v>44810</v>
      </c>
      <c r="F5">
        <v>43.142699999999998</v>
      </c>
      <c r="G5">
        <v>9.5679999999999996</v>
      </c>
      <c r="H5">
        <v>14414.451800000001</v>
      </c>
      <c r="I5">
        <v>1398.306</v>
      </c>
      <c r="J5" s="23">
        <v>44847</v>
      </c>
      <c r="K5" t="s">
        <v>164</v>
      </c>
      <c r="R5" s="7" t="s">
        <v>33</v>
      </c>
      <c r="S5" s="7"/>
      <c r="T5" s="7">
        <f>'std curve (2)'!Q15</f>
        <v>47517.279999999999</v>
      </c>
    </row>
    <row r="6" spans="1:20" x14ac:dyDescent="0.35">
      <c r="A6" s="22" t="s">
        <v>157</v>
      </c>
      <c r="B6" t="s">
        <v>87</v>
      </c>
      <c r="C6" t="s">
        <v>162</v>
      </c>
      <c r="D6">
        <v>1</v>
      </c>
      <c r="E6" s="23">
        <v>44810</v>
      </c>
      <c r="F6">
        <v>36.006</v>
      </c>
      <c r="G6">
        <v>7.9480000000000004</v>
      </c>
      <c r="H6">
        <v>9515.4748</v>
      </c>
      <c r="I6">
        <v>966.08</v>
      </c>
      <c r="J6" s="23">
        <v>44847</v>
      </c>
      <c r="K6" t="s">
        <v>165</v>
      </c>
      <c r="R6" s="7" t="s">
        <v>34</v>
      </c>
      <c r="S6" s="7"/>
      <c r="T6" s="7">
        <f>'std curve (2)'!Q16</f>
        <v>47517.279999999999</v>
      </c>
    </row>
    <row r="7" spans="1:20" x14ac:dyDescent="0.35">
      <c r="A7" s="22" t="s">
        <v>158</v>
      </c>
      <c r="B7" t="s">
        <v>87</v>
      </c>
      <c r="C7" t="s">
        <v>162</v>
      </c>
      <c r="D7">
        <v>2</v>
      </c>
      <c r="E7" s="23">
        <v>44810</v>
      </c>
      <c r="F7">
        <v>36.672600000000003</v>
      </c>
      <c r="G7">
        <v>8.0830000000000002</v>
      </c>
      <c r="H7">
        <v>9084.2972000000009</v>
      </c>
      <c r="I7">
        <v>927.61599999999999</v>
      </c>
      <c r="J7" s="23">
        <v>44847</v>
      </c>
      <c r="K7" t="s">
        <v>166</v>
      </c>
    </row>
    <row r="8" spans="1:20" x14ac:dyDescent="0.35">
      <c r="A8" s="22" t="s">
        <v>159</v>
      </c>
      <c r="B8" t="s">
        <v>87</v>
      </c>
      <c r="C8" t="s">
        <v>162</v>
      </c>
      <c r="D8">
        <v>3</v>
      </c>
      <c r="E8" s="23">
        <v>44810</v>
      </c>
      <c r="F8">
        <v>35.918799999999997</v>
      </c>
      <c r="G8">
        <v>7.952</v>
      </c>
      <c r="H8">
        <v>9795.9038</v>
      </c>
      <c r="I8">
        <v>991.10900000000004</v>
      </c>
      <c r="J8" s="23">
        <v>44847</v>
      </c>
      <c r="K8" t="s">
        <v>167</v>
      </c>
      <c r="L8" t="s">
        <v>195</v>
      </c>
    </row>
    <row r="9" spans="1:20" x14ac:dyDescent="0.35">
      <c r="A9" s="22" t="s">
        <v>160</v>
      </c>
      <c r="B9" t="s">
        <v>161</v>
      </c>
      <c r="C9" t="s">
        <v>154</v>
      </c>
      <c r="D9">
        <v>3</v>
      </c>
      <c r="E9" s="23">
        <v>44817</v>
      </c>
      <c r="F9">
        <v>30.695</v>
      </c>
      <c r="G9">
        <v>6.7229999999999999</v>
      </c>
      <c r="H9">
        <v>12305.9535</v>
      </c>
      <c r="I9">
        <v>1212.8230000000001</v>
      </c>
      <c r="J9" s="23">
        <v>44847</v>
      </c>
      <c r="K9" t="s">
        <v>168</v>
      </c>
    </row>
    <row r="10" spans="1:20" x14ac:dyDescent="0.35">
      <c r="A10" s="22" t="s">
        <v>169</v>
      </c>
      <c r="B10" t="s">
        <v>87</v>
      </c>
      <c r="C10" t="s">
        <v>154</v>
      </c>
      <c r="D10">
        <v>1</v>
      </c>
      <c r="E10" s="23">
        <v>44823</v>
      </c>
      <c r="F10">
        <v>451.19459999999998</v>
      </c>
      <c r="G10">
        <v>110.855</v>
      </c>
      <c r="H10">
        <v>9851.6088</v>
      </c>
      <c r="I10">
        <v>994.90200000000004</v>
      </c>
      <c r="J10" s="23">
        <v>44847</v>
      </c>
      <c r="K10" t="s">
        <v>182</v>
      </c>
      <c r="L10" t="s">
        <v>196</v>
      </c>
    </row>
    <row r="11" spans="1:20" x14ac:dyDescent="0.35">
      <c r="A11" s="22" t="s">
        <v>170</v>
      </c>
      <c r="B11" t="s">
        <v>87</v>
      </c>
      <c r="C11" t="s">
        <v>154</v>
      </c>
      <c r="D11">
        <v>2</v>
      </c>
      <c r="E11" s="23">
        <v>44823</v>
      </c>
      <c r="F11">
        <v>665.66290000000004</v>
      </c>
      <c r="G11">
        <v>160.441</v>
      </c>
      <c r="H11">
        <v>9346.41</v>
      </c>
      <c r="I11">
        <v>949.18799999999999</v>
      </c>
      <c r="J11" s="23">
        <v>44847</v>
      </c>
      <c r="K11" t="s">
        <v>183</v>
      </c>
      <c r="L11" t="s">
        <v>196</v>
      </c>
      <c r="Q11" s="24"/>
    </row>
    <row r="12" spans="1:20" x14ac:dyDescent="0.35">
      <c r="A12" s="25" t="s">
        <v>152</v>
      </c>
      <c r="B12" t="s">
        <v>10</v>
      </c>
      <c r="C12" t="s">
        <v>10</v>
      </c>
      <c r="D12" t="s">
        <v>10</v>
      </c>
      <c r="E12" t="s">
        <v>10</v>
      </c>
      <c r="F12">
        <v>977.82719999999995</v>
      </c>
      <c r="G12">
        <v>230.142</v>
      </c>
      <c r="H12">
        <v>45699.002399999998</v>
      </c>
      <c r="I12">
        <v>3742.5360000000001</v>
      </c>
      <c r="J12" s="23">
        <v>44847</v>
      </c>
      <c r="K12" t="s">
        <v>184</v>
      </c>
      <c r="M12">
        <f>100*(F12-$T$2)/AVERAGE(F12,$T$2)</f>
        <v>-0.45240821305899731</v>
      </c>
      <c r="N12">
        <f>100*(H12-$T$3)/AVERAGE(H12,$T$3)</f>
        <v>-3.9012017067953813</v>
      </c>
    </row>
    <row r="13" spans="1:20" x14ac:dyDescent="0.35">
      <c r="A13" s="25" t="s">
        <v>152</v>
      </c>
      <c r="B13" t="s">
        <v>10</v>
      </c>
      <c r="C13" t="s">
        <v>10</v>
      </c>
      <c r="D13" t="s">
        <v>10</v>
      </c>
      <c r="E13" s="23" t="s">
        <v>10</v>
      </c>
      <c r="F13">
        <v>974.2106</v>
      </c>
      <c r="G13">
        <v>229.33199999999999</v>
      </c>
      <c r="H13">
        <v>45712.679600000003</v>
      </c>
      <c r="I13">
        <v>3744.8009999999999</v>
      </c>
      <c r="J13" s="23">
        <v>44847</v>
      </c>
      <c r="K13" t="s">
        <v>185</v>
      </c>
      <c r="M13">
        <f>100*(F13-$T$2)/AVERAGE(F13,$T$2)</f>
        <v>-0.8229508672653445</v>
      </c>
      <c r="N13">
        <f>100*(H13-$T$3)/AVERAGE(H13,$T$3)</f>
        <v>-3.8712886023818371</v>
      </c>
    </row>
    <row r="14" spans="1:20" x14ac:dyDescent="0.35">
      <c r="A14" s="22" t="s">
        <v>171</v>
      </c>
      <c r="B14" t="s">
        <v>87</v>
      </c>
      <c r="C14" t="s">
        <v>154</v>
      </c>
      <c r="D14">
        <v>3</v>
      </c>
      <c r="E14" s="23">
        <v>44823</v>
      </c>
      <c r="F14">
        <v>682.87850000000003</v>
      </c>
      <c r="G14">
        <v>164.32900000000001</v>
      </c>
      <c r="H14">
        <v>15789.299800000001</v>
      </c>
      <c r="I14">
        <v>1508.86</v>
      </c>
      <c r="J14" s="23">
        <v>44847</v>
      </c>
      <c r="K14" t="s">
        <v>186</v>
      </c>
      <c r="L14" t="s">
        <v>196</v>
      </c>
    </row>
    <row r="15" spans="1:20" x14ac:dyDescent="0.35">
      <c r="A15" s="22" t="s">
        <v>172</v>
      </c>
      <c r="B15" t="s">
        <v>87</v>
      </c>
      <c r="C15" t="s">
        <v>181</v>
      </c>
      <c r="D15">
        <v>1</v>
      </c>
      <c r="E15" s="23">
        <v>44823</v>
      </c>
      <c r="F15">
        <v>0</v>
      </c>
      <c r="G15">
        <v>0</v>
      </c>
      <c r="H15">
        <v>7.8075999999999999</v>
      </c>
      <c r="I15">
        <v>0.88</v>
      </c>
      <c r="J15" s="23">
        <v>44847</v>
      </c>
      <c r="K15" t="s">
        <v>187</v>
      </c>
      <c r="L15" t="s">
        <v>196</v>
      </c>
    </row>
    <row r="16" spans="1:20" x14ac:dyDescent="0.35">
      <c r="A16" s="22" t="s">
        <v>173</v>
      </c>
      <c r="B16" t="s">
        <v>87</v>
      </c>
      <c r="C16" t="s">
        <v>181</v>
      </c>
      <c r="D16">
        <v>2</v>
      </c>
      <c r="E16" s="23">
        <v>44823</v>
      </c>
      <c r="F16">
        <v>9.9725999999999999</v>
      </c>
      <c r="G16">
        <v>2.1739999999999999</v>
      </c>
      <c r="H16">
        <v>7191.3045000000002</v>
      </c>
      <c r="I16">
        <v>750.42600000000004</v>
      </c>
      <c r="J16" s="23">
        <v>44847</v>
      </c>
      <c r="K16" t="s">
        <v>188</v>
      </c>
      <c r="L16" t="s">
        <v>196</v>
      </c>
    </row>
    <row r="17" spans="1:14" x14ac:dyDescent="0.35">
      <c r="A17" s="22" t="s">
        <v>174</v>
      </c>
      <c r="B17" t="s">
        <v>87</v>
      </c>
      <c r="C17" t="s">
        <v>181</v>
      </c>
      <c r="D17">
        <v>3</v>
      </c>
      <c r="E17" s="23">
        <v>44823</v>
      </c>
      <c r="F17">
        <v>8.2522000000000002</v>
      </c>
      <c r="G17">
        <v>1.798</v>
      </c>
      <c r="H17">
        <v>3949.1691999999998</v>
      </c>
      <c r="I17">
        <v>440.209</v>
      </c>
      <c r="J17" s="23">
        <v>44847</v>
      </c>
      <c r="K17" t="s">
        <v>189</v>
      </c>
      <c r="L17" t="s">
        <v>196</v>
      </c>
    </row>
    <row r="18" spans="1:14" x14ac:dyDescent="0.35">
      <c r="A18" s="22" t="s">
        <v>175</v>
      </c>
      <c r="B18" t="s">
        <v>87</v>
      </c>
      <c r="C18" t="s">
        <v>137</v>
      </c>
      <c r="D18">
        <v>1</v>
      </c>
      <c r="E18" s="23">
        <v>44823</v>
      </c>
      <c r="F18">
        <v>10.0977</v>
      </c>
      <c r="G18">
        <v>2.2000000000000002</v>
      </c>
      <c r="H18">
        <v>4704.2484000000004</v>
      </c>
      <c r="I18">
        <v>513.54700000000003</v>
      </c>
      <c r="J18" s="23">
        <v>44847</v>
      </c>
      <c r="K18" t="s">
        <v>190</v>
      </c>
      <c r="L18" t="s">
        <v>196</v>
      </c>
    </row>
    <row r="19" spans="1:14" x14ac:dyDescent="0.35">
      <c r="A19" s="22" t="s">
        <v>176</v>
      </c>
      <c r="B19" t="s">
        <v>87</v>
      </c>
      <c r="C19" t="s">
        <v>137</v>
      </c>
      <c r="D19">
        <v>2</v>
      </c>
      <c r="E19" s="23">
        <v>44823</v>
      </c>
      <c r="F19">
        <v>10.441000000000001</v>
      </c>
      <c r="G19">
        <v>2.2709999999999999</v>
      </c>
      <c r="H19">
        <v>4452.8166000000001</v>
      </c>
      <c r="I19">
        <v>489.55200000000002</v>
      </c>
      <c r="J19" s="23">
        <v>44847</v>
      </c>
      <c r="K19" t="s">
        <v>191</v>
      </c>
      <c r="L19" t="s">
        <v>197</v>
      </c>
    </row>
    <row r="20" spans="1:14" x14ac:dyDescent="0.35">
      <c r="A20" s="22" t="s">
        <v>177</v>
      </c>
      <c r="B20" t="s">
        <v>87</v>
      </c>
      <c r="C20" t="s">
        <v>137</v>
      </c>
      <c r="D20">
        <v>3</v>
      </c>
      <c r="E20" s="23">
        <v>44823</v>
      </c>
      <c r="F20">
        <v>13.4359</v>
      </c>
      <c r="G20">
        <v>2.92</v>
      </c>
      <c r="H20">
        <v>5474.0384999999997</v>
      </c>
      <c r="I20">
        <v>587.50900000000001</v>
      </c>
      <c r="J20" s="23">
        <v>44847</v>
      </c>
      <c r="K20" t="s">
        <v>192</v>
      </c>
      <c r="L20" t="s">
        <v>197</v>
      </c>
    </row>
    <row r="21" spans="1:14" x14ac:dyDescent="0.35">
      <c r="A21" s="22" t="s">
        <v>178</v>
      </c>
      <c r="B21" t="s">
        <v>87</v>
      </c>
      <c r="C21" t="s">
        <v>162</v>
      </c>
      <c r="D21">
        <v>1</v>
      </c>
      <c r="E21" s="23">
        <v>44823</v>
      </c>
      <c r="F21">
        <v>13.442399999999999</v>
      </c>
      <c r="G21">
        <v>2.9460000000000002</v>
      </c>
      <c r="H21">
        <v>4959.3629000000001</v>
      </c>
      <c r="I21">
        <v>537.78499999999997</v>
      </c>
      <c r="J21" s="23">
        <v>44847</v>
      </c>
      <c r="K21" t="s">
        <v>193</v>
      </c>
      <c r="L21" t="s">
        <v>197</v>
      </c>
    </row>
    <row r="22" spans="1:14" x14ac:dyDescent="0.35">
      <c r="A22" s="22" t="s">
        <v>179</v>
      </c>
      <c r="B22" t="s">
        <v>87</v>
      </c>
      <c r="C22" t="s">
        <v>162</v>
      </c>
      <c r="D22">
        <v>2</v>
      </c>
      <c r="E22" s="23">
        <v>44823</v>
      </c>
      <c r="F22">
        <v>11.3086</v>
      </c>
      <c r="G22">
        <v>2.4289999999999998</v>
      </c>
      <c r="H22">
        <v>4003.6759999999999</v>
      </c>
      <c r="I22">
        <v>444.84100000000001</v>
      </c>
      <c r="J22" s="23">
        <v>44847</v>
      </c>
      <c r="K22" t="s">
        <v>194</v>
      </c>
      <c r="L22" t="s">
        <v>197</v>
      </c>
    </row>
    <row r="23" spans="1:14" x14ac:dyDescent="0.35">
      <c r="A23" s="22" t="s">
        <v>180</v>
      </c>
      <c r="B23" t="s">
        <v>87</v>
      </c>
      <c r="C23" t="s">
        <v>162</v>
      </c>
      <c r="D23">
        <v>3</v>
      </c>
      <c r="E23" s="23">
        <v>44823</v>
      </c>
      <c r="F23">
        <v>11.9964</v>
      </c>
      <c r="G23">
        <v>2.637</v>
      </c>
      <c r="H23">
        <v>4591.3879999999999</v>
      </c>
      <c r="I23">
        <v>502.09300000000002</v>
      </c>
      <c r="J23" s="23">
        <v>44847</v>
      </c>
      <c r="K23" t="s">
        <v>199</v>
      </c>
      <c r="L23" t="s">
        <v>197</v>
      </c>
    </row>
    <row r="24" spans="1:14" x14ac:dyDescent="0.35">
      <c r="A24" s="25" t="s">
        <v>152</v>
      </c>
      <c r="B24" t="s">
        <v>10</v>
      </c>
      <c r="C24" t="s">
        <v>10</v>
      </c>
      <c r="D24" t="s">
        <v>10</v>
      </c>
      <c r="E24" s="23" t="s">
        <v>10</v>
      </c>
      <c r="F24">
        <v>979.83320000000003</v>
      </c>
      <c r="G24">
        <v>230.18799999999999</v>
      </c>
      <c r="H24">
        <v>45466.072800000002</v>
      </c>
      <c r="I24">
        <v>3696.1439999999998</v>
      </c>
      <c r="J24" s="23">
        <v>44847</v>
      </c>
      <c r="K24" t="s">
        <v>200</v>
      </c>
      <c r="M24">
        <f>100*(F24-$T$2)/AVERAGE(F24,$T$2)</f>
        <v>-0.24747027945957412</v>
      </c>
      <c r="N24">
        <f>100*(H24-$T$3)/AVERAGE(H24,$T$3)</f>
        <v>-4.4119880349162832</v>
      </c>
    </row>
    <row r="25" spans="1:14" x14ac:dyDescent="0.35">
      <c r="A25" s="25" t="s">
        <v>152</v>
      </c>
      <c r="B25" t="s">
        <v>10</v>
      </c>
      <c r="C25" t="s">
        <v>10</v>
      </c>
      <c r="D25" t="s">
        <v>10</v>
      </c>
      <c r="E25" s="23" t="s">
        <v>10</v>
      </c>
      <c r="F25">
        <v>974.77080000000001</v>
      </c>
      <c r="G25">
        <v>229.50899999999999</v>
      </c>
      <c r="H25">
        <v>45342.684999999998</v>
      </c>
      <c r="I25">
        <v>3692.6419999999998</v>
      </c>
      <c r="J25" s="23">
        <v>44847</v>
      </c>
      <c r="K25" t="s">
        <v>201</v>
      </c>
      <c r="M25">
        <f>100*(F25-$T$2)/AVERAGE(F25,$T$2)</f>
        <v>-0.76546533377741455</v>
      </c>
      <c r="N25">
        <f>100*(H25-$T$3)/AVERAGE(H25,$T$3)</f>
        <v>-4.6836007314885402</v>
      </c>
    </row>
    <row r="26" spans="1:14" x14ac:dyDescent="0.35">
      <c r="A26" s="22" t="s">
        <v>198</v>
      </c>
      <c r="B26" t="s">
        <v>10</v>
      </c>
      <c r="C26" t="s">
        <v>10</v>
      </c>
      <c r="D26" t="s">
        <v>10</v>
      </c>
      <c r="E26" t="s">
        <v>10</v>
      </c>
      <c r="F26">
        <v>3.6301999999999999</v>
      </c>
      <c r="G26">
        <v>0.81299999999999994</v>
      </c>
      <c r="H26">
        <v>2118.9328</v>
      </c>
      <c r="I26">
        <v>254.28</v>
      </c>
      <c r="J26" s="23">
        <v>44847</v>
      </c>
      <c r="K26" t="s">
        <v>202</v>
      </c>
    </row>
    <row r="27" spans="1:14" x14ac:dyDescent="0.35">
      <c r="A27" s="27" t="s">
        <v>203</v>
      </c>
      <c r="B27" s="27" t="s">
        <v>204</v>
      </c>
      <c r="C27" s="27" t="s">
        <v>205</v>
      </c>
      <c r="D27" s="27">
        <v>1</v>
      </c>
      <c r="E27" s="28">
        <v>44453</v>
      </c>
      <c r="F27">
        <v>161.16829999999999</v>
      </c>
      <c r="G27" s="29">
        <v>3.5579999999999998</v>
      </c>
      <c r="H27" s="29">
        <v>7478.1336000000001</v>
      </c>
      <c r="I27" s="29">
        <v>772.37199999999996</v>
      </c>
      <c r="J27" s="23">
        <v>44847</v>
      </c>
      <c r="K27" t="s">
        <v>219</v>
      </c>
    </row>
    <row r="28" spans="1:14" x14ac:dyDescent="0.35">
      <c r="A28" s="27" t="s">
        <v>206</v>
      </c>
      <c r="B28" s="27" t="s">
        <v>207</v>
      </c>
      <c r="C28" s="27" t="s">
        <v>10</v>
      </c>
      <c r="D28" s="27">
        <v>6</v>
      </c>
      <c r="E28" s="28">
        <v>44453</v>
      </c>
      <c r="F28">
        <v>3.9498000000000002</v>
      </c>
      <c r="G28" s="29">
        <v>0.85199999999999998</v>
      </c>
      <c r="H28" s="29">
        <v>3536.3503000000001</v>
      </c>
      <c r="I28" s="29">
        <v>397.60300000000001</v>
      </c>
      <c r="J28" s="23">
        <v>44847</v>
      </c>
      <c r="K28" t="s">
        <v>220</v>
      </c>
    </row>
    <row r="29" spans="1:14" x14ac:dyDescent="0.35">
      <c r="A29" s="27" t="s">
        <v>208</v>
      </c>
      <c r="B29" s="27" t="s">
        <v>207</v>
      </c>
      <c r="C29" s="27" t="s">
        <v>10</v>
      </c>
      <c r="D29" s="27">
        <v>5</v>
      </c>
      <c r="E29" s="28">
        <v>44453</v>
      </c>
      <c r="F29">
        <v>3.9769000000000001</v>
      </c>
      <c r="G29" s="29">
        <v>0.878</v>
      </c>
      <c r="H29" s="29">
        <v>3241.1244000000002</v>
      </c>
      <c r="I29" s="29">
        <v>368.47399999999999</v>
      </c>
      <c r="J29" s="23">
        <v>44847</v>
      </c>
      <c r="K29" t="s">
        <v>221</v>
      </c>
    </row>
    <row r="30" spans="1:14" x14ac:dyDescent="0.35">
      <c r="A30" s="27" t="s">
        <v>209</v>
      </c>
      <c r="B30" s="27" t="s">
        <v>207</v>
      </c>
      <c r="C30" s="27" t="s">
        <v>10</v>
      </c>
      <c r="D30" s="27">
        <v>4</v>
      </c>
      <c r="E30" s="28">
        <v>44453</v>
      </c>
      <c r="F30">
        <v>4.0186000000000002</v>
      </c>
      <c r="G30" s="29">
        <v>0.88600000000000001</v>
      </c>
      <c r="H30" s="29">
        <v>4014.9933999999998</v>
      </c>
      <c r="I30" s="29">
        <v>444.76600000000002</v>
      </c>
      <c r="J30" s="23">
        <v>44847</v>
      </c>
      <c r="K30" t="s">
        <v>222</v>
      </c>
    </row>
    <row r="31" spans="1:14" x14ac:dyDescent="0.35">
      <c r="A31" s="27" t="s">
        <v>210</v>
      </c>
      <c r="B31" s="27" t="s">
        <v>204</v>
      </c>
      <c r="C31" s="27" t="s">
        <v>154</v>
      </c>
      <c r="D31" s="27">
        <v>1</v>
      </c>
      <c r="E31" s="28">
        <v>44453</v>
      </c>
      <c r="F31" s="30">
        <v>1977.6608000000001</v>
      </c>
      <c r="G31" s="29">
        <v>437.54599999999999</v>
      </c>
      <c r="H31" s="29">
        <v>41107.949399999998</v>
      </c>
      <c r="I31" s="29">
        <v>3379.91</v>
      </c>
      <c r="J31" s="23">
        <v>44847</v>
      </c>
      <c r="K31" t="s">
        <v>223</v>
      </c>
      <c r="L31" t="s">
        <v>224</v>
      </c>
    </row>
    <row r="32" spans="1:14" x14ac:dyDescent="0.35">
      <c r="A32" s="27" t="s">
        <v>211</v>
      </c>
      <c r="B32" s="27" t="s">
        <v>204</v>
      </c>
      <c r="C32" s="27" t="s">
        <v>181</v>
      </c>
      <c r="D32" s="27">
        <v>1</v>
      </c>
      <c r="E32" s="28">
        <v>44453</v>
      </c>
      <c r="F32">
        <v>3596.8642</v>
      </c>
      <c r="G32" s="29">
        <v>770.11500000000001</v>
      </c>
      <c r="H32" s="29">
        <v>18216.351200000001</v>
      </c>
      <c r="I32" s="29">
        <v>1688.883</v>
      </c>
      <c r="J32" s="23">
        <v>44847</v>
      </c>
      <c r="K32" t="s">
        <v>225</v>
      </c>
      <c r="L32" t="s">
        <v>224</v>
      </c>
    </row>
    <row r="33" spans="1:14" x14ac:dyDescent="0.35">
      <c r="A33" s="27" t="s">
        <v>212</v>
      </c>
      <c r="B33" s="27" t="s">
        <v>204</v>
      </c>
      <c r="C33" s="27" t="s">
        <v>213</v>
      </c>
      <c r="D33" s="27">
        <v>1</v>
      </c>
      <c r="E33" s="28">
        <v>44453</v>
      </c>
      <c r="F33">
        <v>25.8078</v>
      </c>
      <c r="G33" s="29">
        <v>5.67</v>
      </c>
      <c r="H33" s="31">
        <v>6436.3503000000001</v>
      </c>
      <c r="I33" s="29">
        <v>673.88800000000003</v>
      </c>
      <c r="J33" s="23">
        <v>44847</v>
      </c>
      <c r="K33" t="s">
        <v>226</v>
      </c>
    </row>
    <row r="34" spans="1:14" x14ac:dyDescent="0.35">
      <c r="A34" s="27" t="s">
        <v>214</v>
      </c>
      <c r="B34" s="27" t="s">
        <v>204</v>
      </c>
      <c r="C34" s="27" t="s">
        <v>215</v>
      </c>
      <c r="D34" s="27">
        <v>1</v>
      </c>
      <c r="E34" s="28">
        <v>44453</v>
      </c>
      <c r="F34">
        <v>25.974</v>
      </c>
      <c r="G34" s="29">
        <v>5.7190000000000003</v>
      </c>
      <c r="H34" s="29">
        <v>6299.0428000000002</v>
      </c>
      <c r="I34" s="29">
        <v>660.86500000000001</v>
      </c>
      <c r="J34" s="23">
        <v>44847</v>
      </c>
      <c r="K34" t="s">
        <v>227</v>
      </c>
    </row>
    <row r="35" spans="1:14" x14ac:dyDescent="0.35">
      <c r="A35" s="27" t="s">
        <v>216</v>
      </c>
      <c r="B35" s="27" t="s">
        <v>204</v>
      </c>
      <c r="C35" s="27" t="s">
        <v>217</v>
      </c>
      <c r="D35" s="27">
        <v>3</v>
      </c>
      <c r="E35" s="28">
        <v>44453</v>
      </c>
      <c r="F35">
        <v>13.1898</v>
      </c>
      <c r="G35" s="29">
        <v>2.9039999999999999</v>
      </c>
      <c r="H35" s="29">
        <v>6899.6652000000004</v>
      </c>
      <c r="I35" s="29">
        <v>716.87099999999998</v>
      </c>
      <c r="J35" s="23">
        <v>44847</v>
      </c>
      <c r="K35" t="s">
        <v>228</v>
      </c>
    </row>
    <row r="36" spans="1:14" x14ac:dyDescent="0.35">
      <c r="A36" s="25" t="s">
        <v>152</v>
      </c>
      <c r="B36" t="s">
        <v>10</v>
      </c>
      <c r="C36" t="s">
        <v>10</v>
      </c>
      <c r="D36" t="s">
        <v>10</v>
      </c>
      <c r="E36" s="23" t="s">
        <v>10</v>
      </c>
      <c r="F36">
        <v>984.22900000000004</v>
      </c>
      <c r="G36" s="29">
        <v>231.75399999999999</v>
      </c>
      <c r="H36" s="29">
        <v>45441.207399999999</v>
      </c>
      <c r="I36" s="29">
        <v>3666.864</v>
      </c>
      <c r="J36" s="23">
        <v>44847</v>
      </c>
      <c r="K36" t="s">
        <v>229</v>
      </c>
      <c r="M36">
        <f>100*(F36-$T$2)/AVERAGE(F36,$T$2)</f>
        <v>0.20015357311758114</v>
      </c>
      <c r="N36">
        <f>100*(H36-$T$3)/AVERAGE(H36,$T$3)</f>
        <v>-4.4666660529160023</v>
      </c>
    </row>
    <row r="37" spans="1:14" x14ac:dyDescent="0.35">
      <c r="A37" s="25" t="s">
        <v>152</v>
      </c>
      <c r="B37" t="s">
        <v>10</v>
      </c>
      <c r="C37" t="s">
        <v>10</v>
      </c>
      <c r="D37" t="s">
        <v>10</v>
      </c>
      <c r="E37" s="23" t="s">
        <v>10</v>
      </c>
      <c r="F37">
        <v>980.19259999999997</v>
      </c>
      <c r="G37" s="29">
        <v>231.08099999999999</v>
      </c>
      <c r="H37" s="29">
        <v>45376.689700000003</v>
      </c>
      <c r="I37" s="29">
        <v>3666.5390000000002</v>
      </c>
      <c r="J37" s="23">
        <v>44847</v>
      </c>
      <c r="K37" t="s">
        <v>230</v>
      </c>
      <c r="M37">
        <f>100*(F37-$T$2)/AVERAGE(F37,$T$2)</f>
        <v>-0.21079734063522423</v>
      </c>
      <c r="N37">
        <f>100*(H37-$T$3)/AVERAGE(H37,$T$3)</f>
        <v>-4.6086743992382022</v>
      </c>
    </row>
    <row r="38" spans="1:14" x14ac:dyDescent="0.35">
      <c r="A38" s="27" t="s">
        <v>218</v>
      </c>
      <c r="B38" s="27" t="s">
        <v>207</v>
      </c>
      <c r="C38" s="27" t="s">
        <v>10</v>
      </c>
      <c r="D38" s="27">
        <v>1</v>
      </c>
      <c r="E38" s="28" t="s">
        <v>10</v>
      </c>
      <c r="F38">
        <v>4.1077000000000004</v>
      </c>
      <c r="G38" s="29">
        <v>0.9</v>
      </c>
      <c r="H38" s="29">
        <v>3298.2080999999998</v>
      </c>
      <c r="I38" s="29">
        <v>373.19799999999998</v>
      </c>
      <c r="J38" s="23">
        <v>44847</v>
      </c>
      <c r="K38" t="s">
        <v>231</v>
      </c>
    </row>
    <row r="39" spans="1:14" x14ac:dyDescent="0.35">
      <c r="A39" s="22" t="s">
        <v>232</v>
      </c>
      <c r="B39" t="s">
        <v>233</v>
      </c>
      <c r="C39" t="s">
        <v>181</v>
      </c>
      <c r="D39">
        <v>1</v>
      </c>
      <c r="E39" s="23">
        <v>44755</v>
      </c>
      <c r="F39">
        <v>36.964199999999998</v>
      </c>
      <c r="G39" s="29">
        <v>8.2029999999999994</v>
      </c>
      <c r="H39" s="29">
        <v>26102.7448</v>
      </c>
      <c r="I39" s="29">
        <v>2295.7260000000001</v>
      </c>
      <c r="J39" s="23">
        <v>44847</v>
      </c>
      <c r="K39" t="s">
        <v>234</v>
      </c>
    </row>
    <row r="40" spans="1:14" x14ac:dyDescent="0.35">
      <c r="A40" s="22" t="s">
        <v>236</v>
      </c>
      <c r="B40" t="s">
        <v>233</v>
      </c>
      <c r="C40" t="s">
        <v>181</v>
      </c>
      <c r="D40">
        <v>2</v>
      </c>
      <c r="E40" s="23">
        <v>44755</v>
      </c>
      <c r="F40">
        <v>33.768999999999998</v>
      </c>
      <c r="G40" s="29">
        <v>7.5110000000000001</v>
      </c>
      <c r="H40" s="29">
        <v>32663.3701</v>
      </c>
      <c r="I40" s="29">
        <v>2271.009</v>
      </c>
      <c r="J40" s="23">
        <v>44847</v>
      </c>
      <c r="K40" t="s">
        <v>235</v>
      </c>
    </row>
    <row r="41" spans="1:14" x14ac:dyDescent="0.35">
      <c r="A41" s="22" t="s">
        <v>237</v>
      </c>
      <c r="B41" t="s">
        <v>233</v>
      </c>
      <c r="C41" t="s">
        <v>181</v>
      </c>
      <c r="D41">
        <v>3</v>
      </c>
      <c r="E41" s="23">
        <v>44755</v>
      </c>
      <c r="F41">
        <v>32.555999999999997</v>
      </c>
      <c r="G41" s="29">
        <v>7.2130000000000001</v>
      </c>
      <c r="H41" s="29">
        <v>31025.144100000001</v>
      </c>
      <c r="I41" s="29">
        <v>2651.134</v>
      </c>
      <c r="J41" s="23">
        <v>44847</v>
      </c>
      <c r="K41" t="s">
        <v>239</v>
      </c>
    </row>
    <row r="42" spans="1:14" x14ac:dyDescent="0.35">
      <c r="A42" s="22" t="s">
        <v>238</v>
      </c>
      <c r="B42" t="s">
        <v>233</v>
      </c>
      <c r="C42" t="s">
        <v>154</v>
      </c>
      <c r="D42">
        <v>1</v>
      </c>
      <c r="E42" s="23">
        <v>44755</v>
      </c>
      <c r="F42">
        <v>174.94579999999999</v>
      </c>
      <c r="G42" s="29">
        <v>41.975999999999999</v>
      </c>
      <c r="H42" s="29">
        <v>8466.2870000000003</v>
      </c>
      <c r="I42" s="29">
        <v>856.46900000000005</v>
      </c>
      <c r="J42" s="23">
        <v>44847</v>
      </c>
      <c r="K42" t="s">
        <v>240</v>
      </c>
    </row>
    <row r="43" spans="1:14" x14ac:dyDescent="0.35">
      <c r="A43" s="22" t="s">
        <v>241</v>
      </c>
      <c r="B43" t="s">
        <v>233</v>
      </c>
      <c r="C43" t="s">
        <v>154</v>
      </c>
      <c r="D43">
        <v>2</v>
      </c>
      <c r="E43" s="23">
        <v>44755</v>
      </c>
      <c r="F43">
        <v>250.29320000000001</v>
      </c>
      <c r="G43" s="29">
        <v>61.103999999999999</v>
      </c>
      <c r="H43" s="29">
        <v>8487.2425999999996</v>
      </c>
      <c r="I43" s="29">
        <v>857.84</v>
      </c>
      <c r="J43" s="23">
        <v>44847</v>
      </c>
      <c r="K43" t="s">
        <v>242</v>
      </c>
    </row>
    <row r="44" spans="1:14" x14ac:dyDescent="0.35">
      <c r="A44" s="22" t="s">
        <v>243</v>
      </c>
      <c r="B44" t="s">
        <v>233</v>
      </c>
      <c r="C44" t="s">
        <v>154</v>
      </c>
      <c r="D44">
        <v>3</v>
      </c>
      <c r="E44" s="23">
        <v>44755</v>
      </c>
      <c r="F44">
        <v>235.7448</v>
      </c>
      <c r="G44" s="29">
        <v>57.31</v>
      </c>
      <c r="H44" s="29">
        <v>9340.8673999999992</v>
      </c>
      <c r="I44" s="29">
        <v>934.10599999999999</v>
      </c>
      <c r="J44" s="23">
        <v>44847</v>
      </c>
      <c r="K44" t="s">
        <v>244</v>
      </c>
    </row>
    <row r="45" spans="1:14" x14ac:dyDescent="0.35">
      <c r="A45" s="22" t="s">
        <v>246</v>
      </c>
      <c r="B45" t="s">
        <v>233</v>
      </c>
      <c r="C45" t="s">
        <v>162</v>
      </c>
      <c r="D45">
        <v>1</v>
      </c>
      <c r="E45" s="23">
        <v>44755</v>
      </c>
      <c r="F45">
        <v>77.259</v>
      </c>
      <c r="G45" s="29">
        <v>17.666</v>
      </c>
      <c r="H45" s="29">
        <v>21482.941599999998</v>
      </c>
      <c r="I45" s="29">
        <v>1934.441</v>
      </c>
      <c r="J45" s="23">
        <v>44847</v>
      </c>
      <c r="K45" t="s">
        <v>245</v>
      </c>
    </row>
    <row r="46" spans="1:14" x14ac:dyDescent="0.35">
      <c r="A46" s="22" t="s">
        <v>248</v>
      </c>
      <c r="B46" t="s">
        <v>233</v>
      </c>
      <c r="C46" t="s">
        <v>162</v>
      </c>
      <c r="D46">
        <v>2</v>
      </c>
      <c r="E46" s="23">
        <v>44755</v>
      </c>
      <c r="F46">
        <v>81.465999999999994</v>
      </c>
      <c r="G46" s="29">
        <v>18.664000000000001</v>
      </c>
      <c r="H46" s="29">
        <v>22640.447700000001</v>
      </c>
      <c r="I46" s="29">
        <v>2020.729</v>
      </c>
      <c r="J46" s="23">
        <v>44847</v>
      </c>
      <c r="K46" t="s">
        <v>247</v>
      </c>
    </row>
    <row r="47" spans="1:14" x14ac:dyDescent="0.35">
      <c r="A47" s="22" t="s">
        <v>250</v>
      </c>
      <c r="B47" t="s">
        <v>233</v>
      </c>
      <c r="C47" t="s">
        <v>162</v>
      </c>
      <c r="D47">
        <v>3</v>
      </c>
      <c r="E47" s="23">
        <v>44755</v>
      </c>
      <c r="F47">
        <v>103.17359999999999</v>
      </c>
      <c r="G47" s="29">
        <v>24.068999999999999</v>
      </c>
      <c r="H47" s="29">
        <v>23540.982400000001</v>
      </c>
      <c r="I47" s="29">
        <v>2088.8249999999998</v>
      </c>
      <c r="J47" s="23">
        <v>44847</v>
      </c>
      <c r="K47" t="s">
        <v>249</v>
      </c>
    </row>
    <row r="48" spans="1:14" x14ac:dyDescent="0.35">
      <c r="A48" s="25" t="s">
        <v>152</v>
      </c>
      <c r="B48" t="s">
        <v>10</v>
      </c>
      <c r="C48" t="s">
        <v>10</v>
      </c>
      <c r="D48" t="s">
        <v>10</v>
      </c>
      <c r="E48" s="23" t="s">
        <v>10</v>
      </c>
      <c r="F48">
        <v>985.9452</v>
      </c>
      <c r="G48" s="29">
        <v>231.96700000000001</v>
      </c>
      <c r="H48" s="29">
        <v>45265.623599999999</v>
      </c>
      <c r="I48" s="26">
        <v>3623.3939999999998</v>
      </c>
      <c r="J48" s="23">
        <v>44847</v>
      </c>
      <c r="K48" t="s">
        <v>251</v>
      </c>
      <c r="M48">
        <f>100*(F48-$T$2)/AVERAGE(F48,$T$2)</f>
        <v>0.37437134381549236</v>
      </c>
      <c r="N48">
        <f>100*(H48-$T$3)/AVERAGE(H48,$T$3)</f>
        <v>-4.8536019301728341</v>
      </c>
    </row>
    <row r="49" spans="1:12" x14ac:dyDescent="0.35">
      <c r="A49" s="22" t="s">
        <v>252</v>
      </c>
      <c r="B49" t="s">
        <v>233</v>
      </c>
      <c r="C49" t="s">
        <v>137</v>
      </c>
      <c r="D49">
        <v>1</v>
      </c>
      <c r="E49" s="23">
        <v>44755</v>
      </c>
      <c r="F49" t="s">
        <v>10</v>
      </c>
      <c r="G49" t="s">
        <v>10</v>
      </c>
      <c r="H49" t="s">
        <v>10</v>
      </c>
      <c r="I49" t="s">
        <v>10</v>
      </c>
      <c r="J49" s="23">
        <v>44847</v>
      </c>
      <c r="K49" t="s">
        <v>253</v>
      </c>
      <c r="L49" t="s">
        <v>254</v>
      </c>
    </row>
    <row r="50" spans="1:12" x14ac:dyDescent="0.35">
      <c r="A50" s="22" t="s">
        <v>255</v>
      </c>
      <c r="B50" t="s">
        <v>87</v>
      </c>
      <c r="C50" t="s">
        <v>181</v>
      </c>
      <c r="D50">
        <v>1</v>
      </c>
      <c r="E50" s="23">
        <v>44770</v>
      </c>
      <c r="F50">
        <v>166.07400000000001</v>
      </c>
      <c r="G50" s="29">
        <v>39.700000000000003</v>
      </c>
      <c r="H50" s="29">
        <v>10154.948200000001</v>
      </c>
      <c r="I50" s="29">
        <v>1002.929</v>
      </c>
      <c r="J50" s="23">
        <v>44847</v>
      </c>
      <c r="K50" t="s">
        <v>256</v>
      </c>
    </row>
    <row r="51" spans="1:12" x14ac:dyDescent="0.35">
      <c r="A51" s="22" t="s">
        <v>257</v>
      </c>
      <c r="B51" t="s">
        <v>87</v>
      </c>
      <c r="C51" t="s">
        <v>181</v>
      </c>
      <c r="D51">
        <v>2</v>
      </c>
      <c r="E51" s="23">
        <v>44770</v>
      </c>
      <c r="F51">
        <v>94.268699999999995</v>
      </c>
      <c r="G51" s="29">
        <v>21.792999999999999</v>
      </c>
      <c r="H51" s="29">
        <v>9783.9249999999993</v>
      </c>
      <c r="I51" s="29">
        <v>969.61900000000003</v>
      </c>
      <c r="J51" s="23">
        <v>44847</v>
      </c>
      <c r="K51" t="s">
        <v>258</v>
      </c>
    </row>
    <row r="52" spans="1:12" x14ac:dyDescent="0.35">
      <c r="A52" s="22" t="s">
        <v>259</v>
      </c>
      <c r="B52" t="s">
        <v>87</v>
      </c>
      <c r="C52" t="s">
        <v>181</v>
      </c>
      <c r="D52">
        <v>3</v>
      </c>
      <c r="E52" s="23">
        <v>44770</v>
      </c>
      <c r="F52">
        <v>99.776700000000005</v>
      </c>
      <c r="G52" s="29">
        <v>23.062999999999999</v>
      </c>
      <c r="H52" s="29">
        <v>10469.935799999999</v>
      </c>
      <c r="I52" s="29">
        <v>1029.902</v>
      </c>
      <c r="J52" s="23">
        <v>44847</v>
      </c>
      <c r="K52" t="s">
        <v>260</v>
      </c>
    </row>
    <row r="53" spans="1:12" x14ac:dyDescent="0.35">
      <c r="A53" s="22"/>
    </row>
    <row r="54" spans="1:12" x14ac:dyDescent="0.35">
      <c r="A54" s="22"/>
    </row>
    <row r="55" spans="1:12" x14ac:dyDescent="0.35">
      <c r="A55" s="22"/>
    </row>
    <row r="56" spans="1:12" x14ac:dyDescent="0.35">
      <c r="A56" s="22"/>
    </row>
    <row r="57" spans="1:12" x14ac:dyDescent="0.35">
      <c r="A57" s="22"/>
    </row>
    <row r="58" spans="1:12" x14ac:dyDescent="0.35">
      <c r="A58" s="22"/>
    </row>
    <row r="59" spans="1:12" x14ac:dyDescent="0.35">
      <c r="A59" s="22"/>
    </row>
    <row r="60" spans="1:12" x14ac:dyDescent="0.35">
      <c r="A60" s="22"/>
    </row>
    <row r="61" spans="1:12" x14ac:dyDescent="0.35">
      <c r="A61" s="22"/>
    </row>
    <row r="62" spans="1:12" x14ac:dyDescent="0.35">
      <c r="A62" s="22"/>
    </row>
    <row r="63" spans="1:12" x14ac:dyDescent="0.35">
      <c r="A63" s="22"/>
    </row>
    <row r="64" spans="1:12" x14ac:dyDescent="0.35">
      <c r="A64" s="22"/>
    </row>
    <row r="65" spans="1:1" x14ac:dyDescent="0.35">
      <c r="A65" s="22"/>
    </row>
    <row r="66" spans="1:1" x14ac:dyDescent="0.35">
      <c r="A66" s="22"/>
    </row>
    <row r="67" spans="1:1" x14ac:dyDescent="0.35">
      <c r="A67" s="22"/>
    </row>
    <row r="68" spans="1:1" x14ac:dyDescent="0.35">
      <c r="A68" s="22"/>
    </row>
    <row r="69" spans="1:1" x14ac:dyDescent="0.35">
      <c r="A69" s="22"/>
    </row>
  </sheetData>
  <conditionalFormatting sqref="G2:G664 H2:H32 F1:F38 F40:F1048576 E39:F39 H34:H52">
    <cfRule type="cellIs" dxfId="7" priority="5" operator="greaterThan">
      <formula>$T$5</formula>
    </cfRule>
  </conditionalFormatting>
  <conditionalFormatting sqref="I2:I694">
    <cfRule type="cellIs" dxfId="6" priority="4" operator="greaterThan">
      <formula>$T$6</formula>
    </cfRule>
  </conditionalFormatting>
  <conditionalFormatting sqref="E40:E47">
    <cfRule type="cellIs" dxfId="5" priority="2" operator="greaterThan">
      <formula>$T$5</formula>
    </cfRule>
  </conditionalFormatting>
  <conditionalFormatting sqref="E49">
    <cfRule type="cellIs" dxfId="4" priority="1" operator="greaterThan">
      <formula>$T$5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478E-F632-4820-A73F-0FEAC1BB7C74}">
  <dimension ref="A1:Q52"/>
  <sheetViews>
    <sheetView tabSelected="1" workbookViewId="0">
      <selection activeCell="S19" sqref="S19"/>
    </sheetView>
  </sheetViews>
  <sheetFormatPr defaultColWidth="8.81640625" defaultRowHeight="14.5" x14ac:dyDescent="0.35"/>
  <cols>
    <col min="5" max="5" width="13.6328125" bestFit="1" customWidth="1"/>
    <col min="8" max="8" width="11.1796875" customWidth="1"/>
  </cols>
  <sheetData>
    <row r="1" spans="1:17" s="20" customFormat="1" ht="27" customHeight="1" x14ac:dyDescent="0.35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4</v>
      </c>
      <c r="G1" s="5" t="s">
        <v>3</v>
      </c>
      <c r="H1" s="5" t="s">
        <v>49</v>
      </c>
      <c r="I1" s="5" t="s">
        <v>5</v>
      </c>
      <c r="J1" s="5" t="s">
        <v>24</v>
      </c>
      <c r="K1" s="5" t="s">
        <v>8</v>
      </c>
      <c r="L1" s="5" t="s">
        <v>7</v>
      </c>
      <c r="M1" s="5" t="s">
        <v>27</v>
      </c>
      <c r="N1" s="5" t="s">
        <v>28</v>
      </c>
      <c r="O1" s="21" t="s">
        <v>271</v>
      </c>
      <c r="P1" s="19" t="s">
        <v>263</v>
      </c>
      <c r="Q1" s="19" t="s">
        <v>264</v>
      </c>
    </row>
    <row r="2" spans="1:17" x14ac:dyDescent="0.35">
      <c r="A2" s="22" t="s">
        <v>153</v>
      </c>
      <c r="B2" t="s">
        <v>87</v>
      </c>
      <c r="C2" t="s">
        <v>154</v>
      </c>
      <c r="D2">
        <v>3</v>
      </c>
      <c r="E2" s="23">
        <v>44810</v>
      </c>
      <c r="F2">
        <v>152.39859999999999</v>
      </c>
      <c r="G2">
        <v>36.225000000000001</v>
      </c>
      <c r="H2">
        <v>9408.8091999999997</v>
      </c>
      <c r="I2">
        <v>959.99900000000002</v>
      </c>
      <c r="J2" s="23">
        <v>44847</v>
      </c>
      <c r="K2" t="s">
        <v>149</v>
      </c>
      <c r="L2" t="s">
        <v>10</v>
      </c>
      <c r="M2" t="s">
        <v>10</v>
      </c>
      <c r="N2">
        <v>0</v>
      </c>
      <c r="O2" t="str">
        <f>IF(F2&gt;'std curve (2)'!P28, "high", "low")</f>
        <v>high</v>
      </c>
      <c r="P2">
        <f>((F2+86.464)/5.3768)*'dilution factor'!$L$6</f>
        <v>50.378024888367655</v>
      </c>
      <c r="Q2">
        <f>((H2-544.28)/4.6973)*'dilution factor'!L$7</f>
        <v>2265.353262325184</v>
      </c>
    </row>
    <row r="3" spans="1:17" x14ac:dyDescent="0.35">
      <c r="A3" s="22" t="s">
        <v>136</v>
      </c>
      <c r="B3" t="s">
        <v>87</v>
      </c>
      <c r="C3" t="s">
        <v>137</v>
      </c>
      <c r="D3">
        <v>1</v>
      </c>
      <c r="E3" s="23">
        <v>44810</v>
      </c>
      <c r="F3">
        <v>14.489100000000001</v>
      </c>
      <c r="G3">
        <v>3.1349999999999998</v>
      </c>
      <c r="H3">
        <v>8178.8842000000004</v>
      </c>
      <c r="I3">
        <v>847.09</v>
      </c>
      <c r="J3" s="23">
        <v>44847</v>
      </c>
      <c r="K3" t="s">
        <v>150</v>
      </c>
      <c r="L3" t="s">
        <v>10</v>
      </c>
      <c r="M3" t="s">
        <v>10</v>
      </c>
      <c r="N3">
        <v>0</v>
      </c>
      <c r="O3" t="str">
        <f>IF(F3&gt;'std curve (2)'!P29, "high", "low")</f>
        <v>high</v>
      </c>
      <c r="P3">
        <f>((F3+86.464)/5.3768)*'dilution factor'!$L$6</f>
        <v>21.291812884720628</v>
      </c>
      <c r="Q3">
        <f>((H3-544.28)/4.6973)*'dilution factor'!L$7</f>
        <v>1951.0427616428353</v>
      </c>
    </row>
    <row r="4" spans="1:17" x14ac:dyDescent="0.35">
      <c r="A4" s="22" t="s">
        <v>155</v>
      </c>
      <c r="B4" t="s">
        <v>87</v>
      </c>
      <c r="C4" t="s">
        <v>137</v>
      </c>
      <c r="D4">
        <v>2</v>
      </c>
      <c r="E4" s="23">
        <v>44810</v>
      </c>
      <c r="F4">
        <v>32.5105</v>
      </c>
      <c r="G4">
        <v>7.1769999999999996</v>
      </c>
      <c r="H4">
        <v>10478.1672</v>
      </c>
      <c r="I4">
        <v>1054.867</v>
      </c>
      <c r="J4" s="23">
        <v>44847</v>
      </c>
      <c r="K4" t="s">
        <v>163</v>
      </c>
      <c r="L4" t="s">
        <v>10</v>
      </c>
      <c r="M4" t="s">
        <v>10</v>
      </c>
      <c r="N4">
        <v>0</v>
      </c>
      <c r="O4" t="str">
        <f>IF(F4&gt;'std curve (2)'!P30, "high", "low")</f>
        <v>high</v>
      </c>
      <c r="P4">
        <f>((F4+86.464)/5.3768)*'dilution factor'!$L$6</f>
        <v>25.092669685756992</v>
      </c>
      <c r="Q4">
        <f>((H4-544.28)/4.6973)*'dilution factor'!L$7</f>
        <v>2538.6304527137645</v>
      </c>
    </row>
    <row r="5" spans="1:17" x14ac:dyDescent="0.35">
      <c r="A5" s="22" t="s">
        <v>156</v>
      </c>
      <c r="B5" t="s">
        <v>87</v>
      </c>
      <c r="C5" t="s">
        <v>137</v>
      </c>
      <c r="D5">
        <v>3</v>
      </c>
      <c r="E5" s="23">
        <v>44810</v>
      </c>
      <c r="F5">
        <v>43.142699999999998</v>
      </c>
      <c r="G5">
        <v>9.5679999999999996</v>
      </c>
      <c r="H5">
        <v>14414.451800000001</v>
      </c>
      <c r="I5">
        <v>1398.306</v>
      </c>
      <c r="J5" s="23">
        <v>44847</v>
      </c>
      <c r="K5" t="s">
        <v>164</v>
      </c>
      <c r="L5" t="s">
        <v>10</v>
      </c>
      <c r="M5" t="s">
        <v>10</v>
      </c>
      <c r="N5">
        <v>0</v>
      </c>
      <c r="O5" t="str">
        <f>IF(F5&gt;'std curve (2)'!P31, "high", "low")</f>
        <v>high</v>
      </c>
      <c r="P5">
        <f>((F5+86.464)/5.3768)*'dilution factor'!$L$6</f>
        <v>27.335085351575344</v>
      </c>
      <c r="Q5">
        <f>((H5-544.28)/4.6973)*'dilution factor'!L$7</f>
        <v>3544.5581177780737</v>
      </c>
    </row>
    <row r="6" spans="1:17" x14ac:dyDescent="0.35">
      <c r="A6" s="22" t="s">
        <v>157</v>
      </c>
      <c r="B6" t="s">
        <v>87</v>
      </c>
      <c r="C6" t="s">
        <v>162</v>
      </c>
      <c r="D6">
        <v>1</v>
      </c>
      <c r="E6" s="23">
        <v>44810</v>
      </c>
      <c r="F6">
        <v>36.006</v>
      </c>
      <c r="G6">
        <v>7.9480000000000004</v>
      </c>
      <c r="H6">
        <v>9515.4748</v>
      </c>
      <c r="I6">
        <v>966.08</v>
      </c>
      <c r="J6" s="23">
        <v>44847</v>
      </c>
      <c r="K6" t="s">
        <v>165</v>
      </c>
      <c r="L6" t="s">
        <v>10</v>
      </c>
      <c r="M6" t="s">
        <v>10</v>
      </c>
      <c r="N6">
        <v>0</v>
      </c>
      <c r="O6" t="str">
        <f>IF(F6&gt;'std curve (2)'!P32, "high", "low")</f>
        <v>high</v>
      </c>
      <c r="P6">
        <f>((F6+86.464)/5.3768)*'dilution factor'!$L$6</f>
        <v>25.82989847752803</v>
      </c>
      <c r="Q6">
        <f>((H6-544.28)/4.6973)*'dilution factor'!L$7</f>
        <v>2292.6119310583044</v>
      </c>
    </row>
    <row r="7" spans="1:17" x14ac:dyDescent="0.35">
      <c r="A7" s="22" t="s">
        <v>158</v>
      </c>
      <c r="B7" t="s">
        <v>87</v>
      </c>
      <c r="C7" t="s">
        <v>162</v>
      </c>
      <c r="D7">
        <v>2</v>
      </c>
      <c r="E7" s="23">
        <v>44810</v>
      </c>
      <c r="F7">
        <v>36.672600000000003</v>
      </c>
      <c r="G7">
        <v>8.0830000000000002</v>
      </c>
      <c r="H7">
        <v>9084.2972000000009</v>
      </c>
      <c r="I7">
        <v>927.61599999999999</v>
      </c>
      <c r="J7" s="23">
        <v>44847</v>
      </c>
      <c r="K7" t="s">
        <v>166</v>
      </c>
      <c r="L7" t="s">
        <v>10</v>
      </c>
      <c r="M7" t="s">
        <v>10</v>
      </c>
      <c r="N7">
        <v>0</v>
      </c>
      <c r="O7" t="str">
        <f>IF(F7&gt;'std curve (2)'!P33, "high", "low")</f>
        <v>high</v>
      </c>
      <c r="P7">
        <f>((F7+86.464)/5.3768)*'dilution factor'!$L$6</f>
        <v>25.970489727018684</v>
      </c>
      <c r="Q7">
        <f>((H7-544.28)/4.6973)*'dilution factor'!L$7</f>
        <v>2182.4233851396398</v>
      </c>
    </row>
    <row r="8" spans="1:17" x14ac:dyDescent="0.35">
      <c r="A8" s="22" t="s">
        <v>159</v>
      </c>
      <c r="B8" t="s">
        <v>87</v>
      </c>
      <c r="C8" t="s">
        <v>162</v>
      </c>
      <c r="D8">
        <v>3</v>
      </c>
      <c r="E8" s="23">
        <v>44810</v>
      </c>
      <c r="F8">
        <v>35.918799999999997</v>
      </c>
      <c r="G8">
        <v>7.952</v>
      </c>
      <c r="H8">
        <v>9795.9038</v>
      </c>
      <c r="I8">
        <v>991.10900000000004</v>
      </c>
      <c r="J8" s="23">
        <v>44847</v>
      </c>
      <c r="K8" t="s">
        <v>167</v>
      </c>
      <c r="L8" t="s">
        <v>195</v>
      </c>
      <c r="M8" t="s">
        <v>10</v>
      </c>
      <c r="N8">
        <v>0</v>
      </c>
      <c r="O8" t="str">
        <f>IF(F8&gt;'std curve (2)'!P34, "high", "low")</f>
        <v>high</v>
      </c>
      <c r="P8">
        <f>((F8+86.464)/5.3768)*'dilution factor'!$L$6</f>
        <v>25.811507302977201</v>
      </c>
      <c r="Q8">
        <f>((H8-544.28)/4.6973)*'dilution factor'!L$7</f>
        <v>2364.2762840845867</v>
      </c>
    </row>
    <row r="9" spans="1:17" x14ac:dyDescent="0.35">
      <c r="A9" s="22" t="s">
        <v>160</v>
      </c>
      <c r="B9" t="s">
        <v>161</v>
      </c>
      <c r="C9" t="s">
        <v>154</v>
      </c>
      <c r="D9">
        <v>3</v>
      </c>
      <c r="E9" s="23">
        <v>44817</v>
      </c>
      <c r="F9">
        <v>30.695</v>
      </c>
      <c r="G9">
        <v>6.7229999999999999</v>
      </c>
      <c r="H9">
        <v>12305.9535</v>
      </c>
      <c r="I9">
        <v>1212.8230000000001</v>
      </c>
      <c r="J9" s="23">
        <v>44847</v>
      </c>
      <c r="K9" t="s">
        <v>168</v>
      </c>
      <c r="L9" t="s">
        <v>10</v>
      </c>
      <c r="M9" t="s">
        <v>10</v>
      </c>
      <c r="N9">
        <v>0</v>
      </c>
      <c r="O9" t="str">
        <f>IF(F9&gt;'std curve (2)'!P35, "high", "low")</f>
        <v>high</v>
      </c>
      <c r="P9">
        <f>((F9+86.464)/5.3768)*'dilution factor'!$L$6</f>
        <v>24.709766275240518</v>
      </c>
      <c r="Q9">
        <f>((H9-544.28)/4.6973)*'dilution factor'!L$7</f>
        <v>3005.72594804343</v>
      </c>
    </row>
    <row r="10" spans="1:17" x14ac:dyDescent="0.35">
      <c r="A10" s="22" t="s">
        <v>169</v>
      </c>
      <c r="B10" t="s">
        <v>87</v>
      </c>
      <c r="C10" t="s">
        <v>154</v>
      </c>
      <c r="D10">
        <v>1</v>
      </c>
      <c r="E10" s="23">
        <v>44823</v>
      </c>
      <c r="F10">
        <v>451.19459999999998</v>
      </c>
      <c r="G10">
        <v>110.855</v>
      </c>
      <c r="H10">
        <v>9851.6088</v>
      </c>
      <c r="I10">
        <v>994.90200000000004</v>
      </c>
      <c r="J10" s="23">
        <v>44847</v>
      </c>
      <c r="K10" t="s">
        <v>182</v>
      </c>
      <c r="L10" t="s">
        <v>196</v>
      </c>
      <c r="M10" t="s">
        <v>10</v>
      </c>
      <c r="N10">
        <v>0</v>
      </c>
      <c r="O10" t="str">
        <f>IF(F10&gt;'std curve (2)'!P36, "high", "low")</f>
        <v>high</v>
      </c>
      <c r="P10">
        <f>((F10+86.464)/5.3768)*'dilution factor'!$L$6</f>
        <v>113.39648120821305</v>
      </c>
      <c r="Q10">
        <f>((H10-544.28)/4.6973)*'dilution factor'!L$7</f>
        <v>2378.511840269322</v>
      </c>
    </row>
    <row r="11" spans="1:17" x14ac:dyDescent="0.35">
      <c r="A11" s="22" t="s">
        <v>170</v>
      </c>
      <c r="B11" t="s">
        <v>87</v>
      </c>
      <c r="C11" t="s">
        <v>154</v>
      </c>
      <c r="D11">
        <v>2</v>
      </c>
      <c r="E11" s="23">
        <v>44823</v>
      </c>
      <c r="F11">
        <v>665.66290000000004</v>
      </c>
      <c r="G11">
        <v>160.441</v>
      </c>
      <c r="H11">
        <v>9346.41</v>
      </c>
      <c r="I11">
        <v>949.18799999999999</v>
      </c>
      <c r="J11" s="23">
        <v>44847</v>
      </c>
      <c r="K11" t="s">
        <v>183</v>
      </c>
      <c r="L11" t="s">
        <v>196</v>
      </c>
      <c r="M11" t="s">
        <v>10</v>
      </c>
      <c r="N11">
        <v>0</v>
      </c>
      <c r="O11" t="str">
        <f>IF(F11&gt;'std curve (2)'!P37, "high", "low")</f>
        <v>high</v>
      </c>
      <c r="P11">
        <f>((F11+86.464)/5.3768)*'dilution factor'!$L$6</f>
        <v>158.62955392518884</v>
      </c>
      <c r="Q11">
        <f>((H11-544.28)/4.6973)*'dilution factor'!L$7</f>
        <v>2249.4069860935615</v>
      </c>
    </row>
    <row r="12" spans="1:17" x14ac:dyDescent="0.35">
      <c r="A12" s="25" t="s">
        <v>152</v>
      </c>
      <c r="B12" t="s">
        <v>10</v>
      </c>
      <c r="C12" t="s">
        <v>10</v>
      </c>
      <c r="D12" t="s">
        <v>10</v>
      </c>
      <c r="E12" t="s">
        <v>10</v>
      </c>
      <c r="F12">
        <v>977.82719999999995</v>
      </c>
      <c r="G12">
        <v>230.142</v>
      </c>
      <c r="H12">
        <v>45699.002399999998</v>
      </c>
      <c r="I12">
        <v>3742.5360000000001</v>
      </c>
      <c r="J12" s="23">
        <v>44847</v>
      </c>
      <c r="K12" t="s">
        <v>184</v>
      </c>
      <c r="L12" t="s">
        <v>10</v>
      </c>
      <c r="M12" t="s">
        <v>10</v>
      </c>
      <c r="N12">
        <v>0</v>
      </c>
      <c r="O12" t="str">
        <f>IF(F12&gt;'std curve (2)'!P38, "high", "low")</f>
        <v>high</v>
      </c>
      <c r="P12">
        <f>((F12+86.464)/5.3768)*'dilution factor'!$L$6</f>
        <v>224.46749119397793</v>
      </c>
      <c r="Q12">
        <f>((H12-544.28)/4.6973)*'dilution factor'!L$7</f>
        <v>11539.405578158407</v>
      </c>
    </row>
    <row r="13" spans="1:17" x14ac:dyDescent="0.35">
      <c r="A13" s="25" t="s">
        <v>152</v>
      </c>
      <c r="B13" t="s">
        <v>10</v>
      </c>
      <c r="C13" t="s">
        <v>10</v>
      </c>
      <c r="D13" t="s">
        <v>10</v>
      </c>
      <c r="E13" s="23" t="s">
        <v>10</v>
      </c>
      <c r="F13">
        <v>974.2106</v>
      </c>
      <c r="G13">
        <v>229.33199999999999</v>
      </c>
      <c r="H13">
        <v>45712.679600000003</v>
      </c>
      <c r="I13">
        <v>3744.8009999999999</v>
      </c>
      <c r="J13" s="23">
        <v>44847</v>
      </c>
      <c r="K13" t="s">
        <v>185</v>
      </c>
      <c r="L13" t="s">
        <v>10</v>
      </c>
      <c r="M13" t="s">
        <v>10</v>
      </c>
      <c r="N13">
        <v>0</v>
      </c>
      <c r="O13" t="str">
        <f>IF(F13&gt;'std curve (2)'!P39, "high", "low")</f>
        <v>high</v>
      </c>
      <c r="P13">
        <f>((F13+86.464)/5.3768)*'dilution factor'!$L$6</f>
        <v>223.7047214476415</v>
      </c>
      <c r="Q13">
        <f>((H13-544.28)/4.6973)*'dilution factor'!L$7</f>
        <v>11542.900821835812</v>
      </c>
    </row>
    <row r="14" spans="1:17" x14ac:dyDescent="0.35">
      <c r="A14" s="22" t="s">
        <v>171</v>
      </c>
      <c r="B14" t="s">
        <v>87</v>
      </c>
      <c r="C14" t="s">
        <v>154</v>
      </c>
      <c r="D14">
        <v>3</v>
      </c>
      <c r="E14" s="23">
        <v>44823</v>
      </c>
      <c r="F14">
        <v>682.87850000000003</v>
      </c>
      <c r="G14">
        <v>164.32900000000001</v>
      </c>
      <c r="H14">
        <v>15789.299800000001</v>
      </c>
      <c r="I14">
        <v>1508.86</v>
      </c>
      <c r="J14" s="23">
        <v>44847</v>
      </c>
      <c r="K14" t="s">
        <v>186</v>
      </c>
      <c r="L14" t="s">
        <v>196</v>
      </c>
      <c r="M14" t="s">
        <v>10</v>
      </c>
      <c r="N14">
        <v>0</v>
      </c>
      <c r="O14" t="str">
        <f>IF(F14&gt;'std curve (2)'!P40, "high", "low")</f>
        <v>high</v>
      </c>
      <c r="P14">
        <f>((F14+86.464)/5.3768)*'dilution factor'!$L$6</f>
        <v>162.26046108800202</v>
      </c>
      <c r="Q14">
        <f>((H14-544.28)/4.6973)*'dilution factor'!L$7</f>
        <v>3895.9040642724744</v>
      </c>
    </row>
    <row r="15" spans="1:17" x14ac:dyDescent="0.35">
      <c r="A15" s="22" t="s">
        <v>172</v>
      </c>
      <c r="B15" t="s">
        <v>87</v>
      </c>
      <c r="C15" t="s">
        <v>181</v>
      </c>
      <c r="D15">
        <v>1</v>
      </c>
      <c r="E15" s="23">
        <v>44823</v>
      </c>
      <c r="F15">
        <v>0</v>
      </c>
      <c r="G15">
        <v>0</v>
      </c>
      <c r="H15">
        <v>7.8075999999999999</v>
      </c>
      <c r="I15">
        <v>0.88</v>
      </c>
      <c r="J15" s="23">
        <v>44847</v>
      </c>
      <c r="K15" t="s">
        <v>187</v>
      </c>
      <c r="L15" t="s">
        <v>196</v>
      </c>
      <c r="M15" t="s">
        <v>10</v>
      </c>
      <c r="N15">
        <v>0</v>
      </c>
      <c r="O15" t="str">
        <f>IF(F15&gt;'std curve (2)'!P41, "high", "low")</f>
        <v>low</v>
      </c>
      <c r="P15">
        <f>((F15+1.1721)/2.5294)*'dilution factor'!$L$6</f>
        <v>0.52548946713046163</v>
      </c>
      <c r="Q15">
        <f>((H15-544.28)/4.6973)*'dilution factor'!L$7</f>
        <v>-137.09690318211386</v>
      </c>
    </row>
    <row r="16" spans="1:17" x14ac:dyDescent="0.35">
      <c r="A16" s="22" t="s">
        <v>173</v>
      </c>
      <c r="B16" t="s">
        <v>87</v>
      </c>
      <c r="C16" t="s">
        <v>181</v>
      </c>
      <c r="D16">
        <v>2</v>
      </c>
      <c r="E16" s="23">
        <v>44823</v>
      </c>
      <c r="F16">
        <v>9.9725999999999999</v>
      </c>
      <c r="G16">
        <v>2.1739999999999999</v>
      </c>
      <c r="H16">
        <v>7191.3045000000002</v>
      </c>
      <c r="I16">
        <v>750.42600000000004</v>
      </c>
      <c r="J16" s="23">
        <v>44847</v>
      </c>
      <c r="K16" t="s">
        <v>188</v>
      </c>
      <c r="L16" t="s">
        <v>196</v>
      </c>
      <c r="M16" t="s">
        <v>10</v>
      </c>
      <c r="N16">
        <v>0</v>
      </c>
      <c r="O16" t="str">
        <f>IF(F16&gt;'std curve (2)'!P42, "high", "low")</f>
        <v>high</v>
      </c>
      <c r="P16">
        <f>((F16+86.464)/5.3768)*'dilution factor'!$L$6</f>
        <v>20.339247060651424</v>
      </c>
      <c r="Q16">
        <f>((H16-544.28)/4.6973)*'dilution factor'!L$7</f>
        <v>1698.6642263900972</v>
      </c>
    </row>
    <row r="17" spans="1:17" x14ac:dyDescent="0.35">
      <c r="A17" s="22" t="s">
        <v>174</v>
      </c>
      <c r="B17" t="s">
        <v>87</v>
      </c>
      <c r="C17" t="s">
        <v>181</v>
      </c>
      <c r="D17">
        <v>3</v>
      </c>
      <c r="E17" s="23">
        <v>44823</v>
      </c>
      <c r="F17">
        <v>8.2522000000000002</v>
      </c>
      <c r="G17">
        <v>1.798</v>
      </c>
      <c r="H17">
        <v>3949.1691999999998</v>
      </c>
      <c r="I17">
        <v>440.209</v>
      </c>
      <c r="J17" s="23">
        <v>44847</v>
      </c>
      <c r="K17" t="s">
        <v>189</v>
      </c>
      <c r="L17" t="s">
        <v>196</v>
      </c>
      <c r="M17" t="s">
        <v>10</v>
      </c>
      <c r="N17">
        <v>0</v>
      </c>
      <c r="O17" t="str">
        <f>IF(F17&gt;'std curve (2)'!P43, "high", "low")</f>
        <v>high</v>
      </c>
      <c r="P17">
        <f>((F17+86.464)/5.3768)*'dilution factor'!$L$6</f>
        <v>19.976400997609538</v>
      </c>
      <c r="Q17">
        <f>((H17-544.28)/4.6973)*'dilution factor'!L$7</f>
        <v>870.12820230495549</v>
      </c>
    </row>
    <row r="18" spans="1:17" x14ac:dyDescent="0.35">
      <c r="A18" s="22" t="s">
        <v>175</v>
      </c>
      <c r="B18" t="s">
        <v>87</v>
      </c>
      <c r="C18" t="s">
        <v>137</v>
      </c>
      <c r="D18">
        <v>1</v>
      </c>
      <c r="E18" s="23">
        <v>44823</v>
      </c>
      <c r="F18">
        <v>10.0977</v>
      </c>
      <c r="G18">
        <v>2.2000000000000002</v>
      </c>
      <c r="H18">
        <v>4704.2484000000004</v>
      </c>
      <c r="I18">
        <v>513.54700000000003</v>
      </c>
      <c r="J18" s="23">
        <v>44847</v>
      </c>
      <c r="K18" t="s">
        <v>190</v>
      </c>
      <c r="L18" t="s">
        <v>196</v>
      </c>
      <c r="M18" t="s">
        <v>10</v>
      </c>
      <c r="N18">
        <v>0</v>
      </c>
      <c r="O18" t="str">
        <f>IF(F18&gt;'std curve (2)'!P44, "high", "low")</f>
        <v>high</v>
      </c>
      <c r="P18">
        <f>((F18+86.464)/5.3768)*'dilution factor'!$L$6</f>
        <v>20.365631647076984</v>
      </c>
      <c r="Q18">
        <f>((H18-544.28)/4.6973)*'dilution factor'!L$7</f>
        <v>1063.0906361174464</v>
      </c>
    </row>
    <row r="19" spans="1:17" x14ac:dyDescent="0.35">
      <c r="A19" s="22" t="s">
        <v>176</v>
      </c>
      <c r="B19" t="s">
        <v>87</v>
      </c>
      <c r="C19" t="s">
        <v>137</v>
      </c>
      <c r="D19">
        <v>2</v>
      </c>
      <c r="E19" s="23">
        <v>44823</v>
      </c>
      <c r="F19">
        <v>10.441000000000001</v>
      </c>
      <c r="G19">
        <v>2.2709999999999999</v>
      </c>
      <c r="H19">
        <v>4452.8166000000001</v>
      </c>
      <c r="I19">
        <v>489.55200000000002</v>
      </c>
      <c r="J19" s="23">
        <v>44847</v>
      </c>
      <c r="K19" t="s">
        <v>191</v>
      </c>
      <c r="L19" t="s">
        <v>197</v>
      </c>
      <c r="M19" t="s">
        <v>10</v>
      </c>
      <c r="N19">
        <v>0</v>
      </c>
      <c r="O19" t="str">
        <f>IF(F19&gt;'std curve (2)'!P45, "high", "low")</f>
        <v>high</v>
      </c>
      <c r="P19">
        <f>((F19+86.464)/5.3768)*'dilution factor'!$L$6</f>
        <v>20.438036351472636</v>
      </c>
      <c r="Q19">
        <f>((H19-544.28)/4.6973)*'dilution factor'!L$7</f>
        <v>998.83659221601795</v>
      </c>
    </row>
    <row r="20" spans="1:17" x14ac:dyDescent="0.35">
      <c r="A20" s="22" t="s">
        <v>177</v>
      </c>
      <c r="B20" t="s">
        <v>87</v>
      </c>
      <c r="C20" t="s">
        <v>137</v>
      </c>
      <c r="D20">
        <v>3</v>
      </c>
      <c r="E20" s="23">
        <v>44823</v>
      </c>
      <c r="F20">
        <v>13.4359</v>
      </c>
      <c r="G20">
        <v>2.92</v>
      </c>
      <c r="H20">
        <v>5474.0384999999997</v>
      </c>
      <c r="I20">
        <v>587.50900000000001</v>
      </c>
      <c r="J20" s="23">
        <v>44847</v>
      </c>
      <c r="K20" t="s">
        <v>192</v>
      </c>
      <c r="L20" t="s">
        <v>197</v>
      </c>
      <c r="M20" t="s">
        <v>10</v>
      </c>
      <c r="N20">
        <v>0</v>
      </c>
      <c r="O20" t="str">
        <f>IF(F20&gt;'std curve (2)'!P46, "high", "low")</f>
        <v>high</v>
      </c>
      <c r="P20">
        <f>((F20+86.464)/5.3768)*'dilution factor'!$L$6</f>
        <v>21.069684615948418</v>
      </c>
      <c r="Q20">
        <f>((H20-544.28)/4.6973)*'dilution factor'!L$7</f>
        <v>1259.8124783040148</v>
      </c>
    </row>
    <row r="21" spans="1:17" x14ac:dyDescent="0.35">
      <c r="A21" s="22" t="s">
        <v>178</v>
      </c>
      <c r="B21" t="s">
        <v>87</v>
      </c>
      <c r="C21" t="s">
        <v>162</v>
      </c>
      <c r="D21">
        <v>1</v>
      </c>
      <c r="E21" s="23">
        <v>44823</v>
      </c>
      <c r="F21">
        <v>13.442399999999999</v>
      </c>
      <c r="G21">
        <v>2.9460000000000002</v>
      </c>
      <c r="H21">
        <v>4959.3629000000001</v>
      </c>
      <c r="I21">
        <v>537.78499999999997</v>
      </c>
      <c r="J21" s="23">
        <v>44847</v>
      </c>
      <c r="K21" t="s">
        <v>193</v>
      </c>
      <c r="L21" t="s">
        <v>197</v>
      </c>
      <c r="M21" t="s">
        <v>10</v>
      </c>
      <c r="N21">
        <v>0</v>
      </c>
      <c r="O21" t="str">
        <f>IF(F21&gt;'std curve (2)'!P47, "high", "low")</f>
        <v>high</v>
      </c>
      <c r="P21">
        <f>((F21+86.464)/5.3768)*'dilution factor'!$L$6</f>
        <v>21.071055517721124</v>
      </c>
      <c r="Q21">
        <f>((H21-544.28)/4.6973)*'dilution factor'!L$7</f>
        <v>1128.2858034864541</v>
      </c>
    </row>
    <row r="22" spans="1:17" x14ac:dyDescent="0.35">
      <c r="A22" s="22" t="s">
        <v>179</v>
      </c>
      <c r="B22" t="s">
        <v>87</v>
      </c>
      <c r="C22" t="s">
        <v>162</v>
      </c>
      <c r="D22">
        <v>2</v>
      </c>
      <c r="E22" s="23">
        <v>44823</v>
      </c>
      <c r="F22">
        <v>11.3086</v>
      </c>
      <c r="G22">
        <v>2.4289999999999998</v>
      </c>
      <c r="H22">
        <v>4003.6759999999999</v>
      </c>
      <c r="I22">
        <v>444.84100000000001</v>
      </c>
      <c r="J22" s="23">
        <v>44847</v>
      </c>
      <c r="K22" t="s">
        <v>194</v>
      </c>
      <c r="L22" t="s">
        <v>197</v>
      </c>
      <c r="M22" t="s">
        <v>10</v>
      </c>
      <c r="N22">
        <v>0</v>
      </c>
      <c r="O22" t="str">
        <f>IF(F22&gt;'std curve (2)'!P48, "high", "low")</f>
        <v>high</v>
      </c>
      <c r="P22">
        <f>((F22+86.464)/5.3768)*'dilution factor'!$L$6</f>
        <v>20.621020101934818</v>
      </c>
      <c r="Q22">
        <f>((H22-544.28)/4.6973)*'dilution factor'!L$7</f>
        <v>884.05755539444692</v>
      </c>
    </row>
    <row r="23" spans="1:17" x14ac:dyDescent="0.35">
      <c r="A23" s="22" t="s">
        <v>180</v>
      </c>
      <c r="B23" t="s">
        <v>87</v>
      </c>
      <c r="C23" t="s">
        <v>162</v>
      </c>
      <c r="D23">
        <v>3</v>
      </c>
      <c r="E23" s="23">
        <v>44823</v>
      </c>
      <c r="F23">
        <v>11.9964</v>
      </c>
      <c r="G23">
        <v>2.637</v>
      </c>
      <c r="H23">
        <v>4591.3879999999999</v>
      </c>
      <c r="I23">
        <v>502.09300000000002</v>
      </c>
      <c r="J23" s="23">
        <v>44847</v>
      </c>
      <c r="K23" t="s">
        <v>199</v>
      </c>
      <c r="L23" t="s">
        <v>197</v>
      </c>
      <c r="M23" t="s">
        <v>10</v>
      </c>
      <c r="N23">
        <v>0</v>
      </c>
      <c r="O23" t="str">
        <f>IF(F23&gt;'std curve (2)'!P49, "high", "low")</f>
        <v>high</v>
      </c>
      <c r="P23">
        <f>((F23+86.464)/5.3768)*'dilution factor'!$L$6</f>
        <v>20.766082600284157</v>
      </c>
      <c r="Q23">
        <f>((H23-544.28)/4.6973)*'dilution factor'!L$7</f>
        <v>1034.2488702933431</v>
      </c>
    </row>
    <row r="24" spans="1:17" x14ac:dyDescent="0.35">
      <c r="A24" s="25" t="s">
        <v>152</v>
      </c>
      <c r="B24" t="s">
        <v>10</v>
      </c>
      <c r="C24" t="s">
        <v>10</v>
      </c>
      <c r="D24" t="s">
        <v>10</v>
      </c>
      <c r="E24" s="23" t="s">
        <v>10</v>
      </c>
      <c r="F24">
        <v>979.83320000000003</v>
      </c>
      <c r="G24">
        <v>230.18799999999999</v>
      </c>
      <c r="H24">
        <v>45466.072800000002</v>
      </c>
      <c r="I24">
        <v>3696.1439999999998</v>
      </c>
      <c r="J24" s="23">
        <v>44847</v>
      </c>
      <c r="K24" t="s">
        <v>200</v>
      </c>
      <c r="L24" t="s">
        <v>10</v>
      </c>
      <c r="M24" t="s">
        <v>10</v>
      </c>
      <c r="N24">
        <v>0</v>
      </c>
      <c r="O24" t="str">
        <f>IF(F24&gt;'std curve (2)'!P50, "high", "low")</f>
        <v>high</v>
      </c>
      <c r="P24">
        <f>((F24+86.464)/5.3768)*'dilution factor'!$L$6</f>
        <v>224.8905725718331</v>
      </c>
      <c r="Q24">
        <f>((H24-544.28)/4.6973)*'dilution factor'!L$7</f>
        <v>11479.87981910827</v>
      </c>
    </row>
    <row r="25" spans="1:17" x14ac:dyDescent="0.35">
      <c r="A25" s="25" t="s">
        <v>152</v>
      </c>
      <c r="B25" t="s">
        <v>10</v>
      </c>
      <c r="C25" t="s">
        <v>10</v>
      </c>
      <c r="D25" t="s">
        <v>10</v>
      </c>
      <c r="E25" s="23" t="s">
        <v>10</v>
      </c>
      <c r="F25">
        <v>974.77080000000001</v>
      </c>
      <c r="G25">
        <v>229.50899999999999</v>
      </c>
      <c r="H25">
        <v>45342.684999999998</v>
      </c>
      <c r="I25">
        <v>3692.6419999999998</v>
      </c>
      <c r="J25" s="23">
        <v>44847</v>
      </c>
      <c r="K25" t="s">
        <v>201</v>
      </c>
      <c r="L25" t="s">
        <v>10</v>
      </c>
      <c r="M25" t="s">
        <v>10</v>
      </c>
      <c r="N25">
        <v>0</v>
      </c>
      <c r="O25" t="str">
        <f>IF(F25&gt;'std curve (2)'!P51, "high", "low")</f>
        <v>high</v>
      </c>
      <c r="P25">
        <f>((F25+86.464)/5.3768)*'dilution factor'!$L$6</f>
        <v>223.82287208965269</v>
      </c>
      <c r="Q25">
        <f>((H25-544.28)/4.6973)*'dilution factor'!L$7</f>
        <v>11448.347749107177</v>
      </c>
    </row>
    <row r="26" spans="1:17" x14ac:dyDescent="0.35">
      <c r="A26" s="22" t="s">
        <v>198</v>
      </c>
      <c r="B26" t="s">
        <v>10</v>
      </c>
      <c r="C26" t="s">
        <v>10</v>
      </c>
      <c r="D26" t="s">
        <v>10</v>
      </c>
      <c r="E26" t="s">
        <v>10</v>
      </c>
      <c r="F26">
        <v>3.6301999999999999</v>
      </c>
      <c r="G26">
        <v>0.81299999999999994</v>
      </c>
      <c r="H26">
        <v>2118.9328</v>
      </c>
      <c r="I26">
        <v>254.28</v>
      </c>
      <c r="J26" s="23">
        <v>44847</v>
      </c>
      <c r="K26" t="s">
        <v>202</v>
      </c>
      <c r="L26" t="s">
        <v>10</v>
      </c>
      <c r="M26" t="s">
        <v>10</v>
      </c>
      <c r="N26">
        <v>0</v>
      </c>
      <c r="O26" t="str">
        <f>IF(F26&gt;'std curve (2)'!P52, "high", "low")</f>
        <v>high</v>
      </c>
      <c r="P26">
        <f>((F26+86.464)/5.3768)*'dilution factor'!$L$6</f>
        <v>19.001584383229414</v>
      </c>
      <c r="Q26">
        <f>((H26-544.28)/4.6973)*'dilution factor'!L$7</f>
        <v>402.40657761153136</v>
      </c>
    </row>
    <row r="27" spans="1:17" x14ac:dyDescent="0.35">
      <c r="A27" s="27" t="s">
        <v>203</v>
      </c>
      <c r="B27" s="27" t="s">
        <v>204</v>
      </c>
      <c r="C27" s="27" t="s">
        <v>205</v>
      </c>
      <c r="D27" s="27">
        <v>1</v>
      </c>
      <c r="E27" s="28">
        <v>44453</v>
      </c>
      <c r="F27">
        <v>161.16829999999999</v>
      </c>
      <c r="G27" s="29">
        <v>3.5579999999999998</v>
      </c>
      <c r="H27" s="29">
        <v>7478.1336000000001</v>
      </c>
      <c r="I27" s="29">
        <v>772.37199999999996</v>
      </c>
      <c r="J27" s="23">
        <v>44847</v>
      </c>
      <c r="K27" t="s">
        <v>219</v>
      </c>
      <c r="L27" t="s">
        <v>10</v>
      </c>
      <c r="M27" t="s">
        <v>10</v>
      </c>
      <c r="N27">
        <v>0</v>
      </c>
      <c r="O27" t="str">
        <f>IF(F27&gt;'std curve (2)'!P53, "high", "low")</f>
        <v>high</v>
      </c>
      <c r="P27">
        <f>((F27+86.464)/5.3768)*'dilution factor'!$L$6</f>
        <v>52.227624469313007</v>
      </c>
      <c r="Q27">
        <f>((H27-544.28)/4.6973)*'dilution factor'!L$7</f>
        <v>1771.9641414509892</v>
      </c>
    </row>
    <row r="28" spans="1:17" x14ac:dyDescent="0.35">
      <c r="A28" s="27" t="s">
        <v>206</v>
      </c>
      <c r="B28" s="27" t="s">
        <v>207</v>
      </c>
      <c r="C28" s="27" t="s">
        <v>10</v>
      </c>
      <c r="D28" s="27">
        <v>6</v>
      </c>
      <c r="E28" s="28">
        <v>44453</v>
      </c>
      <c r="F28">
        <v>3.9498000000000002</v>
      </c>
      <c r="G28" s="29">
        <v>0.85199999999999998</v>
      </c>
      <c r="H28" s="29">
        <v>3536.3503000000001</v>
      </c>
      <c r="I28" s="29">
        <v>397.60300000000001</v>
      </c>
      <c r="J28" s="23">
        <v>44847</v>
      </c>
      <c r="K28" t="s">
        <v>220</v>
      </c>
      <c r="L28" t="s">
        <v>10</v>
      </c>
      <c r="M28" t="s">
        <v>10</v>
      </c>
      <c r="N28">
        <v>0</v>
      </c>
      <c r="O28" t="str">
        <f>IF(F28&gt;'std curve (2)'!P54, "high", "low")</f>
        <v>high</v>
      </c>
      <c r="P28">
        <f>((F28+86.464)/5.3768)*'dilution factor'!$L$6</f>
        <v>19.068990568853792</v>
      </c>
      <c r="Q28">
        <f>((H28-544.28)/4.6973)*'dilution factor'!L$7</f>
        <v>764.63126944308488</v>
      </c>
    </row>
    <row r="29" spans="1:17" x14ac:dyDescent="0.35">
      <c r="A29" s="27" t="s">
        <v>208</v>
      </c>
      <c r="B29" s="27" t="s">
        <v>207</v>
      </c>
      <c r="C29" s="27" t="s">
        <v>10</v>
      </c>
      <c r="D29" s="27">
        <v>5</v>
      </c>
      <c r="E29" s="28">
        <v>44453</v>
      </c>
      <c r="F29">
        <v>3.9769000000000001</v>
      </c>
      <c r="G29" s="29">
        <v>0.878</v>
      </c>
      <c r="H29" s="29">
        <v>3241.1244000000002</v>
      </c>
      <c r="I29" s="29">
        <v>368.47399999999999</v>
      </c>
      <c r="J29" s="23">
        <v>44847</v>
      </c>
      <c r="K29" t="s">
        <v>221</v>
      </c>
      <c r="L29" t="s">
        <v>10</v>
      </c>
      <c r="M29" t="s">
        <v>10</v>
      </c>
      <c r="N29">
        <v>0</v>
      </c>
      <c r="O29" t="str">
        <f>IF(F29&gt;'std curve (2)'!P55, "high", "low")</f>
        <v>high</v>
      </c>
      <c r="P29">
        <f>((F29+86.464)/5.3768)*'dilution factor'!$L$6</f>
        <v>19.074706174706172</v>
      </c>
      <c r="Q29">
        <f>((H29-544.28)/4.6973)*'dilution factor'!L$7</f>
        <v>689.185530521283</v>
      </c>
    </row>
    <row r="30" spans="1:17" x14ac:dyDescent="0.35">
      <c r="A30" s="27" t="s">
        <v>209</v>
      </c>
      <c r="B30" s="27" t="s">
        <v>207</v>
      </c>
      <c r="C30" s="27" t="s">
        <v>10</v>
      </c>
      <c r="D30" s="27">
        <v>4</v>
      </c>
      <c r="E30" s="28">
        <v>44453</v>
      </c>
      <c r="F30">
        <v>4.0186000000000002</v>
      </c>
      <c r="G30" s="29">
        <v>0.88600000000000001</v>
      </c>
      <c r="H30" s="29">
        <v>4014.9933999999998</v>
      </c>
      <c r="I30" s="29">
        <v>444.76600000000002</v>
      </c>
      <c r="J30" s="23">
        <v>44847</v>
      </c>
      <c r="K30" t="s">
        <v>222</v>
      </c>
      <c r="L30" t="s">
        <v>10</v>
      </c>
      <c r="M30" t="s">
        <v>10</v>
      </c>
      <c r="N30">
        <v>0</v>
      </c>
      <c r="O30" t="str">
        <f>IF(F30&gt;'std curve (2)'!P56, "high", "low")</f>
        <v>high</v>
      </c>
      <c r="P30">
        <f>((F30+86.464)/5.3768)*'dilution factor'!$L$6</f>
        <v>19.08350103684803</v>
      </c>
      <c r="Q30">
        <f>((H30-544.28)/4.6973)*'dilution factor'!L$7</f>
        <v>886.94974610560598</v>
      </c>
    </row>
    <row r="31" spans="1:17" x14ac:dyDescent="0.35">
      <c r="A31" s="27" t="s">
        <v>210</v>
      </c>
      <c r="B31" s="27" t="s">
        <v>204</v>
      </c>
      <c r="C31" s="27" t="s">
        <v>154</v>
      </c>
      <c r="D31" s="27">
        <v>1</v>
      </c>
      <c r="E31" s="28">
        <v>44453</v>
      </c>
      <c r="F31" s="33">
        <v>1977.6608000000001</v>
      </c>
      <c r="G31" s="29">
        <v>437.54599999999999</v>
      </c>
      <c r="H31" s="29">
        <v>41107.949399999998</v>
      </c>
      <c r="I31" s="29">
        <v>3379.91</v>
      </c>
      <c r="J31" s="23">
        <v>44847</v>
      </c>
      <c r="K31" t="s">
        <v>223</v>
      </c>
      <c r="L31" t="s">
        <v>224</v>
      </c>
      <c r="M31" t="s">
        <v>10</v>
      </c>
      <c r="N31">
        <v>0</v>
      </c>
      <c r="O31" t="str">
        <f>IF(F31&gt;'std curve (2)'!P57, "high", "low")</f>
        <v>high</v>
      </c>
      <c r="P31">
        <f>((F31+86.464)/5.3768)*'dilution factor'!$L$6</f>
        <v>435.34036114107823</v>
      </c>
      <c r="Q31">
        <f>((H31-544.28)/4.6973)*'dilution factor'!L$7</f>
        <v>10366.15016251176</v>
      </c>
    </row>
    <row r="32" spans="1:17" x14ac:dyDescent="0.35">
      <c r="A32" s="27" t="s">
        <v>211</v>
      </c>
      <c r="B32" s="27" t="s">
        <v>204</v>
      </c>
      <c r="C32" s="27" t="s">
        <v>181</v>
      </c>
      <c r="D32" s="27">
        <v>1</v>
      </c>
      <c r="E32" s="28">
        <v>44453</v>
      </c>
      <c r="F32">
        <v>3596.8642</v>
      </c>
      <c r="G32" s="29">
        <v>770.11500000000001</v>
      </c>
      <c r="H32" s="29">
        <v>18216.351200000001</v>
      </c>
      <c r="I32" s="29">
        <v>1688.883</v>
      </c>
      <c r="J32" s="23">
        <v>44847</v>
      </c>
      <c r="K32" t="s">
        <v>225</v>
      </c>
      <c r="L32" t="s">
        <v>224</v>
      </c>
      <c r="M32" t="s">
        <v>10</v>
      </c>
      <c r="N32">
        <v>0</v>
      </c>
      <c r="O32" t="str">
        <f>IF(F32&gt;'std curve (2)'!P58, "high", "low")</f>
        <v>high</v>
      </c>
      <c r="P32">
        <f>((F32+86.464)/5.3768)*'dilution factor'!$L$6</f>
        <v>776.8432552087537</v>
      </c>
      <c r="Q32">
        <f>((H32-544.28)/4.6973)*'dilution factor'!L$7</f>
        <v>4516.143298954099</v>
      </c>
    </row>
    <row r="33" spans="1:17" x14ac:dyDescent="0.35">
      <c r="A33" s="27" t="s">
        <v>212</v>
      </c>
      <c r="B33" s="27" t="s">
        <v>204</v>
      </c>
      <c r="C33" s="27" t="s">
        <v>213</v>
      </c>
      <c r="D33" s="27">
        <v>1</v>
      </c>
      <c r="E33" s="28">
        <v>44453</v>
      </c>
      <c r="F33">
        <v>25.8078</v>
      </c>
      <c r="G33" s="29">
        <v>5.67</v>
      </c>
      <c r="H33" s="31">
        <v>6436.3503000000001</v>
      </c>
      <c r="I33" s="29">
        <v>673.88800000000003</v>
      </c>
      <c r="J33" s="23">
        <v>44847</v>
      </c>
      <c r="K33" t="s">
        <v>226</v>
      </c>
      <c r="L33" t="s">
        <v>10</v>
      </c>
      <c r="M33" t="s">
        <v>10</v>
      </c>
      <c r="N33">
        <v>0</v>
      </c>
      <c r="O33" t="str">
        <f>IF(F33&gt;'std curve (2)'!P59, "high", "low")</f>
        <v>high</v>
      </c>
      <c r="P33">
        <f>((F33+86.464)/5.3768)*'dilution factor'!$L$6</f>
        <v>23.679016868533775</v>
      </c>
      <c r="Q33">
        <f>((H33-544.28)/4.6973)*'dilution factor'!L$7</f>
        <v>1505.7337366494689</v>
      </c>
    </row>
    <row r="34" spans="1:17" x14ac:dyDescent="0.35">
      <c r="A34" s="27" t="s">
        <v>214</v>
      </c>
      <c r="B34" s="27" t="s">
        <v>204</v>
      </c>
      <c r="C34" s="27" t="s">
        <v>215</v>
      </c>
      <c r="D34" s="27">
        <v>1</v>
      </c>
      <c r="E34" s="28">
        <v>44453</v>
      </c>
      <c r="F34">
        <v>25.974</v>
      </c>
      <c r="G34" s="29">
        <v>5.7190000000000003</v>
      </c>
      <c r="H34" s="29">
        <v>6299.0428000000002</v>
      </c>
      <c r="I34" s="29">
        <v>660.86500000000001</v>
      </c>
      <c r="J34" s="23">
        <v>44847</v>
      </c>
      <c r="K34" t="s">
        <v>227</v>
      </c>
      <c r="L34" t="s">
        <v>10</v>
      </c>
      <c r="M34" t="s">
        <v>10</v>
      </c>
      <c r="N34">
        <v>0</v>
      </c>
      <c r="O34" t="str">
        <f>IF(F34&gt;'std curve (2)'!P60, "high", "low")</f>
        <v>high</v>
      </c>
      <c r="P34">
        <f>((F34+86.464)/5.3768)*'dilution factor'!$L$6</f>
        <v>23.714069772322173</v>
      </c>
      <c r="Q34">
        <f>((H34-544.28)/4.6973)*'dilution factor'!L$7</f>
        <v>1470.6444514715583</v>
      </c>
    </row>
    <row r="35" spans="1:17" x14ac:dyDescent="0.35">
      <c r="A35" s="27" t="s">
        <v>216</v>
      </c>
      <c r="B35" s="27" t="s">
        <v>204</v>
      </c>
      <c r="C35" s="27" t="s">
        <v>217</v>
      </c>
      <c r="D35" s="27">
        <v>3</v>
      </c>
      <c r="E35" s="28">
        <v>44453</v>
      </c>
      <c r="F35">
        <v>13.1898</v>
      </c>
      <c r="G35" s="29">
        <v>2.9039999999999999</v>
      </c>
      <c r="H35" s="29">
        <v>6899.6652000000004</v>
      </c>
      <c r="I35" s="29">
        <v>716.87099999999998</v>
      </c>
      <c r="J35" s="23">
        <v>44847</v>
      </c>
      <c r="K35" t="s">
        <v>228</v>
      </c>
      <c r="L35" t="s">
        <v>10</v>
      </c>
      <c r="M35" t="s">
        <v>10</v>
      </c>
      <c r="N35">
        <v>0</v>
      </c>
      <c r="O35" t="str">
        <f>IF(F35&gt;'std curve (2)'!P61, "high", "low")</f>
        <v>high</v>
      </c>
      <c r="P35">
        <f>((F35+86.464)/5.3768)*'dilution factor'!$L$6</f>
        <v>21.017780165753923</v>
      </c>
      <c r="Q35">
        <f>((H35-544.28)/4.6973)*'dilution factor'!L$7</f>
        <v>1624.1350523334274</v>
      </c>
    </row>
    <row r="36" spans="1:17" x14ac:dyDescent="0.35">
      <c r="A36" s="25" t="s">
        <v>152</v>
      </c>
      <c r="B36" t="s">
        <v>10</v>
      </c>
      <c r="C36" t="s">
        <v>10</v>
      </c>
      <c r="D36" t="s">
        <v>10</v>
      </c>
      <c r="E36" s="23" t="s">
        <v>10</v>
      </c>
      <c r="F36">
        <v>984.22900000000004</v>
      </c>
      <c r="G36" s="29">
        <v>231.75399999999999</v>
      </c>
      <c r="H36" s="29">
        <v>45441.207399999999</v>
      </c>
      <c r="I36" s="29">
        <v>3666.864</v>
      </c>
      <c r="J36" s="23">
        <v>44847</v>
      </c>
      <c r="K36" t="s">
        <v>229</v>
      </c>
      <c r="L36" t="s">
        <v>10</v>
      </c>
      <c r="M36" t="s">
        <v>10</v>
      </c>
      <c r="N36">
        <v>0</v>
      </c>
      <c r="O36" t="str">
        <f>IF(F36&gt;'std curve (2)'!P62, "high", "low")</f>
        <v>high</v>
      </c>
      <c r="P36">
        <f>((F36+86.464)/5.3768)*'dilution factor'!$L$6</f>
        <v>225.81768180452289</v>
      </c>
      <c r="Q36">
        <f>((H36-544.28)/4.6973)*'dilution factor'!L$7</f>
        <v>11473.52540211238</v>
      </c>
    </row>
    <row r="37" spans="1:17" x14ac:dyDescent="0.35">
      <c r="A37" s="25" t="s">
        <v>152</v>
      </c>
      <c r="B37" t="s">
        <v>10</v>
      </c>
      <c r="C37" t="s">
        <v>10</v>
      </c>
      <c r="D37" t="s">
        <v>10</v>
      </c>
      <c r="E37" s="23" t="s">
        <v>10</v>
      </c>
      <c r="F37">
        <v>980.19259999999997</v>
      </c>
      <c r="G37" s="29">
        <v>231.08099999999999</v>
      </c>
      <c r="H37" s="29">
        <v>45376.689700000003</v>
      </c>
      <c r="I37" s="29">
        <v>3666.5390000000002</v>
      </c>
      <c r="J37" s="23">
        <v>44847</v>
      </c>
      <c r="K37" t="s">
        <v>230</v>
      </c>
      <c r="L37" t="s">
        <v>10</v>
      </c>
      <c r="M37" t="s">
        <v>10</v>
      </c>
      <c r="N37">
        <v>0</v>
      </c>
      <c r="O37" t="str">
        <f>IF(F37&gt;'std curve (2)'!P63, "high", "low")</f>
        <v>high</v>
      </c>
      <c r="P37">
        <f>((F37+86.464)/5.3768)*'dilution factor'!$L$6</f>
        <v>224.96637289446579</v>
      </c>
      <c r="Q37">
        <f>((H37-544.28)/4.6973)*'dilution factor'!L$7</f>
        <v>11457.037737750838</v>
      </c>
    </row>
    <row r="38" spans="1:17" x14ac:dyDescent="0.35">
      <c r="A38" s="27" t="s">
        <v>218</v>
      </c>
      <c r="B38" s="27" t="s">
        <v>207</v>
      </c>
      <c r="C38" s="27" t="s">
        <v>10</v>
      </c>
      <c r="D38" s="27">
        <v>1</v>
      </c>
      <c r="E38" s="28" t="s">
        <v>10</v>
      </c>
      <c r="F38">
        <v>4.1077000000000004</v>
      </c>
      <c r="G38" s="29">
        <v>0.9</v>
      </c>
      <c r="H38" s="29">
        <v>3298.2080999999998</v>
      </c>
      <c r="I38" s="29">
        <v>373.19799999999998</v>
      </c>
      <c r="J38" s="23">
        <v>44847</v>
      </c>
      <c r="K38" t="s">
        <v>231</v>
      </c>
      <c r="L38" t="s">
        <v>10</v>
      </c>
      <c r="M38" t="s">
        <v>10</v>
      </c>
      <c r="N38">
        <v>0</v>
      </c>
      <c r="O38" t="str">
        <f>IF(F38&gt;'std curve (2)'!P64, "high", "low")</f>
        <v>high</v>
      </c>
      <c r="P38">
        <f>((F38+86.464)/5.3768)*'dilution factor'!$L$6</f>
        <v>19.102292936532418</v>
      </c>
      <c r="Q38">
        <f>((H38-544.28)/4.6973)*'dilution factor'!L$7</f>
        <v>703.77341704103094</v>
      </c>
    </row>
    <row r="39" spans="1:17" x14ac:dyDescent="0.35">
      <c r="A39" s="22" t="s">
        <v>232</v>
      </c>
      <c r="B39" t="s">
        <v>233</v>
      </c>
      <c r="C39" t="s">
        <v>181</v>
      </c>
      <c r="D39">
        <v>1</v>
      </c>
      <c r="E39" s="23">
        <v>44755</v>
      </c>
      <c r="F39">
        <v>36.964199999999998</v>
      </c>
      <c r="G39" s="29">
        <v>8.2029999999999994</v>
      </c>
      <c r="H39" s="29">
        <v>26102.7448</v>
      </c>
      <c r="I39" s="29">
        <v>2295.7260000000001</v>
      </c>
      <c r="J39" s="23">
        <v>44847</v>
      </c>
      <c r="K39" t="s">
        <v>234</v>
      </c>
      <c r="L39" t="s">
        <v>10</v>
      </c>
      <c r="M39" t="s">
        <v>10</v>
      </c>
      <c r="N39">
        <v>0</v>
      </c>
      <c r="O39" t="str">
        <f>IF(F39&gt;'std curve (2)'!P65, "high", "low")</f>
        <v>high</v>
      </c>
      <c r="P39">
        <f>((F39+86.464)/5.3768)*'dilution factor'!$L$6</f>
        <v>26.031990489622157</v>
      </c>
      <c r="Q39">
        <f>((H39-544.28)/4.6973)*'dilution factor'!L$7</f>
        <v>6531.5314900991461</v>
      </c>
    </row>
    <row r="40" spans="1:17" x14ac:dyDescent="0.35">
      <c r="A40" s="22" t="s">
        <v>236</v>
      </c>
      <c r="B40" t="s">
        <v>233</v>
      </c>
      <c r="C40" t="s">
        <v>181</v>
      </c>
      <c r="D40">
        <v>2</v>
      </c>
      <c r="E40" s="23">
        <v>44755</v>
      </c>
      <c r="F40">
        <v>33.768999999999998</v>
      </c>
      <c r="G40" s="29">
        <v>7.5110000000000001</v>
      </c>
      <c r="H40" s="29">
        <v>32663.3701</v>
      </c>
      <c r="I40" s="29">
        <v>2271.009</v>
      </c>
      <c r="J40" s="23">
        <v>44847</v>
      </c>
      <c r="K40" t="s">
        <v>235</v>
      </c>
      <c r="L40" t="s">
        <v>10</v>
      </c>
      <c r="M40" t="s">
        <v>10</v>
      </c>
      <c r="N40">
        <v>0</v>
      </c>
      <c r="O40" t="str">
        <f>IF(F40&gt;'std curve (2)'!P66, "high", "low")</f>
        <v>high</v>
      </c>
      <c r="P40">
        <f>((F40+86.464)/5.3768)*'dilution factor'!$L$6</f>
        <v>25.358097359750371</v>
      </c>
      <c r="Q40">
        <f>((H40-544.28)/4.6973)*'dilution factor'!L$7</f>
        <v>8208.1161784600517</v>
      </c>
    </row>
    <row r="41" spans="1:17" x14ac:dyDescent="0.35">
      <c r="A41" s="22" t="s">
        <v>237</v>
      </c>
      <c r="B41" t="s">
        <v>233</v>
      </c>
      <c r="C41" t="s">
        <v>181</v>
      </c>
      <c r="D41">
        <v>3</v>
      </c>
      <c r="E41" s="23">
        <v>44755</v>
      </c>
      <c r="F41">
        <v>32.555999999999997</v>
      </c>
      <c r="G41" s="29">
        <v>7.2130000000000001</v>
      </c>
      <c r="H41" s="29">
        <v>31025.144100000001</v>
      </c>
      <c r="I41" s="29">
        <v>2651.134</v>
      </c>
      <c r="J41" s="23">
        <v>44847</v>
      </c>
      <c r="K41" t="s">
        <v>239</v>
      </c>
      <c r="L41" t="s">
        <v>10</v>
      </c>
      <c r="M41" t="s">
        <v>10</v>
      </c>
      <c r="N41">
        <v>0</v>
      </c>
      <c r="O41" t="str">
        <f>IF(F41&gt;'std curve (2)'!P67, "high", "low")</f>
        <v>high</v>
      </c>
      <c r="P41">
        <f>((F41+86.464)/5.3768)*'dilution factor'!$L$6</f>
        <v>25.102265998165969</v>
      </c>
      <c r="Q41">
        <f>((H41-544.28)/4.6973)*'dilution factor'!L$7</f>
        <v>7789.4633058939662</v>
      </c>
    </row>
    <row r="42" spans="1:17" x14ac:dyDescent="0.35">
      <c r="A42" s="22" t="s">
        <v>238</v>
      </c>
      <c r="B42" t="s">
        <v>233</v>
      </c>
      <c r="C42" t="s">
        <v>154</v>
      </c>
      <c r="D42">
        <v>1</v>
      </c>
      <c r="E42" s="23">
        <v>44755</v>
      </c>
      <c r="F42">
        <v>174.94579999999999</v>
      </c>
      <c r="G42" s="29">
        <v>41.975999999999999</v>
      </c>
      <c r="H42" s="29">
        <v>8466.2870000000003</v>
      </c>
      <c r="I42" s="29">
        <v>856.46900000000005</v>
      </c>
      <c r="J42" s="23">
        <v>44847</v>
      </c>
      <c r="K42" t="s">
        <v>240</v>
      </c>
      <c r="L42" t="s">
        <v>10</v>
      </c>
      <c r="M42" t="s">
        <v>10</v>
      </c>
      <c r="N42">
        <v>0</v>
      </c>
      <c r="O42" t="str">
        <f>IF(F42&gt;'std curve (2)'!P68, "high", "low")</f>
        <v>high</v>
      </c>
      <c r="P42">
        <f>((F42+86.464)/5.3768)*'dilution factor'!$L$6</f>
        <v>55.133408957548035</v>
      </c>
      <c r="Q42">
        <f>((H42-544.28)/4.6973)*'dilution factor'!L$7</f>
        <v>2024.4892872159469</v>
      </c>
    </row>
    <row r="43" spans="1:17" x14ac:dyDescent="0.35">
      <c r="A43" s="22" t="s">
        <v>241</v>
      </c>
      <c r="B43" t="s">
        <v>233</v>
      </c>
      <c r="C43" t="s">
        <v>154</v>
      </c>
      <c r="D43">
        <v>2</v>
      </c>
      <c r="E43" s="23">
        <v>44755</v>
      </c>
      <c r="F43">
        <v>250.29320000000001</v>
      </c>
      <c r="G43" s="29">
        <v>61.103999999999999</v>
      </c>
      <c r="H43" s="29">
        <v>8487.2425999999996</v>
      </c>
      <c r="I43" s="29">
        <v>857.84</v>
      </c>
      <c r="J43" s="23">
        <v>44847</v>
      </c>
      <c r="K43" t="s">
        <v>242</v>
      </c>
      <c r="L43" t="s">
        <v>10</v>
      </c>
      <c r="M43" t="s">
        <v>10</v>
      </c>
      <c r="N43">
        <v>0</v>
      </c>
      <c r="O43" t="str">
        <f>IF(F43&gt;'std curve (2)'!P69, "high", "low")</f>
        <v>high</v>
      </c>
      <c r="P43">
        <f>((F43+86.464)/5.3768)*'dilution factor'!$L$6</f>
        <v>71.024775762036441</v>
      </c>
      <c r="Q43">
        <f>((H43-544.28)/4.6973)*'dilution factor'!L$7</f>
        <v>2029.8445447544948</v>
      </c>
    </row>
    <row r="44" spans="1:17" x14ac:dyDescent="0.35">
      <c r="A44" s="22" t="s">
        <v>243</v>
      </c>
      <c r="B44" t="s">
        <v>233</v>
      </c>
      <c r="C44" t="s">
        <v>154</v>
      </c>
      <c r="D44">
        <v>3</v>
      </c>
      <c r="E44" s="23">
        <v>44755</v>
      </c>
      <c r="F44">
        <v>235.7448</v>
      </c>
      <c r="G44" s="29">
        <v>57.31</v>
      </c>
      <c r="H44" s="29">
        <v>9340.8673999999992</v>
      </c>
      <c r="I44" s="29">
        <v>934.10599999999999</v>
      </c>
      <c r="J44" s="23">
        <v>44847</v>
      </c>
      <c r="K44" t="s">
        <v>244</v>
      </c>
      <c r="L44" t="s">
        <v>10</v>
      </c>
      <c r="M44" t="s">
        <v>10</v>
      </c>
      <c r="N44">
        <v>0</v>
      </c>
      <c r="O44" t="str">
        <f>IF(F44&gt;'std curve (2)'!P70, "high", "low")</f>
        <v>high</v>
      </c>
      <c r="P44">
        <f>((F44+86.464)/5.3768)*'dilution factor'!$L$6</f>
        <v>67.956402323557882</v>
      </c>
      <c r="Q44">
        <f>((H44-544.28)/4.6973)*'dilution factor'!L$7</f>
        <v>2247.9905603919278</v>
      </c>
    </row>
    <row r="45" spans="1:17" x14ac:dyDescent="0.35">
      <c r="A45" s="22" t="s">
        <v>246</v>
      </c>
      <c r="B45" t="s">
        <v>233</v>
      </c>
      <c r="C45" t="s">
        <v>162</v>
      </c>
      <c r="D45">
        <v>1</v>
      </c>
      <c r="E45" s="23">
        <v>44755</v>
      </c>
      <c r="F45">
        <v>77.259</v>
      </c>
      <c r="G45" s="29">
        <v>17.666</v>
      </c>
      <c r="H45" s="29">
        <v>21482.941599999998</v>
      </c>
      <c r="I45" s="29">
        <v>1934.441</v>
      </c>
      <c r="J45" s="23">
        <v>44847</v>
      </c>
      <c r="K45" t="s">
        <v>245</v>
      </c>
      <c r="L45" t="s">
        <v>10</v>
      </c>
      <c r="M45" t="s">
        <v>10</v>
      </c>
      <c r="N45">
        <v>0</v>
      </c>
      <c r="O45" t="str">
        <f>IF(F45&gt;'std curve (2)'!P71, "high", "low")</f>
        <v>high</v>
      </c>
      <c r="P45">
        <f>((F45+86.464)/5.3768)*'dilution factor'!$L$6</f>
        <v>34.530484759013</v>
      </c>
      <c r="Q45">
        <f>((H45-544.28)/4.6973)*'dilution factor'!L$7</f>
        <v>5350.9288868136464</v>
      </c>
    </row>
    <row r="46" spans="1:17" x14ac:dyDescent="0.35">
      <c r="A46" s="22" t="s">
        <v>248</v>
      </c>
      <c r="B46" t="s">
        <v>233</v>
      </c>
      <c r="C46" t="s">
        <v>162</v>
      </c>
      <c r="D46">
        <v>2</v>
      </c>
      <c r="E46" s="23">
        <v>44755</v>
      </c>
      <c r="F46">
        <v>81.465999999999994</v>
      </c>
      <c r="G46" s="29">
        <v>18.664000000000001</v>
      </c>
      <c r="H46" s="29">
        <v>22640.447700000001</v>
      </c>
      <c r="I46" s="29">
        <v>2020.729</v>
      </c>
      <c r="J46" s="23">
        <v>44847</v>
      </c>
      <c r="K46" t="s">
        <v>247</v>
      </c>
      <c r="L46" t="s">
        <v>10</v>
      </c>
      <c r="M46" t="s">
        <v>10</v>
      </c>
      <c r="N46">
        <v>0</v>
      </c>
      <c r="O46" t="str">
        <f>IF(F46&gt;'std curve (2)'!P72, "high", "low")</f>
        <v>high</v>
      </c>
      <c r="P46">
        <f>((F46+86.464)/5.3768)*'dilution factor'!$L$6</f>
        <v>35.417774567904651</v>
      </c>
      <c r="Q46">
        <f>((H46-544.28)/4.6973)*'dilution factor'!L$7</f>
        <v>5646.7325511296594</v>
      </c>
    </row>
    <row r="47" spans="1:17" x14ac:dyDescent="0.35">
      <c r="A47" s="22" t="s">
        <v>250</v>
      </c>
      <c r="B47" t="s">
        <v>233</v>
      </c>
      <c r="C47" t="s">
        <v>162</v>
      </c>
      <c r="D47">
        <v>3</v>
      </c>
      <c r="E47" s="23">
        <v>44755</v>
      </c>
      <c r="F47">
        <v>103.17359999999999</v>
      </c>
      <c r="G47" s="29">
        <v>24.068999999999999</v>
      </c>
      <c r="H47" s="29">
        <v>23540.982400000001</v>
      </c>
      <c r="I47" s="29">
        <v>2088.8249999999998</v>
      </c>
      <c r="J47" s="23">
        <v>44847</v>
      </c>
      <c r="K47" t="s">
        <v>249</v>
      </c>
      <c r="L47" t="s">
        <v>10</v>
      </c>
      <c r="M47" t="s">
        <v>10</v>
      </c>
      <c r="N47">
        <v>0</v>
      </c>
      <c r="O47" t="str">
        <f>IF(F47&gt;'std curve (2)'!P73, "high", "low")</f>
        <v>high</v>
      </c>
      <c r="P47">
        <f>((F47+86.464)/5.3768)*'dilution factor'!$L$6</f>
        <v>39.996080309643744</v>
      </c>
      <c r="Q47">
        <f>((H47-544.28)/4.6973)*'dilution factor'!L$7</f>
        <v>5876.8665125003363</v>
      </c>
    </row>
    <row r="48" spans="1:17" x14ac:dyDescent="0.35">
      <c r="A48" s="25" t="s">
        <v>152</v>
      </c>
      <c r="B48" t="s">
        <v>10</v>
      </c>
      <c r="C48" t="s">
        <v>10</v>
      </c>
      <c r="D48" t="s">
        <v>10</v>
      </c>
      <c r="E48" s="23" t="s">
        <v>10</v>
      </c>
      <c r="F48">
        <v>985.9452</v>
      </c>
      <c r="G48" s="29">
        <v>231.96700000000001</v>
      </c>
      <c r="H48" s="29">
        <v>45265.623599999999</v>
      </c>
      <c r="I48" s="26">
        <v>3623.3939999999998</v>
      </c>
      <c r="J48" s="23">
        <v>44847</v>
      </c>
      <c r="K48" t="s">
        <v>251</v>
      </c>
      <c r="L48" t="s">
        <v>10</v>
      </c>
      <c r="M48" t="s">
        <v>10</v>
      </c>
      <c r="N48">
        <v>0</v>
      </c>
      <c r="O48" t="str">
        <f>IF(F48&gt;'std curve (2)'!P74, "high", "low")</f>
        <v>high</v>
      </c>
      <c r="P48">
        <f>((F48+86.464)/5.3768)*'dilution factor'!$L$6</f>
        <v>226.17964205411164</v>
      </c>
      <c r="Q48">
        <f>((H48-544.28)/4.6973)*'dilution factor'!L$7</f>
        <v>11428.654509911874</v>
      </c>
    </row>
    <row r="49" spans="1:17" x14ac:dyDescent="0.35">
      <c r="A49" s="22" t="s">
        <v>252</v>
      </c>
      <c r="B49" t="s">
        <v>233</v>
      </c>
      <c r="C49" t="s">
        <v>137</v>
      </c>
      <c r="D49">
        <v>1</v>
      </c>
      <c r="E49" s="23">
        <v>44755</v>
      </c>
      <c r="F49" t="s">
        <v>10</v>
      </c>
      <c r="G49" t="s">
        <v>10</v>
      </c>
      <c r="H49" t="s">
        <v>10</v>
      </c>
      <c r="I49" t="s">
        <v>10</v>
      </c>
      <c r="J49" s="23">
        <v>44847</v>
      </c>
      <c r="K49" t="s">
        <v>253</v>
      </c>
      <c r="L49" t="s">
        <v>254</v>
      </c>
      <c r="M49" t="s">
        <v>10</v>
      </c>
      <c r="N49">
        <v>0</v>
      </c>
      <c r="O49" t="str">
        <f>IF(F49&gt;'std curve (2)'!P75, "high", "low")</f>
        <v>high</v>
      </c>
      <c r="P49" t="e">
        <f>((F49+86.464)/5.3768)*'dilution factor'!$L$6</f>
        <v>#VALUE!</v>
      </c>
      <c r="Q49" t="e">
        <f>((H49-544.28)/4.6973)*'dilution factor'!L$7</f>
        <v>#VALUE!</v>
      </c>
    </row>
    <row r="50" spans="1:17" x14ac:dyDescent="0.35">
      <c r="A50" s="22" t="s">
        <v>255</v>
      </c>
      <c r="B50" t="s">
        <v>87</v>
      </c>
      <c r="C50" t="s">
        <v>181</v>
      </c>
      <c r="D50">
        <v>1</v>
      </c>
      <c r="E50" s="23">
        <v>44770</v>
      </c>
      <c r="F50">
        <v>166.07400000000001</v>
      </c>
      <c r="G50" s="29">
        <v>39.700000000000003</v>
      </c>
      <c r="H50" s="29">
        <v>10154.948200000001</v>
      </c>
      <c r="I50" s="29">
        <v>1002.929</v>
      </c>
      <c r="J50" s="23">
        <v>44847</v>
      </c>
      <c r="K50" t="s">
        <v>256</v>
      </c>
      <c r="L50" t="s">
        <v>10</v>
      </c>
      <c r="M50" t="s">
        <v>10</v>
      </c>
      <c r="N50">
        <v>0</v>
      </c>
      <c r="O50" t="str">
        <f>IF(F50&gt;'std curve (2)'!P76, "high", "low")</f>
        <v>high</v>
      </c>
      <c r="P50">
        <f>((F50+86.464)/5.3768)*'dilution factor'!$L$6</f>
        <v>53.262275673372862</v>
      </c>
      <c r="Q50">
        <f>((H50-544.28)/4.6973)*'dilution factor'!L$7</f>
        <v>2456.031005007565</v>
      </c>
    </row>
    <row r="51" spans="1:17" x14ac:dyDescent="0.35">
      <c r="A51" s="22" t="s">
        <v>257</v>
      </c>
      <c r="B51" t="s">
        <v>87</v>
      </c>
      <c r="C51" t="s">
        <v>181</v>
      </c>
      <c r="D51">
        <v>2</v>
      </c>
      <c r="E51" s="23">
        <v>44770</v>
      </c>
      <c r="F51">
        <v>94.268699999999995</v>
      </c>
      <c r="G51" s="29">
        <v>21.792999999999999</v>
      </c>
      <c r="H51" s="29">
        <v>9783.9249999999993</v>
      </c>
      <c r="I51" s="29">
        <v>969.61900000000003</v>
      </c>
      <c r="J51" s="23">
        <v>44847</v>
      </c>
      <c r="K51" t="s">
        <v>258</v>
      </c>
      <c r="L51" t="s">
        <v>10</v>
      </c>
      <c r="M51" t="s">
        <v>10</v>
      </c>
      <c r="N51">
        <v>0</v>
      </c>
      <c r="O51" t="str">
        <f>IF(F51&gt;'std curve (2)'!P77, "high", "low")</f>
        <v>high</v>
      </c>
      <c r="P51">
        <f>((F51+86.464)/5.3768)*'dilution factor'!$L$6</f>
        <v>38.117965971825996</v>
      </c>
      <c r="Q51">
        <f>((H51-544.28)/4.6973)*'dilution factor'!L$7</f>
        <v>2361.2150709003895</v>
      </c>
    </row>
    <row r="52" spans="1:17" x14ac:dyDescent="0.35">
      <c r="A52" s="22" t="s">
        <v>259</v>
      </c>
      <c r="B52" t="s">
        <v>87</v>
      </c>
      <c r="C52" t="s">
        <v>181</v>
      </c>
      <c r="D52">
        <v>3</v>
      </c>
      <c r="E52" s="23">
        <v>44770</v>
      </c>
      <c r="F52">
        <v>99.776700000000005</v>
      </c>
      <c r="G52" s="29">
        <v>23.062999999999999</v>
      </c>
      <c r="H52" s="29">
        <v>10469.935799999999</v>
      </c>
      <c r="I52" s="29">
        <v>1029.902</v>
      </c>
      <c r="J52" s="23">
        <v>44847</v>
      </c>
      <c r="K52" t="s">
        <v>260</v>
      </c>
      <c r="L52" t="s">
        <v>10</v>
      </c>
      <c r="M52" t="s">
        <v>10</v>
      </c>
      <c r="N52">
        <v>0</v>
      </c>
      <c r="O52" t="str">
        <f>IF(F52&gt;'std curve (2)'!P78, "high", "low")</f>
        <v>high</v>
      </c>
      <c r="P52">
        <f>((F52+86.464)/5.3768)*'dilution factor'!$L$6</f>
        <v>39.279647043224912</v>
      </c>
      <c r="Q52">
        <f>((H52-544.28)/4.6973)*'dilution factor'!L$7</f>
        <v>2536.5268972487429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stability check</vt:lpstr>
      <vt:lpstr>std curve</vt:lpstr>
      <vt:lpstr>raw data</vt:lpstr>
      <vt:lpstr>medium gain calc</vt:lpstr>
      <vt:lpstr>run calibration check</vt:lpstr>
      <vt:lpstr>dilution factor</vt:lpstr>
      <vt:lpstr>std curve (2)</vt:lpstr>
      <vt:lpstr>raw data (2)</vt:lpstr>
      <vt:lpstr>high gain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Naslund</dc:creator>
  <cp:lastModifiedBy>Laura Naslund</cp:lastModifiedBy>
  <dcterms:created xsi:type="dcterms:W3CDTF">2022-03-31T20:11:31Z</dcterms:created>
  <dcterms:modified xsi:type="dcterms:W3CDTF">2022-10-28T13:26:41Z</dcterms:modified>
</cp:coreProperties>
</file>