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\OneDrive\Documents\000UGA\Research\5-N-EWN\5-Data\2-GC Data\"/>
    </mc:Choice>
  </mc:AlternateContent>
  <xr:revisionPtr revIDLastSave="0" documentId="13_ncr:1_{1EC9AB6C-91DA-4297-AD82-5C0E37B1BC13}" xr6:coauthVersionLast="47" xr6:coauthVersionMax="47" xr10:uidLastSave="{00000000-0000-0000-0000-000000000000}"/>
  <bookViews>
    <workbookView xWindow="-38510" yWindow="-3260" windowWidth="38620" windowHeight="21100" activeTab="6" xr2:uid="{8B4FC8D4-E10F-4E7F-9BFC-16429CFD63D6}"/>
  </bookViews>
  <sheets>
    <sheet name="stability check" sheetId="2" r:id="rId1"/>
    <sheet name="std curve" sheetId="1" r:id="rId2"/>
    <sheet name="raw data" sheetId="3" r:id="rId3"/>
    <sheet name="Sheet1" sheetId="9" r:id="rId4"/>
    <sheet name="std curve (2)" sheetId="7" r:id="rId5"/>
    <sheet name="raw data (2)" sheetId="8" r:id="rId6"/>
    <sheet name="Sheet2" sheetId="10" r:id="rId7"/>
    <sheet name="run calibration check" sheetId="4" r:id="rId8"/>
    <sheet name="dilution factor" sheetId="5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8" i="10" l="1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U4" i="10"/>
  <c r="U3" i="10"/>
  <c r="U2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T5" i="10"/>
  <c r="T4" i="10"/>
  <c r="T3" i="10"/>
  <c r="T2" i="10"/>
  <c r="Q18" i="10"/>
  <c r="Q17" i="10"/>
  <c r="Q16" i="10"/>
  <c r="Q15" i="10"/>
  <c r="Q14" i="10"/>
  <c r="Q13" i="10"/>
  <c r="Q12" i="10"/>
  <c r="Q11" i="10"/>
  <c r="Q10" i="10"/>
  <c r="Q9" i="10"/>
  <c r="Q8" i="10"/>
  <c r="Q7" i="10"/>
  <c r="Q6" i="10"/>
  <c r="Q5" i="10"/>
  <c r="Q4" i="10"/>
  <c r="Q3" i="10"/>
  <c r="Q2" i="10"/>
  <c r="P18" i="10"/>
  <c r="P17" i="10"/>
  <c r="P16" i="10"/>
  <c r="P15" i="10"/>
  <c r="P14" i="10"/>
  <c r="P13" i="10"/>
  <c r="P12" i="10"/>
  <c r="P11" i="10"/>
  <c r="P10" i="10"/>
  <c r="P9" i="10"/>
  <c r="P7" i="10"/>
  <c r="P6" i="10"/>
  <c r="P5" i="10"/>
  <c r="P4" i="10"/>
  <c r="P3" i="10"/>
  <c r="P2" i="10"/>
  <c r="D9" i="5"/>
  <c r="B9" i="5"/>
  <c r="J7" i="5"/>
  <c r="K7" i="5" s="1"/>
  <c r="L7" i="5" s="1"/>
  <c r="I7" i="5"/>
  <c r="K6" i="5"/>
  <c r="L6" i="5" s="1"/>
  <c r="J6" i="5"/>
  <c r="I6" i="5"/>
  <c r="O18" i="10"/>
  <c r="O17" i="10"/>
  <c r="O16" i="10"/>
  <c r="O15" i="10"/>
  <c r="O14" i="10"/>
  <c r="O13" i="10"/>
  <c r="O12" i="10"/>
  <c r="O11" i="10"/>
  <c r="O10" i="10"/>
  <c r="O9" i="10"/>
  <c r="O8" i="10"/>
  <c r="O7" i="10"/>
  <c r="O6" i="10"/>
  <c r="O5" i="10"/>
  <c r="O4" i="10"/>
  <c r="O3" i="10"/>
  <c r="O2" i="10"/>
  <c r="O50" i="9" l="1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O2" i="9"/>
  <c r="N16" i="8"/>
  <c r="M16" i="8"/>
  <c r="N15" i="8"/>
  <c r="T7" i="8"/>
  <c r="T6" i="8"/>
  <c r="T4" i="8"/>
  <c r="T3" i="8"/>
  <c r="M15" i="8" s="1"/>
  <c r="Q15" i="7"/>
  <c r="Q3" i="7"/>
  <c r="Q4" i="7" l="1"/>
  <c r="Q16" i="7"/>
  <c r="M50" i="3"/>
  <c r="M49" i="3"/>
  <c r="Q15" i="1"/>
  <c r="Q16" i="1"/>
  <c r="Q4" i="1"/>
  <c r="Q3" i="1"/>
  <c r="J4" i="2" l="1"/>
  <c r="I3" i="2"/>
  <c r="J3" i="2"/>
  <c r="I4" i="2"/>
  <c r="I5" i="2"/>
  <c r="J5" i="2"/>
  <c r="I6" i="2"/>
  <c r="J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N3" i="4"/>
  <c r="J11" i="4" s="1"/>
  <c r="N2" i="4"/>
  <c r="I5" i="4" s="1"/>
  <c r="A5" i="4"/>
  <c r="A6" i="4" s="1"/>
  <c r="A7" i="4" s="1"/>
  <c r="A8" i="4" s="1"/>
  <c r="A9" i="4" s="1"/>
  <c r="A10" i="4" s="1"/>
  <c r="A11" i="4" s="1"/>
  <c r="A12" i="4" s="1"/>
  <c r="A4" i="4"/>
  <c r="A3" i="4"/>
  <c r="T6" i="3"/>
  <c r="T5" i="3"/>
  <c r="T3" i="3"/>
  <c r="T2" i="3"/>
  <c r="M35" i="3" l="1"/>
  <c r="N49" i="3"/>
  <c r="N35" i="3"/>
  <c r="N50" i="3"/>
  <c r="M36" i="3"/>
  <c r="M23" i="3"/>
  <c r="N36" i="3"/>
  <c r="N23" i="3"/>
  <c r="M24" i="3"/>
  <c r="M11" i="3"/>
  <c r="N24" i="3"/>
  <c r="N11" i="3"/>
  <c r="N12" i="3"/>
  <c r="M12" i="3"/>
  <c r="I9" i="4"/>
  <c r="I2" i="4"/>
  <c r="I6" i="4"/>
  <c r="J3" i="4"/>
  <c r="I7" i="4"/>
  <c r="J4" i="4"/>
  <c r="J12" i="4"/>
  <c r="J5" i="4"/>
  <c r="J6" i="4"/>
  <c r="J7" i="4"/>
  <c r="J8" i="4"/>
  <c r="J9" i="4"/>
  <c r="I8" i="4"/>
  <c r="I10" i="4"/>
  <c r="I3" i="4"/>
  <c r="I11" i="4"/>
  <c r="I4" i="4"/>
  <c r="I12" i="4"/>
  <c r="J2" i="4"/>
  <c r="J10" i="4"/>
</calcChain>
</file>

<file path=xl/sharedStrings.xml><?xml version="1.0" encoding="utf-8"?>
<sst xmlns="http://schemas.openxmlformats.org/spreadsheetml/2006/main" count="1035" uniqueCount="247">
  <si>
    <t>CH4 std</t>
  </si>
  <si>
    <t>CO2 std</t>
  </si>
  <si>
    <t>Time</t>
  </si>
  <si>
    <t>CH4 hgt</t>
  </si>
  <si>
    <t>CH4 area</t>
  </si>
  <si>
    <t>CO2 hgt</t>
  </si>
  <si>
    <t>CO2 area</t>
  </si>
  <si>
    <t>Notes</t>
  </si>
  <si>
    <t>File name</t>
  </si>
  <si>
    <t>File Name</t>
  </si>
  <si>
    <t>NA</t>
  </si>
  <si>
    <t>CH4 % Diff</t>
  </si>
  <si>
    <t>CO2 % Diff</t>
  </si>
  <si>
    <t>Max area</t>
  </si>
  <si>
    <t>Calibration check value</t>
  </si>
  <si>
    <t xml:space="preserve">Vial </t>
  </si>
  <si>
    <t>Site</t>
  </si>
  <si>
    <t>Location</t>
  </si>
  <si>
    <t>Rep</t>
  </si>
  <si>
    <t>Collection Date</t>
  </si>
  <si>
    <t>CH4 Peak hgt</t>
  </si>
  <si>
    <t>CH4 Peak area</t>
  </si>
  <si>
    <t>CO2 Peak hgt</t>
  </si>
  <si>
    <t>CO2 Peak area</t>
  </si>
  <si>
    <t>Run Date</t>
  </si>
  <si>
    <t>dev CH4</t>
  </si>
  <si>
    <t>dev Co2</t>
  </si>
  <si>
    <t>dilution sample vol (ml)</t>
  </si>
  <si>
    <t>dilution status</t>
  </si>
  <si>
    <t>dev CO2</t>
  </si>
  <si>
    <t>calibration check</t>
  </si>
  <si>
    <t>CH4 max area</t>
  </si>
  <si>
    <t>CO2 max area</t>
  </si>
  <si>
    <t>ID</t>
  </si>
  <si>
    <t>Vial #</t>
  </si>
  <si>
    <t>Dilution 1</t>
  </si>
  <si>
    <t>Dilution 2</t>
  </si>
  <si>
    <t>Dilution 3</t>
  </si>
  <si>
    <t>Date</t>
  </si>
  <si>
    <t>CH4 conc</t>
  </si>
  <si>
    <t>CO2 conc</t>
  </si>
  <si>
    <t>Avg area</t>
  </si>
  <si>
    <t>Std area</t>
  </si>
  <si>
    <t>Raw data area</t>
  </si>
  <si>
    <t>Dilution Factor</t>
  </si>
  <si>
    <t>CH4</t>
  </si>
  <si>
    <t>CO2</t>
  </si>
  <si>
    <t>CO2  area</t>
  </si>
  <si>
    <t>std curve 200 ppm CH4</t>
  </si>
  <si>
    <t>std curve 10000 ppm CO2</t>
  </si>
  <si>
    <t>EDC_D_1</t>
  </si>
  <si>
    <t>EDC_D_02</t>
  </si>
  <si>
    <t>EDC_D_03</t>
  </si>
  <si>
    <t>EDC_D_04</t>
  </si>
  <si>
    <t>EDC_D_05</t>
  </si>
  <si>
    <t>EDC_D_06</t>
  </si>
  <si>
    <t>EDC_D_07</t>
  </si>
  <si>
    <t>EDC_D_08</t>
  </si>
  <si>
    <t>EDC_D_09</t>
  </si>
  <si>
    <t>EDC_D_10</t>
  </si>
  <si>
    <t>EDC_D_20</t>
  </si>
  <si>
    <t>EDC_D_11</t>
  </si>
  <si>
    <t>EDC_D_12</t>
  </si>
  <si>
    <t>EDC_D_13</t>
  </si>
  <si>
    <t>Pick</t>
  </si>
  <si>
    <t>1 mL in 10 mL glass syringe</t>
  </si>
  <si>
    <t>bottom</t>
  </si>
  <si>
    <t>had already been run with 10 mL taken out</t>
  </si>
  <si>
    <t>EDC_D_14</t>
  </si>
  <si>
    <t>EDC_D_15</t>
  </si>
  <si>
    <t>0145</t>
  </si>
  <si>
    <t>0146</t>
  </si>
  <si>
    <t>0147</t>
  </si>
  <si>
    <t>0148</t>
  </si>
  <si>
    <t>Catfish</t>
  </si>
  <si>
    <t>EDC_D_16</t>
  </si>
  <si>
    <t>4</t>
  </si>
  <si>
    <t>C5A</t>
  </si>
  <si>
    <t>EDC_D_17</t>
  </si>
  <si>
    <t>0149</t>
  </si>
  <si>
    <t>0.1mL in 10mL glass syringe</t>
  </si>
  <si>
    <t>EDC_D_18</t>
  </si>
  <si>
    <t>C1A-C1C</t>
  </si>
  <si>
    <t>0150</t>
  </si>
  <si>
    <t>C2B-C2E</t>
  </si>
  <si>
    <t>EDC_D_19</t>
  </si>
  <si>
    <t>0151</t>
  </si>
  <si>
    <t>C3A-C3B</t>
  </si>
  <si>
    <t>0152</t>
  </si>
  <si>
    <t>0153</t>
  </si>
  <si>
    <t>C3C-C3D</t>
  </si>
  <si>
    <t>C4B-C4D</t>
  </si>
  <si>
    <t>C4E</t>
  </si>
  <si>
    <t>0154</t>
  </si>
  <si>
    <t>0155</t>
  </si>
  <si>
    <t>C5A-C5B</t>
  </si>
  <si>
    <t>0156</t>
  </si>
  <si>
    <t>C5C</t>
  </si>
  <si>
    <t>0157</t>
  </si>
  <si>
    <t>C5D</t>
  </si>
  <si>
    <t>EDC_D_21</t>
  </si>
  <si>
    <t>Fresh bubbles</t>
  </si>
  <si>
    <t>EDC_D_22</t>
  </si>
  <si>
    <t>EDC_D_23</t>
  </si>
  <si>
    <t>EDC_D_24</t>
  </si>
  <si>
    <t>EDC_D_25</t>
  </si>
  <si>
    <t>EDC_D_26</t>
  </si>
  <si>
    <t>EDC_D_27</t>
  </si>
  <si>
    <t>EDC_D_28</t>
  </si>
  <si>
    <t>EDC_D_29</t>
  </si>
  <si>
    <t>EDC_D_30</t>
  </si>
  <si>
    <t>EDC_D_31</t>
  </si>
  <si>
    <t>0120</t>
  </si>
  <si>
    <t>EDC_D_32</t>
  </si>
  <si>
    <t>0121</t>
  </si>
  <si>
    <t>EDC_D_33</t>
  </si>
  <si>
    <t>0122</t>
  </si>
  <si>
    <t>P5C</t>
  </si>
  <si>
    <t>P5A</t>
  </si>
  <si>
    <t>P1D</t>
  </si>
  <si>
    <t>EDC_D_34</t>
  </si>
  <si>
    <t>EDC_D_35</t>
  </si>
  <si>
    <t>EDC_D_36</t>
  </si>
  <si>
    <t>0123</t>
  </si>
  <si>
    <t>P1A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</si>
  <si>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</si>
  <si>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</si>
  <si>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</si>
  <si>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</si>
  <si>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</si>
  <si>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</si>
  <si>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</si>
  <si>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</si>
  <si>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</si>
  <si>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</si>
  <si>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</si>
  <si>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?</t>
  </si>
  <si>
    <t>P2A</t>
  </si>
  <si>
    <t>P1B-P1D</t>
  </si>
  <si>
    <t>P2B-P2D</t>
  </si>
  <si>
    <t>P4A-P4B</t>
  </si>
  <si>
    <t>P3A-P3B</t>
  </si>
  <si>
    <t>P3C-P3D</t>
  </si>
  <si>
    <t>P4C</t>
  </si>
  <si>
    <t>P4D-P5A</t>
  </si>
  <si>
    <t>P5D-P5E</t>
  </si>
  <si>
    <t>EDC_D_37</t>
  </si>
  <si>
    <t>EDC_D_38</t>
  </si>
  <si>
    <t>EDC_D_39</t>
  </si>
  <si>
    <t>EDC_D_40</t>
  </si>
  <si>
    <t>EDC_D_41</t>
  </si>
  <si>
    <t>EDC_D_42</t>
  </si>
  <si>
    <t>EDC_D_43</t>
  </si>
  <si>
    <t>EDC_D_44</t>
  </si>
  <si>
    <t>EDC_D_45</t>
  </si>
  <si>
    <t>EDC_D_46</t>
  </si>
  <si>
    <t>EDC_D_47</t>
  </si>
  <si>
    <t>EDC_D_48</t>
  </si>
  <si>
    <t>EDC_D_49</t>
  </si>
  <si>
    <t>EDC_D_50</t>
  </si>
  <si>
    <t>0114</t>
  </si>
  <si>
    <t>0115</t>
  </si>
  <si>
    <t>0116</t>
  </si>
  <si>
    <t>0117</t>
  </si>
  <si>
    <t>0118</t>
  </si>
  <si>
    <t>0119</t>
  </si>
  <si>
    <t>0135</t>
  </si>
  <si>
    <t>EDC_D_51</t>
  </si>
  <si>
    <t>EDC_D_52</t>
  </si>
  <si>
    <t>EDC_D_53</t>
  </si>
  <si>
    <t>EDC_D_54</t>
  </si>
  <si>
    <t>EDC_D_55</t>
  </si>
  <si>
    <t>EDC_D_56</t>
  </si>
  <si>
    <t>EDC_D_57</t>
  </si>
  <si>
    <t>P5B</t>
  </si>
  <si>
    <t>P4E</t>
  </si>
  <si>
    <t>P4B</t>
  </si>
  <si>
    <t>P5D</t>
  </si>
  <si>
    <t>P2B</t>
  </si>
  <si>
    <t>Accidentally ran two at once, do not include</t>
  </si>
  <si>
    <t>Blank run</t>
  </si>
  <si>
    <t>EDC_D_58</t>
  </si>
  <si>
    <t>EDC_D_59</t>
  </si>
  <si>
    <t>EDC_D_60</t>
  </si>
  <si>
    <t>EDC_D_61</t>
  </si>
  <si>
    <t>EDC_D_62</t>
  </si>
  <si>
    <t>Possible evacuated vial</t>
  </si>
  <si>
    <t>EDC_D_64</t>
  </si>
  <si>
    <t>EDC_D_65</t>
  </si>
  <si>
    <t>EDC_D_66</t>
  </si>
  <si>
    <t>EDC_D_67</t>
  </si>
  <si>
    <t>EDC_D_68</t>
  </si>
  <si>
    <t>EDC_D_69</t>
  </si>
  <si>
    <t>EDC_D_70</t>
  </si>
  <si>
    <t>EDC_D_71</t>
  </si>
  <si>
    <t>double peak</t>
  </si>
  <si>
    <t>zero air</t>
  </si>
  <si>
    <t>EDC_D_73</t>
  </si>
  <si>
    <t>EDC_D_74</t>
  </si>
  <si>
    <t>top</t>
  </si>
  <si>
    <t>EDC_D_76</t>
  </si>
  <si>
    <t>EDC_D_77</t>
  </si>
  <si>
    <t>EDC_D_78</t>
  </si>
  <si>
    <t>EDC_D_79</t>
  </si>
  <si>
    <t>EDC_D_80</t>
  </si>
  <si>
    <t>outlet</t>
  </si>
  <si>
    <t>EDC_D_81</t>
  </si>
  <si>
    <t>EDC_D_82</t>
  </si>
  <si>
    <t>EDC_D_83</t>
  </si>
  <si>
    <t>calibration check 30 ppm CH4, 2000 ppm CO2</t>
  </si>
  <si>
    <t>0162</t>
  </si>
  <si>
    <t>0163</t>
  </si>
  <si>
    <t>0164</t>
  </si>
  <si>
    <t>EDC_D_72</t>
  </si>
  <si>
    <t>std curve 30 ppm CH4</t>
  </si>
  <si>
    <t>std curve 2000 ppm CO2</t>
  </si>
  <si>
    <t>0161</t>
  </si>
  <si>
    <t>0165</t>
  </si>
  <si>
    <t>0166</t>
  </si>
  <si>
    <t>0167</t>
  </si>
  <si>
    <t>0168</t>
  </si>
  <si>
    <t>0169</t>
  </si>
  <si>
    <t>0170</t>
  </si>
  <si>
    <t>0171</t>
  </si>
  <si>
    <t>0172</t>
  </si>
  <si>
    <t>Hard to pull</t>
  </si>
  <si>
    <t>Hard to pull; double peak</t>
  </si>
  <si>
    <t>1 mL in 10mL glass syringe</t>
  </si>
  <si>
    <t>2766.542H8:I8</t>
  </si>
  <si>
    <t>Possibly could not retrieve enough gas</t>
  </si>
  <si>
    <t>EDC_D_84</t>
  </si>
  <si>
    <t>EDC_D_85</t>
  </si>
  <si>
    <t>Didn't properly flush the sample loop</t>
  </si>
  <si>
    <t>EDC_D_86</t>
  </si>
  <si>
    <t>EDC_D_87</t>
  </si>
  <si>
    <t>EDC_D_88</t>
  </si>
  <si>
    <t>EDC_D_89</t>
  </si>
  <si>
    <t>CO2 Curve</t>
  </si>
  <si>
    <t>Measured CH4 conc ppm</t>
  </si>
  <si>
    <t>Measured CO2 conc ppm</t>
  </si>
  <si>
    <t>Sample Vol</t>
  </si>
  <si>
    <t>Final Vol</t>
  </si>
  <si>
    <t>Undiluted CH4 conc ppm</t>
  </si>
  <si>
    <t>Undiluted CO2 conc ppm</t>
  </si>
  <si>
    <t>CH4 Curve</t>
  </si>
  <si>
    <t>10000 ppm</t>
  </si>
  <si>
    <t xml:space="preserve">20000 ppm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</si>
</sst>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00"/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 vertical="top"/>
    </xf>
    <xf numFmtId="0" fontId="0" fillId="2" borderId="0" xfId="0" applyFill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3" borderId="0" xfId="0" applyFill="1"/>
    <xf numFmtId="49" fontId="1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 wrapText="1"/>
    </xf>
    <xf numFmtId="166" fontId="1" fillId="0" borderId="0" xfId="0" applyNumberFormat="1" applyFont="1" applyAlignment="1">
      <alignment horizontal="left" vertical="top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horizontal="left"/>
    </xf>
    <xf numFmtId="0" fontId="1" fillId="0" borderId="0" xfId="0" applyFont="1" applyAlignment="1">
      <alignment vertical="top" wrapText="1"/>
    </xf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  <xf numFmtId="49" fontId="1" fillId="0" borderId="0" xfId="0" applyNumberFormat="1" applyFont="1"/>
    <xf numFmtId="0" fontId="0" fillId="4" borderId="0" xfId="0" applyFill="1"/>
    <xf numFmtId="49" fontId="1" fillId="0" borderId="0" xfId="0" applyNumberFormat="1" applyFont="1" applyAlignment="1">
      <alignment vertical="top"/>
    </xf>
    <xf numFmtId="49" fontId="0" fillId="0" borderId="0" xfId="0" applyNumberFormat="1" applyFill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left"/>
    </xf>
    <xf numFmtId="49" fontId="0" fillId="0" borderId="0" xfId="0" applyNumberFormat="1" applyFill="1" applyAlignment="1">
      <alignment horizontal="left"/>
    </xf>
    <xf numFmtId="49" fontId="1" fillId="0" borderId="0" xfId="0" applyNumberFormat="1" applyFont="1" applyFill="1"/>
    <xf numFmtId="0" fontId="3" fillId="0" borderId="0" xfId="0" applyFont="1"/>
    <xf numFmtId="14" fontId="3" fillId="0" borderId="0" xfId="0" applyNumberFormat="1" applyFont="1"/>
    <xf numFmtId="0" fontId="3" fillId="0" borderId="0" xfId="0" applyFont="1" applyAlignment="1">
      <alignment horizontal="left"/>
    </xf>
    <xf numFmtId="49" fontId="3" fillId="0" borderId="0" xfId="0" applyNumberFormat="1" applyFont="1"/>
    <xf numFmtId="49" fontId="4" fillId="0" borderId="0" xfId="0" applyNumberFormat="1" applyFont="1"/>
    <xf numFmtId="3" fontId="3" fillId="0" borderId="0" xfId="0" applyNumberFormat="1" applyFont="1"/>
    <xf numFmtId="0" fontId="0" fillId="0" borderId="0" xfId="0" applyFont="1" applyAlignment="1">
      <alignment vertical="top"/>
    </xf>
    <xf numFmtId="14" fontId="0" fillId="0" borderId="1" xfId="0" applyNumberForma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'stability check'!$D$1</c:f>
              <c:strCache>
                <c:ptCount val="1"/>
                <c:pt idx="0">
                  <c:v>CH4 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'stability check'!$C$2:$C$27</c:f>
              <c:numCache>
                <c:formatCode>[$-F400]h:mm:ss\ AM/PM</c:formatCode>
                <c:ptCount val="26"/>
                <c:pt idx="0">
                  <c:v>0.35416666666666669</c:v>
                </c:pt>
                <c:pt idx="1">
                  <c:v>0.35833333333333334</c:v>
                </c:pt>
                <c:pt idx="2">
                  <c:v>0.36180555555555555</c:v>
                </c:pt>
              </c:numCache>
            </c:numRef>
          </c:xVal>
          <c:yVal>
            <c:numRef>
              <c:f>'stability check'!$D$2:$D$27</c:f>
              <c:numCache>
                <c:formatCode>General</c:formatCode>
                <c:ptCount val="26"/>
                <c:pt idx="0">
                  <c:v>47.377200000000002</c:v>
                </c:pt>
                <c:pt idx="1">
                  <c:v>47.2044</c:v>
                </c:pt>
                <c:pt idx="2">
                  <c:v>47.132599999999996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3-4B84-8BF2-D81E96525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661408"/>
        <c:axId val="1346661824"/>
      </c:scatterChart>
      <c:valAx>
        <c:axId val="134666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661824"/>
        <c:crosses val="autoZero"/>
        <c:crossBetween val="midCat"/>
      </c:valAx>
      <c:valAx>
        <c:axId val="13466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CH4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66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'stability check'!$F$1</c:f>
              <c:strCache>
                <c:ptCount val="1"/>
                <c:pt idx="0">
                  <c:v>CO2 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'stability check'!$C$2:$C$27</c:f>
              <c:numCache>
                <c:formatCode>[$-F400]h:mm:ss\ AM/PM</c:formatCode>
                <c:ptCount val="26"/>
                <c:pt idx="0">
                  <c:v>0.35416666666666669</c:v>
                </c:pt>
                <c:pt idx="1">
                  <c:v>0.35833333333333334</c:v>
                </c:pt>
                <c:pt idx="2">
                  <c:v>0.36180555555555555</c:v>
                </c:pt>
              </c:numCache>
            </c:numRef>
          </c:xVal>
          <c:yVal>
            <c:numRef>
              <c:f>'stability check'!$F$2:$F$27</c:f>
              <c:numCache>
                <c:formatCode>General</c:formatCode>
                <c:ptCount val="26"/>
                <c:pt idx="0">
                  <c:v>2110.4025999999999</c:v>
                </c:pt>
                <c:pt idx="1">
                  <c:v>2141.7507000000001</c:v>
                </c:pt>
                <c:pt idx="2">
                  <c:v>2160.2163999999998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98-4DD1-A489-31728FD67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597424"/>
        <c:axId val="679598256"/>
      </c:scatterChart>
      <c:valAx>
        <c:axId val="67959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98256"/>
        <c:crosses val="autoZero"/>
        <c:crossBetween val="midCat"/>
      </c:valAx>
      <c:valAx>
        <c:axId val="6795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9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CH4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CH4 standard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curve'!$A$2:$A$11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30</c:v>
                </c:pt>
                <c:pt idx="5">
                  <c:v>30</c:v>
                </c:pt>
                <c:pt idx="6">
                  <c:v>200</c:v>
                </c:pt>
                <c:pt idx="7">
                  <c:v>200</c:v>
                </c:pt>
                <c:pt idx="8">
                  <c:v>10000</c:v>
                </c:pt>
                <c:pt idx="9">
                  <c:v>10000</c:v>
                </c:pt>
              </c:numCache>
            </c:numRef>
          </c:xVal>
          <c:yVal>
            <c:numRef>
              <c:f>'std curve'!$C$2:$C$11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3.8237999999999999</c:v>
                </c:pt>
                <c:pt idx="5">
                  <c:v>3.8311999999999999</c:v>
                </c:pt>
                <c:pt idx="6">
                  <c:v>47.901200000000003</c:v>
                </c:pt>
                <c:pt idx="7">
                  <c:v>47.5486</c:v>
                </c:pt>
                <c:pt idx="8">
                  <c:v>2298.7525999999998</c:v>
                </c:pt>
                <c:pt idx="9">
                  <c:v>2287.2815000000001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25-4D80-9CA3-CD5B961C6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463472"/>
        <c:axId val="1336467632"/>
      </c:scatterChart>
      <c:valAx>
        <c:axId val="13364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</a:t>
                </a:r>
                <a:r>
                  <a:rPr lang="en-US" baseline="0"/>
                  <a:t> concentration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467632"/>
        <c:crosses val="autoZero"/>
        <c:crossBetween val="midCat"/>
      </c:valAx>
      <c:valAx>
        <c:axId val="13364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CH4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4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curve'!$B$2:$B$9</c:f>
              <c:numCache>
                <c:formatCode>General</c:formatCode>
                <c:ptCount val="8"/>
                <c:pt idx="0">
                  <c:v>500</c:v>
                </c:pt>
                <c:pt idx="1">
                  <c:v>500</c:v>
                </c:pt>
                <c:pt idx="2">
                  <c:v>1000</c:v>
                </c:pt>
                <c:pt idx="3">
                  <c:v>1000</c:v>
                </c:pt>
                <c:pt idx="4">
                  <c:v>2000</c:v>
                </c:pt>
                <c:pt idx="5">
                  <c:v>2000</c:v>
                </c:pt>
                <c:pt idx="6">
                  <c:v>10000</c:v>
                </c:pt>
                <c:pt idx="7">
                  <c:v>10000</c:v>
                </c:pt>
              </c:numCache>
            </c:numRef>
          </c:xVal>
          <c:yVal>
            <c:numRef>
              <c:f>'std curve'!$E$2:$E$9</c:f>
              <c:numCache>
                <c:formatCode>General</c:formatCode>
                <c:ptCount val="8"/>
                <c:pt idx="0">
                  <c:v>125.309</c:v>
                </c:pt>
                <c:pt idx="1">
                  <c:v>124.6832</c:v>
                </c:pt>
                <c:pt idx="2">
                  <c:v>255.792</c:v>
                </c:pt>
                <c:pt idx="3">
                  <c:v>253.82660000000001</c:v>
                </c:pt>
                <c:pt idx="4">
                  <c:v>511.67750000000001</c:v>
                </c:pt>
                <c:pt idx="5">
                  <c:v>506.00920000000002</c:v>
                </c:pt>
                <c:pt idx="6">
                  <c:v>2353.8993999999998</c:v>
                </c:pt>
                <c:pt idx="7">
                  <c:v>2338.8881999999999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3E-4D56-9436-7CCFADF40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542240"/>
        <c:axId val="1336539744"/>
      </c:scatterChart>
      <c:valAx>
        <c:axId val="133654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39744"/>
        <c:crosses val="autoZero"/>
        <c:crossBetween val="midCat"/>
      </c:valAx>
      <c:valAx>
        <c:axId val="13365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4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high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curve'!$B$8:$B$11</c:f>
              <c:numCache>
                <c:formatCode>General</c:formatCode>
                <c:ptCount val="4"/>
                <c:pt idx="0">
                  <c:v>10000</c:v>
                </c:pt>
                <c:pt idx="1">
                  <c:v>10000</c:v>
                </c:pt>
                <c:pt idx="2">
                  <c:v>20000</c:v>
                </c:pt>
                <c:pt idx="3">
                  <c:v>20000</c:v>
                </c:pt>
              </c:numCache>
            </c:numRef>
          </c:xVal>
          <c:yVal>
            <c:numRef>
              <c:f>'std curve'!$E$8:$E$11</c:f>
              <c:numCache>
                <c:formatCode>General</c:formatCode>
                <c:ptCount val="4"/>
                <c:pt idx="0">
                  <c:v>2353.8993999999998</c:v>
                </c:pt>
                <c:pt idx="1">
                  <c:v>2338.8881999999999</c:v>
                </c:pt>
                <c:pt idx="2">
                  <c:v>3954.8175000000001</c:v>
                </c:pt>
                <c:pt idx="3">
                  <c:v>3911.7064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C-48BA-B978-83DF0F95C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956303"/>
        <c:axId val="1555955471"/>
      </c:scatterChart>
      <c:valAx>
        <c:axId val="155595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955471"/>
        <c:crosses val="autoZero"/>
        <c:crossBetween val="midCat"/>
      </c:valAx>
      <c:valAx>
        <c:axId val="155595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95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CH4 low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 (2)'!$A$2:$A$7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'std curve (2)'!$C$2:$C$7</c:f>
              <c:numCache>
                <c:formatCode>General</c:formatCode>
                <c:ptCount val="6"/>
                <c:pt idx="0">
                  <c:v>2.3569</c:v>
                </c:pt>
                <c:pt idx="1">
                  <c:v>2.3769999999999998</c:v>
                </c:pt>
                <c:pt idx="2">
                  <c:v>10.857200000000001</c:v>
                </c:pt>
                <c:pt idx="3">
                  <c:v>10.611700000000001</c:v>
                </c:pt>
                <c:pt idx="4">
                  <c:v>76.047799999999995</c:v>
                </c:pt>
                <c:pt idx="5">
                  <c:v>75.5565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48-E44B-8670-9E799C61B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463472"/>
        <c:axId val="1336467632"/>
      </c:scatterChart>
      <c:valAx>
        <c:axId val="13364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</a:t>
                </a:r>
                <a:r>
                  <a:rPr lang="en-US" baseline="0"/>
                  <a:t> concentration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467632"/>
        <c:crosses val="autoZero"/>
        <c:crossBetween val="midCat"/>
      </c:valAx>
      <c:valAx>
        <c:axId val="13364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CH4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4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 (2)'!$B$2:$B$7</c:f>
              <c:numCache>
                <c:formatCode>General</c:formatCode>
                <c:ptCount val="6"/>
                <c:pt idx="0">
                  <c:v>500</c:v>
                </c:pt>
                <c:pt idx="1">
                  <c:v>500</c:v>
                </c:pt>
                <c:pt idx="2">
                  <c:v>1000</c:v>
                </c:pt>
                <c:pt idx="3">
                  <c:v>1000</c:v>
                </c:pt>
                <c:pt idx="4">
                  <c:v>2000</c:v>
                </c:pt>
                <c:pt idx="5">
                  <c:v>2000</c:v>
                </c:pt>
              </c:numCache>
            </c:numRef>
          </c:xVal>
          <c:yVal>
            <c:numRef>
              <c:f>'std curve (2)'!$E$2:$E$7</c:f>
              <c:numCache>
                <c:formatCode>General</c:formatCode>
                <c:ptCount val="6"/>
                <c:pt idx="0">
                  <c:v>2763.1826000000001</c:v>
                </c:pt>
                <c:pt idx="1">
                  <c:v>2749.681</c:v>
                </c:pt>
                <c:pt idx="2">
                  <c:v>5723.3078999999998</c:v>
                </c:pt>
                <c:pt idx="3">
                  <c:v>5708.1293999999998</c:v>
                </c:pt>
                <c:pt idx="4">
                  <c:v>11300.0928</c:v>
                </c:pt>
                <c:pt idx="5">
                  <c:v>11258.8267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38-324D-9D2D-92DA01B4A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542240"/>
        <c:axId val="1336539744"/>
      </c:scatterChart>
      <c:valAx>
        <c:axId val="133654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39744"/>
        <c:crosses val="autoZero"/>
        <c:crossBetween val="midCat"/>
      </c:valAx>
      <c:valAx>
        <c:axId val="13365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4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CH4</a:t>
            </a:r>
            <a:r>
              <a:rPr lang="en-US" baseline="0"/>
              <a:t> high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 (2)'!$A$6:$A$9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200</c:v>
                </c:pt>
                <c:pt idx="3">
                  <c:v>200</c:v>
                </c:pt>
              </c:numCache>
            </c:numRef>
          </c:xVal>
          <c:yVal>
            <c:numRef>
              <c:f>'std curve (2)'!$C$6:$C$9</c:f>
              <c:numCache>
                <c:formatCode>General</c:formatCode>
                <c:ptCount val="4"/>
                <c:pt idx="0">
                  <c:v>76.047799999999995</c:v>
                </c:pt>
                <c:pt idx="1">
                  <c:v>75.5565</c:v>
                </c:pt>
                <c:pt idx="2">
                  <c:v>992.32079999999996</c:v>
                </c:pt>
                <c:pt idx="3">
                  <c:v>991.07899999999995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66-44D5-924B-F3C326495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445279"/>
        <c:axId val="1700454015"/>
      </c:scatterChart>
      <c:valAx>
        <c:axId val="170044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454015"/>
        <c:crosses val="autoZero"/>
        <c:crossBetween val="midCat"/>
      </c:valAx>
      <c:valAx>
        <c:axId val="170045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44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0</xdr:row>
      <xdr:rowOff>146050</xdr:rowOff>
    </xdr:from>
    <xdr:to>
      <xdr:col>17</xdr:col>
      <xdr:colOff>409575</xdr:colOff>
      <xdr:row>15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0064EC-7A17-49F2-8A8F-6775BE8F0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111125</xdr:colOff>
      <xdr:row>16</xdr:row>
      <xdr:rowOff>44450</xdr:rowOff>
    </xdr:from>
    <xdr:to>
      <xdr:col>17</xdr:col>
      <xdr:colOff>415925</xdr:colOff>
      <xdr:row>31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53D387-31AD-456E-AE23-15B1C2ECB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60325</xdr:colOff>
      <xdr:row>1</xdr:row>
      <xdr:rowOff>82550</xdr:rowOff>
    </xdr:from>
    <xdr:to>
      <xdr:col>14</xdr:col>
      <xdr:colOff>365125</xdr:colOff>
      <xdr:row>16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DF161E-6C82-489F-A12B-AC1ADB399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92075</xdr:colOff>
      <xdr:row>16</xdr:row>
      <xdr:rowOff>139700</xdr:rowOff>
    </xdr:from>
    <xdr:to>
      <xdr:col>14</xdr:col>
      <xdr:colOff>396875</xdr:colOff>
      <xdr:row>31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75D666-DDEA-4084-B0B0-EFFA93248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152400</xdr:rowOff>
    </xdr:from>
    <xdr:to>
      <xdr:col>7</xdr:col>
      <xdr:colOff>304800</xdr:colOff>
      <xdr:row>31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81694B-C373-87FC-397E-96B6ABFC9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</xdr:row>
      <xdr:rowOff>139700</xdr:rowOff>
    </xdr:from>
    <xdr:to>
      <xdr:col>14</xdr:col>
      <xdr:colOff>428625</xdr:colOff>
      <xdr:row>16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537537-DD8B-EC4A-89CD-0A0AE52EB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92075</xdr:colOff>
      <xdr:row>16</xdr:row>
      <xdr:rowOff>139700</xdr:rowOff>
    </xdr:from>
    <xdr:to>
      <xdr:col>14</xdr:col>
      <xdr:colOff>396875</xdr:colOff>
      <xdr:row>31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82D0F0-9CB8-404B-9F67-F10C9A372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130175</xdr:colOff>
      <xdr:row>11</xdr:row>
      <xdr:rowOff>50800</xdr:rowOff>
    </xdr:from>
    <xdr:to>
      <xdr:col>7</xdr:col>
      <xdr:colOff>250825</xdr:colOff>
      <xdr:row>26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CAEDAB-EEAD-A414-F933-C91922E1D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C_Data_20221012_ED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bility check"/>
      <sheetName val="std curve"/>
      <sheetName val="raw data"/>
      <sheetName val="headpace equilibration"/>
      <sheetName val="std curve (2)"/>
      <sheetName val="raw data (2)"/>
      <sheetName val="Sheet1"/>
      <sheetName val="run calibration check"/>
      <sheetName val="dilution factor"/>
    </sheetNames>
    <sheetDataSet>
      <sheetData sheetId="0"/>
      <sheetData sheetId="1">
        <row r="11">
          <cell r="C11">
            <v>2300.4929999999999</v>
          </cell>
          <cell r="E11">
            <v>4337.0869000000002</v>
          </cell>
        </row>
        <row r="12">
          <cell r="C12">
            <v>2292.5342000000001</v>
          </cell>
          <cell r="E12">
            <v>4306.9022000000004</v>
          </cell>
        </row>
        <row r="13">
          <cell r="C13">
            <v>2343.2370000000001</v>
          </cell>
          <cell r="E13">
            <v>4408.6956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D5891-F4D8-4F67-A0C7-B9B2514D45D6}">
  <dimension ref="A1:J27"/>
  <sheetViews>
    <sheetView workbookViewId="0">
      <selection activeCell="C5" sqref="C5"/>
    </sheetView>
  </sheetViews>
  <sheetFormatPr defaultColWidth="8.81640625" defaultRowHeight="14.5" x14ac:dyDescent="0.35"/>
  <cols>
    <col min="3" max="3" width="10.363281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6</v>
      </c>
      <c r="G1" s="1" t="s">
        <v>5</v>
      </c>
      <c r="H1" s="1" t="s">
        <v>9</v>
      </c>
      <c r="I1" s="1" t="s">
        <v>11</v>
      </c>
      <c r="J1" s="1" t="s">
        <v>12</v>
      </c>
    </row>
    <row r="2" spans="1:10" x14ac:dyDescent="0.35">
      <c r="A2">
        <v>200</v>
      </c>
      <c r="B2">
        <v>10000</v>
      </c>
      <c r="C2" s="2">
        <v>0.35416666666666669</v>
      </c>
      <c r="D2">
        <v>47.377200000000002</v>
      </c>
      <c r="E2">
        <v>10.933</v>
      </c>
      <c r="F2">
        <v>2110.4025999999999</v>
      </c>
      <c r="G2">
        <v>188.208</v>
      </c>
      <c r="H2" t="s">
        <v>50</v>
      </c>
      <c r="I2" t="s">
        <v>10</v>
      </c>
      <c r="J2" t="s">
        <v>10</v>
      </c>
    </row>
    <row r="3" spans="1:10" x14ac:dyDescent="0.35">
      <c r="A3">
        <v>200</v>
      </c>
      <c r="B3">
        <v>10000</v>
      </c>
      <c r="C3" s="2">
        <v>0.35833333333333334</v>
      </c>
      <c r="D3">
        <v>47.2044</v>
      </c>
      <c r="E3">
        <v>10.9</v>
      </c>
      <c r="F3">
        <v>2141.7507000000001</v>
      </c>
      <c r="G3">
        <v>192.63300000000001</v>
      </c>
      <c r="H3" t="s">
        <v>51</v>
      </c>
      <c r="I3">
        <f>100*(D3-D2)/AVERAGE(D2:D3)</f>
        <v>-0.36539876677916694</v>
      </c>
      <c r="J3">
        <f>100*(F3-F2)/AVERAGE(F2:F3)</f>
        <v>1.4744576588995584</v>
      </c>
    </row>
    <row r="4" spans="1:10" x14ac:dyDescent="0.35">
      <c r="A4">
        <v>200</v>
      </c>
      <c r="B4">
        <v>10000</v>
      </c>
      <c r="C4" s="2">
        <v>0.36180555555555555</v>
      </c>
      <c r="D4">
        <v>47.132599999999996</v>
      </c>
      <c r="E4">
        <v>10.906000000000001</v>
      </c>
      <c r="F4">
        <v>2160.2163999999998</v>
      </c>
      <c r="G4">
        <v>194.45599999999999</v>
      </c>
      <c r="H4" t="s">
        <v>52</v>
      </c>
      <c r="I4">
        <f t="shared" ref="I4:I25" si="0">100*(D4-D3)/AVERAGE(D3:D4)</f>
        <v>-0.15222023172244867</v>
      </c>
      <c r="J4">
        <f>100*(F4-F3)/AVERAGE(F3:F4)</f>
        <v>0.85847704414102766</v>
      </c>
    </row>
    <row r="5" spans="1:10" x14ac:dyDescent="0.35">
      <c r="C5" s="2"/>
      <c r="I5">
        <f t="shared" si="0"/>
        <v>-99.999999999999986</v>
      </c>
      <c r="J5">
        <f>100*(F5-E5)/AVERAGE(F4:F5)</f>
        <v>0</v>
      </c>
    </row>
    <row r="6" spans="1:10" x14ac:dyDescent="0.35">
      <c r="C6" s="2"/>
      <c r="I6" t="e">
        <f t="shared" si="0"/>
        <v>#DIV/0!</v>
      </c>
      <c r="J6" t="e">
        <f t="shared" ref="J6:J25" si="1">100*(F6-F5)/AVERAGE(F5:F6)</f>
        <v>#DIV/0!</v>
      </c>
    </row>
    <row r="7" spans="1:10" x14ac:dyDescent="0.35">
      <c r="C7" s="2"/>
      <c r="I7" t="e">
        <f t="shared" si="0"/>
        <v>#DIV/0!</v>
      </c>
      <c r="J7" t="e">
        <f t="shared" si="1"/>
        <v>#DIV/0!</v>
      </c>
    </row>
    <row r="8" spans="1:10" x14ac:dyDescent="0.35">
      <c r="C8" s="2"/>
      <c r="I8" t="e">
        <f t="shared" si="0"/>
        <v>#DIV/0!</v>
      </c>
      <c r="J8" t="e">
        <f t="shared" si="1"/>
        <v>#DIV/0!</v>
      </c>
    </row>
    <row r="9" spans="1:10" x14ac:dyDescent="0.35">
      <c r="C9" s="2"/>
      <c r="I9" t="e">
        <f t="shared" si="0"/>
        <v>#DIV/0!</v>
      </c>
      <c r="J9" t="e">
        <f t="shared" si="1"/>
        <v>#DIV/0!</v>
      </c>
    </row>
    <row r="10" spans="1:10" x14ac:dyDescent="0.35">
      <c r="C10" s="2"/>
      <c r="I10" t="e">
        <f t="shared" si="0"/>
        <v>#DIV/0!</v>
      </c>
      <c r="J10" t="e">
        <f t="shared" si="1"/>
        <v>#DIV/0!</v>
      </c>
    </row>
    <row r="11" spans="1:10" x14ac:dyDescent="0.35">
      <c r="C11" s="2"/>
      <c r="I11" t="e">
        <f t="shared" si="0"/>
        <v>#DIV/0!</v>
      </c>
      <c r="J11" t="e">
        <f t="shared" si="1"/>
        <v>#DIV/0!</v>
      </c>
    </row>
    <row r="12" spans="1:10" x14ac:dyDescent="0.35">
      <c r="C12" s="2"/>
      <c r="I12" t="e">
        <f t="shared" si="0"/>
        <v>#DIV/0!</v>
      </c>
      <c r="J12" t="e">
        <f t="shared" si="1"/>
        <v>#DIV/0!</v>
      </c>
    </row>
    <row r="13" spans="1:10" x14ac:dyDescent="0.35">
      <c r="C13" s="2"/>
      <c r="I13" t="e">
        <f t="shared" si="0"/>
        <v>#DIV/0!</v>
      </c>
      <c r="J13" t="e">
        <f t="shared" si="1"/>
        <v>#DIV/0!</v>
      </c>
    </row>
    <row r="14" spans="1:10" x14ac:dyDescent="0.35">
      <c r="C14" s="2"/>
      <c r="I14" t="e">
        <f t="shared" si="0"/>
        <v>#DIV/0!</v>
      </c>
      <c r="J14" t="e">
        <f t="shared" si="1"/>
        <v>#DIV/0!</v>
      </c>
    </row>
    <row r="15" spans="1:10" x14ac:dyDescent="0.35">
      <c r="C15" s="2"/>
      <c r="I15" t="e">
        <f t="shared" si="0"/>
        <v>#DIV/0!</v>
      </c>
      <c r="J15" t="e">
        <f t="shared" si="1"/>
        <v>#DIV/0!</v>
      </c>
    </row>
    <row r="16" spans="1:10" x14ac:dyDescent="0.35">
      <c r="C16" s="2"/>
      <c r="I16" t="e">
        <f t="shared" si="0"/>
        <v>#DIV/0!</v>
      </c>
      <c r="J16" t="e">
        <f t="shared" si="1"/>
        <v>#DIV/0!</v>
      </c>
    </row>
    <row r="17" spans="3:10" x14ac:dyDescent="0.35">
      <c r="C17" s="2"/>
      <c r="I17" t="e">
        <f t="shared" si="0"/>
        <v>#DIV/0!</v>
      </c>
      <c r="J17" t="e">
        <f t="shared" si="1"/>
        <v>#DIV/0!</v>
      </c>
    </row>
    <row r="18" spans="3:10" x14ac:dyDescent="0.35">
      <c r="C18" s="2"/>
      <c r="I18" t="e">
        <f t="shared" si="0"/>
        <v>#DIV/0!</v>
      </c>
      <c r="J18" t="e">
        <f t="shared" si="1"/>
        <v>#DIV/0!</v>
      </c>
    </row>
    <row r="19" spans="3:10" x14ac:dyDescent="0.35">
      <c r="C19" s="2"/>
      <c r="I19" t="e">
        <f t="shared" si="0"/>
        <v>#DIV/0!</v>
      </c>
      <c r="J19" t="e">
        <f t="shared" si="1"/>
        <v>#DIV/0!</v>
      </c>
    </row>
    <row r="20" spans="3:10" x14ac:dyDescent="0.35">
      <c r="C20" s="2"/>
      <c r="I20" t="e">
        <f t="shared" si="0"/>
        <v>#DIV/0!</v>
      </c>
      <c r="J20" t="e">
        <f t="shared" si="1"/>
        <v>#DIV/0!</v>
      </c>
    </row>
    <row r="21" spans="3:10" x14ac:dyDescent="0.35">
      <c r="C21" s="2"/>
      <c r="I21" t="e">
        <f t="shared" si="0"/>
        <v>#DIV/0!</v>
      </c>
      <c r="J21" t="e">
        <f t="shared" si="1"/>
        <v>#DIV/0!</v>
      </c>
    </row>
    <row r="22" spans="3:10" x14ac:dyDescent="0.35">
      <c r="C22" s="2"/>
      <c r="I22" t="e">
        <f t="shared" si="0"/>
        <v>#DIV/0!</v>
      </c>
      <c r="J22" t="e">
        <f t="shared" si="1"/>
        <v>#DIV/0!</v>
      </c>
    </row>
    <row r="23" spans="3:10" x14ac:dyDescent="0.35">
      <c r="C23" s="2"/>
      <c r="I23" t="e">
        <f t="shared" si="0"/>
        <v>#DIV/0!</v>
      </c>
      <c r="J23" t="e">
        <f t="shared" si="1"/>
        <v>#DIV/0!</v>
      </c>
    </row>
    <row r="24" spans="3:10" x14ac:dyDescent="0.35">
      <c r="C24" s="2"/>
      <c r="I24" t="e">
        <f t="shared" si="0"/>
        <v>#DIV/0!</v>
      </c>
      <c r="J24" t="e">
        <f t="shared" si="1"/>
        <v>#DIV/0!</v>
      </c>
    </row>
    <row r="25" spans="3:10" x14ac:dyDescent="0.35">
      <c r="C25" s="2"/>
      <c r="I25" t="e">
        <f t="shared" si="0"/>
        <v>#DIV/0!</v>
      </c>
      <c r="J25" t="e">
        <f t="shared" si="1"/>
        <v>#DIV/0!</v>
      </c>
    </row>
    <row r="26" spans="3:10" x14ac:dyDescent="0.35">
      <c r="C26" s="2"/>
    </row>
    <row r="27" spans="3:10" x14ac:dyDescent="0.35">
      <c r="C27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0EE23-6E75-47C9-898E-12C9BF393C79}">
  <dimension ref="A1:Q16"/>
  <sheetViews>
    <sheetView workbookViewId="0">
      <selection activeCell="P49" sqref="P49"/>
    </sheetView>
  </sheetViews>
  <sheetFormatPr defaultColWidth="8.81640625" defaultRowHeight="14.5" x14ac:dyDescent="0.35"/>
  <cols>
    <col min="16" max="16" width="20.1796875" bestFit="1" customWidth="1"/>
  </cols>
  <sheetData>
    <row r="1" spans="1:17" x14ac:dyDescent="0.35">
      <c r="A1" s="1" t="s">
        <v>0</v>
      </c>
      <c r="B1" s="1" t="s">
        <v>1</v>
      </c>
      <c r="C1" s="1" t="s">
        <v>4</v>
      </c>
      <c r="D1" s="1" t="s">
        <v>3</v>
      </c>
      <c r="E1" s="1" t="s">
        <v>6</v>
      </c>
      <c r="F1" s="1" t="s">
        <v>5</v>
      </c>
      <c r="G1" s="1" t="s">
        <v>8</v>
      </c>
      <c r="H1" s="1"/>
    </row>
    <row r="2" spans="1:17" x14ac:dyDescent="0.35">
      <c r="A2">
        <v>1</v>
      </c>
      <c r="B2">
        <v>500</v>
      </c>
      <c r="C2">
        <v>0</v>
      </c>
      <c r="D2">
        <v>0</v>
      </c>
      <c r="E2">
        <v>125.309</v>
      </c>
      <c r="F2">
        <v>15.14</v>
      </c>
      <c r="G2" t="s">
        <v>53</v>
      </c>
      <c r="P2" s="1" t="s">
        <v>45</v>
      </c>
    </row>
    <row r="3" spans="1:17" x14ac:dyDescent="0.35">
      <c r="A3">
        <v>1</v>
      </c>
      <c r="B3">
        <v>500</v>
      </c>
      <c r="C3">
        <v>0</v>
      </c>
      <c r="D3">
        <v>0</v>
      </c>
      <c r="E3">
        <v>124.6832</v>
      </c>
      <c r="F3">
        <v>15.087</v>
      </c>
      <c r="G3" t="s">
        <v>54</v>
      </c>
      <c r="P3" s="4" t="s">
        <v>14</v>
      </c>
      <c r="Q3" s="4">
        <f>0.2294*200-0.6555</f>
        <v>45.224499999999992</v>
      </c>
    </row>
    <row r="4" spans="1:17" x14ac:dyDescent="0.35">
      <c r="A4">
        <v>5</v>
      </c>
      <c r="B4">
        <v>1000</v>
      </c>
      <c r="C4">
        <v>0</v>
      </c>
      <c r="D4">
        <v>0</v>
      </c>
      <c r="E4">
        <v>255.792</v>
      </c>
      <c r="G4" t="s">
        <v>55</v>
      </c>
      <c r="P4" s="7" t="s">
        <v>13</v>
      </c>
      <c r="Q4" s="7">
        <f>0.2294*10000-0.6555</f>
        <v>2293.3445000000002</v>
      </c>
    </row>
    <row r="5" spans="1:17" x14ac:dyDescent="0.35">
      <c r="A5">
        <v>5</v>
      </c>
      <c r="B5">
        <v>1000</v>
      </c>
      <c r="C5">
        <v>0</v>
      </c>
      <c r="D5">
        <v>0</v>
      </c>
      <c r="E5">
        <v>253.82660000000001</v>
      </c>
      <c r="F5">
        <v>28.661999999999999</v>
      </c>
      <c r="G5" t="s">
        <v>56</v>
      </c>
    </row>
    <row r="6" spans="1:17" x14ac:dyDescent="0.35">
      <c r="A6">
        <v>30</v>
      </c>
      <c r="B6">
        <v>2000</v>
      </c>
      <c r="C6">
        <v>3.8237999999999999</v>
      </c>
      <c r="D6">
        <v>0.88300000000000001</v>
      </c>
      <c r="E6">
        <v>511.67750000000001</v>
      </c>
      <c r="F6">
        <v>54.348999999999997</v>
      </c>
      <c r="G6" t="s">
        <v>57</v>
      </c>
    </row>
    <row r="7" spans="1:17" x14ac:dyDescent="0.35">
      <c r="A7">
        <v>30</v>
      </c>
      <c r="B7">
        <v>2000</v>
      </c>
      <c r="C7">
        <v>3.8311999999999999</v>
      </c>
      <c r="D7">
        <v>0.88200000000000001</v>
      </c>
      <c r="E7">
        <v>506.00920000000002</v>
      </c>
      <c r="F7">
        <v>53.698</v>
      </c>
      <c r="G7" t="s">
        <v>58</v>
      </c>
    </row>
    <row r="8" spans="1:17" x14ac:dyDescent="0.35">
      <c r="A8">
        <v>200</v>
      </c>
      <c r="B8">
        <v>10000</v>
      </c>
      <c r="C8">
        <v>47.901200000000003</v>
      </c>
      <c r="D8">
        <v>11.18</v>
      </c>
      <c r="E8">
        <v>2353.8993999999998</v>
      </c>
      <c r="F8">
        <v>208.392</v>
      </c>
      <c r="G8" t="s">
        <v>59</v>
      </c>
    </row>
    <row r="9" spans="1:17" x14ac:dyDescent="0.35">
      <c r="A9">
        <v>200</v>
      </c>
      <c r="B9">
        <v>10000</v>
      </c>
      <c r="C9">
        <v>47.5486</v>
      </c>
      <c r="D9">
        <v>11.135999999999999</v>
      </c>
      <c r="E9">
        <v>2338.8881999999999</v>
      </c>
      <c r="F9">
        <v>206.80699999999999</v>
      </c>
      <c r="G9" t="s">
        <v>61</v>
      </c>
    </row>
    <row r="10" spans="1:17" x14ac:dyDescent="0.35">
      <c r="A10">
        <v>10000</v>
      </c>
      <c r="B10">
        <v>20000</v>
      </c>
      <c r="C10">
        <v>2298.7525999999998</v>
      </c>
      <c r="D10">
        <v>437.99200000000002</v>
      </c>
      <c r="E10">
        <v>3954.8175000000001</v>
      </c>
      <c r="F10">
        <v>313.78500000000003</v>
      </c>
      <c r="G10" t="s">
        <v>62</v>
      </c>
    </row>
    <row r="11" spans="1:17" x14ac:dyDescent="0.35">
      <c r="A11">
        <v>10000</v>
      </c>
      <c r="B11">
        <v>20000</v>
      </c>
      <c r="C11">
        <v>2287.2815000000001</v>
      </c>
      <c r="D11">
        <v>436.69</v>
      </c>
      <c r="E11">
        <v>3911.7064</v>
      </c>
      <c r="F11">
        <v>309.82499999999999</v>
      </c>
      <c r="G11" t="s">
        <v>63</v>
      </c>
    </row>
    <row r="14" spans="1:17" x14ac:dyDescent="0.35">
      <c r="P14" s="1" t="s">
        <v>46</v>
      </c>
    </row>
    <row r="15" spans="1:17" x14ac:dyDescent="0.35">
      <c r="P15" s="4" t="s">
        <v>14</v>
      </c>
      <c r="Q15" s="4">
        <f>0.2326*10000+23.885</f>
        <v>2349.8850000000002</v>
      </c>
    </row>
    <row r="16" spans="1:17" x14ac:dyDescent="0.35">
      <c r="P16" s="7" t="s">
        <v>13</v>
      </c>
      <c r="Q16" s="7">
        <f>0.1587*20000+759.53</f>
        <v>3933.5299999999997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F1D1A-51A9-4667-B7A7-58FCE5B6E50B}">
  <dimension ref="A1:T50"/>
  <sheetViews>
    <sheetView zoomScale="106" workbookViewId="0">
      <pane ySplit="1" topLeftCell="A2" activePane="bottomLeft" state="frozen"/>
      <selection pane="bottomLeft" sqref="A1:P1048576"/>
    </sheetView>
  </sheetViews>
  <sheetFormatPr defaultColWidth="8.81640625" defaultRowHeight="14.5" x14ac:dyDescent="0.35"/>
  <cols>
    <col min="1" max="1" width="8.81640625" style="21"/>
    <col min="5" max="5" width="9.453125" bestFit="1" customWidth="1"/>
    <col min="6" max="6" width="11.81640625" customWidth="1"/>
    <col min="8" max="8" width="10" customWidth="1"/>
    <col min="10" max="10" width="10.453125" bestFit="1" customWidth="1"/>
  </cols>
  <sheetData>
    <row r="1" spans="1:20" s="6" customFormat="1" x14ac:dyDescent="0.35">
      <c r="A1" s="25" t="s">
        <v>15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4</v>
      </c>
      <c r="G1" s="5" t="s">
        <v>3</v>
      </c>
      <c r="H1" s="5" t="s">
        <v>47</v>
      </c>
      <c r="I1" s="5" t="s">
        <v>5</v>
      </c>
      <c r="J1" s="5" t="s">
        <v>24</v>
      </c>
      <c r="K1" s="5" t="s">
        <v>8</v>
      </c>
      <c r="L1" s="5" t="s">
        <v>7</v>
      </c>
      <c r="M1" s="5" t="s">
        <v>25</v>
      </c>
      <c r="N1" s="5" t="s">
        <v>29</v>
      </c>
      <c r="O1" s="5" t="s">
        <v>27</v>
      </c>
      <c r="P1" s="5" t="s">
        <v>28</v>
      </c>
    </row>
    <row r="2" spans="1:20" x14ac:dyDescent="0.35">
      <c r="A2" s="21" t="s">
        <v>70</v>
      </c>
      <c r="B2" t="s">
        <v>64</v>
      </c>
      <c r="C2" t="s">
        <v>66</v>
      </c>
      <c r="D2">
        <v>1</v>
      </c>
      <c r="E2" s="20">
        <v>44755</v>
      </c>
      <c r="F2">
        <v>476.28750000000002</v>
      </c>
      <c r="G2">
        <v>98.492000000000004</v>
      </c>
      <c r="H2">
        <v>327.66680000000002</v>
      </c>
      <c r="I2">
        <v>26.021999999999998</v>
      </c>
      <c r="J2" s="20">
        <v>44848</v>
      </c>
      <c r="K2" t="s">
        <v>68</v>
      </c>
      <c r="L2" t="s">
        <v>67</v>
      </c>
      <c r="O2" t="s">
        <v>65</v>
      </c>
      <c r="R2" s="4" t="s">
        <v>48</v>
      </c>
      <c r="S2" s="4"/>
      <c r="T2" s="4">
        <f>'std curve'!Q3</f>
        <v>45.224499999999992</v>
      </c>
    </row>
    <row r="3" spans="1:20" x14ac:dyDescent="0.35">
      <c r="A3" s="21" t="s">
        <v>71</v>
      </c>
      <c r="B3" t="s">
        <v>64</v>
      </c>
      <c r="C3" t="s">
        <v>66</v>
      </c>
      <c r="D3">
        <v>2</v>
      </c>
      <c r="E3" s="20">
        <v>44755</v>
      </c>
      <c r="F3">
        <v>702.3152</v>
      </c>
      <c r="G3">
        <v>143.34800000000001</v>
      </c>
      <c r="H3">
        <v>549.37699999999995</v>
      </c>
      <c r="I3">
        <v>57.311999999999998</v>
      </c>
      <c r="J3" s="20">
        <v>44848</v>
      </c>
      <c r="K3" t="s">
        <v>69</v>
      </c>
      <c r="O3" t="s">
        <v>65</v>
      </c>
      <c r="R3" s="4" t="s">
        <v>49</v>
      </c>
      <c r="S3" s="4"/>
      <c r="T3" s="4">
        <f>'std curve'!Q15</f>
        <v>2349.8850000000002</v>
      </c>
    </row>
    <row r="4" spans="1:20" x14ac:dyDescent="0.35">
      <c r="A4" s="21" t="s">
        <v>72</v>
      </c>
      <c r="B4" t="s">
        <v>64</v>
      </c>
      <c r="C4" t="s">
        <v>66</v>
      </c>
      <c r="D4">
        <v>3</v>
      </c>
      <c r="E4" s="20">
        <v>44755</v>
      </c>
      <c r="F4">
        <v>352.66910000000001</v>
      </c>
      <c r="G4">
        <v>73.554000000000002</v>
      </c>
      <c r="H4">
        <v>308.05250000000001</v>
      </c>
      <c r="I4">
        <v>33.722000000000001</v>
      </c>
      <c r="J4" s="20">
        <v>44848</v>
      </c>
      <c r="K4" t="s">
        <v>75</v>
      </c>
      <c r="O4" t="s">
        <v>65</v>
      </c>
    </row>
    <row r="5" spans="1:20" x14ac:dyDescent="0.35">
      <c r="A5" s="21" t="s">
        <v>73</v>
      </c>
      <c r="B5" t="s">
        <v>74</v>
      </c>
      <c r="C5" s="18" t="s">
        <v>77</v>
      </c>
      <c r="D5" s="22" t="s">
        <v>76</v>
      </c>
      <c r="E5" s="20">
        <v>44769</v>
      </c>
      <c r="F5">
        <v>1035.9032</v>
      </c>
      <c r="G5">
        <v>207.18600000000001</v>
      </c>
      <c r="H5">
        <v>89.180400000000006</v>
      </c>
      <c r="I5">
        <v>11.08</v>
      </c>
      <c r="J5" s="20">
        <v>44848</v>
      </c>
      <c r="K5" t="s">
        <v>78</v>
      </c>
      <c r="O5" t="s">
        <v>80</v>
      </c>
      <c r="R5" s="7" t="s">
        <v>31</v>
      </c>
      <c r="S5" s="7"/>
      <c r="T5" s="7">
        <f>'std curve'!Q4</f>
        <v>2293.3445000000002</v>
      </c>
    </row>
    <row r="6" spans="1:20" x14ac:dyDescent="0.35">
      <c r="A6" s="21" t="s">
        <v>79</v>
      </c>
      <c r="B6" t="s">
        <v>74</v>
      </c>
      <c r="C6" s="22" t="s">
        <v>82</v>
      </c>
      <c r="D6" t="s">
        <v>10</v>
      </c>
      <c r="E6" s="20">
        <v>44770</v>
      </c>
      <c r="F6">
        <v>1035.3425999999999</v>
      </c>
      <c r="G6">
        <v>207.36699999999999</v>
      </c>
      <c r="H6">
        <v>3.3654000000000002</v>
      </c>
      <c r="I6">
        <v>0.40100000000000002</v>
      </c>
      <c r="J6" s="20">
        <v>44848</v>
      </c>
      <c r="K6" t="s">
        <v>81</v>
      </c>
      <c r="O6" t="s">
        <v>80</v>
      </c>
      <c r="R6" s="7" t="s">
        <v>32</v>
      </c>
      <c r="S6" s="7"/>
      <c r="T6" s="7">
        <f>'std curve'!Q16</f>
        <v>3933.5299999999997</v>
      </c>
    </row>
    <row r="7" spans="1:20" x14ac:dyDescent="0.35">
      <c r="A7" s="21" t="s">
        <v>83</v>
      </c>
      <c r="B7" t="s">
        <v>74</v>
      </c>
      <c r="C7" t="s">
        <v>84</v>
      </c>
      <c r="D7" t="s">
        <v>10</v>
      </c>
      <c r="E7" s="20">
        <v>44770</v>
      </c>
      <c r="F7">
        <v>502.69540000000001</v>
      </c>
      <c r="G7">
        <v>103.77800000000001</v>
      </c>
      <c r="H7">
        <v>1.716</v>
      </c>
      <c r="I7">
        <v>0.19900000000000001</v>
      </c>
      <c r="J7" s="20">
        <v>44848</v>
      </c>
      <c r="K7" t="s">
        <v>85</v>
      </c>
      <c r="O7" t="s">
        <v>80</v>
      </c>
    </row>
    <row r="8" spans="1:20" x14ac:dyDescent="0.35">
      <c r="A8" s="21" t="s">
        <v>86</v>
      </c>
      <c r="B8" t="s">
        <v>74</v>
      </c>
      <c r="C8" t="s">
        <v>87</v>
      </c>
      <c r="D8" t="s">
        <v>10</v>
      </c>
      <c r="E8" s="20">
        <v>44770</v>
      </c>
      <c r="F8">
        <v>1250.8312000000001</v>
      </c>
      <c r="G8">
        <v>247.60400000000001</v>
      </c>
      <c r="H8">
        <v>7.6544999999999996</v>
      </c>
      <c r="I8">
        <v>0.96299999999999997</v>
      </c>
      <c r="J8" s="20">
        <v>44848</v>
      </c>
      <c r="K8" t="s">
        <v>60</v>
      </c>
      <c r="O8" t="s">
        <v>80</v>
      </c>
    </row>
    <row r="9" spans="1:20" x14ac:dyDescent="0.35">
      <c r="A9" s="21" t="s">
        <v>88</v>
      </c>
      <c r="B9" t="s">
        <v>74</v>
      </c>
      <c r="C9" t="s">
        <v>90</v>
      </c>
      <c r="D9" t="s">
        <v>10</v>
      </c>
      <c r="E9" s="20">
        <v>44770</v>
      </c>
      <c r="F9">
        <v>914.82159999999999</v>
      </c>
      <c r="G9">
        <v>184.45500000000001</v>
      </c>
      <c r="H9">
        <v>3.9893999999999998</v>
      </c>
      <c r="I9">
        <v>0.498</v>
      </c>
      <c r="J9" s="20">
        <v>44848</v>
      </c>
      <c r="K9" t="s">
        <v>100</v>
      </c>
      <c r="O9" t="s">
        <v>80</v>
      </c>
    </row>
    <row r="10" spans="1:20" x14ac:dyDescent="0.35">
      <c r="A10" s="21" t="s">
        <v>89</v>
      </c>
      <c r="B10" t="s">
        <v>74</v>
      </c>
      <c r="C10" t="s">
        <v>91</v>
      </c>
      <c r="D10" t="s">
        <v>10</v>
      </c>
      <c r="E10" s="20">
        <v>44770</v>
      </c>
      <c r="F10">
        <v>704.55179999999996</v>
      </c>
      <c r="G10">
        <v>143.60400000000001</v>
      </c>
      <c r="H10">
        <v>1.8378000000000001</v>
      </c>
      <c r="I10">
        <v>0.222</v>
      </c>
      <c r="J10" s="20">
        <v>44848</v>
      </c>
      <c r="K10" t="s">
        <v>102</v>
      </c>
      <c r="O10" t="s">
        <v>80</v>
      </c>
    </row>
    <row r="11" spans="1:20" x14ac:dyDescent="0.35">
      <c r="A11" s="23" t="s">
        <v>30</v>
      </c>
      <c r="B11" t="s">
        <v>10</v>
      </c>
      <c r="C11" t="s">
        <v>10</v>
      </c>
      <c r="D11" t="s">
        <v>10</v>
      </c>
      <c r="E11" t="s">
        <v>10</v>
      </c>
      <c r="F11">
        <v>47.487499999999997</v>
      </c>
      <c r="G11">
        <v>11.166</v>
      </c>
      <c r="H11">
        <v>2214.0268000000001</v>
      </c>
      <c r="I11">
        <v>188.059</v>
      </c>
      <c r="J11" s="20">
        <v>44848</v>
      </c>
      <c r="K11" t="s">
        <v>103</v>
      </c>
      <c r="M11">
        <f>100*(F11-$T$2)/AVERAGE(F11, $T$2)</f>
        <v>4.8817844507722956</v>
      </c>
      <c r="N11">
        <f>100*(H11-$T$3)/AVERAGE(H11,$T$3)</f>
        <v>-5.9535856937463221</v>
      </c>
    </row>
    <row r="12" spans="1:20" x14ac:dyDescent="0.35">
      <c r="A12" s="23" t="s">
        <v>30</v>
      </c>
      <c r="B12" t="s">
        <v>10</v>
      </c>
      <c r="C12" t="s">
        <v>10</v>
      </c>
      <c r="D12" t="s">
        <v>10</v>
      </c>
      <c r="E12" t="s">
        <v>10</v>
      </c>
      <c r="F12">
        <v>47.642899999999997</v>
      </c>
      <c r="G12">
        <v>11.17</v>
      </c>
      <c r="H12">
        <v>2214.2303000000002</v>
      </c>
      <c r="I12">
        <v>188.048</v>
      </c>
      <c r="J12" s="20">
        <v>44848</v>
      </c>
      <c r="K12" t="s">
        <v>104</v>
      </c>
      <c r="M12">
        <f>100*(F12-$T$2)/AVERAGE(F12, $T$2)</f>
        <v>5.2082862231525935</v>
      </c>
      <c r="N12">
        <f>100*(H12-$T$3)/AVERAGE(H12,$T$3)</f>
        <v>-5.9444028506466537</v>
      </c>
    </row>
    <row r="13" spans="1:20" x14ac:dyDescent="0.35">
      <c r="A13" s="21" t="s">
        <v>93</v>
      </c>
      <c r="B13" t="s">
        <v>74</v>
      </c>
      <c r="C13" s="18" t="s">
        <v>92</v>
      </c>
      <c r="D13" t="s">
        <v>10</v>
      </c>
      <c r="E13" s="20">
        <v>44770</v>
      </c>
      <c r="F13" s="24">
        <v>2453.5423999999998</v>
      </c>
      <c r="G13">
        <v>456.78399999999999</v>
      </c>
      <c r="H13">
        <v>28.528500000000001</v>
      </c>
      <c r="I13">
        <v>3.819</v>
      </c>
      <c r="J13" s="20">
        <v>44848</v>
      </c>
      <c r="K13" t="s">
        <v>105</v>
      </c>
      <c r="O13" t="s">
        <v>80</v>
      </c>
    </row>
    <row r="14" spans="1:20" x14ac:dyDescent="0.35">
      <c r="A14" s="21" t="s">
        <v>94</v>
      </c>
      <c r="B14" t="s">
        <v>74</v>
      </c>
      <c r="C14" t="s">
        <v>95</v>
      </c>
      <c r="D14" t="s">
        <v>10</v>
      </c>
      <c r="E14" s="20">
        <v>44770</v>
      </c>
      <c r="F14">
        <v>2035.8119999999999</v>
      </c>
      <c r="G14">
        <v>386.69900000000001</v>
      </c>
      <c r="H14">
        <v>19.241399999999999</v>
      </c>
      <c r="I14">
        <v>2.5499999999999998</v>
      </c>
      <c r="J14" s="20">
        <v>44848</v>
      </c>
      <c r="K14" t="s">
        <v>106</v>
      </c>
      <c r="O14" t="s">
        <v>80</v>
      </c>
    </row>
    <row r="15" spans="1:20" x14ac:dyDescent="0.35">
      <c r="A15" s="21" t="s">
        <v>96</v>
      </c>
      <c r="B15" t="s">
        <v>74</v>
      </c>
      <c r="C15" s="18" t="s">
        <v>97</v>
      </c>
      <c r="D15" t="s">
        <v>10</v>
      </c>
      <c r="E15" s="20">
        <v>44770</v>
      </c>
      <c r="F15" s="24">
        <v>2474.5052000000001</v>
      </c>
      <c r="G15">
        <v>459.86500000000001</v>
      </c>
      <c r="H15">
        <v>46.741599999999998</v>
      </c>
      <c r="I15">
        <v>6.1269999999999998</v>
      </c>
      <c r="J15" s="20">
        <v>44848</v>
      </c>
      <c r="K15" t="s">
        <v>107</v>
      </c>
      <c r="O15" t="s">
        <v>80</v>
      </c>
    </row>
    <row r="16" spans="1:20" x14ac:dyDescent="0.35">
      <c r="A16" s="21" t="s">
        <v>98</v>
      </c>
      <c r="B16" t="s">
        <v>74</v>
      </c>
      <c r="C16" t="s">
        <v>99</v>
      </c>
      <c r="D16" t="s">
        <v>10</v>
      </c>
      <c r="E16" s="20">
        <v>44770</v>
      </c>
      <c r="F16">
        <v>991.11180000000002</v>
      </c>
      <c r="G16">
        <v>198.87299999999999</v>
      </c>
      <c r="H16">
        <v>12.779</v>
      </c>
      <c r="I16">
        <v>1.667</v>
      </c>
      <c r="J16" s="20">
        <v>44848</v>
      </c>
      <c r="K16" t="s">
        <v>108</v>
      </c>
      <c r="O16" t="s">
        <v>80</v>
      </c>
    </row>
    <row r="17" spans="1:15" x14ac:dyDescent="0.35">
      <c r="A17" s="22">
        <v>158</v>
      </c>
      <c r="B17" t="s">
        <v>74</v>
      </c>
      <c r="C17" s="18" t="s">
        <v>101</v>
      </c>
      <c r="D17">
        <v>1</v>
      </c>
      <c r="E17" s="20">
        <v>44770</v>
      </c>
      <c r="F17" s="24">
        <v>1794.4926</v>
      </c>
      <c r="G17">
        <v>345.41199999999998</v>
      </c>
      <c r="H17">
        <v>47.084800000000001</v>
      </c>
      <c r="I17">
        <v>6.1890000000000001</v>
      </c>
      <c r="J17" s="20">
        <v>44848</v>
      </c>
      <c r="K17" t="s">
        <v>109</v>
      </c>
      <c r="O17" t="s">
        <v>80</v>
      </c>
    </row>
    <row r="18" spans="1:15" x14ac:dyDescent="0.35">
      <c r="A18" s="22">
        <v>159</v>
      </c>
      <c r="B18" t="s">
        <v>74</v>
      </c>
      <c r="C18" s="18" t="s">
        <v>101</v>
      </c>
      <c r="D18">
        <v>2</v>
      </c>
      <c r="E18" s="20">
        <v>44770</v>
      </c>
      <c r="F18">
        <v>1703.4448</v>
      </c>
      <c r="G18">
        <v>329.17099999999999</v>
      </c>
      <c r="H18">
        <v>48.064799999999998</v>
      </c>
      <c r="I18">
        <v>6.3049999999999997</v>
      </c>
      <c r="J18" s="20">
        <v>44848</v>
      </c>
      <c r="K18" t="s">
        <v>110</v>
      </c>
      <c r="O18" t="s">
        <v>80</v>
      </c>
    </row>
    <row r="19" spans="1:15" x14ac:dyDescent="0.35">
      <c r="A19" s="22">
        <v>160</v>
      </c>
      <c r="B19" t="s">
        <v>74</v>
      </c>
      <c r="C19" s="18" t="s">
        <v>101</v>
      </c>
      <c r="D19">
        <v>3</v>
      </c>
      <c r="E19" s="20">
        <v>44770</v>
      </c>
      <c r="F19" s="24">
        <v>1610.098</v>
      </c>
      <c r="G19">
        <v>312.59399999999999</v>
      </c>
      <c r="H19">
        <v>25.227</v>
      </c>
      <c r="I19">
        <v>3.3460000000000001</v>
      </c>
      <c r="J19" s="20">
        <v>44848</v>
      </c>
      <c r="K19" t="s">
        <v>111</v>
      </c>
      <c r="O19" t="s">
        <v>80</v>
      </c>
    </row>
    <row r="20" spans="1:15" x14ac:dyDescent="0.35">
      <c r="A20" s="21" t="s">
        <v>112</v>
      </c>
      <c r="B20" t="s">
        <v>64</v>
      </c>
      <c r="C20" s="18" t="s">
        <v>117</v>
      </c>
      <c r="D20" t="s">
        <v>10</v>
      </c>
      <c r="E20" s="20">
        <v>44754</v>
      </c>
      <c r="F20">
        <v>741.86969999999997</v>
      </c>
      <c r="G20">
        <v>150.93799999999999</v>
      </c>
      <c r="H20">
        <v>14.555999999999999</v>
      </c>
      <c r="I20">
        <v>1.889</v>
      </c>
      <c r="J20" s="20">
        <v>44848</v>
      </c>
      <c r="K20" t="s">
        <v>113</v>
      </c>
      <c r="O20" t="s">
        <v>80</v>
      </c>
    </row>
    <row r="21" spans="1:15" x14ac:dyDescent="0.35">
      <c r="A21" s="21" t="s">
        <v>114</v>
      </c>
      <c r="B21" t="s">
        <v>64</v>
      </c>
      <c r="C21" s="18" t="s">
        <v>118</v>
      </c>
      <c r="D21" t="s">
        <v>10</v>
      </c>
      <c r="E21" s="20">
        <v>44754</v>
      </c>
      <c r="F21" s="24">
        <v>1844.3715999999999</v>
      </c>
      <c r="G21">
        <v>353.93299999999999</v>
      </c>
      <c r="H21">
        <v>4.5674000000000001</v>
      </c>
      <c r="I21">
        <v>0.55000000000000004</v>
      </c>
      <c r="J21" s="20">
        <v>44848</v>
      </c>
      <c r="K21" t="s">
        <v>115</v>
      </c>
      <c r="O21" t="s">
        <v>80</v>
      </c>
    </row>
    <row r="22" spans="1:15" x14ac:dyDescent="0.35">
      <c r="A22" s="21" t="s">
        <v>116</v>
      </c>
      <c r="B22" t="s">
        <v>64</v>
      </c>
      <c r="C22" s="18" t="s">
        <v>119</v>
      </c>
      <c r="D22" t="s">
        <v>10</v>
      </c>
      <c r="E22" s="20">
        <v>44754</v>
      </c>
      <c r="F22">
        <v>2424.2204000000002</v>
      </c>
      <c r="G22">
        <v>451.887</v>
      </c>
      <c r="H22">
        <v>2.4228000000000001</v>
      </c>
      <c r="I22">
        <v>0.28399999999999997</v>
      </c>
      <c r="J22" s="20">
        <v>44848</v>
      </c>
      <c r="K22" t="s">
        <v>120</v>
      </c>
      <c r="O22" t="s">
        <v>80</v>
      </c>
    </row>
    <row r="23" spans="1:15" x14ac:dyDescent="0.35">
      <c r="A23" s="23" t="s">
        <v>30</v>
      </c>
      <c r="B23" t="s">
        <v>10</v>
      </c>
      <c r="C23" t="s">
        <v>10</v>
      </c>
      <c r="D23" t="s">
        <v>10</v>
      </c>
      <c r="E23" t="s">
        <v>10</v>
      </c>
      <c r="F23" s="24">
        <v>47.456800000000001</v>
      </c>
      <c r="G23">
        <v>11.195</v>
      </c>
      <c r="H23">
        <v>2165.4133000000002</v>
      </c>
      <c r="I23">
        <v>180.44</v>
      </c>
      <c r="J23" s="20">
        <v>44848</v>
      </c>
      <c r="K23" t="s">
        <v>121</v>
      </c>
      <c r="M23">
        <f>100*(F23-$T$2)/AVERAGE(F23, $T$2)</f>
        <v>4.8171529747640776</v>
      </c>
      <c r="N23">
        <f>100*(H23-$T$3)/AVERAGE(H23,$T$3)</f>
        <v>-8.1709640313243561</v>
      </c>
    </row>
    <row r="24" spans="1:15" x14ac:dyDescent="0.35">
      <c r="A24" s="23" t="s">
        <v>30</v>
      </c>
      <c r="B24" t="s">
        <v>10</v>
      </c>
      <c r="C24" t="s">
        <v>10</v>
      </c>
      <c r="D24" t="s">
        <v>10</v>
      </c>
      <c r="E24" t="s">
        <v>10</v>
      </c>
      <c r="F24">
        <v>47.355899999999998</v>
      </c>
      <c r="G24">
        <v>11.156000000000001</v>
      </c>
      <c r="H24">
        <v>2167.4798000000001</v>
      </c>
      <c r="I24">
        <v>180.66800000000001</v>
      </c>
      <c r="J24" s="20">
        <v>44848</v>
      </c>
      <c r="K24" t="s">
        <v>122</v>
      </c>
      <c r="M24">
        <f>100*(F24-$T$2)/AVERAGE(F24, $T$2)</f>
        <v>4.6044303113834166</v>
      </c>
      <c r="N24">
        <f>100*(H24-$T$3)/AVERAGE(H24,$T$3)</f>
        <v>-8.0757347735122096</v>
      </c>
    </row>
    <row r="25" spans="1:15" x14ac:dyDescent="0.35">
      <c r="A25" s="21" t="s">
        <v>123</v>
      </c>
      <c r="B25" t="s">
        <v>64</v>
      </c>
      <c r="C25" s="18" t="s">
        <v>124</v>
      </c>
      <c r="D25" s="20" t="s">
        <v>10</v>
      </c>
      <c r="E25" s="20">
        <v>44755</v>
      </c>
      <c r="F25" s="24">
        <v>1058.9014</v>
      </c>
      <c r="G25">
        <v>211.703</v>
      </c>
      <c r="H25">
        <v>122.1484</v>
      </c>
      <c r="I25">
        <v>14.433999999999999</v>
      </c>
      <c r="J25" s="20">
        <v>44848</v>
      </c>
      <c r="K25" t="s">
        <v>146</v>
      </c>
      <c r="O25" t="s">
        <v>80</v>
      </c>
    </row>
    <row r="26" spans="1:15" x14ac:dyDescent="0.35">
      <c r="A26" s="21" t="s">
        <v>125</v>
      </c>
      <c r="B26" t="s">
        <v>64</v>
      </c>
      <c r="C26" s="18" t="s">
        <v>137</v>
      </c>
      <c r="D26" s="20" t="s">
        <v>10</v>
      </c>
      <c r="E26" s="20">
        <v>44755</v>
      </c>
      <c r="F26">
        <v>1290.2021999999999</v>
      </c>
      <c r="G26">
        <v>254.952</v>
      </c>
      <c r="H26">
        <v>43.074399999999997</v>
      </c>
      <c r="I26">
        <v>5.6689999999999996</v>
      </c>
      <c r="J26" s="20">
        <v>44848</v>
      </c>
      <c r="K26" t="s">
        <v>147</v>
      </c>
      <c r="O26" t="s">
        <v>80</v>
      </c>
    </row>
    <row r="27" spans="1:15" x14ac:dyDescent="0.35">
      <c r="A27" s="21" t="s">
        <v>126</v>
      </c>
      <c r="B27" t="s">
        <v>64</v>
      </c>
      <c r="C27" s="18" t="s">
        <v>117</v>
      </c>
      <c r="D27" s="20" t="s">
        <v>10</v>
      </c>
      <c r="E27" s="20">
        <v>44755</v>
      </c>
      <c r="F27" s="24">
        <v>145.41329999999999</v>
      </c>
      <c r="G27">
        <v>31.218</v>
      </c>
      <c r="H27">
        <v>6.5603999999999996</v>
      </c>
      <c r="I27">
        <v>0.81599999999999995</v>
      </c>
      <c r="J27" s="20">
        <v>44848</v>
      </c>
      <c r="K27" t="s">
        <v>148</v>
      </c>
      <c r="O27" t="s">
        <v>80</v>
      </c>
    </row>
    <row r="28" spans="1:15" x14ac:dyDescent="0.35">
      <c r="A28" s="21" t="s">
        <v>127</v>
      </c>
      <c r="B28" t="s">
        <v>64</v>
      </c>
      <c r="C28" s="18" t="s">
        <v>138</v>
      </c>
      <c r="D28" s="20" t="s">
        <v>10</v>
      </c>
      <c r="E28" s="20">
        <v>44755</v>
      </c>
      <c r="F28">
        <v>1366.8145</v>
      </c>
      <c r="G28">
        <v>268.57600000000002</v>
      </c>
      <c r="H28">
        <v>75.684200000000004</v>
      </c>
      <c r="I28">
        <v>9.4559999999999995</v>
      </c>
      <c r="J28" s="20">
        <v>44848</v>
      </c>
      <c r="K28" t="s">
        <v>149</v>
      </c>
      <c r="O28" t="s">
        <v>80</v>
      </c>
    </row>
    <row r="29" spans="1:15" x14ac:dyDescent="0.35">
      <c r="A29" s="21" t="s">
        <v>128</v>
      </c>
      <c r="B29" t="s">
        <v>64</v>
      </c>
      <c r="C29" s="18" t="s">
        <v>139</v>
      </c>
      <c r="D29" s="20" t="s">
        <v>10</v>
      </c>
      <c r="E29" s="20">
        <v>44755</v>
      </c>
      <c r="F29" s="24">
        <v>1694.6688999999999</v>
      </c>
      <c r="G29">
        <v>327.56200000000001</v>
      </c>
      <c r="H29">
        <v>68.539299999999997</v>
      </c>
      <c r="I29">
        <v>8.6890000000000001</v>
      </c>
      <c r="J29" s="20">
        <v>44848</v>
      </c>
      <c r="K29" t="s">
        <v>150</v>
      </c>
      <c r="O29" t="s">
        <v>80</v>
      </c>
    </row>
    <row r="30" spans="1:15" x14ac:dyDescent="0.35">
      <c r="A30" s="21" t="s">
        <v>129</v>
      </c>
      <c r="B30" t="s">
        <v>64</v>
      </c>
      <c r="C30" s="18" t="s">
        <v>141</v>
      </c>
      <c r="D30" s="20" t="s">
        <v>10</v>
      </c>
      <c r="E30" s="20">
        <v>44755</v>
      </c>
      <c r="F30">
        <v>1805.2575999999999</v>
      </c>
      <c r="G30">
        <v>346.78300000000002</v>
      </c>
      <c r="H30">
        <v>89.457800000000006</v>
      </c>
      <c r="I30">
        <v>10.968999999999999</v>
      </c>
      <c r="J30" s="20">
        <v>44848</v>
      </c>
      <c r="K30" t="s">
        <v>151</v>
      </c>
      <c r="O30" t="s">
        <v>80</v>
      </c>
    </row>
    <row r="31" spans="1:15" x14ac:dyDescent="0.35">
      <c r="A31" s="21" t="s">
        <v>130</v>
      </c>
      <c r="B31" t="s">
        <v>64</v>
      </c>
      <c r="C31" s="18" t="s">
        <v>142</v>
      </c>
      <c r="D31" s="20" t="s">
        <v>10</v>
      </c>
      <c r="E31" s="20">
        <v>44755</v>
      </c>
      <c r="F31" s="24">
        <v>2094.7024000000001</v>
      </c>
      <c r="G31">
        <v>396.69200000000001</v>
      </c>
      <c r="H31">
        <v>79.061999999999998</v>
      </c>
      <c r="I31">
        <v>9.8330000000000002</v>
      </c>
      <c r="J31" s="20">
        <v>44848</v>
      </c>
      <c r="K31" t="s">
        <v>152</v>
      </c>
      <c r="O31" t="s">
        <v>80</v>
      </c>
    </row>
    <row r="32" spans="1:15" x14ac:dyDescent="0.35">
      <c r="A32" s="21" t="s">
        <v>131</v>
      </c>
      <c r="B32" t="s">
        <v>64</v>
      </c>
      <c r="C32" s="18" t="s">
        <v>140</v>
      </c>
      <c r="D32" s="20" t="s">
        <v>10</v>
      </c>
      <c r="E32" s="20">
        <v>44755</v>
      </c>
      <c r="F32">
        <v>1554.7019</v>
      </c>
      <c r="G32">
        <v>302.87</v>
      </c>
      <c r="H32">
        <v>123.9212</v>
      </c>
      <c r="I32">
        <v>14.612</v>
      </c>
      <c r="J32" s="20">
        <v>44848</v>
      </c>
      <c r="K32" t="s">
        <v>153</v>
      </c>
      <c r="O32" t="s">
        <v>80</v>
      </c>
    </row>
    <row r="33" spans="1:15" x14ac:dyDescent="0.35">
      <c r="A33" s="21" t="s">
        <v>132</v>
      </c>
      <c r="B33" t="s">
        <v>64</v>
      </c>
      <c r="C33" s="18" t="s">
        <v>143</v>
      </c>
      <c r="D33" s="20" t="s">
        <v>10</v>
      </c>
      <c r="E33" s="20">
        <v>44755</v>
      </c>
      <c r="F33" s="24">
        <v>1811.5408</v>
      </c>
      <c r="G33">
        <v>348.10500000000002</v>
      </c>
      <c r="H33">
        <v>138.35059999999999</v>
      </c>
      <c r="I33">
        <v>16.047999999999998</v>
      </c>
      <c r="J33" s="20">
        <v>44848</v>
      </c>
      <c r="K33" t="s">
        <v>154</v>
      </c>
      <c r="O33" t="s">
        <v>80</v>
      </c>
    </row>
    <row r="34" spans="1:15" x14ac:dyDescent="0.35">
      <c r="A34" s="21" t="s">
        <v>133</v>
      </c>
      <c r="B34" t="s">
        <v>64</v>
      </c>
      <c r="C34" s="18" t="s">
        <v>144</v>
      </c>
      <c r="D34" s="20" t="s">
        <v>10</v>
      </c>
      <c r="E34" s="20">
        <v>44755</v>
      </c>
      <c r="F34">
        <v>1944.7167999999999</v>
      </c>
      <c r="G34">
        <v>371.45</v>
      </c>
      <c r="H34">
        <v>121.8112</v>
      </c>
      <c r="I34">
        <v>14.355</v>
      </c>
      <c r="J34" s="20">
        <v>44848</v>
      </c>
      <c r="K34" t="s">
        <v>155</v>
      </c>
      <c r="O34" t="s">
        <v>80</v>
      </c>
    </row>
    <row r="35" spans="1:15" x14ac:dyDescent="0.35">
      <c r="A35" s="23" t="s">
        <v>30</v>
      </c>
      <c r="B35" t="s">
        <v>10</v>
      </c>
      <c r="C35" t="s">
        <v>10</v>
      </c>
      <c r="D35" s="20" t="s">
        <v>10</v>
      </c>
      <c r="E35" s="20" t="s">
        <v>10</v>
      </c>
      <c r="F35" s="24">
        <v>47.1526</v>
      </c>
      <c r="G35">
        <v>11.141999999999999</v>
      </c>
      <c r="H35">
        <v>2143.8973000000001</v>
      </c>
      <c r="I35">
        <v>176.48500000000001</v>
      </c>
      <c r="J35" s="20">
        <v>44848</v>
      </c>
      <c r="K35" t="s">
        <v>156</v>
      </c>
      <c r="M35">
        <f>100*(F35-$T$2)/AVERAGE(F35, $T$2)</f>
        <v>4.1744111906522461</v>
      </c>
      <c r="N35">
        <f>100*(H35-$T$3)/AVERAGE(H35,$T$3)</f>
        <v>-9.1676759686378251</v>
      </c>
    </row>
    <row r="36" spans="1:15" x14ac:dyDescent="0.35">
      <c r="A36" s="23" t="s">
        <v>30</v>
      </c>
      <c r="B36" t="s">
        <v>10</v>
      </c>
      <c r="C36" t="s">
        <v>10</v>
      </c>
      <c r="D36" s="20" t="s">
        <v>10</v>
      </c>
      <c r="E36" t="s">
        <v>10</v>
      </c>
      <c r="F36">
        <v>47.179699999999997</v>
      </c>
      <c r="G36">
        <v>11.135</v>
      </c>
      <c r="H36">
        <v>2133.3964999999998</v>
      </c>
      <c r="I36">
        <v>175.61699999999999</v>
      </c>
      <c r="J36" s="20">
        <v>44848</v>
      </c>
      <c r="K36" t="s">
        <v>157</v>
      </c>
      <c r="M36">
        <f>100*(F36-$T$2)/AVERAGE(F36, $T$2)</f>
        <v>4.2318422755675718</v>
      </c>
      <c r="N36">
        <f>100*(H36-$T$3)/AVERAGE(H36,$T$3)</f>
        <v>-9.6575912085823923</v>
      </c>
    </row>
    <row r="37" spans="1:15" x14ac:dyDescent="0.35">
      <c r="A37" s="21" t="s">
        <v>135</v>
      </c>
      <c r="B37" t="s">
        <v>136</v>
      </c>
      <c r="C37" t="s">
        <v>136</v>
      </c>
      <c r="D37" t="s">
        <v>136</v>
      </c>
      <c r="E37" t="s">
        <v>136</v>
      </c>
      <c r="F37" s="24">
        <v>1832.2094</v>
      </c>
      <c r="G37">
        <v>351.70499999999998</v>
      </c>
      <c r="H37">
        <v>142.7422</v>
      </c>
      <c r="I37">
        <v>16.445</v>
      </c>
      <c r="J37" s="20">
        <v>44848</v>
      </c>
      <c r="K37" t="s">
        <v>158</v>
      </c>
      <c r="O37" t="s">
        <v>80</v>
      </c>
    </row>
    <row r="38" spans="1:15" x14ac:dyDescent="0.35">
      <c r="A38" s="21" t="s">
        <v>134</v>
      </c>
      <c r="B38" t="s">
        <v>64</v>
      </c>
      <c r="C38" s="18" t="s">
        <v>145</v>
      </c>
      <c r="D38" s="20" t="s">
        <v>10</v>
      </c>
      <c r="E38" s="20">
        <v>44755</v>
      </c>
      <c r="F38">
        <v>2285.5158000000001</v>
      </c>
      <c r="G38">
        <v>428.57499999999999</v>
      </c>
      <c r="H38">
        <v>107.645</v>
      </c>
      <c r="I38">
        <v>12.824999999999999</v>
      </c>
      <c r="J38" s="20">
        <v>44848</v>
      </c>
      <c r="K38" t="s">
        <v>159</v>
      </c>
      <c r="O38" t="s">
        <v>80</v>
      </c>
    </row>
    <row r="39" spans="1:15" x14ac:dyDescent="0.35">
      <c r="A39" s="21" t="s">
        <v>10</v>
      </c>
      <c r="B39" t="s">
        <v>10</v>
      </c>
      <c r="C39" s="18" t="s">
        <v>10</v>
      </c>
      <c r="D39" s="20" t="s">
        <v>10</v>
      </c>
      <c r="E39" s="20" t="s">
        <v>10</v>
      </c>
      <c r="F39" s="24">
        <v>8.7383000000000006</v>
      </c>
      <c r="G39">
        <v>2.089</v>
      </c>
      <c r="H39">
        <v>2.3462000000000001</v>
      </c>
      <c r="I39">
        <v>0.27800000000000002</v>
      </c>
      <c r="J39" s="20">
        <v>44848</v>
      </c>
      <c r="K39" t="s">
        <v>167</v>
      </c>
      <c r="L39" t="s">
        <v>179</v>
      </c>
    </row>
    <row r="40" spans="1:15" x14ac:dyDescent="0.35">
      <c r="A40" s="21" t="s">
        <v>10</v>
      </c>
      <c r="B40" t="s">
        <v>10</v>
      </c>
      <c r="C40" t="s">
        <v>10</v>
      </c>
      <c r="D40" s="20" t="s">
        <v>10</v>
      </c>
      <c r="E40" s="20" t="s">
        <v>10</v>
      </c>
      <c r="F40">
        <v>2216.1125999999999</v>
      </c>
      <c r="G40">
        <v>417.31200000000001</v>
      </c>
      <c r="H40">
        <v>46.552599999999998</v>
      </c>
      <c r="I40">
        <v>6.0830000000000002</v>
      </c>
      <c r="J40" s="20">
        <v>44848</v>
      </c>
      <c r="K40" t="s">
        <v>168</v>
      </c>
      <c r="L40" t="s">
        <v>180</v>
      </c>
    </row>
    <row r="41" spans="1:15" x14ac:dyDescent="0.35">
      <c r="A41" s="21" t="s">
        <v>160</v>
      </c>
      <c r="B41" t="s">
        <v>64</v>
      </c>
      <c r="C41" t="s">
        <v>174</v>
      </c>
      <c r="D41" s="20" t="s">
        <v>10</v>
      </c>
      <c r="E41" s="20">
        <v>44748</v>
      </c>
      <c r="F41" s="24">
        <v>1.1524000000000001</v>
      </c>
      <c r="G41">
        <v>0.249</v>
      </c>
      <c r="H41">
        <v>1.6958</v>
      </c>
      <c r="I41">
        <v>0.20200000000000001</v>
      </c>
      <c r="J41" s="20">
        <v>44848</v>
      </c>
      <c r="K41" t="s">
        <v>169</v>
      </c>
      <c r="O41" t="s">
        <v>80</v>
      </c>
    </row>
    <row r="42" spans="1:15" x14ac:dyDescent="0.35">
      <c r="A42" s="21" t="s">
        <v>160</v>
      </c>
      <c r="B42" t="s">
        <v>64</v>
      </c>
      <c r="C42" t="s">
        <v>174</v>
      </c>
      <c r="D42" s="20" t="s">
        <v>10</v>
      </c>
      <c r="E42" s="20">
        <v>44748</v>
      </c>
      <c r="F42" s="24">
        <v>118.99460000000001</v>
      </c>
      <c r="G42">
        <v>25.911000000000001</v>
      </c>
      <c r="H42">
        <v>185.15969999999999</v>
      </c>
      <c r="I42">
        <v>20.716999999999999</v>
      </c>
      <c r="J42" s="20">
        <v>44848</v>
      </c>
      <c r="K42" t="s">
        <v>170</v>
      </c>
    </row>
    <row r="43" spans="1:15" x14ac:dyDescent="0.35">
      <c r="A43" s="21" t="s">
        <v>161</v>
      </c>
      <c r="B43" t="s">
        <v>64</v>
      </c>
      <c r="C43" t="s">
        <v>175</v>
      </c>
      <c r="D43" s="20" t="s">
        <v>10</v>
      </c>
      <c r="E43" s="20">
        <v>44748</v>
      </c>
      <c r="F43" s="24">
        <v>2198.0657999999999</v>
      </c>
      <c r="G43">
        <v>413.959</v>
      </c>
      <c r="H43">
        <v>45.690800000000003</v>
      </c>
      <c r="I43">
        <v>5.99</v>
      </c>
      <c r="J43" s="20">
        <v>44848</v>
      </c>
      <c r="K43" t="s">
        <v>171</v>
      </c>
      <c r="O43" t="s">
        <v>80</v>
      </c>
    </row>
    <row r="44" spans="1:15" x14ac:dyDescent="0.35">
      <c r="A44" s="21" t="s">
        <v>162</v>
      </c>
      <c r="B44" t="s">
        <v>64</v>
      </c>
      <c r="C44" t="s">
        <v>176</v>
      </c>
      <c r="D44" s="20" t="s">
        <v>10</v>
      </c>
      <c r="E44" s="20">
        <v>44748</v>
      </c>
      <c r="F44" s="24">
        <v>1478.5723</v>
      </c>
      <c r="G44">
        <v>289.08</v>
      </c>
      <c r="H44">
        <v>19.160399999999999</v>
      </c>
      <c r="I44">
        <v>2.5</v>
      </c>
      <c r="J44" s="20">
        <v>44848</v>
      </c>
      <c r="K44" t="s">
        <v>172</v>
      </c>
    </row>
    <row r="45" spans="1:15" x14ac:dyDescent="0.35">
      <c r="A45" s="21" t="s">
        <v>163</v>
      </c>
      <c r="B45" t="s">
        <v>64</v>
      </c>
      <c r="C45" t="s">
        <v>175</v>
      </c>
      <c r="D45" s="20" t="s">
        <v>10</v>
      </c>
      <c r="E45" s="20">
        <v>44748</v>
      </c>
      <c r="F45" s="24">
        <v>526.20180000000005</v>
      </c>
      <c r="G45">
        <v>108.563</v>
      </c>
      <c r="H45">
        <v>42.323</v>
      </c>
      <c r="I45">
        <v>5.5510000000000002</v>
      </c>
      <c r="J45" s="20">
        <v>44848</v>
      </c>
      <c r="K45" t="s">
        <v>173</v>
      </c>
    </row>
    <row r="46" spans="1:15" x14ac:dyDescent="0.35">
      <c r="A46" s="21" t="s">
        <v>164</v>
      </c>
      <c r="B46" t="s">
        <v>64</v>
      </c>
      <c r="C46" t="s">
        <v>177</v>
      </c>
      <c r="D46" s="20" t="s">
        <v>10</v>
      </c>
      <c r="E46" s="20">
        <v>44748</v>
      </c>
      <c r="F46" s="24">
        <v>2288.3820999999998</v>
      </c>
      <c r="G46">
        <v>429.21800000000002</v>
      </c>
      <c r="H46">
        <v>133.934</v>
      </c>
      <c r="I46">
        <v>15.505000000000001</v>
      </c>
      <c r="J46" s="20">
        <v>44848</v>
      </c>
      <c r="K46" t="s">
        <v>181</v>
      </c>
    </row>
    <row r="47" spans="1:15" x14ac:dyDescent="0.35">
      <c r="A47" s="21" t="s">
        <v>165</v>
      </c>
      <c r="B47" t="s">
        <v>64</v>
      </c>
      <c r="C47" t="s">
        <v>178</v>
      </c>
      <c r="D47" s="20" t="s">
        <v>10</v>
      </c>
      <c r="E47" s="20">
        <v>44748</v>
      </c>
      <c r="F47" s="24">
        <v>1757.7132999999999</v>
      </c>
      <c r="G47">
        <v>338.85599999999999</v>
      </c>
      <c r="H47">
        <v>18.4192</v>
      </c>
      <c r="I47">
        <v>2.4020000000000001</v>
      </c>
      <c r="J47" s="20">
        <v>44848</v>
      </c>
      <c r="K47" t="s">
        <v>182</v>
      </c>
    </row>
    <row r="48" spans="1:15" x14ac:dyDescent="0.35">
      <c r="A48" s="21" t="s">
        <v>166</v>
      </c>
      <c r="B48" t="s">
        <v>136</v>
      </c>
      <c r="C48" t="s">
        <v>136</v>
      </c>
      <c r="D48" t="s">
        <v>136</v>
      </c>
      <c r="E48" t="s">
        <v>136</v>
      </c>
      <c r="F48" s="24">
        <v>2.7833999999999999</v>
      </c>
      <c r="G48">
        <v>0.625</v>
      </c>
      <c r="H48">
        <v>1.3646</v>
      </c>
      <c r="I48">
        <v>0.157</v>
      </c>
      <c r="J48" s="20">
        <v>44848</v>
      </c>
      <c r="K48" t="s">
        <v>183</v>
      </c>
      <c r="L48" t="s">
        <v>186</v>
      </c>
    </row>
    <row r="49" spans="1:14" x14ac:dyDescent="0.35">
      <c r="A49" s="23" t="s">
        <v>30</v>
      </c>
      <c r="B49" t="s">
        <v>10</v>
      </c>
      <c r="C49" t="s">
        <v>10</v>
      </c>
      <c r="D49" s="20" t="s">
        <v>10</v>
      </c>
      <c r="E49" t="s">
        <v>10</v>
      </c>
      <c r="F49" s="24">
        <v>45.386400000000002</v>
      </c>
      <c r="G49">
        <v>10.778</v>
      </c>
      <c r="H49">
        <v>2033.0087000000001</v>
      </c>
      <c r="I49">
        <v>165.99799999999999</v>
      </c>
      <c r="J49" s="20">
        <v>44848</v>
      </c>
      <c r="K49" t="s">
        <v>184</v>
      </c>
      <c r="M49">
        <f>100*(F49-$T$2)/AVERAGE(F49, $T$2)</f>
        <v>0.35735215078982763</v>
      </c>
      <c r="N49">
        <f>100*(H49-$T$3)/AVERAGE(H49,$T$3)</f>
        <v>-14.459684477403597</v>
      </c>
    </row>
    <row r="50" spans="1:14" x14ac:dyDescent="0.35">
      <c r="A50" s="23" t="s">
        <v>30</v>
      </c>
      <c r="B50" t="s">
        <v>10</v>
      </c>
      <c r="C50" t="s">
        <v>10</v>
      </c>
      <c r="D50" s="20" t="s">
        <v>10</v>
      </c>
      <c r="E50" t="s">
        <v>10</v>
      </c>
      <c r="F50" s="24">
        <v>45.410400000000003</v>
      </c>
      <c r="G50">
        <v>10.79</v>
      </c>
      <c r="H50">
        <v>2040.8905999999999</v>
      </c>
      <c r="I50">
        <v>166.53</v>
      </c>
      <c r="J50" s="20">
        <v>44848</v>
      </c>
      <c r="K50" t="s">
        <v>185</v>
      </c>
      <c r="M50">
        <f>100*(F50-$T$2)/AVERAGE(F50, $T$2)</f>
        <v>0.41021725626664973</v>
      </c>
      <c r="N50">
        <f>100*(H50-$T$3)/AVERAGE(H50,$T$3)</f>
        <v>-14.074706983431369</v>
      </c>
    </row>
  </sheetData>
  <conditionalFormatting sqref="G2:H39 F1:F1048576 G40:G667 H40:H50">
    <cfRule type="cellIs" dxfId="1" priority="4" operator="greaterThan">
      <formula>$T$5</formula>
    </cfRule>
  </conditionalFormatting>
  <conditionalFormatting sqref="I2:I697">
    <cfRule type="cellIs" dxfId="0" priority="3" operator="greaterThan">
      <formula>$T$6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6EDC7-21E6-40AF-9142-D2ACED924FE0}">
  <dimension ref="A1:U50"/>
  <sheetViews>
    <sheetView workbookViewId="0">
      <selection activeCell="E16" sqref="E16"/>
    </sheetView>
  </sheetViews>
  <sheetFormatPr defaultRowHeight="14.5" x14ac:dyDescent="0.35"/>
  <cols>
    <col min="1" max="1" width="8.7265625" style="21"/>
    <col min="5" max="5" width="9.453125" bestFit="1" customWidth="1"/>
    <col min="6" max="6" width="11.81640625" customWidth="1"/>
    <col min="7" max="7" width="8.81640625"/>
    <col min="8" max="8" width="10" customWidth="1"/>
    <col min="9" max="9" width="8.81640625"/>
    <col min="10" max="10" width="10.453125" bestFit="1" customWidth="1"/>
  </cols>
  <sheetData>
    <row r="1" spans="1:21" ht="58" x14ac:dyDescent="0.35">
      <c r="A1" s="25" t="s">
        <v>15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4</v>
      </c>
      <c r="G1" s="5" t="s">
        <v>3</v>
      </c>
      <c r="H1" s="5" t="s">
        <v>47</v>
      </c>
      <c r="I1" s="5" t="s">
        <v>5</v>
      </c>
      <c r="J1" s="5" t="s">
        <v>24</v>
      </c>
      <c r="K1" s="5" t="s">
        <v>8</v>
      </c>
      <c r="L1" s="5" t="s">
        <v>7</v>
      </c>
      <c r="M1" s="5" t="s">
        <v>27</v>
      </c>
      <c r="N1" s="5" t="s">
        <v>28</v>
      </c>
      <c r="O1" s="19" t="s">
        <v>237</v>
      </c>
      <c r="P1" s="19" t="s">
        <v>238</v>
      </c>
      <c r="Q1" s="19" t="s">
        <v>239</v>
      </c>
      <c r="R1" s="19" t="s">
        <v>240</v>
      </c>
      <c r="S1" s="19" t="s">
        <v>241</v>
      </c>
      <c r="T1" s="19" t="s">
        <v>242</v>
      </c>
      <c r="U1" s="19" t="s">
        <v>243</v>
      </c>
    </row>
    <row r="2" spans="1:21" x14ac:dyDescent="0.35">
      <c r="A2" s="21" t="s">
        <v>70</v>
      </c>
      <c r="B2" t="s">
        <v>64</v>
      </c>
      <c r="C2" t="s">
        <v>66</v>
      </c>
      <c r="D2">
        <v>1</v>
      </c>
      <c r="E2" s="20">
        <v>44755</v>
      </c>
      <c r="F2">
        <v>476.28750000000002</v>
      </c>
      <c r="G2">
        <v>98.492000000000004</v>
      </c>
      <c r="H2">
        <v>327.66680000000002</v>
      </c>
      <c r="I2">
        <v>26.021999999999998</v>
      </c>
      <c r="J2" s="20">
        <v>44848</v>
      </c>
      <c r="K2" t="s">
        <v>68</v>
      </c>
      <c r="L2" t="s">
        <v>67</v>
      </c>
      <c r="M2" t="s">
        <v>65</v>
      </c>
      <c r="O2" t="str">
        <f>IF(H2&gt;'std curve'!$Q$15, "high", "low")</f>
        <v>low</v>
      </c>
    </row>
    <row r="3" spans="1:21" x14ac:dyDescent="0.35">
      <c r="A3" s="21" t="s">
        <v>71</v>
      </c>
      <c r="B3" t="s">
        <v>64</v>
      </c>
      <c r="C3" t="s">
        <v>66</v>
      </c>
      <c r="D3">
        <v>2</v>
      </c>
      <c r="E3" s="20">
        <v>44755</v>
      </c>
      <c r="F3">
        <v>702.3152</v>
      </c>
      <c r="G3">
        <v>143.34800000000001</v>
      </c>
      <c r="H3">
        <v>549.37699999999995</v>
      </c>
      <c r="I3">
        <v>57.311999999999998</v>
      </c>
      <c r="J3" s="20">
        <v>44848</v>
      </c>
      <c r="K3" t="s">
        <v>69</v>
      </c>
      <c r="L3" t="s">
        <v>10</v>
      </c>
      <c r="M3" t="s">
        <v>65</v>
      </c>
      <c r="O3" t="str">
        <f>IF(H3&gt;'std curve'!$Q$15, "high", "low")</f>
        <v>low</v>
      </c>
    </row>
    <row r="4" spans="1:21" x14ac:dyDescent="0.35">
      <c r="A4" s="21" t="s">
        <v>72</v>
      </c>
      <c r="B4" t="s">
        <v>64</v>
      </c>
      <c r="C4" t="s">
        <v>66</v>
      </c>
      <c r="D4">
        <v>3</v>
      </c>
      <c r="E4" s="20">
        <v>44755</v>
      </c>
      <c r="F4">
        <v>352.66910000000001</v>
      </c>
      <c r="G4">
        <v>73.554000000000002</v>
      </c>
      <c r="H4">
        <v>308.05250000000001</v>
      </c>
      <c r="I4">
        <v>33.722000000000001</v>
      </c>
      <c r="J4" s="20">
        <v>44848</v>
      </c>
      <c r="K4" t="s">
        <v>75</v>
      </c>
      <c r="L4" t="s">
        <v>10</v>
      </c>
      <c r="M4" t="s">
        <v>65</v>
      </c>
      <c r="O4" t="str">
        <f>IF(H4&gt;'std curve'!$Q$15, "high", "low")</f>
        <v>low</v>
      </c>
    </row>
    <row r="5" spans="1:21" x14ac:dyDescent="0.35">
      <c r="A5" s="21" t="s">
        <v>73</v>
      </c>
      <c r="B5" t="s">
        <v>74</v>
      </c>
      <c r="C5" s="18" t="s">
        <v>77</v>
      </c>
      <c r="D5" s="22" t="s">
        <v>76</v>
      </c>
      <c r="E5" s="20">
        <v>44769</v>
      </c>
      <c r="F5">
        <v>1035.9032</v>
      </c>
      <c r="G5">
        <v>207.18600000000001</v>
      </c>
      <c r="H5">
        <v>89.180400000000006</v>
      </c>
      <c r="I5">
        <v>11.08</v>
      </c>
      <c r="J5" s="20">
        <v>44848</v>
      </c>
      <c r="K5" t="s">
        <v>78</v>
      </c>
      <c r="L5" t="s">
        <v>10</v>
      </c>
      <c r="M5" t="s">
        <v>80</v>
      </c>
      <c r="O5" t="str">
        <f>IF(H5&gt;'std curve'!$Q$15, "high", "low")</f>
        <v>low</v>
      </c>
    </row>
    <row r="6" spans="1:21" x14ac:dyDescent="0.35">
      <c r="A6" s="21" t="s">
        <v>79</v>
      </c>
      <c r="B6" t="s">
        <v>74</v>
      </c>
      <c r="C6" s="22" t="s">
        <v>82</v>
      </c>
      <c r="D6" t="s">
        <v>10</v>
      </c>
      <c r="E6" s="20">
        <v>44770</v>
      </c>
      <c r="F6">
        <v>1035.3425999999999</v>
      </c>
      <c r="G6">
        <v>207.36699999999999</v>
      </c>
      <c r="H6">
        <v>3.3654000000000002</v>
      </c>
      <c r="I6">
        <v>0.40100000000000002</v>
      </c>
      <c r="J6" s="20">
        <v>44848</v>
      </c>
      <c r="K6" t="s">
        <v>81</v>
      </c>
      <c r="L6" t="s">
        <v>10</v>
      </c>
      <c r="M6" t="s">
        <v>80</v>
      </c>
      <c r="O6" t="str">
        <f>IF(H6&gt;'std curve'!$Q$15, "high", "low")</f>
        <v>low</v>
      </c>
    </row>
    <row r="7" spans="1:21" x14ac:dyDescent="0.35">
      <c r="A7" s="21" t="s">
        <v>83</v>
      </c>
      <c r="B7" t="s">
        <v>74</v>
      </c>
      <c r="C7" t="s">
        <v>84</v>
      </c>
      <c r="D7" t="s">
        <v>10</v>
      </c>
      <c r="E7" s="20">
        <v>44770</v>
      </c>
      <c r="F7">
        <v>502.69540000000001</v>
      </c>
      <c r="G7">
        <v>103.77800000000001</v>
      </c>
      <c r="H7">
        <v>1.716</v>
      </c>
      <c r="I7">
        <v>0.19900000000000001</v>
      </c>
      <c r="J7" s="20">
        <v>44848</v>
      </c>
      <c r="K7" t="s">
        <v>85</v>
      </c>
      <c r="L7" t="s">
        <v>10</v>
      </c>
      <c r="M7" t="s">
        <v>80</v>
      </c>
      <c r="O7" t="str">
        <f>IF(H7&gt;'std curve'!$Q$15, "high", "low")</f>
        <v>low</v>
      </c>
    </row>
    <row r="8" spans="1:21" x14ac:dyDescent="0.35">
      <c r="A8" s="21" t="s">
        <v>86</v>
      </c>
      <c r="B8" t="s">
        <v>74</v>
      </c>
      <c r="C8" t="s">
        <v>87</v>
      </c>
      <c r="D8" t="s">
        <v>10</v>
      </c>
      <c r="E8" s="20">
        <v>44770</v>
      </c>
      <c r="F8">
        <v>1250.8312000000001</v>
      </c>
      <c r="G8">
        <v>247.60400000000001</v>
      </c>
      <c r="H8">
        <v>7.6544999999999996</v>
      </c>
      <c r="I8">
        <v>0.96299999999999997</v>
      </c>
      <c r="J8" s="20">
        <v>44848</v>
      </c>
      <c r="K8" t="s">
        <v>60</v>
      </c>
      <c r="L8" t="s">
        <v>10</v>
      </c>
      <c r="M8" t="s">
        <v>80</v>
      </c>
      <c r="O8" t="str">
        <f>IF(H8&gt;'std curve'!$Q$15, "high", "low")</f>
        <v>low</v>
      </c>
    </row>
    <row r="9" spans="1:21" x14ac:dyDescent="0.35">
      <c r="A9" s="21" t="s">
        <v>88</v>
      </c>
      <c r="B9" t="s">
        <v>74</v>
      </c>
      <c r="C9" t="s">
        <v>90</v>
      </c>
      <c r="D9" t="s">
        <v>10</v>
      </c>
      <c r="E9" s="20">
        <v>44770</v>
      </c>
      <c r="F9">
        <v>914.82159999999999</v>
      </c>
      <c r="G9">
        <v>184.45500000000001</v>
      </c>
      <c r="H9">
        <v>3.9893999999999998</v>
      </c>
      <c r="I9">
        <v>0.498</v>
      </c>
      <c r="J9" s="20">
        <v>44848</v>
      </c>
      <c r="K9" t="s">
        <v>100</v>
      </c>
      <c r="L9" t="s">
        <v>10</v>
      </c>
      <c r="M9" t="s">
        <v>80</v>
      </c>
      <c r="O9" t="str">
        <f>IF(H9&gt;'std curve'!$Q$15, "high", "low")</f>
        <v>low</v>
      </c>
    </row>
    <row r="10" spans="1:21" x14ac:dyDescent="0.35">
      <c r="A10" s="21" t="s">
        <v>89</v>
      </c>
      <c r="B10" t="s">
        <v>74</v>
      </c>
      <c r="C10" t="s">
        <v>91</v>
      </c>
      <c r="D10" t="s">
        <v>10</v>
      </c>
      <c r="E10" s="20">
        <v>44770</v>
      </c>
      <c r="F10">
        <v>704.55179999999996</v>
      </c>
      <c r="G10">
        <v>143.60400000000001</v>
      </c>
      <c r="H10">
        <v>1.8378000000000001</v>
      </c>
      <c r="I10">
        <v>0.222</v>
      </c>
      <c r="J10" s="20">
        <v>44848</v>
      </c>
      <c r="K10" t="s">
        <v>102</v>
      </c>
      <c r="L10" t="s">
        <v>10</v>
      </c>
      <c r="M10" t="s">
        <v>80</v>
      </c>
      <c r="O10" t="str">
        <f>IF(H10&gt;'std curve'!$Q$15, "high", "low")</f>
        <v>low</v>
      </c>
    </row>
    <row r="11" spans="1:21" x14ac:dyDescent="0.35">
      <c r="A11" s="23" t="s">
        <v>30</v>
      </c>
      <c r="B11" t="s">
        <v>10</v>
      </c>
      <c r="C11" t="s">
        <v>10</v>
      </c>
      <c r="D11" t="s">
        <v>10</v>
      </c>
      <c r="E11" t="s">
        <v>10</v>
      </c>
      <c r="F11">
        <v>47.487499999999997</v>
      </c>
      <c r="G11">
        <v>11.166</v>
      </c>
      <c r="H11">
        <v>2214.0268000000001</v>
      </c>
      <c r="I11">
        <v>188.059</v>
      </c>
      <c r="J11" s="20">
        <v>44848</v>
      </c>
      <c r="K11" t="s">
        <v>103</v>
      </c>
      <c r="L11" t="s">
        <v>10</v>
      </c>
      <c r="M11" t="s">
        <v>10</v>
      </c>
      <c r="O11" t="str">
        <f>IF(H11&gt;'std curve'!$Q$15, "high", "low")</f>
        <v>low</v>
      </c>
    </row>
    <row r="12" spans="1:21" x14ac:dyDescent="0.35">
      <c r="A12" s="23" t="s">
        <v>30</v>
      </c>
      <c r="B12" t="s">
        <v>10</v>
      </c>
      <c r="C12" t="s">
        <v>10</v>
      </c>
      <c r="D12" t="s">
        <v>10</v>
      </c>
      <c r="E12" t="s">
        <v>10</v>
      </c>
      <c r="F12">
        <v>47.642899999999997</v>
      </c>
      <c r="G12">
        <v>11.17</v>
      </c>
      <c r="H12">
        <v>2214.2303000000002</v>
      </c>
      <c r="I12">
        <v>188.048</v>
      </c>
      <c r="J12" s="20">
        <v>44848</v>
      </c>
      <c r="K12" t="s">
        <v>104</v>
      </c>
      <c r="L12" t="s">
        <v>10</v>
      </c>
      <c r="M12" t="s">
        <v>10</v>
      </c>
      <c r="O12" t="str">
        <f>IF(H12&gt;'std curve'!$Q$15, "high", "low")</f>
        <v>low</v>
      </c>
    </row>
    <row r="13" spans="1:21" x14ac:dyDescent="0.35">
      <c r="A13" s="21" t="s">
        <v>93</v>
      </c>
      <c r="B13" t="s">
        <v>74</v>
      </c>
      <c r="C13" s="18" t="s">
        <v>92</v>
      </c>
      <c r="D13" t="s">
        <v>10</v>
      </c>
      <c r="E13" s="20">
        <v>44770</v>
      </c>
      <c r="F13" s="27">
        <v>2453.5423999999998</v>
      </c>
      <c r="G13">
        <v>456.78399999999999</v>
      </c>
      <c r="H13">
        <v>28.528500000000001</v>
      </c>
      <c r="I13">
        <v>3.819</v>
      </c>
      <c r="J13" s="20">
        <v>44848</v>
      </c>
      <c r="K13" t="s">
        <v>105</v>
      </c>
      <c r="L13" t="s">
        <v>10</v>
      </c>
      <c r="M13" t="s">
        <v>80</v>
      </c>
      <c r="O13" t="str">
        <f>IF(H13&gt;'std curve'!$Q$15, "high", "low")</f>
        <v>low</v>
      </c>
    </row>
    <row r="14" spans="1:21" x14ac:dyDescent="0.35">
      <c r="A14" s="21" t="s">
        <v>94</v>
      </c>
      <c r="B14" t="s">
        <v>74</v>
      </c>
      <c r="C14" t="s">
        <v>95</v>
      </c>
      <c r="D14" t="s">
        <v>10</v>
      </c>
      <c r="E14" s="20">
        <v>44770</v>
      </c>
      <c r="F14" s="27">
        <v>2035.8119999999999</v>
      </c>
      <c r="G14">
        <v>386.69900000000001</v>
      </c>
      <c r="H14">
        <v>19.241399999999999</v>
      </c>
      <c r="I14">
        <v>2.5499999999999998</v>
      </c>
      <c r="J14" s="20">
        <v>44848</v>
      </c>
      <c r="K14" t="s">
        <v>106</v>
      </c>
      <c r="L14" t="s">
        <v>10</v>
      </c>
      <c r="M14" t="s">
        <v>80</v>
      </c>
      <c r="O14" t="str">
        <f>IF(H14&gt;'std curve'!$Q$15, "high", "low")</f>
        <v>low</v>
      </c>
    </row>
    <row r="15" spans="1:21" x14ac:dyDescent="0.35">
      <c r="A15" s="21" t="s">
        <v>96</v>
      </c>
      <c r="B15" t="s">
        <v>74</v>
      </c>
      <c r="C15" s="18" t="s">
        <v>97</v>
      </c>
      <c r="D15" t="s">
        <v>10</v>
      </c>
      <c r="E15" s="20">
        <v>44770</v>
      </c>
      <c r="F15" s="27">
        <v>2474.5052000000001</v>
      </c>
      <c r="G15">
        <v>459.86500000000001</v>
      </c>
      <c r="H15">
        <v>46.741599999999998</v>
      </c>
      <c r="I15">
        <v>6.1269999999999998</v>
      </c>
      <c r="J15" s="20">
        <v>44848</v>
      </c>
      <c r="K15" t="s">
        <v>107</v>
      </c>
      <c r="L15" t="s">
        <v>10</v>
      </c>
      <c r="M15" t="s">
        <v>80</v>
      </c>
      <c r="O15" t="str">
        <f>IF(H15&gt;'std curve'!$Q$15, "high", "low")</f>
        <v>low</v>
      </c>
    </row>
    <row r="16" spans="1:21" x14ac:dyDescent="0.35">
      <c r="A16" s="21" t="s">
        <v>98</v>
      </c>
      <c r="B16" t="s">
        <v>74</v>
      </c>
      <c r="C16" t="s">
        <v>99</v>
      </c>
      <c r="D16" t="s">
        <v>10</v>
      </c>
      <c r="E16" s="20">
        <v>44770</v>
      </c>
      <c r="F16" s="27">
        <v>991.11180000000002</v>
      </c>
      <c r="G16">
        <v>198.87299999999999</v>
      </c>
      <c r="H16">
        <v>12.779</v>
      </c>
      <c r="I16">
        <v>1.667</v>
      </c>
      <c r="J16" s="20">
        <v>44848</v>
      </c>
      <c r="K16" t="s">
        <v>108</v>
      </c>
      <c r="L16" t="s">
        <v>10</v>
      </c>
      <c r="M16" t="s">
        <v>80</v>
      </c>
      <c r="O16" t="str">
        <f>IF(H16&gt;'std curve'!$Q$15, "high", "low")</f>
        <v>low</v>
      </c>
    </row>
    <row r="17" spans="1:15" x14ac:dyDescent="0.35">
      <c r="A17" s="22">
        <v>158</v>
      </c>
      <c r="B17" t="s">
        <v>74</v>
      </c>
      <c r="C17" s="18" t="s">
        <v>101</v>
      </c>
      <c r="D17">
        <v>1</v>
      </c>
      <c r="E17" s="20">
        <v>44770</v>
      </c>
      <c r="F17" s="27">
        <v>1794.4926</v>
      </c>
      <c r="G17">
        <v>345.41199999999998</v>
      </c>
      <c r="H17">
        <v>47.084800000000001</v>
      </c>
      <c r="I17">
        <v>6.1890000000000001</v>
      </c>
      <c r="J17" s="20">
        <v>44848</v>
      </c>
      <c r="K17" t="s">
        <v>109</v>
      </c>
      <c r="L17" t="s">
        <v>10</v>
      </c>
      <c r="M17" t="s">
        <v>80</v>
      </c>
      <c r="O17" t="str">
        <f>IF(H17&gt;'std curve'!$Q$15, "high", "low")</f>
        <v>low</v>
      </c>
    </row>
    <row r="18" spans="1:15" x14ac:dyDescent="0.35">
      <c r="A18" s="22">
        <v>159</v>
      </c>
      <c r="B18" t="s">
        <v>74</v>
      </c>
      <c r="C18" s="18" t="s">
        <v>101</v>
      </c>
      <c r="D18">
        <v>2</v>
      </c>
      <c r="E18" s="20">
        <v>44770</v>
      </c>
      <c r="F18" s="27">
        <v>1703.4448</v>
      </c>
      <c r="G18">
        <v>329.17099999999999</v>
      </c>
      <c r="H18">
        <v>48.064799999999998</v>
      </c>
      <c r="I18">
        <v>6.3049999999999997</v>
      </c>
      <c r="J18" s="20">
        <v>44848</v>
      </c>
      <c r="K18" t="s">
        <v>110</v>
      </c>
      <c r="L18" t="s">
        <v>10</v>
      </c>
      <c r="M18" t="s">
        <v>80</v>
      </c>
      <c r="O18" t="str">
        <f>IF(H18&gt;'std curve'!$Q$15, "high", "low")</f>
        <v>low</v>
      </c>
    </row>
    <row r="19" spans="1:15" x14ac:dyDescent="0.35">
      <c r="A19" s="22">
        <v>160</v>
      </c>
      <c r="B19" t="s">
        <v>74</v>
      </c>
      <c r="C19" s="18" t="s">
        <v>101</v>
      </c>
      <c r="D19">
        <v>3</v>
      </c>
      <c r="E19" s="20">
        <v>44770</v>
      </c>
      <c r="F19" s="27">
        <v>1610.098</v>
      </c>
      <c r="G19">
        <v>312.59399999999999</v>
      </c>
      <c r="H19">
        <v>25.227</v>
      </c>
      <c r="I19">
        <v>3.3460000000000001</v>
      </c>
      <c r="J19" s="20">
        <v>44848</v>
      </c>
      <c r="K19" t="s">
        <v>111</v>
      </c>
      <c r="L19" t="s">
        <v>10</v>
      </c>
      <c r="M19" t="s">
        <v>80</v>
      </c>
      <c r="O19" t="str">
        <f>IF(H19&gt;'std curve'!$Q$15, "high", "low")</f>
        <v>low</v>
      </c>
    </row>
    <row r="20" spans="1:15" x14ac:dyDescent="0.35">
      <c r="A20" s="21" t="s">
        <v>112</v>
      </c>
      <c r="B20" t="s">
        <v>64</v>
      </c>
      <c r="C20" s="18" t="s">
        <v>117</v>
      </c>
      <c r="D20" t="s">
        <v>10</v>
      </c>
      <c r="E20" s="20">
        <v>44754</v>
      </c>
      <c r="F20" s="27">
        <v>741.86969999999997</v>
      </c>
      <c r="G20">
        <v>150.93799999999999</v>
      </c>
      <c r="H20">
        <v>14.555999999999999</v>
      </c>
      <c r="I20">
        <v>1.889</v>
      </c>
      <c r="J20" s="20">
        <v>44848</v>
      </c>
      <c r="K20" t="s">
        <v>113</v>
      </c>
      <c r="L20" t="s">
        <v>10</v>
      </c>
      <c r="M20" t="s">
        <v>80</v>
      </c>
      <c r="O20" t="str">
        <f>IF(H20&gt;'std curve'!$Q$15, "high", "low")</f>
        <v>low</v>
      </c>
    </row>
    <row r="21" spans="1:15" x14ac:dyDescent="0.35">
      <c r="A21" s="21" t="s">
        <v>114</v>
      </c>
      <c r="B21" t="s">
        <v>64</v>
      </c>
      <c r="C21" s="18" t="s">
        <v>118</v>
      </c>
      <c r="D21" t="s">
        <v>10</v>
      </c>
      <c r="E21" s="20">
        <v>44754</v>
      </c>
      <c r="F21" s="27">
        <v>1844.3715999999999</v>
      </c>
      <c r="G21">
        <v>353.93299999999999</v>
      </c>
      <c r="H21">
        <v>4.5674000000000001</v>
      </c>
      <c r="I21">
        <v>0.55000000000000004</v>
      </c>
      <c r="J21" s="20">
        <v>44848</v>
      </c>
      <c r="K21" t="s">
        <v>115</v>
      </c>
      <c r="L21" t="s">
        <v>10</v>
      </c>
      <c r="M21" t="s">
        <v>80</v>
      </c>
      <c r="O21" t="str">
        <f>IF(H21&gt;'std curve'!$Q$15, "high", "low")</f>
        <v>low</v>
      </c>
    </row>
    <row r="22" spans="1:15" x14ac:dyDescent="0.35">
      <c r="A22" s="21" t="s">
        <v>116</v>
      </c>
      <c r="B22" t="s">
        <v>64</v>
      </c>
      <c r="C22" s="18" t="s">
        <v>119</v>
      </c>
      <c r="D22" t="s">
        <v>10</v>
      </c>
      <c r="E22" s="20">
        <v>44754</v>
      </c>
      <c r="F22" s="27">
        <v>2424.2204000000002</v>
      </c>
      <c r="G22">
        <v>451.887</v>
      </c>
      <c r="H22">
        <v>2.4228000000000001</v>
      </c>
      <c r="I22">
        <v>0.28399999999999997</v>
      </c>
      <c r="J22" s="20">
        <v>44848</v>
      </c>
      <c r="K22" t="s">
        <v>120</v>
      </c>
      <c r="L22" t="s">
        <v>10</v>
      </c>
      <c r="M22" t="s">
        <v>80</v>
      </c>
      <c r="O22" t="str">
        <f>IF(H22&gt;'std curve'!$Q$15, "high", "low")</f>
        <v>low</v>
      </c>
    </row>
    <row r="23" spans="1:15" x14ac:dyDescent="0.35">
      <c r="A23" s="23" t="s">
        <v>30</v>
      </c>
      <c r="B23" t="s">
        <v>10</v>
      </c>
      <c r="C23" t="s">
        <v>10</v>
      </c>
      <c r="D23" t="s">
        <v>10</v>
      </c>
      <c r="E23" t="s">
        <v>10</v>
      </c>
      <c r="F23" s="27">
        <v>47.456800000000001</v>
      </c>
      <c r="G23">
        <v>11.195</v>
      </c>
      <c r="H23">
        <v>2165.4133000000002</v>
      </c>
      <c r="I23">
        <v>180.44</v>
      </c>
      <c r="J23" s="20">
        <v>44848</v>
      </c>
      <c r="K23" t="s">
        <v>121</v>
      </c>
      <c r="L23" t="s">
        <v>10</v>
      </c>
      <c r="M23" t="s">
        <v>10</v>
      </c>
      <c r="O23" t="str">
        <f>IF(H23&gt;'std curve'!$Q$15, "high", "low")</f>
        <v>low</v>
      </c>
    </row>
    <row r="24" spans="1:15" x14ac:dyDescent="0.35">
      <c r="A24" s="23" t="s">
        <v>30</v>
      </c>
      <c r="B24" t="s">
        <v>10</v>
      </c>
      <c r="C24" t="s">
        <v>10</v>
      </c>
      <c r="D24" t="s">
        <v>10</v>
      </c>
      <c r="E24" t="s">
        <v>10</v>
      </c>
      <c r="F24" s="27">
        <v>47.355899999999998</v>
      </c>
      <c r="G24">
        <v>11.156000000000001</v>
      </c>
      <c r="H24">
        <v>2167.4798000000001</v>
      </c>
      <c r="I24">
        <v>180.66800000000001</v>
      </c>
      <c r="J24" s="20">
        <v>44848</v>
      </c>
      <c r="K24" t="s">
        <v>122</v>
      </c>
      <c r="L24" t="s">
        <v>10</v>
      </c>
      <c r="M24" t="s">
        <v>10</v>
      </c>
      <c r="O24" t="str">
        <f>IF(H24&gt;'std curve'!$Q$15, "high", "low")</f>
        <v>low</v>
      </c>
    </row>
    <row r="25" spans="1:15" x14ac:dyDescent="0.35">
      <c r="A25" s="21" t="s">
        <v>123</v>
      </c>
      <c r="B25" t="s">
        <v>64</v>
      </c>
      <c r="C25" s="18" t="s">
        <v>124</v>
      </c>
      <c r="D25" s="20" t="s">
        <v>10</v>
      </c>
      <c r="E25" s="20">
        <v>44755</v>
      </c>
      <c r="F25" s="27">
        <v>1058.9014</v>
      </c>
      <c r="G25">
        <v>211.703</v>
      </c>
      <c r="H25">
        <v>122.1484</v>
      </c>
      <c r="I25">
        <v>14.433999999999999</v>
      </c>
      <c r="J25" s="20">
        <v>44848</v>
      </c>
      <c r="K25" t="s">
        <v>146</v>
      </c>
      <c r="L25" t="s">
        <v>10</v>
      </c>
      <c r="M25" t="s">
        <v>80</v>
      </c>
      <c r="O25" t="str">
        <f>IF(H25&gt;'std curve'!$Q$15, "high", "low")</f>
        <v>low</v>
      </c>
    </row>
    <row r="26" spans="1:15" x14ac:dyDescent="0.35">
      <c r="A26" s="21" t="s">
        <v>125</v>
      </c>
      <c r="B26" t="s">
        <v>64</v>
      </c>
      <c r="C26" s="18" t="s">
        <v>137</v>
      </c>
      <c r="D26" s="20" t="s">
        <v>10</v>
      </c>
      <c r="E26" s="20">
        <v>44755</v>
      </c>
      <c r="F26" s="27">
        <v>1290.2021999999999</v>
      </c>
      <c r="G26">
        <v>254.952</v>
      </c>
      <c r="H26">
        <v>43.074399999999997</v>
      </c>
      <c r="I26">
        <v>5.6689999999999996</v>
      </c>
      <c r="J26" s="20">
        <v>44848</v>
      </c>
      <c r="K26" t="s">
        <v>147</v>
      </c>
      <c r="L26" t="s">
        <v>10</v>
      </c>
      <c r="M26" t="s">
        <v>80</v>
      </c>
      <c r="O26" t="str">
        <f>IF(H26&gt;'std curve'!$Q$15, "high", "low")</f>
        <v>low</v>
      </c>
    </row>
    <row r="27" spans="1:15" x14ac:dyDescent="0.35">
      <c r="A27" s="21" t="s">
        <v>126</v>
      </c>
      <c r="B27" t="s">
        <v>64</v>
      </c>
      <c r="C27" s="18" t="s">
        <v>117</v>
      </c>
      <c r="D27" s="20" t="s">
        <v>10</v>
      </c>
      <c r="E27" s="20">
        <v>44755</v>
      </c>
      <c r="F27" s="27">
        <v>145.41329999999999</v>
      </c>
      <c r="G27">
        <v>31.218</v>
      </c>
      <c r="H27">
        <v>6.5603999999999996</v>
      </c>
      <c r="I27">
        <v>0.81599999999999995</v>
      </c>
      <c r="J27" s="20">
        <v>44848</v>
      </c>
      <c r="K27" t="s">
        <v>148</v>
      </c>
      <c r="L27" t="s">
        <v>10</v>
      </c>
      <c r="M27" t="s">
        <v>80</v>
      </c>
      <c r="O27" t="str">
        <f>IF(H27&gt;'std curve'!$Q$15, "high", "low")</f>
        <v>low</v>
      </c>
    </row>
    <row r="28" spans="1:15" x14ac:dyDescent="0.35">
      <c r="A28" s="21" t="s">
        <v>127</v>
      </c>
      <c r="B28" t="s">
        <v>64</v>
      </c>
      <c r="C28" s="18" t="s">
        <v>138</v>
      </c>
      <c r="D28" s="20" t="s">
        <v>10</v>
      </c>
      <c r="E28" s="20">
        <v>44755</v>
      </c>
      <c r="F28" s="27">
        <v>1366.8145</v>
      </c>
      <c r="G28">
        <v>268.57600000000002</v>
      </c>
      <c r="H28">
        <v>75.684200000000004</v>
      </c>
      <c r="I28">
        <v>9.4559999999999995</v>
      </c>
      <c r="J28" s="20">
        <v>44848</v>
      </c>
      <c r="K28" t="s">
        <v>149</v>
      </c>
      <c r="L28" t="s">
        <v>10</v>
      </c>
      <c r="M28" t="s">
        <v>80</v>
      </c>
      <c r="O28" t="str">
        <f>IF(H28&gt;'std curve'!$Q$15, "high", "low")</f>
        <v>low</v>
      </c>
    </row>
    <row r="29" spans="1:15" x14ac:dyDescent="0.35">
      <c r="A29" s="21" t="s">
        <v>128</v>
      </c>
      <c r="B29" t="s">
        <v>64</v>
      </c>
      <c r="C29" s="18" t="s">
        <v>139</v>
      </c>
      <c r="D29" s="20" t="s">
        <v>10</v>
      </c>
      <c r="E29" s="20">
        <v>44755</v>
      </c>
      <c r="F29" s="27">
        <v>1694.6688999999999</v>
      </c>
      <c r="G29">
        <v>327.56200000000001</v>
      </c>
      <c r="H29">
        <v>68.539299999999997</v>
      </c>
      <c r="I29">
        <v>8.6890000000000001</v>
      </c>
      <c r="J29" s="20">
        <v>44848</v>
      </c>
      <c r="K29" t="s">
        <v>150</v>
      </c>
      <c r="L29" t="s">
        <v>10</v>
      </c>
      <c r="M29" t="s">
        <v>80</v>
      </c>
      <c r="O29" t="str">
        <f>IF(H29&gt;'std curve'!$Q$15, "high", "low")</f>
        <v>low</v>
      </c>
    </row>
    <row r="30" spans="1:15" x14ac:dyDescent="0.35">
      <c r="A30" s="21" t="s">
        <v>129</v>
      </c>
      <c r="B30" t="s">
        <v>64</v>
      </c>
      <c r="C30" s="18" t="s">
        <v>141</v>
      </c>
      <c r="D30" s="20" t="s">
        <v>10</v>
      </c>
      <c r="E30" s="20">
        <v>44755</v>
      </c>
      <c r="F30" s="27">
        <v>1805.2575999999999</v>
      </c>
      <c r="G30">
        <v>346.78300000000002</v>
      </c>
      <c r="H30">
        <v>89.457800000000006</v>
      </c>
      <c r="I30">
        <v>10.968999999999999</v>
      </c>
      <c r="J30" s="20">
        <v>44848</v>
      </c>
      <c r="K30" t="s">
        <v>151</v>
      </c>
      <c r="L30" t="s">
        <v>10</v>
      </c>
      <c r="M30" t="s">
        <v>80</v>
      </c>
      <c r="O30" t="str">
        <f>IF(H30&gt;'std curve'!$Q$15, "high", "low")</f>
        <v>low</v>
      </c>
    </row>
    <row r="31" spans="1:15" x14ac:dyDescent="0.35">
      <c r="A31" s="21" t="s">
        <v>130</v>
      </c>
      <c r="B31" t="s">
        <v>64</v>
      </c>
      <c r="C31" s="18" t="s">
        <v>142</v>
      </c>
      <c r="D31" s="20" t="s">
        <v>10</v>
      </c>
      <c r="E31" s="20">
        <v>44755</v>
      </c>
      <c r="F31" s="27">
        <v>2094.7024000000001</v>
      </c>
      <c r="G31">
        <v>396.69200000000001</v>
      </c>
      <c r="H31">
        <v>79.061999999999998</v>
      </c>
      <c r="I31">
        <v>9.8330000000000002</v>
      </c>
      <c r="J31" s="20">
        <v>44848</v>
      </c>
      <c r="K31" t="s">
        <v>152</v>
      </c>
      <c r="L31" t="s">
        <v>10</v>
      </c>
      <c r="M31" t="s">
        <v>80</v>
      </c>
      <c r="O31" t="str">
        <f>IF(H31&gt;'std curve'!$Q$15, "high", "low")</f>
        <v>low</v>
      </c>
    </row>
    <row r="32" spans="1:15" x14ac:dyDescent="0.35">
      <c r="A32" s="21" t="s">
        <v>131</v>
      </c>
      <c r="B32" t="s">
        <v>64</v>
      </c>
      <c r="C32" s="18" t="s">
        <v>140</v>
      </c>
      <c r="D32" s="20" t="s">
        <v>10</v>
      </c>
      <c r="E32" s="20">
        <v>44755</v>
      </c>
      <c r="F32" s="27">
        <v>1554.7019</v>
      </c>
      <c r="G32">
        <v>302.87</v>
      </c>
      <c r="H32">
        <v>123.9212</v>
      </c>
      <c r="I32">
        <v>14.612</v>
      </c>
      <c r="J32" s="20">
        <v>44848</v>
      </c>
      <c r="K32" t="s">
        <v>153</v>
      </c>
      <c r="L32" t="s">
        <v>10</v>
      </c>
      <c r="M32" t="s">
        <v>80</v>
      </c>
      <c r="O32" t="str">
        <f>IF(H32&gt;'std curve'!$Q$15, "high", "low")</f>
        <v>low</v>
      </c>
    </row>
    <row r="33" spans="1:15" x14ac:dyDescent="0.35">
      <c r="A33" s="21" t="s">
        <v>132</v>
      </c>
      <c r="B33" t="s">
        <v>64</v>
      </c>
      <c r="C33" s="18" t="s">
        <v>143</v>
      </c>
      <c r="D33" s="20" t="s">
        <v>10</v>
      </c>
      <c r="E33" s="20">
        <v>44755</v>
      </c>
      <c r="F33" s="27">
        <v>1811.5408</v>
      </c>
      <c r="G33">
        <v>348.10500000000002</v>
      </c>
      <c r="H33">
        <v>138.35059999999999</v>
      </c>
      <c r="I33">
        <v>16.047999999999998</v>
      </c>
      <c r="J33" s="20">
        <v>44848</v>
      </c>
      <c r="K33" t="s">
        <v>154</v>
      </c>
      <c r="L33" t="s">
        <v>10</v>
      </c>
      <c r="M33" t="s">
        <v>80</v>
      </c>
      <c r="O33" t="str">
        <f>IF(H33&gt;'std curve'!$Q$15, "high", "low")</f>
        <v>low</v>
      </c>
    </row>
    <row r="34" spans="1:15" x14ac:dyDescent="0.35">
      <c r="A34" s="21" t="s">
        <v>133</v>
      </c>
      <c r="B34" t="s">
        <v>64</v>
      </c>
      <c r="C34" s="18" t="s">
        <v>144</v>
      </c>
      <c r="D34" s="20" t="s">
        <v>10</v>
      </c>
      <c r="E34" s="20">
        <v>44755</v>
      </c>
      <c r="F34" s="27">
        <v>1944.7167999999999</v>
      </c>
      <c r="G34">
        <v>371.45</v>
      </c>
      <c r="H34">
        <v>121.8112</v>
      </c>
      <c r="I34">
        <v>14.355</v>
      </c>
      <c r="J34" s="20">
        <v>44848</v>
      </c>
      <c r="K34" t="s">
        <v>155</v>
      </c>
      <c r="L34" t="s">
        <v>10</v>
      </c>
      <c r="M34" t="s">
        <v>80</v>
      </c>
      <c r="O34" t="str">
        <f>IF(H34&gt;'std curve'!$Q$15, "high", "low")</f>
        <v>low</v>
      </c>
    </row>
    <row r="35" spans="1:15" x14ac:dyDescent="0.35">
      <c r="A35" s="23" t="s">
        <v>30</v>
      </c>
      <c r="B35" t="s">
        <v>10</v>
      </c>
      <c r="C35" t="s">
        <v>10</v>
      </c>
      <c r="D35" s="20" t="s">
        <v>10</v>
      </c>
      <c r="E35" s="20" t="s">
        <v>10</v>
      </c>
      <c r="F35" s="27">
        <v>47.1526</v>
      </c>
      <c r="G35">
        <v>11.141999999999999</v>
      </c>
      <c r="H35">
        <v>2143.8973000000001</v>
      </c>
      <c r="I35">
        <v>176.48500000000001</v>
      </c>
      <c r="J35" s="20">
        <v>44848</v>
      </c>
      <c r="K35" t="s">
        <v>156</v>
      </c>
      <c r="L35" t="s">
        <v>10</v>
      </c>
      <c r="M35" t="s">
        <v>10</v>
      </c>
      <c r="O35" t="str">
        <f>IF(H35&gt;'std curve'!$Q$15, "high", "low")</f>
        <v>low</v>
      </c>
    </row>
    <row r="36" spans="1:15" x14ac:dyDescent="0.35">
      <c r="A36" s="23" t="s">
        <v>30</v>
      </c>
      <c r="B36" t="s">
        <v>10</v>
      </c>
      <c r="C36" t="s">
        <v>10</v>
      </c>
      <c r="D36" s="20" t="s">
        <v>10</v>
      </c>
      <c r="E36" t="s">
        <v>10</v>
      </c>
      <c r="F36" s="27">
        <v>47.179699999999997</v>
      </c>
      <c r="G36">
        <v>11.135</v>
      </c>
      <c r="H36">
        <v>2133.3964999999998</v>
      </c>
      <c r="I36">
        <v>175.61699999999999</v>
      </c>
      <c r="J36" s="20">
        <v>44848</v>
      </c>
      <c r="K36" t="s">
        <v>157</v>
      </c>
      <c r="L36" t="s">
        <v>10</v>
      </c>
      <c r="M36" t="s">
        <v>10</v>
      </c>
      <c r="O36" t="str">
        <f>IF(H36&gt;'std curve'!$Q$15, "high", "low")</f>
        <v>low</v>
      </c>
    </row>
    <row r="37" spans="1:15" x14ac:dyDescent="0.35">
      <c r="A37" s="21" t="s">
        <v>135</v>
      </c>
      <c r="B37" t="s">
        <v>136</v>
      </c>
      <c r="C37" t="s">
        <v>136</v>
      </c>
      <c r="D37" t="s">
        <v>136</v>
      </c>
      <c r="E37" t="s">
        <v>136</v>
      </c>
      <c r="F37" s="27">
        <v>1832.2094</v>
      </c>
      <c r="G37">
        <v>351.70499999999998</v>
      </c>
      <c r="H37">
        <v>142.7422</v>
      </c>
      <c r="I37">
        <v>16.445</v>
      </c>
      <c r="J37" s="20">
        <v>44848</v>
      </c>
      <c r="K37" t="s">
        <v>158</v>
      </c>
      <c r="L37" t="s">
        <v>10</v>
      </c>
      <c r="M37" t="s">
        <v>80</v>
      </c>
      <c r="O37" t="str">
        <f>IF(H37&gt;'std curve'!$Q$15, "high", "low")</f>
        <v>low</v>
      </c>
    </row>
    <row r="38" spans="1:15" x14ac:dyDescent="0.35">
      <c r="A38" s="21" t="s">
        <v>134</v>
      </c>
      <c r="B38" t="s">
        <v>64</v>
      </c>
      <c r="C38" s="18" t="s">
        <v>145</v>
      </c>
      <c r="D38" s="20" t="s">
        <v>10</v>
      </c>
      <c r="E38" s="20">
        <v>44755</v>
      </c>
      <c r="F38" s="27">
        <v>2285.5158000000001</v>
      </c>
      <c r="G38">
        <v>428.57499999999999</v>
      </c>
      <c r="H38">
        <v>107.645</v>
      </c>
      <c r="I38">
        <v>12.824999999999999</v>
      </c>
      <c r="J38" s="20">
        <v>44848</v>
      </c>
      <c r="K38" t="s">
        <v>159</v>
      </c>
      <c r="L38" t="s">
        <v>10</v>
      </c>
      <c r="M38" t="s">
        <v>80</v>
      </c>
      <c r="O38" t="str">
        <f>IF(H38&gt;'std curve'!$Q$15, "high", "low")</f>
        <v>low</v>
      </c>
    </row>
    <row r="39" spans="1:15" x14ac:dyDescent="0.35">
      <c r="A39" s="21" t="s">
        <v>10</v>
      </c>
      <c r="B39" t="s">
        <v>10</v>
      </c>
      <c r="C39" s="18" t="s">
        <v>10</v>
      </c>
      <c r="D39" s="20" t="s">
        <v>10</v>
      </c>
      <c r="E39" s="20" t="s">
        <v>10</v>
      </c>
      <c r="F39" s="27">
        <v>8.7383000000000006</v>
      </c>
      <c r="G39">
        <v>2.089</v>
      </c>
      <c r="H39">
        <v>2.3462000000000001</v>
      </c>
      <c r="I39">
        <v>0.27800000000000002</v>
      </c>
      <c r="J39" s="20">
        <v>44848</v>
      </c>
      <c r="K39" t="s">
        <v>167</v>
      </c>
      <c r="L39" t="s">
        <v>179</v>
      </c>
      <c r="M39" t="s">
        <v>10</v>
      </c>
      <c r="O39" t="str">
        <f>IF(H39&gt;'std curve'!$Q$15, "high", "low")</f>
        <v>low</v>
      </c>
    </row>
    <row r="40" spans="1:15" x14ac:dyDescent="0.35">
      <c r="A40" s="21" t="s">
        <v>10</v>
      </c>
      <c r="B40" t="s">
        <v>10</v>
      </c>
      <c r="C40" t="s">
        <v>10</v>
      </c>
      <c r="D40" s="20" t="s">
        <v>10</v>
      </c>
      <c r="E40" s="20" t="s">
        <v>10</v>
      </c>
      <c r="F40" s="27">
        <v>2216.1125999999999</v>
      </c>
      <c r="G40">
        <v>417.31200000000001</v>
      </c>
      <c r="H40">
        <v>46.552599999999998</v>
      </c>
      <c r="I40">
        <v>6.0830000000000002</v>
      </c>
      <c r="J40" s="20">
        <v>44848</v>
      </c>
      <c r="K40" t="s">
        <v>168</v>
      </c>
      <c r="L40" t="s">
        <v>180</v>
      </c>
      <c r="M40" t="s">
        <v>10</v>
      </c>
      <c r="O40" t="str">
        <f>IF(H40&gt;'std curve'!$Q$15, "high", "low")</f>
        <v>low</v>
      </c>
    </row>
    <row r="41" spans="1:15" x14ac:dyDescent="0.35">
      <c r="A41" s="21" t="s">
        <v>160</v>
      </c>
      <c r="B41" t="s">
        <v>64</v>
      </c>
      <c r="C41" t="s">
        <v>174</v>
      </c>
      <c r="D41" s="20" t="s">
        <v>10</v>
      </c>
      <c r="E41" s="20">
        <v>44748</v>
      </c>
      <c r="F41" s="27">
        <v>1.1524000000000001</v>
      </c>
      <c r="G41">
        <v>0.249</v>
      </c>
      <c r="H41">
        <v>1.6958</v>
      </c>
      <c r="I41">
        <v>0.20200000000000001</v>
      </c>
      <c r="J41" s="20">
        <v>44848</v>
      </c>
      <c r="K41" t="s">
        <v>169</v>
      </c>
      <c r="L41" t="s">
        <v>10</v>
      </c>
      <c r="M41" t="s">
        <v>80</v>
      </c>
      <c r="O41" t="str">
        <f>IF(H41&gt;'std curve'!$Q$15, "high", "low")</f>
        <v>low</v>
      </c>
    </row>
    <row r="42" spans="1:15" x14ac:dyDescent="0.35">
      <c r="A42" s="21" t="s">
        <v>160</v>
      </c>
      <c r="B42" t="s">
        <v>64</v>
      </c>
      <c r="C42" t="s">
        <v>174</v>
      </c>
      <c r="D42" s="20" t="s">
        <v>10</v>
      </c>
      <c r="E42" s="20">
        <v>44748</v>
      </c>
      <c r="F42" s="27">
        <v>118.99460000000001</v>
      </c>
      <c r="G42">
        <v>25.911000000000001</v>
      </c>
      <c r="H42">
        <v>185.15969999999999</v>
      </c>
      <c r="I42">
        <v>20.716999999999999</v>
      </c>
      <c r="J42" s="20">
        <v>44848</v>
      </c>
      <c r="K42" t="s">
        <v>170</v>
      </c>
      <c r="L42" t="s">
        <v>10</v>
      </c>
      <c r="M42" t="s">
        <v>10</v>
      </c>
      <c r="O42" t="str">
        <f>IF(H42&gt;'std curve'!$Q$15, "high", "low")</f>
        <v>low</v>
      </c>
    </row>
    <row r="43" spans="1:15" x14ac:dyDescent="0.35">
      <c r="A43" s="21" t="s">
        <v>161</v>
      </c>
      <c r="B43" t="s">
        <v>64</v>
      </c>
      <c r="C43" t="s">
        <v>175</v>
      </c>
      <c r="D43" s="20" t="s">
        <v>10</v>
      </c>
      <c r="E43" s="20">
        <v>44748</v>
      </c>
      <c r="F43" s="27">
        <v>2198.0657999999999</v>
      </c>
      <c r="G43">
        <v>413.959</v>
      </c>
      <c r="H43">
        <v>45.690800000000003</v>
      </c>
      <c r="I43">
        <v>5.99</v>
      </c>
      <c r="J43" s="20">
        <v>44848</v>
      </c>
      <c r="K43" t="s">
        <v>171</v>
      </c>
      <c r="L43" t="s">
        <v>10</v>
      </c>
      <c r="M43" t="s">
        <v>80</v>
      </c>
      <c r="O43" t="str">
        <f>IF(H43&gt;'std curve'!$Q$15, "high", "low")</f>
        <v>low</v>
      </c>
    </row>
    <row r="44" spans="1:15" x14ac:dyDescent="0.35">
      <c r="A44" s="21" t="s">
        <v>162</v>
      </c>
      <c r="B44" t="s">
        <v>64</v>
      </c>
      <c r="C44" t="s">
        <v>176</v>
      </c>
      <c r="D44" s="20" t="s">
        <v>10</v>
      </c>
      <c r="E44" s="20">
        <v>44748</v>
      </c>
      <c r="F44" s="27">
        <v>1478.5723</v>
      </c>
      <c r="G44">
        <v>289.08</v>
      </c>
      <c r="H44">
        <v>19.160399999999999</v>
      </c>
      <c r="I44">
        <v>2.5</v>
      </c>
      <c r="J44" s="20">
        <v>44848</v>
      </c>
      <c r="K44" t="s">
        <v>172</v>
      </c>
      <c r="L44" t="s">
        <v>10</v>
      </c>
      <c r="M44" t="s">
        <v>10</v>
      </c>
      <c r="O44" t="str">
        <f>IF(H44&gt;'std curve'!$Q$15, "high", "low")</f>
        <v>low</v>
      </c>
    </row>
    <row r="45" spans="1:15" x14ac:dyDescent="0.35">
      <c r="A45" s="21" t="s">
        <v>163</v>
      </c>
      <c r="B45" t="s">
        <v>64</v>
      </c>
      <c r="C45" t="s">
        <v>175</v>
      </c>
      <c r="D45" s="20" t="s">
        <v>10</v>
      </c>
      <c r="E45" s="20">
        <v>44748</v>
      </c>
      <c r="F45" s="27">
        <v>526.20180000000005</v>
      </c>
      <c r="G45">
        <v>108.563</v>
      </c>
      <c r="H45">
        <v>42.323</v>
      </c>
      <c r="I45">
        <v>5.5510000000000002</v>
      </c>
      <c r="J45" s="20">
        <v>44848</v>
      </c>
      <c r="K45" t="s">
        <v>173</v>
      </c>
      <c r="L45" t="s">
        <v>10</v>
      </c>
      <c r="M45" t="s">
        <v>10</v>
      </c>
      <c r="O45" t="str">
        <f>IF(H45&gt;'std curve'!$Q$15, "high", "low")</f>
        <v>low</v>
      </c>
    </row>
    <row r="46" spans="1:15" x14ac:dyDescent="0.35">
      <c r="A46" s="21" t="s">
        <v>164</v>
      </c>
      <c r="B46" t="s">
        <v>64</v>
      </c>
      <c r="C46" t="s">
        <v>177</v>
      </c>
      <c r="D46" s="20" t="s">
        <v>10</v>
      </c>
      <c r="E46" s="20">
        <v>44748</v>
      </c>
      <c r="F46" s="27">
        <v>2288.3820999999998</v>
      </c>
      <c r="G46">
        <v>429.21800000000002</v>
      </c>
      <c r="H46">
        <v>133.934</v>
      </c>
      <c r="I46">
        <v>15.505000000000001</v>
      </c>
      <c r="J46" s="20">
        <v>44848</v>
      </c>
      <c r="K46" t="s">
        <v>181</v>
      </c>
      <c r="L46" t="s">
        <v>10</v>
      </c>
      <c r="M46" t="s">
        <v>10</v>
      </c>
      <c r="O46" t="str">
        <f>IF(H46&gt;'std curve'!$Q$15, "high", "low")</f>
        <v>low</v>
      </c>
    </row>
    <row r="47" spans="1:15" x14ac:dyDescent="0.35">
      <c r="A47" s="21" t="s">
        <v>165</v>
      </c>
      <c r="B47" t="s">
        <v>64</v>
      </c>
      <c r="C47" t="s">
        <v>178</v>
      </c>
      <c r="D47" s="20" t="s">
        <v>10</v>
      </c>
      <c r="E47" s="20">
        <v>44748</v>
      </c>
      <c r="F47" s="27">
        <v>1757.7132999999999</v>
      </c>
      <c r="G47">
        <v>338.85599999999999</v>
      </c>
      <c r="H47">
        <v>18.4192</v>
      </c>
      <c r="I47">
        <v>2.4020000000000001</v>
      </c>
      <c r="J47" s="20">
        <v>44848</v>
      </c>
      <c r="K47" t="s">
        <v>182</v>
      </c>
      <c r="L47" t="s">
        <v>10</v>
      </c>
      <c r="M47" t="s">
        <v>10</v>
      </c>
      <c r="O47" t="str">
        <f>IF(H47&gt;'std curve'!$Q$15, "high", "low")</f>
        <v>low</v>
      </c>
    </row>
    <row r="48" spans="1:15" x14ac:dyDescent="0.35">
      <c r="A48" s="21" t="s">
        <v>166</v>
      </c>
      <c r="B48" t="s">
        <v>136</v>
      </c>
      <c r="C48" t="s">
        <v>136</v>
      </c>
      <c r="D48" t="s">
        <v>136</v>
      </c>
      <c r="E48" t="s">
        <v>136</v>
      </c>
      <c r="F48" s="27">
        <v>2.7833999999999999</v>
      </c>
      <c r="G48">
        <v>0.625</v>
      </c>
      <c r="H48">
        <v>1.3646</v>
      </c>
      <c r="I48">
        <v>0.157</v>
      </c>
      <c r="J48" s="20">
        <v>44848</v>
      </c>
      <c r="K48" t="s">
        <v>183</v>
      </c>
      <c r="L48" t="s">
        <v>186</v>
      </c>
      <c r="M48" t="s">
        <v>10</v>
      </c>
      <c r="O48" t="str">
        <f>IF(H48&gt;'std curve'!$Q$15, "high", "low")</f>
        <v>low</v>
      </c>
    </row>
    <row r="49" spans="1:15" x14ac:dyDescent="0.35">
      <c r="A49" s="23" t="s">
        <v>30</v>
      </c>
      <c r="B49" t="s">
        <v>10</v>
      </c>
      <c r="C49" t="s">
        <v>10</v>
      </c>
      <c r="D49" s="20" t="s">
        <v>10</v>
      </c>
      <c r="E49" t="s">
        <v>10</v>
      </c>
      <c r="F49" s="27">
        <v>45.386400000000002</v>
      </c>
      <c r="G49">
        <v>10.778</v>
      </c>
      <c r="H49">
        <v>2033.0087000000001</v>
      </c>
      <c r="I49">
        <v>165.99799999999999</v>
      </c>
      <c r="J49" s="20">
        <v>44848</v>
      </c>
      <c r="K49" t="s">
        <v>184</v>
      </c>
      <c r="L49" t="s">
        <v>10</v>
      </c>
      <c r="M49" t="s">
        <v>10</v>
      </c>
      <c r="O49" t="str">
        <f>IF(H49&gt;'std curve'!$Q$15, "high", "low")</f>
        <v>low</v>
      </c>
    </row>
    <row r="50" spans="1:15" x14ac:dyDescent="0.35">
      <c r="A50" s="23" t="s">
        <v>30</v>
      </c>
      <c r="B50" t="s">
        <v>10</v>
      </c>
      <c r="C50" t="s">
        <v>10</v>
      </c>
      <c r="D50" s="20" t="s">
        <v>10</v>
      </c>
      <c r="E50" t="s">
        <v>10</v>
      </c>
      <c r="F50" s="27">
        <v>45.410400000000003</v>
      </c>
      <c r="G50">
        <v>10.79</v>
      </c>
      <c r="H50">
        <v>2040.8905999999999</v>
      </c>
      <c r="I50">
        <v>166.53</v>
      </c>
      <c r="J50" s="20">
        <v>44848</v>
      </c>
      <c r="K50" t="s">
        <v>185</v>
      </c>
      <c r="L50" t="s">
        <v>10</v>
      </c>
      <c r="M50" t="s">
        <v>10</v>
      </c>
      <c r="O50" t="str">
        <f>IF(H50&gt;'std curve'!$Q$15, "high", "low")</f>
        <v>low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83D09-CA7F-FD45-948E-AF8943D1AE0D}">
  <dimension ref="A1:Q16"/>
  <sheetViews>
    <sheetView workbookViewId="0">
      <selection activeCell="H55" sqref="H55"/>
    </sheetView>
  </sheetViews>
  <sheetFormatPr defaultColWidth="8.81640625" defaultRowHeight="14.5" x14ac:dyDescent="0.35"/>
  <cols>
    <col min="5" max="5" width="10.81640625" customWidth="1"/>
    <col min="16" max="16" width="20.1796875" bestFit="1" customWidth="1"/>
  </cols>
  <sheetData>
    <row r="1" spans="1:17" x14ac:dyDescent="0.35">
      <c r="A1" s="1" t="s">
        <v>0</v>
      </c>
      <c r="B1" s="1" t="s">
        <v>1</v>
      </c>
      <c r="C1" s="1" t="s">
        <v>4</v>
      </c>
      <c r="D1" s="1" t="s">
        <v>3</v>
      </c>
      <c r="E1" s="1" t="s">
        <v>6</v>
      </c>
      <c r="F1" s="1" t="s">
        <v>5</v>
      </c>
      <c r="G1" s="1" t="s">
        <v>8</v>
      </c>
      <c r="H1" s="1"/>
    </row>
    <row r="2" spans="1:17" x14ac:dyDescent="0.35">
      <c r="A2">
        <v>1</v>
      </c>
      <c r="B2">
        <v>500</v>
      </c>
      <c r="C2">
        <v>2.3569</v>
      </c>
      <c r="D2">
        <v>0.46400000000000002</v>
      </c>
      <c r="E2">
        <v>2763.1826000000001</v>
      </c>
      <c r="F2">
        <v>375.25299999999999</v>
      </c>
      <c r="G2" t="s">
        <v>187</v>
      </c>
      <c r="P2" s="1" t="s">
        <v>45</v>
      </c>
    </row>
    <row r="3" spans="1:17" x14ac:dyDescent="0.35">
      <c r="A3">
        <v>1</v>
      </c>
      <c r="B3">
        <v>500</v>
      </c>
      <c r="C3">
        <v>2.3769999999999998</v>
      </c>
      <c r="D3">
        <v>0.47199999999999998</v>
      </c>
      <c r="E3">
        <v>2749.681</v>
      </c>
      <c r="F3">
        <v>373.875</v>
      </c>
      <c r="G3" t="s">
        <v>188</v>
      </c>
      <c r="P3" s="4" t="s">
        <v>14</v>
      </c>
      <c r="Q3" s="4">
        <f>2.5572*30 - 1.052</f>
        <v>75.663999999999987</v>
      </c>
    </row>
    <row r="4" spans="1:17" x14ac:dyDescent="0.35">
      <c r="A4">
        <v>5</v>
      </c>
      <c r="B4">
        <v>1000</v>
      </c>
      <c r="C4">
        <v>10.857200000000001</v>
      </c>
      <c r="D4">
        <v>2.2599999999999998</v>
      </c>
      <c r="E4">
        <v>5723.3078999999998</v>
      </c>
      <c r="F4">
        <v>742.22799999999995</v>
      </c>
      <c r="G4" t="s">
        <v>189</v>
      </c>
      <c r="P4" s="7" t="s">
        <v>13</v>
      </c>
      <c r="Q4" s="7">
        <f>5.3876*200 - 85.827</f>
        <v>991.69299999999998</v>
      </c>
    </row>
    <row r="5" spans="1:17" x14ac:dyDescent="0.35">
      <c r="A5">
        <v>5</v>
      </c>
      <c r="B5">
        <v>1000</v>
      </c>
      <c r="C5">
        <v>10.611700000000001</v>
      </c>
      <c r="D5">
        <v>2.2349999999999999</v>
      </c>
      <c r="E5">
        <v>5708.1293999999998</v>
      </c>
      <c r="F5">
        <v>740.19799999999998</v>
      </c>
      <c r="G5" t="s">
        <v>190</v>
      </c>
    </row>
    <row r="6" spans="1:17" x14ac:dyDescent="0.35">
      <c r="A6">
        <v>30</v>
      </c>
      <c r="B6">
        <v>2000</v>
      </c>
      <c r="C6">
        <v>76.047799999999995</v>
      </c>
      <c r="D6">
        <v>17.193000000000001</v>
      </c>
      <c r="E6">
        <v>11300.0928</v>
      </c>
      <c r="F6">
        <v>1422.9590000000001</v>
      </c>
      <c r="G6" t="s">
        <v>191</v>
      </c>
    </row>
    <row r="7" spans="1:17" x14ac:dyDescent="0.35">
      <c r="A7">
        <v>30</v>
      </c>
      <c r="B7">
        <v>2000</v>
      </c>
      <c r="C7">
        <v>75.5565</v>
      </c>
      <c r="D7">
        <v>17.084</v>
      </c>
      <c r="E7">
        <v>11258.8267</v>
      </c>
      <c r="F7">
        <v>1417.788</v>
      </c>
      <c r="G7" t="s">
        <v>192</v>
      </c>
    </row>
    <row r="8" spans="1:17" x14ac:dyDescent="0.35">
      <c r="A8">
        <v>200</v>
      </c>
      <c r="B8">
        <v>10000</v>
      </c>
      <c r="C8">
        <v>992.32079999999996</v>
      </c>
      <c r="D8">
        <v>232.7</v>
      </c>
      <c r="E8">
        <v>26633.849099999999</v>
      </c>
      <c r="F8">
        <v>4929.7520000000004</v>
      </c>
      <c r="G8" t="s">
        <v>193</v>
      </c>
      <c r="H8" t="s">
        <v>195</v>
      </c>
    </row>
    <row r="9" spans="1:17" x14ac:dyDescent="0.35">
      <c r="A9">
        <v>200</v>
      </c>
      <c r="B9">
        <v>10000</v>
      </c>
      <c r="C9">
        <v>991.07899999999995</v>
      </c>
      <c r="D9">
        <v>232.214</v>
      </c>
      <c r="E9">
        <v>25988.174900000002</v>
      </c>
      <c r="F9">
        <v>4935.2969999999996</v>
      </c>
      <c r="G9" t="s">
        <v>194</v>
      </c>
      <c r="H9" t="s">
        <v>195</v>
      </c>
    </row>
    <row r="14" spans="1:17" x14ac:dyDescent="0.35">
      <c r="P14" s="1" t="s">
        <v>46</v>
      </c>
    </row>
    <row r="15" spans="1:17" x14ac:dyDescent="0.35">
      <c r="P15" s="4" t="s">
        <v>14</v>
      </c>
      <c r="Q15" s="4">
        <f>5.6651*2000-25.439</f>
        <v>11304.760999999999</v>
      </c>
    </row>
    <row r="16" spans="1:17" x14ac:dyDescent="0.35">
      <c r="P16" s="7" t="s">
        <v>13</v>
      </c>
      <c r="Q16" s="7">
        <f>0.1587*20000+759.53</f>
        <v>3933.5299999999997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9F28-2189-A24C-9C97-E2E0E7AB4675}">
  <dimension ref="A1:T57"/>
  <sheetViews>
    <sheetView zoomScale="106" workbookViewId="0">
      <pane ySplit="1" topLeftCell="A2" activePane="bottomLeft" state="frozen"/>
      <selection pane="bottomLeft" sqref="A1:P18"/>
    </sheetView>
  </sheetViews>
  <sheetFormatPr defaultColWidth="8.81640625" defaultRowHeight="14.5" x14ac:dyDescent="0.35"/>
  <cols>
    <col min="1" max="1" width="8.81640625" style="21"/>
    <col min="5" max="5" width="9.453125" bestFit="1" customWidth="1"/>
    <col min="6" max="6" width="11.81640625" customWidth="1"/>
    <col min="8" max="8" width="10" customWidth="1"/>
    <col min="10" max="10" width="10.453125" bestFit="1" customWidth="1"/>
  </cols>
  <sheetData>
    <row r="1" spans="1:20" s="6" customFormat="1" x14ac:dyDescent="0.35">
      <c r="A1" s="25" t="s">
        <v>15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4</v>
      </c>
      <c r="G1" s="5" t="s">
        <v>3</v>
      </c>
      <c r="H1" s="5" t="s">
        <v>47</v>
      </c>
      <c r="I1" s="5" t="s">
        <v>5</v>
      </c>
      <c r="J1" s="5" t="s">
        <v>24</v>
      </c>
      <c r="K1" s="5" t="s">
        <v>8</v>
      </c>
      <c r="L1" s="5" t="s">
        <v>7</v>
      </c>
      <c r="M1" s="5" t="s">
        <v>25</v>
      </c>
      <c r="N1" s="5" t="s">
        <v>29</v>
      </c>
      <c r="O1" s="5" t="s">
        <v>27</v>
      </c>
      <c r="P1" s="5" t="s">
        <v>28</v>
      </c>
    </row>
    <row r="2" spans="1:20" s="6" customFormat="1" x14ac:dyDescent="0.35">
      <c r="A2" s="35" t="s">
        <v>216</v>
      </c>
      <c r="B2" s="32" t="s">
        <v>74</v>
      </c>
      <c r="C2" s="32" t="s">
        <v>196</v>
      </c>
      <c r="D2" s="32" t="s">
        <v>10</v>
      </c>
      <c r="E2" s="33">
        <v>44770</v>
      </c>
      <c r="F2" s="32">
        <v>1.3236000000000001</v>
      </c>
      <c r="G2" s="32">
        <v>0.27900000000000003</v>
      </c>
      <c r="H2" s="32">
        <v>1106.8502000000001</v>
      </c>
      <c r="I2" s="32">
        <v>163.631</v>
      </c>
      <c r="J2" s="33">
        <v>44848</v>
      </c>
      <c r="K2" s="32" t="s">
        <v>213</v>
      </c>
      <c r="L2" s="5"/>
      <c r="M2" s="5"/>
      <c r="N2" s="5"/>
      <c r="O2" s="5"/>
      <c r="P2" s="5"/>
    </row>
    <row r="3" spans="1:20" x14ac:dyDescent="0.35">
      <c r="A3" s="35" t="s">
        <v>210</v>
      </c>
      <c r="B3" s="32" t="s">
        <v>74</v>
      </c>
      <c r="C3" s="32" t="s">
        <v>196</v>
      </c>
      <c r="D3" s="32" t="s">
        <v>10</v>
      </c>
      <c r="E3" s="33">
        <v>44770</v>
      </c>
      <c r="F3">
        <v>1.7314000000000001</v>
      </c>
      <c r="G3">
        <v>0.38</v>
      </c>
      <c r="H3" s="32">
        <v>847.3306</v>
      </c>
      <c r="I3" s="32">
        <v>127.218</v>
      </c>
      <c r="J3" s="33">
        <v>44848</v>
      </c>
      <c r="K3" s="32" t="s">
        <v>197</v>
      </c>
      <c r="L3" s="27"/>
      <c r="M3" s="27"/>
      <c r="N3" s="27"/>
      <c r="O3" s="27"/>
      <c r="R3" s="4" t="s">
        <v>214</v>
      </c>
      <c r="S3" s="4"/>
      <c r="T3" s="4">
        <f>'std curve (2)'!Q3</f>
        <v>75.663999999999987</v>
      </c>
    </row>
    <row r="4" spans="1:20" x14ac:dyDescent="0.35">
      <c r="A4" s="35" t="s">
        <v>211</v>
      </c>
      <c r="B4" s="32" t="s">
        <v>74</v>
      </c>
      <c r="C4" s="32" t="s">
        <v>196</v>
      </c>
      <c r="D4" s="32" t="s">
        <v>10</v>
      </c>
      <c r="E4" s="33">
        <v>44770</v>
      </c>
      <c r="F4" s="32">
        <v>1.9087000000000001</v>
      </c>
      <c r="G4" s="32">
        <v>0.39600000000000002</v>
      </c>
      <c r="H4" s="32">
        <v>1366.3559</v>
      </c>
      <c r="I4" s="32">
        <v>198.14599999999999</v>
      </c>
      <c r="J4" s="33">
        <v>44848</v>
      </c>
      <c r="K4" s="32" t="s">
        <v>198</v>
      </c>
      <c r="L4" s="27"/>
      <c r="M4" s="27"/>
      <c r="N4" s="27"/>
      <c r="O4" s="27"/>
      <c r="R4" s="4" t="s">
        <v>215</v>
      </c>
      <c r="S4" s="4"/>
      <c r="T4" s="4">
        <f>'std curve (2)'!Q15</f>
        <v>11304.760999999999</v>
      </c>
    </row>
    <row r="5" spans="1:20" x14ac:dyDescent="0.35">
      <c r="A5" s="35" t="s">
        <v>212</v>
      </c>
      <c r="B5" s="32" t="s">
        <v>74</v>
      </c>
      <c r="C5" s="34" t="s">
        <v>199</v>
      </c>
      <c r="D5" s="34">
        <v>1</v>
      </c>
      <c r="E5" s="33">
        <v>44770</v>
      </c>
      <c r="F5" s="32">
        <v>48.221499999999999</v>
      </c>
      <c r="G5" s="32">
        <v>10.765000000000001</v>
      </c>
      <c r="H5" s="32">
        <v>3957.8009999999999</v>
      </c>
      <c r="I5" s="32">
        <v>525.47699999999998</v>
      </c>
      <c r="J5" s="33">
        <v>44848</v>
      </c>
      <c r="K5" s="32" t="s">
        <v>200</v>
      </c>
      <c r="L5" s="27"/>
      <c r="M5" s="27"/>
      <c r="N5" s="27"/>
      <c r="O5" s="27"/>
    </row>
    <row r="6" spans="1:20" x14ac:dyDescent="0.35">
      <c r="A6" s="35" t="s">
        <v>217</v>
      </c>
      <c r="B6" s="32" t="s">
        <v>74</v>
      </c>
      <c r="C6" s="34" t="s">
        <v>199</v>
      </c>
      <c r="D6" s="32">
        <v>2</v>
      </c>
      <c r="E6" s="33">
        <v>44770</v>
      </c>
      <c r="F6" s="32">
        <v>68.757999999999996</v>
      </c>
      <c r="G6" s="32">
        <v>15.601000000000001</v>
      </c>
      <c r="H6" s="32">
        <v>4410.3365999999996</v>
      </c>
      <c r="I6" s="32">
        <v>580.99099999999999</v>
      </c>
      <c r="J6" s="33">
        <v>44848</v>
      </c>
      <c r="K6" s="32" t="s">
        <v>201</v>
      </c>
      <c r="L6" s="27"/>
      <c r="M6" s="27"/>
      <c r="N6" s="27"/>
      <c r="O6" s="27"/>
      <c r="R6" s="7" t="s">
        <v>31</v>
      </c>
      <c r="S6" s="7"/>
      <c r="T6" s="7">
        <f>'std curve (2)'!Q4</f>
        <v>991.69299999999998</v>
      </c>
    </row>
    <row r="7" spans="1:20" x14ac:dyDescent="0.35">
      <c r="A7" s="35" t="s">
        <v>218</v>
      </c>
      <c r="B7" s="32" t="s">
        <v>74</v>
      </c>
      <c r="C7" s="32" t="s">
        <v>199</v>
      </c>
      <c r="D7" s="32">
        <v>3</v>
      </c>
      <c r="E7" s="33">
        <v>44770</v>
      </c>
      <c r="F7" s="32">
        <v>20.710799999999999</v>
      </c>
      <c r="G7" s="32">
        <v>4.4909999999999997</v>
      </c>
      <c r="H7" s="32">
        <v>4756.3130000000001</v>
      </c>
      <c r="I7" s="32">
        <v>625.84</v>
      </c>
      <c r="J7" s="33">
        <v>44848</v>
      </c>
      <c r="K7" s="32" t="s">
        <v>202</v>
      </c>
      <c r="L7" s="27" t="s">
        <v>225</v>
      </c>
      <c r="M7" s="27"/>
      <c r="N7" s="27"/>
      <c r="O7" s="27"/>
      <c r="R7" s="7" t="s">
        <v>32</v>
      </c>
      <c r="S7" s="7"/>
      <c r="T7" s="7">
        <f>'std curve (2)'!Q16</f>
        <v>3933.5299999999997</v>
      </c>
    </row>
    <row r="8" spans="1:20" x14ac:dyDescent="0.35">
      <c r="A8" s="35" t="s">
        <v>219</v>
      </c>
      <c r="B8" s="32" t="s">
        <v>74</v>
      </c>
      <c r="C8" s="32" t="s">
        <v>66</v>
      </c>
      <c r="D8" s="32">
        <v>1</v>
      </c>
      <c r="E8" s="33">
        <v>44770</v>
      </c>
      <c r="F8" s="32" t="s">
        <v>10</v>
      </c>
      <c r="G8" s="32" t="s">
        <v>10</v>
      </c>
      <c r="H8" s="32">
        <v>22836.0268</v>
      </c>
      <c r="I8" s="32" t="s">
        <v>228</v>
      </c>
      <c r="J8" s="33">
        <v>44848</v>
      </c>
      <c r="K8" s="32" t="s">
        <v>203</v>
      </c>
      <c r="L8" s="27" t="s">
        <v>226</v>
      </c>
      <c r="M8" s="27"/>
      <c r="N8" s="27"/>
      <c r="O8" s="27"/>
    </row>
    <row r="9" spans="1:20" x14ac:dyDescent="0.35">
      <c r="A9" s="35" t="s">
        <v>219</v>
      </c>
      <c r="B9" s="32" t="s">
        <v>74</v>
      </c>
      <c r="C9" s="32" t="s">
        <v>66</v>
      </c>
      <c r="D9" s="32">
        <v>1</v>
      </c>
      <c r="E9" s="33">
        <v>44770</v>
      </c>
      <c r="F9" s="32">
        <v>1.7659</v>
      </c>
      <c r="G9" s="32">
        <v>0.39400000000000002</v>
      </c>
      <c r="H9" s="32">
        <v>160.57400000000001</v>
      </c>
      <c r="I9" s="32">
        <v>22.591000000000001</v>
      </c>
      <c r="J9" s="33">
        <v>44848</v>
      </c>
      <c r="K9" s="32" t="s">
        <v>204</v>
      </c>
      <c r="L9" s="27" t="s">
        <v>229</v>
      </c>
      <c r="M9" s="27"/>
      <c r="N9" s="27"/>
      <c r="O9" s="27" t="s">
        <v>227</v>
      </c>
    </row>
    <row r="10" spans="1:20" x14ac:dyDescent="0.35">
      <c r="A10" s="35" t="s">
        <v>220</v>
      </c>
      <c r="B10" s="32" t="s">
        <v>74</v>
      </c>
      <c r="C10" s="32" t="s">
        <v>66</v>
      </c>
      <c r="D10" s="32">
        <v>2</v>
      </c>
      <c r="E10" s="33">
        <v>44770</v>
      </c>
      <c r="F10" s="32">
        <v>2649.6030999999998</v>
      </c>
      <c r="G10" s="32">
        <v>572.81700000000001</v>
      </c>
      <c r="H10" s="32">
        <v>1569.6392000000001</v>
      </c>
      <c r="I10" s="32">
        <v>225.46700000000001</v>
      </c>
      <c r="J10" s="33">
        <v>44848</v>
      </c>
      <c r="K10" s="32" t="s">
        <v>206</v>
      </c>
      <c r="L10" s="27"/>
      <c r="M10" s="27"/>
      <c r="N10" s="27"/>
      <c r="O10" s="27" t="s">
        <v>227</v>
      </c>
    </row>
    <row r="11" spans="1:20" x14ac:dyDescent="0.35">
      <c r="A11" s="35" t="s">
        <v>220</v>
      </c>
      <c r="B11" s="32" t="s">
        <v>74</v>
      </c>
      <c r="C11" s="32" t="s">
        <v>66</v>
      </c>
      <c r="D11" s="32">
        <v>2</v>
      </c>
      <c r="E11" s="33">
        <v>44770</v>
      </c>
      <c r="F11" s="32">
        <v>364.21940000000001</v>
      </c>
      <c r="G11" s="32">
        <v>89.914000000000001</v>
      </c>
      <c r="H11" s="32">
        <v>172.2713</v>
      </c>
      <c r="I11" s="32">
        <v>24.518999999999998</v>
      </c>
      <c r="J11" s="33">
        <v>44848</v>
      </c>
      <c r="K11" s="32" t="s">
        <v>207</v>
      </c>
      <c r="L11" s="27"/>
      <c r="M11" s="27"/>
      <c r="N11" s="27"/>
      <c r="O11" s="27" t="s">
        <v>80</v>
      </c>
    </row>
    <row r="12" spans="1:20" x14ac:dyDescent="0.35">
      <c r="A12" s="35" t="s">
        <v>221</v>
      </c>
      <c r="B12" s="32" t="s">
        <v>74</v>
      </c>
      <c r="C12" s="32" t="s">
        <v>66</v>
      </c>
      <c r="D12" s="32">
        <v>3</v>
      </c>
      <c r="E12" s="33">
        <v>44770</v>
      </c>
      <c r="F12" s="32">
        <v>957.07069999999999</v>
      </c>
      <c r="G12" s="32">
        <v>223.947</v>
      </c>
      <c r="H12" s="32">
        <v>409.27280000000002</v>
      </c>
      <c r="I12" s="32">
        <v>61.481999999999999</v>
      </c>
      <c r="J12" s="33">
        <v>44848</v>
      </c>
      <c r="K12" s="32" t="s">
        <v>208</v>
      </c>
      <c r="L12" s="27"/>
      <c r="M12" s="27"/>
      <c r="N12" s="27"/>
      <c r="O12" s="27" t="s">
        <v>80</v>
      </c>
    </row>
    <row r="13" spans="1:20" x14ac:dyDescent="0.35">
      <c r="A13" s="35" t="s">
        <v>222</v>
      </c>
      <c r="B13" s="32" t="s">
        <v>74</v>
      </c>
      <c r="C13" s="32" t="s">
        <v>205</v>
      </c>
      <c r="D13" s="32">
        <v>1</v>
      </c>
      <c r="E13" s="33">
        <v>44770</v>
      </c>
      <c r="F13" s="32">
        <v>6.2698999999999998</v>
      </c>
      <c r="G13" s="32">
        <v>1.3140000000000001</v>
      </c>
      <c r="H13" s="32">
        <v>8893.9685000000009</v>
      </c>
      <c r="I13" s="32">
        <v>1128.2070000000001</v>
      </c>
      <c r="J13" s="33">
        <v>44848</v>
      </c>
      <c r="K13" s="32" t="s">
        <v>230</v>
      </c>
      <c r="L13" s="27"/>
      <c r="M13" s="27"/>
      <c r="N13" s="27"/>
      <c r="O13" s="27"/>
    </row>
    <row r="14" spans="1:20" x14ac:dyDescent="0.35">
      <c r="A14" s="36" t="s">
        <v>209</v>
      </c>
      <c r="B14" s="32" t="s">
        <v>10</v>
      </c>
      <c r="C14" s="32" t="s">
        <v>10</v>
      </c>
      <c r="D14" s="32" t="s">
        <v>10</v>
      </c>
      <c r="E14" s="32" t="s">
        <v>10</v>
      </c>
      <c r="F14" s="32">
        <v>29.3506</v>
      </c>
      <c r="G14" s="32">
        <v>7.0720000000000001</v>
      </c>
      <c r="H14" s="32">
        <v>4752.0641999999998</v>
      </c>
      <c r="I14" s="32">
        <v>645.04999999999995</v>
      </c>
      <c r="J14" s="33">
        <v>44848</v>
      </c>
      <c r="K14" s="32" t="s">
        <v>231</v>
      </c>
      <c r="L14" s="27" t="s">
        <v>232</v>
      </c>
      <c r="M14" s="27"/>
      <c r="N14" s="27"/>
      <c r="O14" s="27"/>
    </row>
    <row r="15" spans="1:20" x14ac:dyDescent="0.35">
      <c r="A15" s="36" t="s">
        <v>209</v>
      </c>
      <c r="B15" s="32" t="s">
        <v>10</v>
      </c>
      <c r="C15" s="32" t="s">
        <v>10</v>
      </c>
      <c r="D15" s="32" t="s">
        <v>10</v>
      </c>
      <c r="E15" s="32" t="s">
        <v>10</v>
      </c>
      <c r="F15" s="32">
        <v>77.499700000000004</v>
      </c>
      <c r="G15" s="32">
        <v>17.806999999999999</v>
      </c>
      <c r="H15" s="32">
        <v>11654.0728</v>
      </c>
      <c r="I15" s="32">
        <v>1459.2260000000001</v>
      </c>
      <c r="J15" s="33">
        <v>44848</v>
      </c>
      <c r="K15" s="32" t="s">
        <v>233</v>
      </c>
      <c r="L15" s="27"/>
      <c r="M15" s="27">
        <f>100*(F15-T3)/AVERAGE(F15,T3)</f>
        <v>2.3970431636216896</v>
      </c>
      <c r="N15" s="27">
        <f>100*(H15-T4)/AVERAGE(H15,T4)</f>
        <v>3.042940273386197</v>
      </c>
      <c r="O15" s="27"/>
    </row>
    <row r="16" spans="1:20" x14ac:dyDescent="0.35">
      <c r="A16" s="36" t="s">
        <v>209</v>
      </c>
      <c r="B16" s="32" t="s">
        <v>10</v>
      </c>
      <c r="C16" s="32" t="s">
        <v>10</v>
      </c>
      <c r="D16" s="32" t="s">
        <v>10</v>
      </c>
      <c r="E16" s="32" t="s">
        <v>10</v>
      </c>
      <c r="F16" s="32">
        <v>77.902000000000001</v>
      </c>
      <c r="G16" s="32">
        <v>17.809999999999999</v>
      </c>
      <c r="H16" s="32">
        <v>11579.047500000001</v>
      </c>
      <c r="I16" s="32">
        <v>1451.8030000000001</v>
      </c>
      <c r="J16" s="33">
        <v>44848</v>
      </c>
      <c r="K16" s="32" t="s">
        <v>234</v>
      </c>
      <c r="L16" s="27"/>
      <c r="M16" s="27">
        <f>100*(F16-T3)/AVERAGE(F16,T3)</f>
        <v>2.9147076826901972</v>
      </c>
      <c r="N16" s="27">
        <f>100*(H16-T4)/AVERAGE(H16,T4)</f>
        <v>2.3972102370984443</v>
      </c>
      <c r="O16" s="27"/>
    </row>
    <row r="17" spans="1:15" x14ac:dyDescent="0.35">
      <c r="A17" s="35" t="s">
        <v>223</v>
      </c>
      <c r="B17" s="32" t="s">
        <v>74</v>
      </c>
      <c r="C17" s="32" t="s">
        <v>205</v>
      </c>
      <c r="D17" s="32">
        <v>2</v>
      </c>
      <c r="E17" s="33">
        <v>44770</v>
      </c>
      <c r="F17" s="32">
        <v>4.5553999999999997</v>
      </c>
      <c r="G17" s="32">
        <v>0.93899999999999995</v>
      </c>
      <c r="H17" s="32">
        <v>8471.8490999999995</v>
      </c>
      <c r="I17" s="32">
        <v>1077.3440000000001</v>
      </c>
      <c r="J17" s="33">
        <v>44848</v>
      </c>
      <c r="K17" s="32" t="s">
        <v>235</v>
      </c>
      <c r="L17" s="27"/>
      <c r="M17" s="27"/>
      <c r="N17" s="27"/>
      <c r="O17" s="27"/>
    </row>
    <row r="18" spans="1:15" x14ac:dyDescent="0.35">
      <c r="A18" s="35" t="s">
        <v>224</v>
      </c>
      <c r="B18" s="32" t="s">
        <v>74</v>
      </c>
      <c r="C18" s="34" t="s">
        <v>205</v>
      </c>
      <c r="D18" s="32">
        <v>3</v>
      </c>
      <c r="E18" s="33">
        <v>44770</v>
      </c>
      <c r="F18" s="37">
        <v>4.2328000000000001</v>
      </c>
      <c r="G18" s="32">
        <v>0.878</v>
      </c>
      <c r="H18" s="32">
        <v>7819.6836000000003</v>
      </c>
      <c r="I18" s="32">
        <v>997.78</v>
      </c>
      <c r="J18" s="33">
        <v>44848</v>
      </c>
      <c r="K18" s="32" t="s">
        <v>236</v>
      </c>
      <c r="L18" s="27"/>
      <c r="M18" s="27"/>
      <c r="N18" s="27"/>
      <c r="O18" s="27"/>
    </row>
    <row r="19" spans="1:15" x14ac:dyDescent="0.35">
      <c r="A19" s="26"/>
      <c r="B19" s="27"/>
      <c r="C19" s="29"/>
      <c r="D19" s="27"/>
      <c r="E19" s="28"/>
      <c r="F19" s="27"/>
      <c r="G19" s="27"/>
      <c r="H19" s="27"/>
      <c r="I19" s="27"/>
      <c r="J19" s="28"/>
      <c r="K19" s="27"/>
      <c r="L19" s="27"/>
      <c r="M19" s="27"/>
      <c r="N19" s="27"/>
      <c r="O19" s="27"/>
    </row>
    <row r="20" spans="1:15" x14ac:dyDescent="0.35">
      <c r="A20" s="26"/>
      <c r="B20" s="27"/>
      <c r="C20" s="27"/>
      <c r="D20" s="27"/>
      <c r="E20" s="28"/>
      <c r="F20" s="27"/>
      <c r="G20" s="27"/>
      <c r="H20" s="27"/>
      <c r="I20" s="27"/>
      <c r="J20" s="28"/>
      <c r="K20" s="27"/>
      <c r="L20" s="27"/>
      <c r="M20" s="27"/>
      <c r="N20" s="27"/>
      <c r="O20" s="27"/>
    </row>
    <row r="21" spans="1:15" x14ac:dyDescent="0.35">
      <c r="A21" s="26"/>
      <c r="B21" s="27"/>
      <c r="C21" s="29"/>
      <c r="D21" s="27"/>
      <c r="E21" s="28"/>
      <c r="F21" s="27"/>
      <c r="G21" s="27"/>
      <c r="H21" s="27"/>
      <c r="I21" s="27"/>
      <c r="J21" s="28"/>
      <c r="K21" s="27"/>
      <c r="L21" s="27"/>
      <c r="M21" s="27"/>
      <c r="N21" s="27"/>
      <c r="O21" s="27"/>
    </row>
    <row r="22" spans="1:15" x14ac:dyDescent="0.35">
      <c r="A22" s="26"/>
      <c r="B22" s="27"/>
      <c r="C22" s="27"/>
      <c r="D22" s="27"/>
      <c r="E22" s="28"/>
      <c r="F22" s="27"/>
      <c r="G22" s="27"/>
      <c r="H22" s="27"/>
      <c r="I22" s="27"/>
      <c r="J22" s="28"/>
      <c r="K22" s="27"/>
      <c r="L22" s="27"/>
      <c r="M22" s="27"/>
      <c r="N22" s="27"/>
      <c r="O22" s="27"/>
    </row>
    <row r="23" spans="1:15" x14ac:dyDescent="0.35">
      <c r="A23" s="30"/>
      <c r="B23" s="27"/>
      <c r="C23" s="29"/>
      <c r="D23" s="27"/>
      <c r="E23" s="28"/>
      <c r="F23" s="27"/>
      <c r="G23" s="27"/>
      <c r="H23" s="27"/>
      <c r="I23" s="27"/>
      <c r="J23" s="28"/>
      <c r="K23" s="27"/>
      <c r="L23" s="27"/>
      <c r="M23" s="27"/>
      <c r="N23" s="27"/>
      <c r="O23" s="27"/>
    </row>
    <row r="24" spans="1:15" x14ac:dyDescent="0.35">
      <c r="A24" s="30"/>
      <c r="B24" s="27"/>
      <c r="C24" s="29"/>
      <c r="D24" s="27"/>
      <c r="E24" s="28"/>
      <c r="F24" s="27"/>
      <c r="G24" s="27"/>
      <c r="H24" s="27"/>
      <c r="I24" s="27"/>
      <c r="J24" s="28"/>
      <c r="K24" s="27"/>
      <c r="L24" s="27"/>
      <c r="M24" s="27"/>
      <c r="N24" s="27"/>
      <c r="O24" s="27"/>
    </row>
    <row r="25" spans="1:15" x14ac:dyDescent="0.35">
      <c r="A25" s="30"/>
      <c r="B25" s="27"/>
      <c r="C25" s="29"/>
      <c r="D25" s="27"/>
      <c r="E25" s="28"/>
      <c r="F25" s="27"/>
      <c r="G25" s="27"/>
      <c r="H25" s="27"/>
      <c r="I25" s="27"/>
      <c r="J25" s="28"/>
      <c r="K25" s="27"/>
      <c r="L25" s="27"/>
      <c r="M25" s="27"/>
      <c r="N25" s="27"/>
      <c r="O25" s="27"/>
    </row>
    <row r="26" spans="1:15" x14ac:dyDescent="0.35">
      <c r="A26" s="26"/>
      <c r="B26" s="27"/>
      <c r="C26" s="29"/>
      <c r="D26" s="27"/>
      <c r="E26" s="28"/>
      <c r="F26" s="27"/>
      <c r="G26" s="27"/>
      <c r="H26" s="27"/>
      <c r="I26" s="27"/>
      <c r="J26" s="28"/>
      <c r="K26" s="27"/>
      <c r="L26" s="27"/>
      <c r="M26" s="27"/>
      <c r="N26" s="27"/>
      <c r="O26" s="27"/>
    </row>
    <row r="27" spans="1:15" x14ac:dyDescent="0.35">
      <c r="A27" s="26"/>
      <c r="B27" s="27"/>
      <c r="C27" s="29"/>
      <c r="D27" s="27"/>
      <c r="E27" s="28"/>
      <c r="F27" s="27"/>
      <c r="G27" s="27"/>
      <c r="H27" s="27"/>
      <c r="I27" s="27"/>
      <c r="J27" s="28"/>
      <c r="K27" s="27"/>
      <c r="L27" s="27"/>
      <c r="M27" s="27"/>
      <c r="N27" s="27"/>
      <c r="O27" s="27"/>
    </row>
    <row r="28" spans="1:15" x14ac:dyDescent="0.35">
      <c r="A28" s="26"/>
      <c r="B28" s="27"/>
      <c r="C28" s="29"/>
      <c r="D28" s="27"/>
      <c r="E28" s="28"/>
      <c r="F28" s="27"/>
      <c r="G28" s="27"/>
      <c r="H28" s="27"/>
      <c r="I28" s="27"/>
      <c r="J28" s="28"/>
      <c r="K28" s="27"/>
      <c r="L28" s="27"/>
      <c r="M28" s="27"/>
      <c r="N28" s="27"/>
      <c r="O28" s="27"/>
    </row>
    <row r="29" spans="1:15" x14ac:dyDescent="0.35">
      <c r="A29" s="31"/>
      <c r="B29" s="27"/>
      <c r="C29" s="27"/>
      <c r="D29" s="27"/>
      <c r="E29" s="27"/>
      <c r="F29" s="27"/>
      <c r="G29" s="27"/>
      <c r="H29" s="27"/>
      <c r="I29" s="27"/>
      <c r="J29" s="28"/>
      <c r="K29" s="27"/>
      <c r="L29" s="27"/>
      <c r="M29" s="27"/>
      <c r="N29" s="27"/>
      <c r="O29" s="27"/>
    </row>
    <row r="30" spans="1:15" x14ac:dyDescent="0.35">
      <c r="A30" s="31"/>
      <c r="B30" s="27"/>
      <c r="C30" s="27"/>
      <c r="D30" s="27"/>
      <c r="E30" s="27"/>
      <c r="F30" s="27"/>
      <c r="G30" s="27"/>
      <c r="H30" s="27"/>
      <c r="I30" s="27"/>
      <c r="J30" s="28"/>
      <c r="K30" s="27"/>
      <c r="L30" s="27"/>
      <c r="M30" s="27"/>
      <c r="N30" s="27"/>
      <c r="O30" s="27"/>
    </row>
    <row r="31" spans="1:15" x14ac:dyDescent="0.35">
      <c r="A31" s="26"/>
      <c r="B31" s="27"/>
      <c r="C31" s="29"/>
      <c r="D31" s="28"/>
      <c r="E31" s="28"/>
      <c r="F31" s="27"/>
      <c r="G31" s="27"/>
      <c r="H31" s="27"/>
      <c r="I31" s="27"/>
      <c r="J31" s="28"/>
      <c r="K31" s="27"/>
      <c r="L31" s="27"/>
      <c r="M31" s="27"/>
      <c r="N31" s="27"/>
      <c r="O31" s="27"/>
    </row>
    <row r="32" spans="1:15" x14ac:dyDescent="0.35">
      <c r="A32" s="26"/>
      <c r="B32" s="27"/>
      <c r="C32" s="29"/>
      <c r="D32" s="28"/>
      <c r="E32" s="28"/>
      <c r="F32" s="27"/>
      <c r="G32" s="27"/>
      <c r="H32" s="27"/>
      <c r="I32" s="27"/>
      <c r="J32" s="28"/>
      <c r="K32" s="27"/>
      <c r="L32" s="27"/>
      <c r="M32" s="27"/>
      <c r="N32" s="27"/>
      <c r="O32" s="27"/>
    </row>
    <row r="33" spans="1:15" x14ac:dyDescent="0.35">
      <c r="A33" s="26"/>
      <c r="B33" s="27"/>
      <c r="C33" s="29"/>
      <c r="D33" s="28"/>
      <c r="E33" s="28"/>
      <c r="F33" s="27"/>
      <c r="G33" s="27"/>
      <c r="H33" s="27"/>
      <c r="I33" s="27"/>
      <c r="J33" s="28"/>
      <c r="K33" s="27"/>
      <c r="L33" s="27"/>
      <c r="M33" s="27"/>
      <c r="N33" s="27"/>
      <c r="O33" s="27"/>
    </row>
    <row r="34" spans="1:15" x14ac:dyDescent="0.35">
      <c r="A34" s="26"/>
      <c r="B34" s="27"/>
      <c r="C34" s="29"/>
      <c r="D34" s="28"/>
      <c r="E34" s="28"/>
      <c r="F34" s="27"/>
      <c r="G34" s="27"/>
      <c r="H34" s="27"/>
      <c r="I34" s="27"/>
      <c r="J34" s="28"/>
      <c r="K34" s="27"/>
      <c r="L34" s="27"/>
      <c r="M34" s="27"/>
      <c r="N34" s="27"/>
      <c r="O34" s="27"/>
    </row>
    <row r="35" spans="1:15" x14ac:dyDescent="0.35">
      <c r="A35" s="26"/>
      <c r="B35" s="27"/>
      <c r="C35" s="29"/>
      <c r="D35" s="28"/>
      <c r="E35" s="28"/>
      <c r="F35" s="27"/>
      <c r="G35" s="27"/>
      <c r="H35" s="27"/>
      <c r="I35" s="27"/>
      <c r="J35" s="28"/>
      <c r="K35" s="27"/>
      <c r="L35" s="27"/>
      <c r="M35" s="27"/>
      <c r="N35" s="27"/>
      <c r="O35" s="27"/>
    </row>
    <row r="36" spans="1:15" x14ac:dyDescent="0.35">
      <c r="A36" s="26"/>
      <c r="B36" s="27"/>
      <c r="C36" s="29"/>
      <c r="D36" s="28"/>
      <c r="E36" s="28"/>
      <c r="F36" s="27"/>
      <c r="G36" s="27"/>
      <c r="H36" s="27"/>
      <c r="I36" s="27"/>
      <c r="J36" s="28"/>
      <c r="K36" s="27"/>
      <c r="L36" s="27"/>
      <c r="M36" s="27"/>
      <c r="N36" s="27"/>
      <c r="O36" s="27"/>
    </row>
    <row r="37" spans="1:15" x14ac:dyDescent="0.35">
      <c r="A37" s="26"/>
      <c r="B37" s="27"/>
      <c r="C37" s="29"/>
      <c r="D37" s="28"/>
      <c r="E37" s="28"/>
      <c r="F37" s="27"/>
      <c r="G37" s="27"/>
      <c r="H37" s="27"/>
      <c r="I37" s="27"/>
      <c r="J37" s="28"/>
      <c r="K37" s="27"/>
      <c r="L37" s="27"/>
      <c r="M37" s="27"/>
      <c r="N37" s="27"/>
      <c r="O37" s="27"/>
    </row>
    <row r="38" spans="1:15" x14ac:dyDescent="0.35">
      <c r="A38" s="26"/>
      <c r="B38" s="27"/>
      <c r="C38" s="29"/>
      <c r="D38" s="28"/>
      <c r="E38" s="28"/>
      <c r="F38" s="27"/>
      <c r="G38" s="27"/>
      <c r="H38" s="27"/>
      <c r="I38" s="27"/>
      <c r="J38" s="28"/>
      <c r="K38" s="27"/>
      <c r="L38" s="27"/>
      <c r="M38" s="27"/>
      <c r="N38" s="27"/>
      <c r="O38" s="27"/>
    </row>
    <row r="39" spans="1:15" x14ac:dyDescent="0.35">
      <c r="A39" s="26"/>
      <c r="B39" s="27"/>
      <c r="C39" s="29"/>
      <c r="D39" s="28"/>
      <c r="E39" s="28"/>
      <c r="F39" s="27"/>
      <c r="G39" s="27"/>
      <c r="H39" s="27"/>
      <c r="I39" s="27"/>
      <c r="J39" s="28"/>
      <c r="K39" s="27"/>
      <c r="L39" s="27"/>
      <c r="M39" s="27"/>
      <c r="N39" s="27"/>
      <c r="O39" s="27"/>
    </row>
    <row r="40" spans="1:15" x14ac:dyDescent="0.35">
      <c r="A40" s="26"/>
      <c r="B40" s="27"/>
      <c r="C40" s="29"/>
      <c r="D40" s="28"/>
      <c r="E40" s="28"/>
      <c r="F40" s="27"/>
      <c r="G40" s="27"/>
      <c r="H40" s="27"/>
      <c r="I40" s="27"/>
      <c r="J40" s="28"/>
      <c r="K40" s="27"/>
      <c r="L40" s="27"/>
      <c r="M40" s="27"/>
      <c r="N40" s="27"/>
      <c r="O40" s="27"/>
    </row>
    <row r="41" spans="1:15" x14ac:dyDescent="0.35">
      <c r="A41" s="31"/>
      <c r="B41" s="27"/>
      <c r="C41" s="27"/>
      <c r="D41" s="28"/>
      <c r="E41" s="28"/>
      <c r="F41" s="27"/>
      <c r="G41" s="27"/>
      <c r="H41" s="27"/>
      <c r="I41" s="27"/>
      <c r="J41" s="28"/>
      <c r="K41" s="27"/>
      <c r="L41" s="27"/>
      <c r="M41" s="27"/>
      <c r="N41" s="27"/>
      <c r="O41" s="27"/>
    </row>
    <row r="42" spans="1:15" x14ac:dyDescent="0.35">
      <c r="A42" s="31"/>
      <c r="B42" s="27"/>
      <c r="C42" s="27"/>
      <c r="D42" s="28"/>
      <c r="E42" s="27"/>
      <c r="F42" s="27"/>
      <c r="G42" s="27"/>
      <c r="H42" s="27"/>
      <c r="I42" s="27"/>
      <c r="J42" s="28"/>
      <c r="K42" s="27"/>
      <c r="L42" s="27"/>
      <c r="M42" s="27"/>
      <c r="N42" s="27"/>
      <c r="O42" s="27"/>
    </row>
    <row r="43" spans="1:15" x14ac:dyDescent="0.35">
      <c r="A43" s="26"/>
      <c r="B43" s="27"/>
      <c r="C43" s="27"/>
      <c r="D43" s="27"/>
      <c r="E43" s="27"/>
      <c r="F43" s="27"/>
      <c r="G43" s="27"/>
      <c r="H43" s="27"/>
      <c r="I43" s="27"/>
      <c r="J43" s="28"/>
      <c r="K43" s="27"/>
      <c r="L43" s="27"/>
      <c r="M43" s="27"/>
      <c r="N43" s="27"/>
      <c r="O43" s="27"/>
    </row>
    <row r="44" spans="1:15" x14ac:dyDescent="0.35">
      <c r="A44" s="26"/>
      <c r="B44" s="27"/>
      <c r="C44" s="29"/>
      <c r="D44" s="28"/>
      <c r="E44" s="28"/>
      <c r="F44" s="27"/>
      <c r="G44" s="27"/>
      <c r="H44" s="27"/>
      <c r="I44" s="27"/>
      <c r="J44" s="28"/>
      <c r="K44" s="27"/>
      <c r="L44" s="27"/>
      <c r="M44" s="27"/>
      <c r="N44" s="27"/>
      <c r="O44" s="27"/>
    </row>
    <row r="45" spans="1:15" x14ac:dyDescent="0.35">
      <c r="A45" s="26"/>
      <c r="B45" s="27"/>
      <c r="C45" s="29"/>
      <c r="D45" s="28"/>
      <c r="E45" s="28"/>
      <c r="F45" s="27"/>
      <c r="G45" s="27"/>
      <c r="H45" s="27"/>
      <c r="I45" s="27"/>
      <c r="J45" s="28"/>
      <c r="K45" s="27"/>
      <c r="L45" s="27"/>
      <c r="M45" s="27"/>
      <c r="N45" s="27"/>
      <c r="O45" s="27"/>
    </row>
    <row r="46" spans="1:15" x14ac:dyDescent="0.35">
      <c r="A46" s="26"/>
      <c r="B46" s="27"/>
      <c r="C46" s="27"/>
      <c r="D46" s="28"/>
      <c r="E46" s="28"/>
      <c r="F46" s="27"/>
      <c r="G46" s="27"/>
      <c r="H46" s="27"/>
      <c r="I46" s="27"/>
      <c r="J46" s="28"/>
      <c r="K46" s="27"/>
      <c r="L46" s="27"/>
      <c r="M46" s="27"/>
      <c r="N46" s="27"/>
      <c r="O46" s="27"/>
    </row>
    <row r="47" spans="1:15" x14ac:dyDescent="0.35">
      <c r="A47" s="26"/>
      <c r="B47" s="27"/>
      <c r="C47" s="27"/>
      <c r="D47" s="28"/>
      <c r="E47" s="28"/>
      <c r="F47" s="27"/>
      <c r="G47" s="27"/>
      <c r="H47" s="27"/>
      <c r="I47" s="27"/>
      <c r="J47" s="28"/>
      <c r="K47" s="27"/>
      <c r="L47" s="27"/>
      <c r="M47" s="27"/>
      <c r="N47" s="27"/>
      <c r="O47" s="27"/>
    </row>
    <row r="48" spans="1:15" x14ac:dyDescent="0.35">
      <c r="A48" s="26"/>
      <c r="B48" s="27"/>
      <c r="C48" s="27"/>
      <c r="D48" s="28"/>
      <c r="E48" s="28"/>
      <c r="F48" s="27"/>
      <c r="G48" s="27"/>
      <c r="H48" s="27"/>
      <c r="I48" s="27"/>
      <c r="J48" s="28"/>
      <c r="K48" s="27"/>
      <c r="L48" s="27"/>
      <c r="M48" s="27"/>
      <c r="N48" s="27"/>
      <c r="O48" s="27"/>
    </row>
    <row r="49" spans="1:15" x14ac:dyDescent="0.35">
      <c r="A49" s="26"/>
      <c r="B49" s="27"/>
      <c r="C49" s="27"/>
      <c r="D49" s="28"/>
      <c r="E49" s="28"/>
      <c r="F49" s="27"/>
      <c r="G49" s="27"/>
      <c r="H49" s="27"/>
      <c r="I49" s="27"/>
      <c r="J49" s="28"/>
      <c r="K49" s="27"/>
      <c r="L49" s="27"/>
      <c r="M49" s="27"/>
      <c r="N49" s="27"/>
      <c r="O49" s="27"/>
    </row>
    <row r="50" spans="1:15" x14ac:dyDescent="0.35">
      <c r="A50" s="26"/>
      <c r="B50" s="27"/>
      <c r="C50" s="27"/>
      <c r="D50" s="28"/>
      <c r="E50" s="28"/>
      <c r="F50" s="27"/>
      <c r="G50" s="27"/>
      <c r="H50" s="27"/>
      <c r="I50" s="27"/>
      <c r="J50" s="28"/>
      <c r="K50" s="27"/>
      <c r="L50" s="27"/>
      <c r="M50" s="27"/>
      <c r="N50" s="27"/>
      <c r="O50" s="27"/>
    </row>
    <row r="51" spans="1:15" x14ac:dyDescent="0.35">
      <c r="A51" s="26"/>
      <c r="B51" s="27"/>
      <c r="C51" s="27"/>
      <c r="D51" s="28"/>
      <c r="E51" s="28"/>
      <c r="F51" s="27"/>
      <c r="G51" s="27"/>
      <c r="H51" s="27"/>
      <c r="I51" s="27"/>
      <c r="J51" s="28"/>
      <c r="K51" s="27"/>
      <c r="L51" s="27"/>
      <c r="M51" s="27"/>
      <c r="N51" s="27"/>
      <c r="O51" s="27"/>
    </row>
    <row r="52" spans="1:15" x14ac:dyDescent="0.35">
      <c r="A52" s="26"/>
      <c r="B52" s="27"/>
      <c r="C52" s="27"/>
      <c r="D52" s="28"/>
      <c r="E52" s="28"/>
      <c r="F52" s="27"/>
      <c r="G52" s="27"/>
      <c r="H52" s="27"/>
      <c r="I52" s="27"/>
      <c r="J52" s="28"/>
      <c r="K52" s="27"/>
      <c r="L52" s="27"/>
      <c r="M52" s="27"/>
      <c r="N52" s="27"/>
      <c r="O52" s="27"/>
    </row>
    <row r="53" spans="1:15" x14ac:dyDescent="0.35">
      <c r="A53" s="26"/>
      <c r="B53" s="27"/>
      <c r="C53" s="27"/>
      <c r="D53" s="28"/>
      <c r="E53" s="28"/>
      <c r="F53" s="27"/>
      <c r="G53" s="27"/>
      <c r="H53" s="27"/>
      <c r="I53" s="27"/>
      <c r="J53" s="28"/>
      <c r="K53" s="27"/>
      <c r="L53" s="27"/>
      <c r="M53" s="27"/>
      <c r="N53" s="27"/>
      <c r="O53" s="27"/>
    </row>
    <row r="54" spans="1:15" x14ac:dyDescent="0.35">
      <c r="A54" s="26"/>
      <c r="B54" s="27"/>
      <c r="C54" s="27"/>
      <c r="D54" s="27"/>
      <c r="E54" s="27"/>
      <c r="F54" s="27"/>
      <c r="G54" s="27"/>
      <c r="H54" s="27"/>
      <c r="I54" s="27"/>
      <c r="J54" s="28"/>
      <c r="K54" s="27"/>
      <c r="L54" s="27"/>
      <c r="M54" s="27"/>
      <c r="N54" s="27"/>
      <c r="O54" s="27"/>
    </row>
    <row r="55" spans="1:15" x14ac:dyDescent="0.35">
      <c r="A55" s="31"/>
      <c r="B55" s="27"/>
      <c r="C55" s="27"/>
      <c r="D55" s="28"/>
      <c r="E55" s="27"/>
      <c r="F55" s="27"/>
      <c r="G55" s="27"/>
      <c r="H55" s="27"/>
      <c r="I55" s="27"/>
      <c r="J55" s="28"/>
      <c r="K55" s="27"/>
      <c r="L55" s="27"/>
      <c r="M55" s="27"/>
      <c r="N55" s="27"/>
      <c r="O55" s="27"/>
    </row>
    <row r="56" spans="1:15" x14ac:dyDescent="0.35">
      <c r="A56" s="31"/>
      <c r="B56" s="27"/>
      <c r="C56" s="27"/>
      <c r="D56" s="28"/>
      <c r="E56" s="27"/>
      <c r="F56" s="27"/>
      <c r="G56" s="27"/>
      <c r="H56" s="27"/>
      <c r="I56" s="27"/>
      <c r="J56" s="28"/>
      <c r="K56" s="27"/>
      <c r="L56" s="27"/>
      <c r="M56" s="27"/>
      <c r="N56" s="27"/>
      <c r="O56" s="27"/>
    </row>
    <row r="57" spans="1:15" x14ac:dyDescent="0.35">
      <c r="A57" s="26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56AAC-6D39-4913-A8F3-5046E4868601}">
  <dimension ref="A1:U18"/>
  <sheetViews>
    <sheetView tabSelected="1" workbookViewId="0">
      <selection activeCell="U13" sqref="U13"/>
    </sheetView>
  </sheetViews>
  <sheetFormatPr defaultRowHeight="14.5" x14ac:dyDescent="0.35"/>
  <sheetData>
    <row r="1" spans="1:21" ht="58" x14ac:dyDescent="0.35">
      <c r="A1" s="25" t="s">
        <v>15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4</v>
      </c>
      <c r="G1" s="5" t="s">
        <v>3</v>
      </c>
      <c r="H1" s="5" t="s">
        <v>47</v>
      </c>
      <c r="I1" s="5" t="s">
        <v>5</v>
      </c>
      <c r="J1" s="5" t="s">
        <v>24</v>
      </c>
      <c r="K1" s="5" t="s">
        <v>8</v>
      </c>
      <c r="L1" s="5" t="s">
        <v>7</v>
      </c>
      <c r="M1" s="5" t="s">
        <v>27</v>
      </c>
      <c r="N1" s="5" t="s">
        <v>28</v>
      </c>
      <c r="O1" s="5" t="s">
        <v>244</v>
      </c>
      <c r="P1" s="19" t="s">
        <v>238</v>
      </c>
      <c r="Q1" s="19" t="s">
        <v>239</v>
      </c>
      <c r="R1" s="19" t="s">
        <v>240</v>
      </c>
      <c r="S1" s="19" t="s">
        <v>241</v>
      </c>
      <c r="T1" s="19" t="s">
        <v>242</v>
      </c>
      <c r="U1" s="19" t="s">
        <v>243</v>
      </c>
    </row>
    <row r="2" spans="1:21" x14ac:dyDescent="0.35">
      <c r="A2" s="35" t="s">
        <v>216</v>
      </c>
      <c r="B2" s="32" t="s">
        <v>74</v>
      </c>
      <c r="C2" s="32" t="s">
        <v>196</v>
      </c>
      <c r="D2" s="32" t="s">
        <v>10</v>
      </c>
      <c r="E2" s="33">
        <v>44770</v>
      </c>
      <c r="F2" s="32">
        <v>1.3236000000000001</v>
      </c>
      <c r="G2" s="32">
        <v>0.27900000000000003</v>
      </c>
      <c r="H2" s="32">
        <v>1106.8502000000001</v>
      </c>
      <c r="I2" s="32">
        <v>163.631</v>
      </c>
      <c r="J2" s="33">
        <v>44848</v>
      </c>
      <c r="K2" s="32" t="s">
        <v>213</v>
      </c>
      <c r="L2" s="38" t="s">
        <v>10</v>
      </c>
      <c r="M2" s="38" t="s">
        <v>10</v>
      </c>
      <c r="N2" s="38">
        <v>0</v>
      </c>
      <c r="O2" t="str">
        <f>IF(F2&gt;'std curve (2)'!$Q$3, "high", "low")</f>
        <v>low</v>
      </c>
      <c r="P2">
        <f>IF(O2="low", ((F2+1.052)/2.5572)*'dilution factor'!$L$6,  ((F2+85.827)/5.3876)*'dilution factor'!$L$6)</f>
        <v>1.0534780340357111</v>
      </c>
      <c r="Q2">
        <f>((H2+25.439)/5.6651)*'dilution factor'!$L$7</f>
        <v>239.92656905220363</v>
      </c>
      <c r="R2" t="s">
        <v>10</v>
      </c>
      <c r="S2" t="s">
        <v>10</v>
      </c>
      <c r="T2">
        <f>IF(R2="NA", P2, (P2*S2)/R2)</f>
        <v>1.0534780340357111</v>
      </c>
      <c r="U2">
        <f>IF(R2="NA", Q2, (Q2*S2)/R2)</f>
        <v>239.92656905220363</v>
      </c>
    </row>
    <row r="3" spans="1:21" x14ac:dyDescent="0.35">
      <c r="A3" s="35" t="s">
        <v>210</v>
      </c>
      <c r="B3" s="32" t="s">
        <v>74</v>
      </c>
      <c r="C3" s="32" t="s">
        <v>196</v>
      </c>
      <c r="D3" s="32" t="s">
        <v>10</v>
      </c>
      <c r="E3" s="33">
        <v>44770</v>
      </c>
      <c r="F3">
        <v>1.7314000000000001</v>
      </c>
      <c r="G3">
        <v>0.38</v>
      </c>
      <c r="H3" s="32">
        <v>847.3306</v>
      </c>
      <c r="I3" s="32">
        <v>127.218</v>
      </c>
      <c r="J3" s="33">
        <v>44848</v>
      </c>
      <c r="K3" s="32" t="s">
        <v>197</v>
      </c>
      <c r="L3" s="38" t="s">
        <v>10</v>
      </c>
      <c r="M3" s="38" t="s">
        <v>10</v>
      </c>
      <c r="N3">
        <v>0</v>
      </c>
      <c r="O3" t="str">
        <f>IF(F3&gt;'std curve (2)'!$Q$3, "high", "low")</f>
        <v>low</v>
      </c>
      <c r="P3">
        <f>IF(O3="low", ((F3+1.052)/2.5572)*'dilution factor'!$L$6,  ((F3+85.827)/5.3876)*'dilution factor'!$L$6)</f>
        <v>1.234320070691614</v>
      </c>
      <c r="Q3">
        <f>((H3+25.439)/5.6651)*'dilution factor'!$L$7</f>
        <v>184.93562925537407</v>
      </c>
      <c r="R3" t="s">
        <v>10</v>
      </c>
      <c r="S3" t="s">
        <v>10</v>
      </c>
      <c r="T3">
        <f t="shared" ref="T3:T18" si="0">IF(R3="NA", P3, (P3*S3)/R3)</f>
        <v>1.234320070691614</v>
      </c>
      <c r="U3">
        <f t="shared" ref="U3:U18" si="1">IF(R3="NA", Q3, (Q3*S3)/R3)</f>
        <v>184.93562925537407</v>
      </c>
    </row>
    <row r="4" spans="1:21" x14ac:dyDescent="0.35">
      <c r="A4" s="35" t="s">
        <v>211</v>
      </c>
      <c r="B4" s="32" t="s">
        <v>74</v>
      </c>
      <c r="C4" s="32" t="s">
        <v>196</v>
      </c>
      <c r="D4" s="32" t="s">
        <v>10</v>
      </c>
      <c r="E4" s="33">
        <v>44770</v>
      </c>
      <c r="F4" s="32">
        <v>1.9087000000000001</v>
      </c>
      <c r="G4" s="32">
        <v>0.39600000000000002</v>
      </c>
      <c r="H4" s="32">
        <v>1366.3559</v>
      </c>
      <c r="I4" s="32">
        <v>198.14599999999999</v>
      </c>
      <c r="J4" s="33">
        <v>44848</v>
      </c>
      <c r="K4" s="32" t="s">
        <v>198</v>
      </c>
      <c r="L4" s="38" t="s">
        <v>10</v>
      </c>
      <c r="M4" s="38" t="s">
        <v>10</v>
      </c>
      <c r="N4">
        <v>0</v>
      </c>
      <c r="O4" t="str">
        <f>IF(F4&gt;'std curve (2)'!$Q$3, "high", "low")</f>
        <v>low</v>
      </c>
      <c r="P4">
        <f>IF(O4="low", ((F4+1.052)/2.5572)*'dilution factor'!$L$6,  ((F4+85.827)/5.3876)*'dilution factor'!$L$6)</f>
        <v>1.3129451150738884</v>
      </c>
      <c r="Q4">
        <f>((H4+25.439)/5.6651)*'dilution factor'!$L$7</f>
        <v>294.91456350670376</v>
      </c>
      <c r="R4" t="s">
        <v>10</v>
      </c>
      <c r="S4" t="s">
        <v>10</v>
      </c>
      <c r="T4">
        <f t="shared" si="0"/>
        <v>1.3129451150738884</v>
      </c>
      <c r="U4">
        <f t="shared" si="1"/>
        <v>294.91456350670376</v>
      </c>
    </row>
    <row r="5" spans="1:21" x14ac:dyDescent="0.35">
      <c r="A5" s="35" t="s">
        <v>212</v>
      </c>
      <c r="B5" s="32" t="s">
        <v>74</v>
      </c>
      <c r="C5" s="34" t="s">
        <v>199</v>
      </c>
      <c r="D5" s="34">
        <v>1</v>
      </c>
      <c r="E5" s="33">
        <v>44770</v>
      </c>
      <c r="F5" s="32">
        <v>48.221499999999999</v>
      </c>
      <c r="G5" s="32">
        <v>10.765000000000001</v>
      </c>
      <c r="H5" s="32">
        <v>3957.8009999999999</v>
      </c>
      <c r="I5" s="32">
        <v>525.47699999999998</v>
      </c>
      <c r="J5" s="33">
        <v>44848</v>
      </c>
      <c r="K5" s="32" t="s">
        <v>200</v>
      </c>
      <c r="L5" s="38" t="s">
        <v>10</v>
      </c>
      <c r="M5" s="38" t="s">
        <v>10</v>
      </c>
      <c r="N5">
        <v>0</v>
      </c>
      <c r="O5" t="str">
        <f>IF(F5&gt;'std curve (2)'!$Q$3, "high", "low")</f>
        <v>low</v>
      </c>
      <c r="P5">
        <f>IF(O5="low", ((F5+1.052)/2.5572)*'dilution factor'!$L$6,  ((F5+85.827)/5.3876)*'dilution factor'!$L$6)</f>
        <v>21.850711361364962</v>
      </c>
      <c r="Q5">
        <f>((H5+25.439)/5.6651)*'dilution factor'!$L$7</f>
        <v>844.02916402585083</v>
      </c>
      <c r="R5" t="s">
        <v>10</v>
      </c>
      <c r="S5" t="s">
        <v>10</v>
      </c>
      <c r="T5">
        <f t="shared" si="0"/>
        <v>21.850711361364962</v>
      </c>
      <c r="U5">
        <f t="shared" si="1"/>
        <v>844.02916402585083</v>
      </c>
    </row>
    <row r="6" spans="1:21" x14ac:dyDescent="0.35">
      <c r="A6" s="35" t="s">
        <v>217</v>
      </c>
      <c r="B6" s="32" t="s">
        <v>74</v>
      </c>
      <c r="C6" s="34" t="s">
        <v>199</v>
      </c>
      <c r="D6" s="32">
        <v>2</v>
      </c>
      <c r="E6" s="33">
        <v>44770</v>
      </c>
      <c r="F6" s="32">
        <v>68.757999999999996</v>
      </c>
      <c r="G6" s="32">
        <v>15.601000000000001</v>
      </c>
      <c r="H6" s="32">
        <v>4410.3365999999996</v>
      </c>
      <c r="I6" s="32">
        <v>580.99099999999999</v>
      </c>
      <c r="J6" s="33">
        <v>44848</v>
      </c>
      <c r="K6" s="32" t="s">
        <v>201</v>
      </c>
      <c r="L6" s="38" t="s">
        <v>10</v>
      </c>
      <c r="M6" s="38" t="s">
        <v>10</v>
      </c>
      <c r="N6">
        <v>0</v>
      </c>
      <c r="O6" t="str">
        <f>IF(F6&gt;'std curve (2)'!$Q$3, "high", "low")</f>
        <v>low</v>
      </c>
      <c r="P6">
        <f>IF(O6="low", ((F6+1.052)/2.5572)*'dilution factor'!$L$6,  ((F6+85.827)/5.3876)*'dilution factor'!$L$6)</f>
        <v>30.957779742394756</v>
      </c>
      <c r="Q6">
        <f>((H6+25.439)/5.6651)*'dilution factor'!$L$7</f>
        <v>939.91925454511068</v>
      </c>
      <c r="R6" t="s">
        <v>10</v>
      </c>
      <c r="S6" t="s">
        <v>10</v>
      </c>
      <c r="T6">
        <f t="shared" si="0"/>
        <v>30.957779742394756</v>
      </c>
      <c r="U6">
        <f t="shared" si="1"/>
        <v>939.91925454511068</v>
      </c>
    </row>
    <row r="7" spans="1:21" x14ac:dyDescent="0.35">
      <c r="A7" s="35" t="s">
        <v>218</v>
      </c>
      <c r="B7" s="32" t="s">
        <v>74</v>
      </c>
      <c r="C7" s="32" t="s">
        <v>199</v>
      </c>
      <c r="D7" s="32">
        <v>3</v>
      </c>
      <c r="E7" s="33">
        <v>44770</v>
      </c>
      <c r="F7" s="32">
        <v>20.710799999999999</v>
      </c>
      <c r="G7" s="32">
        <v>4.4909999999999997</v>
      </c>
      <c r="H7" s="32">
        <v>4756.3130000000001</v>
      </c>
      <c r="I7" s="32">
        <v>625.84</v>
      </c>
      <c r="J7" s="33">
        <v>44848</v>
      </c>
      <c r="K7" s="32" t="s">
        <v>202</v>
      </c>
      <c r="L7" s="27" t="s">
        <v>225</v>
      </c>
      <c r="M7" s="38" t="s">
        <v>10</v>
      </c>
      <c r="N7">
        <v>0</v>
      </c>
      <c r="O7" t="str">
        <f>IF(F7&gt;'std curve (2)'!$Q$3, "high", "low")</f>
        <v>low</v>
      </c>
      <c r="P7">
        <f>IF(O7="low", ((F7+1.052)/2.5572)*'dilution factor'!$L$6,  ((F7+85.827)/5.3876)*'dilution factor'!$L$6)</f>
        <v>9.6508805182321815</v>
      </c>
      <c r="Q7">
        <f>((H7+25.439)/5.6651)*'dilution factor'!$L$7</f>
        <v>1013.2299693563382</v>
      </c>
      <c r="R7" t="s">
        <v>10</v>
      </c>
      <c r="S7" t="s">
        <v>10</v>
      </c>
      <c r="T7">
        <f t="shared" si="0"/>
        <v>9.6508805182321815</v>
      </c>
      <c r="U7">
        <f t="shared" si="1"/>
        <v>1013.2299693563382</v>
      </c>
    </row>
    <row r="8" spans="1:21" x14ac:dyDescent="0.35">
      <c r="A8" s="35" t="s">
        <v>219</v>
      </c>
      <c r="B8" s="32" t="s">
        <v>74</v>
      </c>
      <c r="C8" s="32" t="s">
        <v>66</v>
      </c>
      <c r="D8" s="32">
        <v>1</v>
      </c>
      <c r="E8" s="33">
        <v>44770</v>
      </c>
      <c r="F8" s="32" t="s">
        <v>10</v>
      </c>
      <c r="G8" s="32" t="s">
        <v>10</v>
      </c>
      <c r="H8" s="32">
        <v>22836.0268</v>
      </c>
      <c r="I8" s="32" t="s">
        <v>228</v>
      </c>
      <c r="J8" s="33">
        <v>44848</v>
      </c>
      <c r="K8" s="32" t="s">
        <v>203</v>
      </c>
      <c r="L8" s="27" t="s">
        <v>226</v>
      </c>
      <c r="M8" s="38" t="s">
        <v>10</v>
      </c>
      <c r="N8">
        <v>0</v>
      </c>
      <c r="O8" t="str">
        <f>IF(F8&gt;'std curve (2)'!$Q$3, "high", "low")</f>
        <v>high</v>
      </c>
      <c r="P8" t="s">
        <v>10</v>
      </c>
      <c r="Q8">
        <f>((H8+25.439)/5.6651)*'dilution factor'!$L$7</f>
        <v>4844.2333044405004</v>
      </c>
      <c r="R8" t="s">
        <v>10</v>
      </c>
      <c r="S8" t="s">
        <v>10</v>
      </c>
      <c r="T8" t="str">
        <f t="shared" si="0"/>
        <v>NA</v>
      </c>
      <c r="U8">
        <f t="shared" si="1"/>
        <v>4844.2333044405004</v>
      </c>
    </row>
    <row r="9" spans="1:21" x14ac:dyDescent="0.35">
      <c r="A9" s="35" t="s">
        <v>219</v>
      </c>
      <c r="B9" s="32" t="s">
        <v>74</v>
      </c>
      <c r="C9" s="32" t="s">
        <v>66</v>
      </c>
      <c r="D9" s="32">
        <v>1</v>
      </c>
      <c r="E9" s="33">
        <v>44770</v>
      </c>
      <c r="F9" s="32">
        <v>1.7659</v>
      </c>
      <c r="G9" s="32">
        <v>0.39400000000000002</v>
      </c>
      <c r="H9" s="32">
        <v>160.57400000000001</v>
      </c>
      <c r="I9" s="32">
        <v>22.591000000000001</v>
      </c>
      <c r="J9" s="33">
        <v>44848</v>
      </c>
      <c r="K9" s="32" t="s">
        <v>204</v>
      </c>
      <c r="L9" s="27" t="s">
        <v>229</v>
      </c>
      <c r="M9" s="27" t="s">
        <v>227</v>
      </c>
      <c r="N9">
        <v>1</v>
      </c>
      <c r="O9" t="str">
        <f>IF(F9&gt;'std curve (2)'!$Q$3, "high", "low")</f>
        <v>low</v>
      </c>
      <c r="P9">
        <f>IF(O9="low", ((F9+1.052)/2.5572)*'dilution factor'!$L$6,  ((F9+85.827)/5.3876)*'dilution factor'!$L$6)</f>
        <v>1.2496193602076233</v>
      </c>
      <c r="Q9">
        <f>((H9+25.439)/5.6651)*'dilution factor'!$L$7</f>
        <v>39.41524911578027</v>
      </c>
      <c r="R9">
        <v>1</v>
      </c>
      <c r="S9">
        <v>10</v>
      </c>
      <c r="T9">
        <f t="shared" si="0"/>
        <v>12.496193602076232</v>
      </c>
      <c r="U9">
        <f t="shared" si="1"/>
        <v>394.15249115780273</v>
      </c>
    </row>
    <row r="10" spans="1:21" x14ac:dyDescent="0.35">
      <c r="A10" s="35" t="s">
        <v>220</v>
      </c>
      <c r="B10" s="32" t="s">
        <v>74</v>
      </c>
      <c r="C10" s="32" t="s">
        <v>66</v>
      </c>
      <c r="D10" s="32">
        <v>2</v>
      </c>
      <c r="E10" s="33">
        <v>44770</v>
      </c>
      <c r="F10" s="32">
        <v>2649.6030999999998</v>
      </c>
      <c r="G10" s="32">
        <v>572.81700000000001</v>
      </c>
      <c r="H10" s="32">
        <v>1569.6392000000001</v>
      </c>
      <c r="I10" s="32">
        <v>225.46700000000001</v>
      </c>
      <c r="J10" s="33">
        <v>44848</v>
      </c>
      <c r="K10" s="32" t="s">
        <v>206</v>
      </c>
      <c r="L10" s="38" t="s">
        <v>10</v>
      </c>
      <c r="M10" s="27" t="s">
        <v>227</v>
      </c>
      <c r="N10">
        <v>1</v>
      </c>
      <c r="O10" t="str">
        <f>IF(F10&gt;'std curve (2)'!$Q$3, "high", "low")</f>
        <v>high</v>
      </c>
      <c r="P10">
        <f>IF(O10="low", ((F10+1.052)/2.5572)*'dilution factor'!$L$6,  ((F10+85.827)/5.3876)*'dilution factor'!$L$6)</f>
        <v>575.76749221275179</v>
      </c>
      <c r="Q10">
        <f>((H10+25.439)/5.6651)*'dilution factor'!$L$7</f>
        <v>337.98930511389199</v>
      </c>
      <c r="R10">
        <v>1</v>
      </c>
      <c r="S10">
        <v>10</v>
      </c>
      <c r="T10">
        <f t="shared" si="0"/>
        <v>5757.6749221275177</v>
      </c>
      <c r="U10">
        <f t="shared" si="1"/>
        <v>3379.8930511389199</v>
      </c>
    </row>
    <row r="11" spans="1:21" x14ac:dyDescent="0.35">
      <c r="A11" s="35" t="s">
        <v>220</v>
      </c>
      <c r="B11" s="32" t="s">
        <v>74</v>
      </c>
      <c r="C11" s="32" t="s">
        <v>66</v>
      </c>
      <c r="D11" s="32">
        <v>2</v>
      </c>
      <c r="E11" s="33">
        <v>44770</v>
      </c>
      <c r="F11" s="32">
        <v>364.21940000000001</v>
      </c>
      <c r="G11" s="32">
        <v>89.914000000000001</v>
      </c>
      <c r="H11" s="32">
        <v>172.2713</v>
      </c>
      <c r="I11" s="32">
        <v>24.518999999999998</v>
      </c>
      <c r="J11" s="33">
        <v>44848</v>
      </c>
      <c r="K11" s="32" t="s">
        <v>207</v>
      </c>
      <c r="L11" s="38" t="s">
        <v>10</v>
      </c>
      <c r="M11" s="27" t="s">
        <v>80</v>
      </c>
      <c r="N11">
        <v>1</v>
      </c>
      <c r="O11" t="str">
        <f>IF(F11&gt;'std curve (2)'!$Q$3, "high", "low")</f>
        <v>high</v>
      </c>
      <c r="P11">
        <f>IF(O11="low", ((F11+1.052)/2.5572)*'dilution factor'!$L$6,  ((F11+85.827)/5.3876)*'dilution factor'!$L$6)</f>
        <v>94.728096728692506</v>
      </c>
      <c r="Q11">
        <f>((H11+25.439)/5.6651)*'dilution factor'!$L$7</f>
        <v>41.893850038737348</v>
      </c>
      <c r="R11">
        <v>0.1</v>
      </c>
      <c r="S11">
        <v>10</v>
      </c>
      <c r="T11">
        <f t="shared" si="0"/>
        <v>9472.809672869249</v>
      </c>
      <c r="U11">
        <f t="shared" si="1"/>
        <v>4189.3850038737346</v>
      </c>
    </row>
    <row r="12" spans="1:21" x14ac:dyDescent="0.35">
      <c r="A12" s="35" t="s">
        <v>221</v>
      </c>
      <c r="B12" s="32" t="s">
        <v>74</v>
      </c>
      <c r="C12" s="32" t="s">
        <v>66</v>
      </c>
      <c r="D12" s="32">
        <v>3</v>
      </c>
      <c r="E12" s="33">
        <v>44770</v>
      </c>
      <c r="F12" s="32">
        <v>957.07069999999999</v>
      </c>
      <c r="G12" s="32">
        <v>223.947</v>
      </c>
      <c r="H12" s="32">
        <v>409.27280000000002</v>
      </c>
      <c r="I12" s="32">
        <v>61.481999999999999</v>
      </c>
      <c r="J12" s="33">
        <v>44848</v>
      </c>
      <c r="K12" s="32" t="s">
        <v>208</v>
      </c>
      <c r="L12" s="38" t="s">
        <v>10</v>
      </c>
      <c r="M12" s="27" t="s">
        <v>80</v>
      </c>
      <c r="N12">
        <v>1</v>
      </c>
      <c r="O12" t="str">
        <f>IF(F12&gt;'std curve (2)'!$Q$3, "high", "low")</f>
        <v>high</v>
      </c>
      <c r="P12">
        <f>IF(O12="low", ((F12+1.052)/2.5572)*'dilution factor'!$L$6,  ((F12+85.827)/5.3876)*'dilution factor'!$L$6)</f>
        <v>219.51450829010284</v>
      </c>
      <c r="Q12">
        <f>((H12+25.439)/5.6651)*'dilution factor'!$L$7</f>
        <v>92.113314072507038</v>
      </c>
      <c r="R12">
        <v>0.1</v>
      </c>
      <c r="S12">
        <v>10</v>
      </c>
      <c r="T12">
        <f t="shared" si="0"/>
        <v>21951.450829010282</v>
      </c>
      <c r="U12">
        <f t="shared" si="1"/>
        <v>9211.3314072507037</v>
      </c>
    </row>
    <row r="13" spans="1:21" x14ac:dyDescent="0.35">
      <c r="A13" s="35" t="s">
        <v>222</v>
      </c>
      <c r="B13" s="32" t="s">
        <v>74</v>
      </c>
      <c r="C13" s="32" t="s">
        <v>205</v>
      </c>
      <c r="D13" s="32">
        <v>1</v>
      </c>
      <c r="E13" s="33">
        <v>44770</v>
      </c>
      <c r="F13" s="32">
        <v>6.2698999999999998</v>
      </c>
      <c r="G13" s="32">
        <v>1.3140000000000001</v>
      </c>
      <c r="H13" s="32">
        <v>8893.9685000000009</v>
      </c>
      <c r="I13" s="32">
        <v>1128.2070000000001</v>
      </c>
      <c r="J13" s="33">
        <v>44848</v>
      </c>
      <c r="K13" s="32" t="s">
        <v>230</v>
      </c>
      <c r="L13" s="38" t="s">
        <v>10</v>
      </c>
      <c r="M13" s="38" t="s">
        <v>10</v>
      </c>
      <c r="N13">
        <v>0</v>
      </c>
      <c r="O13" t="str">
        <f>IF(F13&gt;'std curve (2)'!$Q$3, "high", "low")</f>
        <v>low</v>
      </c>
      <c r="P13">
        <f>IF(O13="low", ((F13+1.052)/2.5572)*'dilution factor'!$L$6,  ((F13+85.827)/5.3876)*'dilution factor'!$L$6)</f>
        <v>3.2469526929643338</v>
      </c>
      <c r="Q13">
        <f>((H13+25.439)/5.6651)*'dilution factor'!$L$7</f>
        <v>1889.9790260769887</v>
      </c>
      <c r="R13" t="s">
        <v>10</v>
      </c>
      <c r="S13" t="s">
        <v>10</v>
      </c>
      <c r="T13">
        <f t="shared" si="0"/>
        <v>3.2469526929643338</v>
      </c>
      <c r="U13">
        <f t="shared" si="1"/>
        <v>1889.9790260769887</v>
      </c>
    </row>
    <row r="14" spans="1:21" x14ac:dyDescent="0.35">
      <c r="A14" s="36" t="s">
        <v>209</v>
      </c>
      <c r="B14" s="32" t="s">
        <v>10</v>
      </c>
      <c r="C14" s="32" t="s">
        <v>10</v>
      </c>
      <c r="D14" s="32" t="s">
        <v>10</v>
      </c>
      <c r="E14" s="32" t="s">
        <v>10</v>
      </c>
      <c r="F14" s="32">
        <v>29.3506</v>
      </c>
      <c r="G14" s="32">
        <v>7.0720000000000001</v>
      </c>
      <c r="H14" s="32">
        <v>4752.0641999999998</v>
      </c>
      <c r="I14" s="32">
        <v>645.04999999999995</v>
      </c>
      <c r="J14" s="33">
        <v>44848</v>
      </c>
      <c r="K14" s="32" t="s">
        <v>231</v>
      </c>
      <c r="L14" s="27" t="s">
        <v>232</v>
      </c>
      <c r="M14" s="38" t="s">
        <v>10</v>
      </c>
      <c r="N14">
        <v>0</v>
      </c>
      <c r="O14" t="str">
        <f>IF(F14&gt;'std curve (2)'!$Q$3, "high", "low")</f>
        <v>low</v>
      </c>
      <c r="P14">
        <f>IF(O14="low", ((F14+1.052)/2.5572)*'dilution factor'!$L$6,  ((F14+85.827)/5.3876)*'dilution factor'!$L$6)</f>
        <v>13.482266070708077</v>
      </c>
      <c r="Q14">
        <f>((H14+25.439)/5.6651)*'dilution factor'!$L$7</f>
        <v>1012.3296693211624</v>
      </c>
      <c r="R14" t="s">
        <v>10</v>
      </c>
      <c r="S14" t="s">
        <v>10</v>
      </c>
      <c r="T14">
        <f t="shared" si="0"/>
        <v>13.482266070708077</v>
      </c>
      <c r="U14">
        <f t="shared" si="1"/>
        <v>1012.3296693211624</v>
      </c>
    </row>
    <row r="15" spans="1:21" x14ac:dyDescent="0.35">
      <c r="A15" s="36" t="s">
        <v>209</v>
      </c>
      <c r="B15" s="32" t="s">
        <v>10</v>
      </c>
      <c r="C15" s="32" t="s">
        <v>10</v>
      </c>
      <c r="D15" s="32" t="s">
        <v>10</v>
      </c>
      <c r="E15" s="32" t="s">
        <v>10</v>
      </c>
      <c r="F15" s="32">
        <v>77.499700000000004</v>
      </c>
      <c r="G15" s="32">
        <v>17.806999999999999</v>
      </c>
      <c r="H15" s="32">
        <v>11654.0728</v>
      </c>
      <c r="I15" s="32">
        <v>1459.2260000000001</v>
      </c>
      <c r="J15" s="33">
        <v>44848</v>
      </c>
      <c r="K15" s="32" t="s">
        <v>233</v>
      </c>
      <c r="L15" s="38" t="s">
        <v>10</v>
      </c>
      <c r="M15" s="38" t="s">
        <v>10</v>
      </c>
      <c r="N15">
        <v>0</v>
      </c>
      <c r="O15" t="str">
        <f>IF(F15&gt;'std curve (2)'!$Q$3, "high", "low")</f>
        <v>high</v>
      </c>
      <c r="P15">
        <f>IF(O15="low", ((F15+1.052)/2.5572)*'dilution factor'!$L$6,  ((F15+85.827)/5.3876)*'dilution factor'!$L$6)</f>
        <v>34.377849563907503</v>
      </c>
      <c r="Q15">
        <f>((H15+25.439)/5.6651)*'dilution factor'!$L$7</f>
        <v>2474.8316899770189</v>
      </c>
      <c r="R15" t="s">
        <v>10</v>
      </c>
      <c r="S15" t="s">
        <v>10</v>
      </c>
      <c r="T15">
        <f t="shared" si="0"/>
        <v>34.377849563907503</v>
      </c>
      <c r="U15">
        <f t="shared" si="1"/>
        <v>2474.8316899770189</v>
      </c>
    </row>
    <row r="16" spans="1:21" x14ac:dyDescent="0.35">
      <c r="A16" s="36" t="s">
        <v>209</v>
      </c>
      <c r="B16" s="32" t="s">
        <v>10</v>
      </c>
      <c r="C16" s="32" t="s">
        <v>10</v>
      </c>
      <c r="D16" s="32" t="s">
        <v>10</v>
      </c>
      <c r="E16" s="32" t="s">
        <v>10</v>
      </c>
      <c r="F16" s="32">
        <v>77.902000000000001</v>
      </c>
      <c r="G16" s="32">
        <v>17.809999999999999</v>
      </c>
      <c r="H16" s="32">
        <v>11579.047500000001</v>
      </c>
      <c r="I16" s="32">
        <v>1451.8030000000001</v>
      </c>
      <c r="J16" s="33">
        <v>44848</v>
      </c>
      <c r="K16" s="32" t="s">
        <v>234</v>
      </c>
      <c r="L16" s="38" t="s">
        <v>10</v>
      </c>
      <c r="M16" s="38" t="s">
        <v>10</v>
      </c>
      <c r="N16">
        <v>0</v>
      </c>
      <c r="O16" t="str">
        <f>IF(F16&gt;'std curve (2)'!$Q$3, "high", "low")</f>
        <v>high</v>
      </c>
      <c r="P16">
        <f>IF(O16="low", ((F16+1.052)/2.5572)*'dilution factor'!$L$6,  ((F16+85.827)/5.3876)*'dilution factor'!$L$6)</f>
        <v>34.46252775112098</v>
      </c>
      <c r="Q16">
        <f>((H16+25.439)/5.6651)*'dilution factor'!$L$7</f>
        <v>2458.9341941595967</v>
      </c>
      <c r="R16" t="s">
        <v>10</v>
      </c>
      <c r="S16" t="s">
        <v>10</v>
      </c>
      <c r="T16">
        <f t="shared" si="0"/>
        <v>34.46252775112098</v>
      </c>
      <c r="U16">
        <f t="shared" si="1"/>
        <v>2458.9341941595967</v>
      </c>
    </row>
    <row r="17" spans="1:21" x14ac:dyDescent="0.35">
      <c r="A17" s="35" t="s">
        <v>223</v>
      </c>
      <c r="B17" s="32" t="s">
        <v>74</v>
      </c>
      <c r="C17" s="32" t="s">
        <v>205</v>
      </c>
      <c r="D17" s="32">
        <v>2</v>
      </c>
      <c r="E17" s="33">
        <v>44770</v>
      </c>
      <c r="F17" s="32">
        <v>4.5553999999999997</v>
      </c>
      <c r="G17" s="32">
        <v>0.93899999999999995</v>
      </c>
      <c r="H17" s="32">
        <v>8471.8490999999995</v>
      </c>
      <c r="I17" s="32">
        <v>1077.3440000000001</v>
      </c>
      <c r="J17" s="33">
        <v>44848</v>
      </c>
      <c r="K17" s="32" t="s">
        <v>235</v>
      </c>
      <c r="L17" s="38" t="s">
        <v>10</v>
      </c>
      <c r="M17" s="38" t="s">
        <v>10</v>
      </c>
      <c r="N17">
        <v>0</v>
      </c>
      <c r="O17" t="str">
        <f>IF(F17&gt;'std curve (2)'!$Q$3, "high", "low")</f>
        <v>low</v>
      </c>
      <c r="P17">
        <f>IF(O17="low", ((F17+1.052)/2.5572)*'dilution factor'!$L$6,  ((F17+85.827)/5.3876)*'dilution factor'!$L$6)</f>
        <v>2.4866445226687346</v>
      </c>
      <c r="Q17">
        <f>((H17+25.439)/5.6651)*'dilution factor'!$L$7</f>
        <v>1800.5339802597407</v>
      </c>
      <c r="R17" t="s">
        <v>10</v>
      </c>
      <c r="S17" t="s">
        <v>10</v>
      </c>
      <c r="T17">
        <f t="shared" si="0"/>
        <v>2.4866445226687346</v>
      </c>
      <c r="U17">
        <f t="shared" si="1"/>
        <v>1800.5339802597407</v>
      </c>
    </row>
    <row r="18" spans="1:21" x14ac:dyDescent="0.35">
      <c r="A18" s="35" t="s">
        <v>224</v>
      </c>
      <c r="B18" s="32" t="s">
        <v>74</v>
      </c>
      <c r="C18" s="34" t="s">
        <v>205</v>
      </c>
      <c r="D18" s="32">
        <v>3</v>
      </c>
      <c r="E18" s="33">
        <v>44770</v>
      </c>
      <c r="F18" s="37">
        <v>4.2328000000000001</v>
      </c>
      <c r="G18" s="32">
        <v>0.878</v>
      </c>
      <c r="H18" s="32">
        <v>7819.6836000000003</v>
      </c>
      <c r="I18" s="32">
        <v>997.78</v>
      </c>
      <c r="J18" s="33">
        <v>44848</v>
      </c>
      <c r="K18" s="32" t="s">
        <v>236</v>
      </c>
      <c r="L18" s="38" t="s">
        <v>10</v>
      </c>
      <c r="M18" s="38" t="s">
        <v>10</v>
      </c>
      <c r="N18">
        <v>0</v>
      </c>
      <c r="O18" t="str">
        <f>IF(F18&gt;'std curve (2)'!$Q$3, "high", "low")</f>
        <v>low</v>
      </c>
      <c r="P18">
        <f>IF(O18="low", ((F18+1.052)/2.5572)*'dilution factor'!$L$6,  ((F18+85.827)/5.3876)*'dilution factor'!$L$6)</f>
        <v>2.3435850792523683</v>
      </c>
      <c r="Q18">
        <f>((H18+25.439)/5.6651)*'dilution factor'!$L$7</f>
        <v>1662.3432858071092</v>
      </c>
      <c r="R18" t="s">
        <v>10</v>
      </c>
      <c r="S18" t="s">
        <v>10</v>
      </c>
      <c r="T18">
        <f t="shared" si="0"/>
        <v>2.3435850792523683</v>
      </c>
      <c r="U18">
        <f t="shared" si="1"/>
        <v>1662.3432858071092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430EA-58C9-40F2-9E14-557F8A5CE8D3}">
  <dimension ref="A1:N12"/>
  <sheetViews>
    <sheetView workbookViewId="0">
      <selection activeCell="J18" sqref="J18"/>
    </sheetView>
  </sheetViews>
  <sheetFormatPr defaultColWidth="8.81640625" defaultRowHeight="14.5" x14ac:dyDescent="0.35"/>
  <sheetData>
    <row r="1" spans="1:14" x14ac:dyDescent="0.35">
      <c r="A1" s="5" t="s">
        <v>33</v>
      </c>
      <c r="B1" s="8" t="s">
        <v>15</v>
      </c>
      <c r="C1" s="9" t="s">
        <v>4</v>
      </c>
      <c r="D1" s="10" t="s">
        <v>3</v>
      </c>
      <c r="E1" s="9" t="s">
        <v>6</v>
      </c>
      <c r="F1" s="10" t="s">
        <v>5</v>
      </c>
      <c r="G1" s="3" t="s">
        <v>24</v>
      </c>
      <c r="H1" s="3" t="s">
        <v>8</v>
      </c>
      <c r="I1" s="3" t="s">
        <v>25</v>
      </c>
      <c r="J1" s="3" t="s">
        <v>26</v>
      </c>
    </row>
    <row r="2" spans="1:14" x14ac:dyDescent="0.35">
      <c r="A2">
        <v>1</v>
      </c>
      <c r="I2" t="e">
        <f>(1-D2/$N$2)*100</f>
        <v>#DIV/0!</v>
      </c>
      <c r="J2" t="e">
        <f>(1-F2/$N$3) *100</f>
        <v>#DIV/0!</v>
      </c>
      <c r="L2" s="4" t="s">
        <v>48</v>
      </c>
      <c r="M2" s="4"/>
      <c r="N2" s="4">
        <f>'std curve'!K3</f>
        <v>0</v>
      </c>
    </row>
    <row r="3" spans="1:14" x14ac:dyDescent="0.35">
      <c r="A3">
        <f>A2+1</f>
        <v>2</v>
      </c>
      <c r="I3" t="e">
        <f t="shared" ref="I3:I12" si="0">(1-D3/$N$2)*100</f>
        <v>#DIV/0!</v>
      </c>
      <c r="J3" t="e">
        <f t="shared" ref="J3:J12" si="1">(1-F3/$N$3) *100</f>
        <v>#DIV/0!</v>
      </c>
      <c r="L3" s="4" t="s">
        <v>49</v>
      </c>
      <c r="M3" s="4"/>
      <c r="N3" s="4">
        <f>'std curve'!K15</f>
        <v>0</v>
      </c>
    </row>
    <row r="4" spans="1:14" x14ac:dyDescent="0.35">
      <c r="A4">
        <f t="shared" ref="A4:A12" si="2">A3+1</f>
        <v>3</v>
      </c>
      <c r="I4" t="e">
        <f t="shared" si="0"/>
        <v>#DIV/0!</v>
      </c>
      <c r="J4" t="e">
        <f t="shared" si="1"/>
        <v>#DIV/0!</v>
      </c>
    </row>
    <row r="5" spans="1:14" x14ac:dyDescent="0.35">
      <c r="A5">
        <f t="shared" si="2"/>
        <v>4</v>
      </c>
      <c r="I5" t="e">
        <f t="shared" si="0"/>
        <v>#DIV/0!</v>
      </c>
      <c r="J5" t="e">
        <f t="shared" si="1"/>
        <v>#DIV/0!</v>
      </c>
    </row>
    <row r="6" spans="1:14" x14ac:dyDescent="0.35">
      <c r="A6">
        <f t="shared" si="2"/>
        <v>5</v>
      </c>
      <c r="I6" t="e">
        <f t="shared" si="0"/>
        <v>#DIV/0!</v>
      </c>
      <c r="J6" t="e">
        <f t="shared" si="1"/>
        <v>#DIV/0!</v>
      </c>
    </row>
    <row r="7" spans="1:14" x14ac:dyDescent="0.35">
      <c r="A7">
        <f t="shared" si="2"/>
        <v>6</v>
      </c>
      <c r="I7" t="e">
        <f t="shared" si="0"/>
        <v>#DIV/0!</v>
      </c>
      <c r="J7" t="e">
        <f t="shared" si="1"/>
        <v>#DIV/0!</v>
      </c>
    </row>
    <row r="8" spans="1:14" x14ac:dyDescent="0.35">
      <c r="A8">
        <f t="shared" si="2"/>
        <v>7</v>
      </c>
      <c r="I8" t="e">
        <f t="shared" si="0"/>
        <v>#DIV/0!</v>
      </c>
      <c r="J8" t="e">
        <f t="shared" si="1"/>
        <v>#DIV/0!</v>
      </c>
    </row>
    <row r="9" spans="1:14" x14ac:dyDescent="0.35">
      <c r="A9">
        <f t="shared" si="2"/>
        <v>8</v>
      </c>
      <c r="I9" t="e">
        <f t="shared" si="0"/>
        <v>#DIV/0!</v>
      </c>
      <c r="J9" t="e">
        <f t="shared" si="1"/>
        <v>#DIV/0!</v>
      </c>
    </row>
    <row r="10" spans="1:14" x14ac:dyDescent="0.35">
      <c r="A10">
        <f t="shared" si="2"/>
        <v>9</v>
      </c>
      <c r="I10" t="e">
        <f t="shared" si="0"/>
        <v>#DIV/0!</v>
      </c>
      <c r="J10" t="e">
        <f t="shared" si="1"/>
        <v>#DIV/0!</v>
      </c>
    </row>
    <row r="11" spans="1:14" x14ac:dyDescent="0.35">
      <c r="A11">
        <f t="shared" si="2"/>
        <v>10</v>
      </c>
      <c r="I11" t="e">
        <f t="shared" si="0"/>
        <v>#DIV/0!</v>
      </c>
      <c r="J11" t="e">
        <f t="shared" si="1"/>
        <v>#DIV/0!</v>
      </c>
    </row>
    <row r="12" spans="1:14" x14ac:dyDescent="0.35">
      <c r="A12">
        <f t="shared" si="2"/>
        <v>11</v>
      </c>
      <c r="I12" t="e">
        <f t="shared" si="0"/>
        <v>#DIV/0!</v>
      </c>
      <c r="J12" t="e">
        <f t="shared" si="1"/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57AB3-4D61-48B6-9283-53171410833C}">
  <dimension ref="A1:L9"/>
  <sheetViews>
    <sheetView workbookViewId="0">
      <selection activeCell="L9" sqref="L9"/>
    </sheetView>
  </sheetViews>
  <sheetFormatPr defaultColWidth="8.81640625" defaultRowHeight="14.5" x14ac:dyDescent="0.35"/>
  <cols>
    <col min="2" max="2" width="11.81640625" bestFit="1" customWidth="1"/>
    <col min="3" max="3" width="13" bestFit="1" customWidth="1"/>
    <col min="4" max="4" width="12" bestFit="1" customWidth="1"/>
    <col min="5" max="5" width="13.1796875" bestFit="1" customWidth="1"/>
    <col min="10" max="10" width="14" bestFit="1" customWidth="1"/>
    <col min="12" max="12" width="14.36328125" bestFit="1" customWidth="1"/>
  </cols>
  <sheetData>
    <row r="1" spans="1:12" x14ac:dyDescent="0.35">
      <c r="A1" s="17" t="s">
        <v>38</v>
      </c>
      <c r="B1" s="39">
        <v>44846</v>
      </c>
    </row>
    <row r="2" spans="1:12" x14ac:dyDescent="0.35">
      <c r="A2" s="17" t="s">
        <v>39</v>
      </c>
      <c r="B2" s="16" t="s">
        <v>245</v>
      </c>
    </row>
    <row r="3" spans="1:12" x14ac:dyDescent="0.35">
      <c r="A3" s="17" t="s">
        <v>40</v>
      </c>
      <c r="B3" s="16" t="s">
        <v>246</v>
      </c>
    </row>
    <row r="5" spans="1:12" ht="15.5" x14ac:dyDescent="0.35">
      <c r="A5" s="11" t="s">
        <v>34</v>
      </c>
      <c r="B5" s="11" t="s">
        <v>21</v>
      </c>
      <c r="C5" s="11" t="s">
        <v>20</v>
      </c>
      <c r="D5" s="11" t="s">
        <v>23</v>
      </c>
      <c r="E5" s="11" t="s">
        <v>22</v>
      </c>
      <c r="I5" s="14" t="s">
        <v>42</v>
      </c>
      <c r="J5" s="14" t="s">
        <v>43</v>
      </c>
      <c r="K5" s="14" t="s">
        <v>41</v>
      </c>
      <c r="L5" s="14" t="s">
        <v>44</v>
      </c>
    </row>
    <row r="6" spans="1:12" x14ac:dyDescent="0.35">
      <c r="A6" s="12" t="s">
        <v>35</v>
      </c>
      <c r="B6">
        <v>1989.5816</v>
      </c>
      <c r="C6">
        <v>384.81400000000002</v>
      </c>
      <c r="D6">
        <v>3549.7964000000002</v>
      </c>
      <c r="E6">
        <v>274.69299999999998</v>
      </c>
      <c r="H6" t="s">
        <v>45</v>
      </c>
      <c r="I6">
        <f>0.2313*10000-0.7207</f>
        <v>2312.2793000000001</v>
      </c>
      <c r="J6" s="13">
        <f>AVERAGE('[1]std curve'!C11:C13)</f>
        <v>2312.0880666666667</v>
      </c>
      <c r="K6" s="13">
        <f>AVERAGE(I6:J6)</f>
        <v>2312.1836833333336</v>
      </c>
      <c r="L6" s="13">
        <f>K6/B9</f>
        <v>1.1340099463866475</v>
      </c>
    </row>
    <row r="7" spans="1:12" x14ac:dyDescent="0.35">
      <c r="A7" s="12" t="s">
        <v>36</v>
      </c>
      <c r="B7">
        <v>2065.7646</v>
      </c>
      <c r="C7">
        <v>397.85199999999998</v>
      </c>
      <c r="D7">
        <v>3659.4971999999998</v>
      </c>
      <c r="E7">
        <v>230.178</v>
      </c>
      <c r="H7" s="18" t="s">
        <v>46</v>
      </c>
      <c r="I7">
        <f>0.1864*20000+621.91</f>
        <v>4349.91</v>
      </c>
      <c r="J7" s="13">
        <f>AVERAGE('[1]std curve'!E11:E13)</f>
        <v>4350.8949000000002</v>
      </c>
      <c r="K7" s="13">
        <f>AVERAGE(I7:J7)</f>
        <v>4350.4024499999996</v>
      </c>
      <c r="L7" s="13">
        <f>K7/D9</f>
        <v>1.2004071100719131</v>
      </c>
    </row>
    <row r="8" spans="1:12" x14ac:dyDescent="0.35">
      <c r="A8" s="12" t="s">
        <v>37</v>
      </c>
      <c r="B8">
        <v>2061.4881999999998</v>
      </c>
      <c r="C8">
        <v>396.334</v>
      </c>
      <c r="D8">
        <v>3663.0239999999999</v>
      </c>
      <c r="E8">
        <v>279.89</v>
      </c>
    </row>
    <row r="9" spans="1:12" x14ac:dyDescent="0.35">
      <c r="A9" s="15" t="s">
        <v>41</v>
      </c>
      <c r="B9" s="13">
        <f>AVERAGE(B6:B8)</f>
        <v>2038.9448</v>
      </c>
      <c r="C9" s="13"/>
      <c r="D9" s="13">
        <f>AVERAGE(D6:D8)</f>
        <v>3624.1058666666668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stability check</vt:lpstr>
      <vt:lpstr>std curve</vt:lpstr>
      <vt:lpstr>raw data</vt:lpstr>
      <vt:lpstr>Sheet1</vt:lpstr>
      <vt:lpstr>std curve (2)</vt:lpstr>
      <vt:lpstr>raw data (2)</vt:lpstr>
      <vt:lpstr>Sheet2</vt:lpstr>
      <vt:lpstr>run calibration check</vt:lpstr>
      <vt:lpstr>dilution 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Naslund</dc:creator>
  <cp:lastModifiedBy>Laura Naslund</cp:lastModifiedBy>
  <dcterms:created xsi:type="dcterms:W3CDTF">2022-03-31T20:11:31Z</dcterms:created>
  <dcterms:modified xsi:type="dcterms:W3CDTF">2022-10-28T14:21:50Z</dcterms:modified>
</cp:coreProperties>
</file>