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NOTE/"/>
    </mc:Choice>
  </mc:AlternateContent>
  <xr:revisionPtr revIDLastSave="1633" documentId="13_ncr:1_{D08C88D6-CB85-4503-A4E5-36037ADBD4F8}" xr6:coauthVersionLast="47" xr6:coauthVersionMax="47" xr10:uidLastSave="{78A2F416-D630-4421-8498-619D9C94507B}"/>
  <bookViews>
    <workbookView xWindow="-110" yWindow="-110" windowWidth="19420" windowHeight="10300" firstSheet="17" activeTab="19" xr2:uid="{C88013D3-DA8B-4795-BCD7-A0297E1DD95B}"/>
  </bookViews>
  <sheets>
    <sheet name="T09" sheetId="1" r:id="rId1"/>
    <sheet name="Tháng 12" sheetId="2" r:id="rId2"/>
    <sheet name="T1.25" sheetId="3" r:id="rId3"/>
    <sheet name="T2.25" sheetId="4" r:id="rId4"/>
    <sheet name="T3.25" sheetId="5" r:id="rId5"/>
    <sheet name="T4.25" sheetId="6" r:id="rId6"/>
    <sheet name="T5.25" sheetId="8" r:id="rId7"/>
    <sheet name="T6.25" sheetId="9" r:id="rId8"/>
    <sheet name="T7.25" sheetId="10" r:id="rId9"/>
    <sheet name="T8.25" sheetId="11" r:id="rId10"/>
    <sheet name="T9.25" sheetId="12" r:id="rId11"/>
    <sheet name="T10.2025" sheetId="13" r:id="rId12"/>
    <sheet name="T11.2025" sheetId="14" r:id="rId13"/>
    <sheet name="T12.2025" sheetId="15" r:id="rId14"/>
    <sheet name="T01.26" sheetId="21" r:id="rId15"/>
    <sheet name="T02.26-ok" sheetId="18" r:id="rId16"/>
    <sheet name="T03.26" sheetId="22" r:id="rId17"/>
    <sheet name="T04.26" sheetId="24" r:id="rId18"/>
    <sheet name="T05.26" sheetId="25" r:id="rId19"/>
    <sheet name="T06.26" sheetId="26" r:id="rId20"/>
    <sheet name="Sheet1" sheetId="23" r:id="rId21"/>
    <sheet name="Sắm đồ" sheetId="20" r:id="rId22"/>
    <sheet name="Tính quyết toán thuế 2024" sheetId="7" r:id="rId23"/>
    <sheet name="Tính quyết toán thuế 2025" sheetId="19" r:id="rId24"/>
    <sheet name="T12.2025 (2)" sheetId="17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B10" i="26" s="1"/>
  <c r="C3" i="26"/>
  <c r="B9" i="26"/>
  <c r="B5" i="25"/>
  <c r="B3" i="25"/>
  <c r="B4" i="25"/>
  <c r="B9" i="25"/>
  <c r="C3" i="25"/>
  <c r="I27" i="19"/>
  <c r="I23" i="19"/>
  <c r="I19" i="19"/>
  <c r="I17" i="19"/>
  <c r="B10" i="24"/>
  <c r="B3" i="24"/>
  <c r="B9" i="24"/>
  <c r="C3" i="24"/>
  <c r="I21" i="19"/>
  <c r="I20" i="19"/>
  <c r="B17" i="19"/>
  <c r="H17" i="19"/>
  <c r="E3" i="6"/>
  <c r="C7" i="19"/>
  <c r="B7" i="19"/>
  <c r="B5" i="19"/>
  <c r="E3" i="26" l="1"/>
  <c r="F3" i="26" s="1"/>
  <c r="F6" i="26" s="1"/>
  <c r="B10" i="25"/>
  <c r="E3" i="25"/>
  <c r="E3" i="24"/>
  <c r="F3" i="24" s="1"/>
  <c r="F6" i="24" s="1"/>
  <c r="D4" i="19"/>
  <c r="D7" i="19"/>
  <c r="D6" i="19"/>
  <c r="C6" i="19"/>
  <c r="C5" i="19"/>
  <c r="C4" i="19"/>
  <c r="B4" i="19"/>
  <c r="D2" i="19"/>
  <c r="B6" i="19"/>
  <c r="B9" i="3"/>
  <c r="E9" i="2"/>
  <c r="B9" i="2"/>
  <c r="F3" i="15"/>
  <c r="F3" i="25" l="1"/>
  <c r="F6" i="25" s="1"/>
  <c r="H15" i="19"/>
  <c r="G15" i="19"/>
  <c r="M21" i="7" l="1"/>
  <c r="M19" i="7"/>
  <c r="M18" i="7"/>
  <c r="H16" i="7"/>
  <c r="M17" i="7"/>
  <c r="M16" i="7"/>
  <c r="H20" i="7"/>
  <c r="H17" i="7"/>
  <c r="F3" i="22"/>
  <c r="E3" i="22"/>
  <c r="D14" i="23"/>
  <c r="B3" i="22"/>
  <c r="D17" i="23"/>
  <c r="D18" i="23" s="1"/>
  <c r="D13" i="23"/>
  <c r="B4" i="22"/>
  <c r="B9" i="22"/>
  <c r="C3" i="22"/>
  <c r="M49" i="20"/>
  <c r="E3" i="18"/>
  <c r="F10" i="18"/>
  <c r="B10" i="18"/>
  <c r="B3" i="18"/>
  <c r="B5" i="18"/>
  <c r="B4" i="18"/>
  <c r="I22" i="21"/>
  <c r="H22" i="21"/>
  <c r="G22" i="21"/>
  <c r="B9" i="21"/>
  <c r="B7" i="21"/>
  <c r="B5" i="21"/>
  <c r="C3" i="21"/>
  <c r="B3" i="21"/>
  <c r="B10" i="21" s="1"/>
  <c r="D15" i="23" l="1"/>
  <c r="D24" i="23" s="1"/>
  <c r="D20" i="23"/>
  <c r="B10" i="22"/>
  <c r="B13" i="21"/>
  <c r="B14" i="21" s="1"/>
  <c r="E3" i="21"/>
  <c r="F3" i="21" s="1"/>
  <c r="N29" i="20"/>
  <c r="N47" i="20"/>
  <c r="L47" i="20"/>
  <c r="M46" i="20"/>
  <c r="N46" i="20" s="1"/>
  <c r="M45" i="20"/>
  <c r="N45" i="20" s="1"/>
  <c r="N44" i="20"/>
  <c r="N43" i="20"/>
  <c r="B15" i="21" l="1"/>
  <c r="M47" i="20"/>
  <c r="M50" i="20"/>
  <c r="L29" i="20" l="1"/>
  <c r="B9" i="18"/>
  <c r="C3" i="18"/>
  <c r="F3" i="18" l="1"/>
  <c r="L9" i="20"/>
  <c r="H18" i="7" l="1"/>
  <c r="E3" i="15"/>
  <c r="H3" i="15"/>
  <c r="B3" i="15" l="1"/>
  <c r="H19" i="7"/>
  <c r="G16" i="7"/>
  <c r="B16" i="7"/>
  <c r="I25" i="19"/>
  <c r="C13" i="19"/>
  <c r="B13" i="19"/>
  <c r="E3" i="13"/>
  <c r="B12" i="19"/>
  <c r="D12" i="19"/>
  <c r="B11" i="19"/>
  <c r="I11" i="19" s="1"/>
  <c r="D11" i="19"/>
  <c r="H13" i="19"/>
  <c r="H12" i="19"/>
  <c r="H11" i="19"/>
  <c r="H10" i="19"/>
  <c r="G13" i="19"/>
  <c r="G12" i="19"/>
  <c r="G11" i="19"/>
  <c r="G10" i="19"/>
  <c r="C10" i="19"/>
  <c r="B10" i="19"/>
  <c r="I10" i="19" s="1"/>
  <c r="I9" i="19"/>
  <c r="C9" i="19"/>
  <c r="B9" i="19"/>
  <c r="B8" i="19"/>
  <c r="G9" i="19"/>
  <c r="G8" i="19"/>
  <c r="G7" i="19"/>
  <c r="G6" i="19"/>
  <c r="G5" i="19"/>
  <c r="G4" i="19"/>
  <c r="H7" i="19"/>
  <c r="H6" i="19"/>
  <c r="H5" i="19"/>
  <c r="H4" i="19"/>
  <c r="H2" i="19"/>
  <c r="G2" i="19"/>
  <c r="B3" i="7"/>
  <c r="H9" i="19"/>
  <c r="H8" i="19"/>
  <c r="I12" i="19" l="1"/>
  <c r="I13" i="19"/>
  <c r="I6" i="19"/>
  <c r="I8" i="19"/>
  <c r="I4" i="19" l="1"/>
  <c r="I5" i="19"/>
  <c r="I7" i="19"/>
  <c r="I28" i="19"/>
  <c r="I29" i="19" l="1"/>
  <c r="I30" i="19" s="1"/>
  <c r="I31" i="19"/>
  <c r="B15" i="15"/>
  <c r="A15" i="15" s="1"/>
  <c r="B13" i="15"/>
  <c r="B14" i="15" s="1"/>
  <c r="I32" i="19" l="1"/>
  <c r="I22" i="19"/>
  <c r="E21" i="17"/>
  <c r="E20" i="17"/>
  <c r="F17" i="17"/>
  <c r="E3" i="14"/>
  <c r="E3" i="17"/>
  <c r="E22" i="15"/>
  <c r="B3" i="17"/>
  <c r="B9" i="17"/>
  <c r="G17" i="17"/>
  <c r="G18" i="17" s="1"/>
  <c r="F18" i="17"/>
  <c r="E16" i="17"/>
  <c r="E17" i="17" s="1"/>
  <c r="E18" i="17" s="1"/>
  <c r="E13" i="17"/>
  <c r="B8" i="17"/>
  <c r="B7" i="17"/>
  <c r="B4" i="17"/>
  <c r="E22" i="17" s="1"/>
  <c r="C3" i="17"/>
  <c r="E15" i="15"/>
  <c r="C3" i="15"/>
  <c r="E12" i="15"/>
  <c r="B7" i="15"/>
  <c r="B8" i="15" s="1"/>
  <c r="E3" i="11"/>
  <c r="B3" i="14"/>
  <c r="B8" i="14" s="1"/>
  <c r="B4" i="14"/>
  <c r="E12" i="14"/>
  <c r="B7" i="14"/>
  <c r="C3" i="14"/>
  <c r="B3" i="13"/>
  <c r="B8" i="13" s="1"/>
  <c r="B10" i="13"/>
  <c r="E12" i="13"/>
  <c r="G3" i="15" l="1"/>
  <c r="E16" i="15"/>
  <c r="E17" i="15" s="1"/>
  <c r="E19" i="15" s="1"/>
  <c r="F3" i="17"/>
  <c r="F3" i="14"/>
  <c r="B4" i="13"/>
  <c r="B7" i="13"/>
  <c r="C3" i="13"/>
  <c r="E3" i="12"/>
  <c r="B8" i="12"/>
  <c r="C3" i="12"/>
  <c r="B7" i="12"/>
  <c r="B3" i="12"/>
  <c r="B4" i="12"/>
  <c r="F3" i="11"/>
  <c r="C3" i="11"/>
  <c r="B3" i="11"/>
  <c r="B7" i="11"/>
  <c r="B3" i="10"/>
  <c r="B7" i="10"/>
  <c r="C3" i="10"/>
  <c r="B18" i="9"/>
  <c r="B17" i="9"/>
  <c r="B13" i="9"/>
  <c r="B16" i="9"/>
  <c r="B3" i="9"/>
  <c r="B7" i="9" s="1"/>
  <c r="C3" i="9"/>
  <c r="B4" i="8"/>
  <c r="B7" i="8" s="1"/>
  <c r="B3" i="8"/>
  <c r="B5" i="6"/>
  <c r="B7" i="6" s="1"/>
  <c r="B4" i="6"/>
  <c r="C3" i="8"/>
  <c r="B3" i="6"/>
  <c r="F3" i="13" l="1"/>
  <c r="F3" i="12"/>
  <c r="E3" i="10"/>
  <c r="F3" i="10" s="1"/>
  <c r="E3" i="9"/>
  <c r="F3" i="9" s="1"/>
  <c r="E3" i="8"/>
  <c r="F3" i="8" s="1"/>
  <c r="B14" i="7"/>
  <c r="H13" i="7"/>
  <c r="G13" i="7"/>
  <c r="B13" i="7"/>
  <c r="F13" i="7"/>
  <c r="C13" i="7"/>
  <c r="G12" i="7"/>
  <c r="F12" i="7"/>
  <c r="H12" i="7" s="1"/>
  <c r="C12" i="7"/>
  <c r="B12" i="7"/>
  <c r="G11" i="7"/>
  <c r="F11" i="7"/>
  <c r="H11" i="7" s="1"/>
  <c r="B11" i="7"/>
  <c r="G10" i="7"/>
  <c r="F10" i="7"/>
  <c r="H10" i="7" s="1"/>
  <c r="D10" i="7"/>
  <c r="C10" i="7"/>
  <c r="B10" i="7"/>
  <c r="G9" i="7"/>
  <c r="H9" i="7" s="1"/>
  <c r="F9" i="7"/>
  <c r="B9" i="7"/>
  <c r="G8" i="7"/>
  <c r="H8" i="7" s="1"/>
  <c r="C8" i="7"/>
  <c r="B8" i="7"/>
  <c r="H6" i="7"/>
  <c r="H5" i="7"/>
  <c r="H4" i="7"/>
  <c r="H3" i="7"/>
  <c r="H2" i="7"/>
  <c r="H7" i="7"/>
  <c r="G7" i="7"/>
  <c r="C7" i="7"/>
  <c r="B7" i="7"/>
  <c r="G6" i="7"/>
  <c r="D6" i="7"/>
  <c r="C6" i="7"/>
  <c r="B6" i="7"/>
  <c r="G5" i="7"/>
  <c r="D5" i="7"/>
  <c r="G4" i="7"/>
  <c r="C4" i="7"/>
  <c r="B4" i="7"/>
  <c r="G2" i="7"/>
  <c r="G3" i="7"/>
  <c r="D3" i="7"/>
  <c r="C3" i="7"/>
  <c r="B7" i="5"/>
  <c r="D2" i="7"/>
  <c r="C3" i="6"/>
  <c r="F3" i="6" l="1"/>
  <c r="F3" i="5"/>
  <c r="E3" i="5"/>
  <c r="B3" i="5"/>
  <c r="C3" i="5"/>
  <c r="B3" i="4"/>
  <c r="B5" i="4"/>
  <c r="C3" i="4"/>
  <c r="B4" i="4"/>
  <c r="E9" i="3"/>
  <c r="E8" i="3"/>
  <c r="E3" i="3"/>
  <c r="B7" i="3"/>
  <c r="C3" i="3"/>
  <c r="B4" i="3"/>
  <c r="D7" i="2"/>
  <c r="B7" i="2"/>
  <c r="G23" i="1"/>
  <c r="B23" i="1"/>
  <c r="B7" i="4" l="1"/>
  <c r="E3" i="4"/>
  <c r="F3" i="4" s="1"/>
  <c r="F3" i="3"/>
  <c r="B10" i="3"/>
  <c r="D10" i="3" s="1"/>
  <c r="C12" i="3"/>
  <c r="C9" i="2"/>
  <c r="C3" i="2"/>
  <c r="B5" i="2"/>
  <c r="F12" i="1"/>
  <c r="E12" i="1"/>
  <c r="B18" i="1"/>
  <c r="C12" i="1"/>
  <c r="C2" i="1"/>
  <c r="B14" i="1"/>
  <c r="B3" i="1"/>
  <c r="B7" i="1" s="1"/>
  <c r="B12" i="3" l="1"/>
  <c r="E3" i="2"/>
  <c r="F3" i="2" s="1"/>
  <c r="F9" i="2"/>
  <c r="B19" i="1"/>
  <c r="E19" i="1"/>
  <c r="F19" i="1" s="1"/>
  <c r="G19" i="1" s="1"/>
  <c r="B5" i="1"/>
  <c r="B6" i="1"/>
  <c r="B4" i="1"/>
  <c r="E12" i="3" l="1"/>
  <c r="F12" i="3" s="1"/>
  <c r="E23" i="1"/>
  <c r="F23" i="1" s="1"/>
  <c r="B9" i="1"/>
  <c r="E2" i="1" s="1"/>
  <c r="F2" i="1" s="1"/>
</calcChain>
</file>

<file path=xl/sharedStrings.xml><?xml version="1.0" encoding="utf-8"?>
<sst xmlns="http://schemas.openxmlformats.org/spreadsheetml/2006/main" count="383" uniqueCount="139">
  <si>
    <t>1 tháng</t>
  </si>
  <si>
    <t>1 ngày</t>
  </si>
  <si>
    <t>1.5 tiếng</t>
  </si>
  <si>
    <t>Bảo hiểm</t>
  </si>
  <si>
    <t>Công Đoàn</t>
  </si>
  <si>
    <t>Thuế (lương thực làm - bảo hiểm - 11tr)*5%</t>
  </si>
  <si>
    <t>23 công</t>
  </si>
  <si>
    <t>1 phép</t>
  </si>
  <si>
    <t>2 lễ</t>
  </si>
  <si>
    <t>Thưởng lễ</t>
  </si>
  <si>
    <t>Phụ cấp</t>
  </si>
  <si>
    <t>Lương net</t>
  </si>
  <si>
    <t>Lương gross (thực làm)</t>
  </si>
  <si>
    <t>Lương net lãnh thực tế (lương gross - bảo hiểm - CĐ - thuế)</t>
  </si>
  <si>
    <t>Full 26 công</t>
  </si>
  <si>
    <t>Lương T13</t>
  </si>
  <si>
    <t>Số dư</t>
  </si>
  <si>
    <t>Nghỉ lễ 1.1</t>
  </si>
  <si>
    <t>Lãnh</t>
  </si>
  <si>
    <t>Nghỉ lễ</t>
  </si>
  <si>
    <t>Lương tháng thực tế</t>
  </si>
  <si>
    <t>Nghỉ lễ hưởng lương</t>
  </si>
  <si>
    <t>Thuế TNCN</t>
  </si>
  <si>
    <t>TNCT</t>
  </si>
  <si>
    <t>Đoàn phí</t>
  </si>
  <si>
    <t>Lương phép</t>
  </si>
  <si>
    <t>Trừ thưởng tiền mặt</t>
  </si>
  <si>
    <t>Ban Cải Tiến</t>
  </si>
  <si>
    <t>Thu nhập tính thuế theo tháng</t>
  </si>
  <si>
    <t>Thuế phải nộp/tháng</t>
  </si>
  <si>
    <t>Thuế phải nộp/năm</t>
  </si>
  <si>
    <t>Thuế được hoàn</t>
  </si>
  <si>
    <t>Thưởng cải tiến</t>
  </si>
  <si>
    <t>Full 27 công</t>
  </si>
  <si>
    <t>Lương</t>
  </si>
  <si>
    <t>Nhận a.H</t>
  </si>
  <si>
    <t>Hoàn cọc</t>
  </si>
  <si>
    <t>Vũng Tàu</t>
  </si>
  <si>
    <t>Sắm đồ</t>
  </si>
  <si>
    <t>Uyên</t>
  </si>
  <si>
    <t>25.5 công</t>
  </si>
  <si>
    <t>Thưởng khác</t>
  </si>
  <si>
    <t>24 công + 2 ngày lễ</t>
  </si>
  <si>
    <t>Nghỉ ốm</t>
  </si>
  <si>
    <t>Nghỉ phép năm</t>
  </si>
  <si>
    <t>Nghỉ nửa buổi chiều</t>
  </si>
  <si>
    <t>Họp VVK</t>
  </si>
  <si>
    <t>23 công + 2 công phép</t>
  </si>
  <si>
    <t>Nghỉ phép</t>
  </si>
  <si>
    <t>Hưởng BHXH</t>
  </si>
  <si>
    <t>25 công + 1 công phép</t>
  </si>
  <si>
    <t>Lương tháng 13</t>
  </si>
  <si>
    <t>Trừ 2 ng phụ thuộc</t>
  </si>
  <si>
    <t>Tổng (đã cộng nghỉ ốm)</t>
  </si>
  <si>
    <t>Thuế (lương thực làm - bảo hiểm - 11tr)*hệ số tính thuế</t>
  </si>
  <si>
    <t>20 công + 5 ngày nghỉ ốm</t>
  </si>
  <si>
    <t>Quỹ</t>
  </si>
  <si>
    <t>Giảm trừ bản thân</t>
  </si>
  <si>
    <t>Tổng thu nhập tính thuế theo năm</t>
  </si>
  <si>
    <t>Số thuế TNCN phải nộp theo tháng</t>
  </si>
  <si>
    <t>Số thuế TNCN phải nộp theo năm</t>
  </si>
  <si>
    <t>Thuế đã nộp</t>
  </si>
  <si>
    <t>Được hoàn lại</t>
  </si>
  <si>
    <t>Giảm trừ người phụ thuộc</t>
  </si>
  <si>
    <t>Chú năm</t>
  </si>
  <si>
    <t>Đem xe về</t>
  </si>
  <si>
    <t>Tính luôn T13</t>
  </si>
  <si>
    <t>Nhận rồi: 09.01</t>
  </si>
  <si>
    <t>Cây lau nhà</t>
  </si>
  <si>
    <t>Tô, chén, dĩa</t>
  </si>
  <si>
    <t>Tiền xây nhà tắm, vs</t>
  </si>
  <si>
    <t>Lì xì</t>
  </si>
  <si>
    <t>Ông nội</t>
  </si>
  <si>
    <t>Bà nội</t>
  </si>
  <si>
    <t>Ba</t>
  </si>
  <si>
    <t>Mẹ</t>
  </si>
  <si>
    <t>Cô ba</t>
  </si>
  <si>
    <t>Chú út</t>
  </si>
  <si>
    <t>Tư</t>
  </si>
  <si>
    <t>Năm</t>
  </si>
  <si>
    <t>Vàng: 3 phân</t>
  </si>
  <si>
    <t>Đổi tiền mới</t>
  </si>
  <si>
    <t>Mỹ Ngân</t>
  </si>
  <si>
    <t>A.Sơn</t>
  </si>
  <si>
    <t>C.Như</t>
  </si>
  <si>
    <t>10k</t>
  </si>
  <si>
    <t>100k</t>
  </si>
  <si>
    <t>50k</t>
  </si>
  <si>
    <t>Cúc</t>
  </si>
  <si>
    <t>Duyên</t>
  </si>
  <si>
    <t>Sữa chua, sữa uống</t>
  </si>
  <si>
    <t>20k</t>
  </si>
  <si>
    <t>200k</t>
  </si>
  <si>
    <t>Đổi giùm chị Duyên</t>
  </si>
  <si>
    <t>500k</t>
  </si>
  <si>
    <t>Nhận 23.01</t>
  </si>
  <si>
    <t>Ví</t>
  </si>
  <si>
    <t>Quỹ phòng</t>
  </si>
  <si>
    <t>Tiền mới</t>
  </si>
  <si>
    <t>Thưởng danh hiệu</t>
  </si>
  <si>
    <t>Lương thưởng</t>
  </si>
  <si>
    <t>Tổng</t>
  </si>
  <si>
    <t>Chị Duyên</t>
  </si>
  <si>
    <t>Momo</t>
  </si>
  <si>
    <t>Bồi dưỡng</t>
  </si>
  <si>
    <t>Số lượng</t>
  </si>
  <si>
    <t>Đơn giá</t>
  </si>
  <si>
    <t>Thành tiền</t>
  </si>
  <si>
    <t>Địa điểm mua</t>
  </si>
  <si>
    <t>Thời gian mua</t>
  </si>
  <si>
    <t>Thời gian lấy hàng</t>
  </si>
  <si>
    <t>Ancarat LQĐ</t>
  </si>
  <si>
    <t>Amora CMT8</t>
  </si>
  <si>
    <t>HanaGold</t>
  </si>
  <si>
    <t>Phát sinh 85k rút</t>
  </si>
  <si>
    <t>Bạc</t>
  </si>
  <si>
    <t>Bông tai</t>
  </si>
  <si>
    <t>Tiền mặt</t>
  </si>
  <si>
    <t>Thưởng cải tiến năm</t>
  </si>
  <si>
    <t>Thực nhận sau trừ cải tiến - lì xì</t>
  </si>
  <si>
    <t>25 công</t>
  </si>
  <si>
    <t>Mượn đi SG</t>
  </si>
  <si>
    <t>Tiền điện</t>
  </si>
  <si>
    <t>Sắn dây</t>
  </si>
  <si>
    <t>Son YSL</t>
  </si>
  <si>
    <t>Mượn đi đám tang</t>
  </si>
  <si>
    <t>Cọc DQH</t>
  </si>
  <si>
    <t>Mượn mẹ</t>
  </si>
  <si>
    <t>Cọc 1/2 tiền còn lại</t>
  </si>
  <si>
    <t>Mượn đóng trọ</t>
  </si>
  <si>
    <t>22 công</t>
  </si>
  <si>
    <t>Lương T3.26</t>
  </si>
  <si>
    <t>chưa trừ thuế, kỳ tính thuế T1.2026</t>
  </si>
  <si>
    <t>Danh hiệu 2024</t>
  </si>
  <si>
    <t>12+13.2024</t>
  </si>
  <si>
    <t>Hoàn thuế</t>
  </si>
  <si>
    <t>R</t>
  </si>
  <si>
    <t>Thu nhập chịu thuế</t>
  </si>
  <si>
    <t>26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</si>
</sst>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* #,##0.0\ _₫_-;\-* #,##0.0\ _₫_-;_-* &quot;-&quot;?\ _₫_-;_-@_-"/>
    <numFmt numFmtId="167" formatCode="_-* #,##0.00\ _₫_-;\-* #,##0.00\ _₫_-;_-* &quot;-&quot;??\ _₫_-;_-@_-"/>
  </numFmts>
  <fonts count="11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6"/>
      <color rgb="FF0000FF"/>
      <name val="Arial"/>
      <family val="2"/>
    </font>
    <font>
      <sz val="6"/>
      <color rgb="FF0000FF"/>
      <name val="Arial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165" fontId="0" fillId="2" borderId="0" xfId="1" applyNumberFormat="1" applyFont="1" applyFill="1"/>
    <xf numFmtId="167" fontId="0" fillId="0" borderId="0" xfId="0" applyNumberFormat="1"/>
    <xf numFmtId="0" fontId="2" fillId="0" borderId="0" xfId="0" applyFont="1"/>
    <xf numFmtId="165" fontId="0" fillId="0" borderId="0" xfId="0" applyNumberFormat="1"/>
    <xf numFmtId="165" fontId="2" fillId="2" borderId="0" xfId="1" applyNumberFormat="1" applyFont="1" applyFill="1"/>
    <xf numFmtId="165" fontId="3" fillId="0" borderId="0" xfId="1" applyNumberFormat="1" applyFont="1"/>
    <xf numFmtId="165" fontId="3" fillId="0" borderId="0" xfId="0" applyNumberFormat="1" applyFont="1"/>
    <xf numFmtId="165" fontId="0" fillId="0" borderId="0" xfId="1" applyNumberFormat="1" applyFont="1" applyFill="1"/>
    <xf numFmtId="165" fontId="2" fillId="0" borderId="0" xfId="1" applyNumberFormat="1" applyFont="1" applyFill="1"/>
    <xf numFmtId="165" fontId="3" fillId="0" borderId="0" xfId="1" applyNumberFormat="1" applyFont="1" applyFill="1"/>
    <xf numFmtId="165" fontId="4" fillId="0" borderId="0" xfId="1" applyNumberFormat="1" applyFont="1"/>
    <xf numFmtId="3" fontId="5" fillId="0" borderId="0" xfId="0" applyNumberFormat="1" applyFont="1"/>
    <xf numFmtId="14" fontId="0" fillId="0" borderId="0" xfId="0" applyNumberFormat="1"/>
    <xf numFmtId="3" fontId="0" fillId="0" borderId="0" xfId="0" applyNumberFormat="1"/>
    <xf numFmtId="165" fontId="2" fillId="0" borderId="0" xfId="1" applyNumberFormat="1" applyFont="1"/>
    <xf numFmtId="3" fontId="2" fillId="0" borderId="0" xfId="0" applyNumberFormat="1" applyFont="1"/>
    <xf numFmtId="164" fontId="0" fillId="0" borderId="0" xfId="1" applyFont="1"/>
    <xf numFmtId="165" fontId="6" fillId="0" borderId="0" xfId="1" applyNumberFormat="1" applyFont="1"/>
    <xf numFmtId="0" fontId="7" fillId="0" borderId="0" xfId="0" applyFont="1"/>
    <xf numFmtId="165" fontId="0" fillId="0" borderId="0" xfId="1" quotePrefix="1" applyNumberFormat="1" applyFont="1" applyFill="1"/>
    <xf numFmtId="0" fontId="8" fillId="0" borderId="0" xfId="0" applyFont="1"/>
    <xf numFmtId="165" fontId="8" fillId="0" borderId="0" xfId="1" applyNumberFormat="1" applyFont="1"/>
    <xf numFmtId="165" fontId="9" fillId="0" borderId="0" xfId="0" applyNumberFormat="1" applyFont="1"/>
    <xf numFmtId="0" fontId="8" fillId="0" borderId="0" xfId="0" applyFont="1" applyAlignment="1">
      <alignment vertical="center"/>
    </xf>
    <xf numFmtId="165" fontId="9" fillId="0" borderId="0" xfId="1" applyNumberFormat="1" applyFont="1"/>
    <xf numFmtId="165" fontId="8" fillId="0" borderId="0" xfId="0" applyNumberFormat="1" applyFont="1"/>
    <xf numFmtId="0" fontId="9" fillId="0" borderId="0" xfId="0" applyFont="1"/>
    <xf numFmtId="165" fontId="10" fillId="0" borderId="0" xfId="0" applyNumberFormat="1" applyFont="1"/>
    <xf numFmtId="165" fontId="8" fillId="0" borderId="0" xfId="1" applyNumberFormat="1" applyFont="1" applyFill="1"/>
    <xf numFmtId="165" fontId="9" fillId="0" borderId="0" xfId="1" applyNumberFormat="1" applyFont="1" applyFill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65" fontId="2" fillId="0" borderId="0" xfId="0" applyNumberFormat="1" applyFont="1"/>
    <xf numFmtId="9" fontId="0" fillId="0" borderId="0" xfId="2" applyFont="1"/>
    <xf numFmtId="165" fontId="7" fillId="0" borderId="0" xfId="1" applyNumberFormat="1" applyFont="1"/>
    <xf numFmtId="165" fontId="7" fillId="0" borderId="0" xfId="0" applyNumberFormat="1" applyFont="1"/>
    <xf numFmtId="43" fontId="0" fillId="0" borderId="0" xfId="0" applyNumberFormat="1"/>
    <xf numFmtId="0" fontId="3" fillId="0" borderId="0" xfId="0" applyFont="1"/>
    <xf numFmtId="165" fontId="2" fillId="0" borderId="0" xfId="1" applyNumberFormat="1" applyFont="1" applyAlignment="1">
      <alignment vertical="center"/>
    </xf>
    <xf numFmtId="167" fontId="2" fillId="0" borderId="0" xfId="1" applyNumberFormat="1" applyFont="1"/>
    <xf numFmtId="167" fontId="2" fillId="0" borderId="0" xfId="0" applyNumberFormat="1" applyFont="1"/>
    <xf numFmtId="164" fontId="2" fillId="0" borderId="0" xfId="1" applyFont="1"/>
    <xf numFmtId="165" fontId="8" fillId="0" borderId="0" xfId="1" applyNumberFormat="1" applyFont="1" applyAlignment="1">
      <alignment horizontal="left" vertical="center"/>
    </xf>
    <xf numFmtId="165" fontId="8" fillId="0" borderId="0" xfId="1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6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6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127000</xdr:rowOff>
    </xdr:from>
    <xdr:to>
      <xdr:col>6</xdr:col>
      <xdr:colOff>77564</xdr:colOff>
      <xdr:row>51</xdr:row>
      <xdr:rowOff>115095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C4760-D38E-34C5-573B-3A2452DCD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0"/>
          <a:ext cx="9774014" cy="5696745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51</xdr:row>
      <xdr:rowOff>120650</xdr:rowOff>
    </xdr:from>
    <xdr:to>
      <xdr:col>6</xdr:col>
      <xdr:colOff>480822</xdr:colOff>
      <xdr:row>94</xdr:row>
      <xdr:rowOff>156685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C9F40C-4109-85C0-7614-7A6D1B91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" y="9512300"/>
          <a:ext cx="10012172" cy="7954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2928658</xdr:colOff>
      <xdr:row>54</xdr:row>
      <xdr:rowOff>36035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E2EFE-6E97-0446-7931-7132C9465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9373908" cy="7954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177800</xdr:rowOff>
    </xdr:from>
    <xdr:to>
      <xdr:col>5</xdr:col>
      <xdr:colOff>710532</xdr:colOff>
      <xdr:row>49</xdr:row>
      <xdr:rowOff>146896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58282F-269D-728B-3101-FEE4F476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7400"/>
          <a:ext cx="7155782" cy="4388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1778</xdr:rowOff>
    </xdr:from>
    <xdr:to>
      <xdr:col>5</xdr:col>
      <xdr:colOff>698500</xdr:colOff>
      <xdr:row>83</xdr:row>
      <xdr:rowOff>156611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D7FBC1-AF3B-6686-DB9A-A6CA28FA5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25128"/>
          <a:ext cx="7143750" cy="6231783"/>
        </a:xfrm>
        <a:prstGeom prst="rect">
          <a:avLst/>
        </a:prstGeom>
      </xdr:spPr>
    </xdr:pic>
    <xdr:clientData/>
  </xdr:twoCellAnchor>
  <xdr:twoCellAnchor editAs="oneCell">
    <xdr:from>
      <xdr:col>5</xdr:col>
      <xdr:colOff>863600</xdr:colOff>
      <xdr:row>25</xdr:row>
      <xdr:rowOff>110392</xdr:rowOff>
    </xdr:from>
    <xdr:to>
      <xdr:col>13</xdr:col>
      <xdr:colOff>156940</xdr:colOff>
      <xdr:row>48</xdr:row>
      <xdr:rowOff>26179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7CA484-B497-4908-5C73-91849204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8850" y="4714142"/>
          <a:ext cx="7275290" cy="41512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863600</xdr:colOff>
      <xdr:row>25</xdr:row>
      <xdr:rowOff>110392</xdr:rowOff>
    </xdr:from>
    <xdr:to>
      <xdr:col>13</xdr:col>
      <xdr:colOff>156940</xdr:colOff>
      <xdr:row>48</xdr:row>
      <xdr:rowOff>26179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9E0266-9385-4FC6-841B-1C95DE4C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8850" y="4714142"/>
          <a:ext cx="7275290" cy="41512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863600</xdr:colOff>
      <xdr:row>25</xdr:row>
      <xdr:rowOff>110392</xdr:rowOff>
    </xdr:from>
    <xdr:to>
      <xdr:col>13</xdr:col>
      <xdr:colOff>156940</xdr:colOff>
      <xdr:row>48</xdr:row>
      <xdr:rowOff>26179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CC3BED-27E3-4D69-85F4-7917EFC37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8850" y="4714142"/>
          <a:ext cx="7275290" cy="41512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889000</xdr:colOff>
      <xdr:row>23</xdr:row>
      <xdr:rowOff>116742</xdr:rowOff>
    </xdr:from>
    <xdr:to>
      <xdr:col>13</xdr:col>
      <xdr:colOff>531590</xdr:colOff>
      <xdr:row>46</xdr:row>
      <xdr:rowOff>32529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504D25-41E5-4787-9B5E-0A214661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0" y="4536342"/>
          <a:ext cx="7275290" cy="415123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101600</xdr:rowOff>
    </xdr:from>
    <xdr:to>
      <xdr:col>5</xdr:col>
      <xdr:colOff>644703</xdr:colOff>
      <xdr:row>83</xdr:row>
      <xdr:rowOff>150290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382ADC1-AF2F-D316-D852-23FF3F8B9E51}"/>
            </a:ext>
          </a:extLst>
        </xdr:cNvPr>
        <xdr:cNvGrpSpPr/>
      </xdr:nvGrpSpPr>
      <xdr:grpSpPr>
        <a:xfrm>
          <a:off x="0" y="4521200"/>
          <a:ext cx="7096303" cy="10913540"/>
          <a:chOff x="0" y="4705350"/>
          <a:chExt cx="7096303" cy="1091354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7FFA031-0014-31AB-9FAC-2240E02B5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4705350"/>
            <a:ext cx="7019200" cy="5551001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64A1464-5592-DFA3-A1B8-357A0C39F4B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20250"/>
          <a:stretch>
            <a:fillRect/>
          </a:stretch>
        </xdr:blipFill>
        <xdr:spPr>
          <a:xfrm>
            <a:off x="19050" y="10198100"/>
            <a:ext cx="7077253" cy="542079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70591-3940-4392-B65F-D4A714C7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6165" y="4375284"/>
          <a:ext cx="6850445" cy="3917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78812</xdr:rowOff>
    </xdr:from>
    <xdr:to>
      <xdr:col>5</xdr:col>
      <xdr:colOff>279400</xdr:colOff>
      <xdr:row>53</xdr:row>
      <xdr:rowOff>22895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6C096B-3BC4-4A15-9E87-26F0E4F38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76512"/>
          <a:ext cx="6731000" cy="2706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5</xdr:col>
      <xdr:colOff>447240</xdr:colOff>
      <xdr:row>80</xdr:row>
      <xdr:rowOff>102669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505061-5FA6-44A1-B60C-292810F83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59950"/>
          <a:ext cx="6898840" cy="5074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139018</xdr:rowOff>
    </xdr:from>
    <xdr:to>
      <xdr:col>5</xdr:col>
      <xdr:colOff>596900</xdr:colOff>
      <xdr:row>108</xdr:row>
      <xdr:rowOff>172576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F0EBE1-0AEF-4717-9A5A-DE19E552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871018"/>
          <a:ext cx="7048500" cy="5189758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5F0A16-0F9E-464F-966C-168314C6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4238" y="4323650"/>
          <a:ext cx="6395603" cy="38704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55E50C-BF18-4370-B022-ECAFBFD32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9051" y="4388561"/>
          <a:ext cx="6875845" cy="3929939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658B88-D976-15A7-4568-2F801B572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0774" y="4336927"/>
          <a:ext cx="6401953" cy="38825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1334875</xdr:colOff>
      <xdr:row>153</xdr:row>
      <xdr:rowOff>113930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BA0FA-99E8-812A-B0C5-5CE8A0F1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689455"/>
          <a:ext cx="7783011" cy="7687748"/>
        </a:xfrm>
        <a:prstGeom prst="rect">
          <a:avLst/>
        </a:prstGeom>
      </xdr:spPr>
    </xdr:pic>
    <xdr:clientData/>
  </xdr:twoCellAnchor>
  <xdr:twoCellAnchor>
    <xdr:from>
      <xdr:col>0</xdr:col>
      <xdr:colOff>132773</xdr:colOff>
      <xdr:row>57</xdr:row>
      <xdr:rowOff>144318</xdr:rowOff>
    </xdr:from>
    <xdr:to>
      <xdr:col>5</xdr:col>
      <xdr:colOff>51104</xdr:colOff>
      <xdr:row>116</xdr:row>
      <xdr:rowOff>101218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B901F61-5ACB-1F25-4B25-33A96E27CD0E}"/>
            </a:ext>
          </a:extLst>
        </xdr:cNvPr>
        <xdr:cNvGrpSpPr/>
      </xdr:nvGrpSpPr>
      <xdr:grpSpPr>
        <a:xfrm>
          <a:off x="132773" y="10673773"/>
          <a:ext cx="6366467" cy="10855809"/>
          <a:chOff x="132773" y="10673773"/>
          <a:chExt cx="6366467" cy="10855809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6DF41283-12FA-6CB7-BB5F-8593FF6C0D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2773" y="10673773"/>
            <a:ext cx="6338454" cy="4548909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27F3087-F0CF-194A-FF2C-0FB1286DF2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2774" y="15257318"/>
            <a:ext cx="6366466" cy="6272264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EC1CF-3248-42F1-9999-C777B3E0C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6165" y="4375284"/>
          <a:ext cx="6850445" cy="3917239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04BF47-79A9-448B-996F-B4752E3C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4238" y="4323650"/>
          <a:ext cx="6395603" cy="3870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1334875</xdr:colOff>
      <xdr:row>153</xdr:row>
      <xdr:rowOff>113930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4C500A-3D6C-4E63-AD5F-FC722B733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624800"/>
          <a:ext cx="7786475" cy="7664080"/>
        </a:xfrm>
        <a:prstGeom prst="rect">
          <a:avLst/>
        </a:prstGeom>
      </xdr:spPr>
    </xdr:pic>
    <xdr:clientData/>
  </xdr:twoCellAnchor>
  <xdr:twoCellAnchor>
    <xdr:from>
      <xdr:col>0</xdr:col>
      <xdr:colOff>132773</xdr:colOff>
      <xdr:row>57</xdr:row>
      <xdr:rowOff>144318</xdr:rowOff>
    </xdr:from>
    <xdr:to>
      <xdr:col>5</xdr:col>
      <xdr:colOff>51104</xdr:colOff>
      <xdr:row>116</xdr:row>
      <xdr:rowOff>101218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A4A1AA6-61DB-419E-972B-0BC9D2EE37AC}"/>
            </a:ext>
          </a:extLst>
        </xdr:cNvPr>
        <xdr:cNvGrpSpPr/>
      </xdr:nvGrpSpPr>
      <xdr:grpSpPr>
        <a:xfrm>
          <a:off x="132773" y="10673773"/>
          <a:ext cx="6366467" cy="10855809"/>
          <a:chOff x="132773" y="10673773"/>
          <a:chExt cx="6366467" cy="10855809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AF6CE7D-52C5-D854-9566-CAB08C952B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2773" y="10673773"/>
            <a:ext cx="6338454" cy="4548909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00D6403-0EAA-4764-8678-7DE56AAA5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2774" y="15257318"/>
            <a:ext cx="6366466" cy="6272264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2F505-F41E-4321-9371-D8BF3D52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6165" y="4375284"/>
          <a:ext cx="6850445" cy="3917239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AD12E-44C7-4C03-966E-7F9E5B6C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4238" y="4323650"/>
          <a:ext cx="6395603" cy="3870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1334875</xdr:colOff>
      <xdr:row>153</xdr:row>
      <xdr:rowOff>113930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FC0E3D-06B6-4E40-A5C9-CD1D2BC11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624800"/>
          <a:ext cx="7786475" cy="7664080"/>
        </a:xfrm>
        <a:prstGeom prst="rect">
          <a:avLst/>
        </a:prstGeom>
      </xdr:spPr>
    </xdr:pic>
    <xdr:clientData/>
  </xdr:twoCellAnchor>
  <xdr:twoCellAnchor>
    <xdr:from>
      <xdr:col>0</xdr:col>
      <xdr:colOff>132773</xdr:colOff>
      <xdr:row>57</xdr:row>
      <xdr:rowOff>144318</xdr:rowOff>
    </xdr:from>
    <xdr:to>
      <xdr:col>5</xdr:col>
      <xdr:colOff>51104</xdr:colOff>
      <xdr:row>116</xdr:row>
      <xdr:rowOff>101218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267A8FE-7807-4394-97F9-DC1349B8768B}"/>
            </a:ext>
          </a:extLst>
        </xdr:cNvPr>
        <xdr:cNvGrpSpPr/>
      </xdr:nvGrpSpPr>
      <xdr:grpSpPr>
        <a:xfrm>
          <a:off x="132773" y="10673773"/>
          <a:ext cx="6366467" cy="10855809"/>
          <a:chOff x="132773" y="10673773"/>
          <a:chExt cx="6366467" cy="10855809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612ADB88-8426-3BEA-26F8-35AB515CF4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2773" y="10673773"/>
            <a:ext cx="6338454" cy="4548909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C3CF5B7-BDA7-22A1-7688-CDD895C9E7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2774" y="15257318"/>
            <a:ext cx="6366466" cy="6272264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C2224-FC97-4273-87BC-29E81807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6165" y="4375284"/>
          <a:ext cx="6850445" cy="3917239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1D3DC-37D8-4B8E-89C9-CFD7A3D74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4238" y="4323650"/>
          <a:ext cx="6395603" cy="3870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1119952</xdr:colOff>
      <xdr:row>153</xdr:row>
      <xdr:rowOff>113930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19B6D4-AD65-4728-A1F4-A2C66EAF0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624800"/>
          <a:ext cx="7786475" cy="7664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1142079</xdr:colOff>
      <xdr:row>86</xdr:row>
      <xdr:rowOff>177295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CF5555-30C7-A15A-9807-F0B98913B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151471"/>
          <a:ext cx="7811590" cy="7087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4</xdr:col>
      <xdr:colOff>2563829</xdr:colOff>
      <xdr:row>122</xdr:row>
      <xdr:rowOff>64981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0E06A-6E2F-580E-94D3-726687744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248529"/>
          <a:ext cx="6649378" cy="66017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156415</xdr:colOff>
      <xdr:row>23</xdr:row>
      <xdr:rowOff>139834</xdr:rowOff>
    </xdr:from>
    <xdr:to>
      <xdr:col>23</xdr:col>
      <xdr:colOff>301260</xdr:colOff>
      <xdr:row>45</xdr:row>
      <xdr:rowOff>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6BAA1-7F92-40B2-A7B0-23004074C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2065" y="4375284"/>
          <a:ext cx="6850445" cy="3917239"/>
        </a:xfrm>
        <a:prstGeom prst="rect">
          <a:avLst/>
        </a:prstGeom>
      </xdr:spPr>
    </xdr:pic>
    <xdr:clientData/>
  </xdr:twoCellAnchor>
  <xdr:twoCellAnchor editAs="oneCell">
    <xdr:from>
      <xdr:col>5</xdr:col>
      <xdr:colOff>542638</xdr:colOff>
      <xdr:row>23</xdr:row>
      <xdr:rowOff>88200</xdr:rowOff>
    </xdr:from>
    <xdr:to>
      <xdr:col>12</xdr:col>
      <xdr:colOff>150091</xdr:colOff>
      <xdr:row>44</xdr:row>
      <xdr:rowOff>91480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0D020D-296C-4D0F-AEEE-5DB85C4E6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0138" y="4323650"/>
          <a:ext cx="6395603" cy="3870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1119952</xdr:colOff>
      <xdr:row>153</xdr:row>
      <xdr:rowOff>113930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4734F9-0F9A-4578-BD5D-BD749FB0E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624800"/>
          <a:ext cx="7787452" cy="7664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1142079</xdr:colOff>
      <xdr:row>86</xdr:row>
      <xdr:rowOff>177295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93867D-8D17-4131-B10B-D00AC9C0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023350"/>
          <a:ext cx="7809579" cy="6990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4</xdr:col>
      <xdr:colOff>2563829</xdr:colOff>
      <xdr:row>122</xdr:row>
      <xdr:rowOff>64981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F0C3B5-AE31-44B5-9F8B-32B01504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021050"/>
          <a:ext cx="6646879" cy="651023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11</xdr:col>
      <xdr:colOff>547685</xdr:colOff>
      <xdr:row>47</xdr:row>
      <xdr:rowOff>105484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3CD0D-A4E4-1D80-5AF9-DB2191E7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0"/>
          <a:ext cx="11355385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36567</xdr:colOff>
      <xdr:row>79</xdr:row>
      <xdr:rowOff>178622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5CACB-6CDE-002D-C1AA-6B694950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39200"/>
          <a:ext cx="11765017" cy="5887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11</xdr:col>
      <xdr:colOff>319053</xdr:colOff>
      <xdr:row>110</xdr:row>
      <xdr:rowOff>172245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95F0D5-1753-52BB-FF93-9B94AE7D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32000"/>
          <a:ext cx="11126753" cy="5696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11</xdr:col>
      <xdr:colOff>357158</xdr:colOff>
      <xdr:row>148</xdr:row>
      <xdr:rowOff>26355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8B44E-4147-9219-EB60-4223180C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440650"/>
          <a:ext cx="11164858" cy="68399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</xdr:rowOff>
    </xdr:from>
    <xdr:to>
      <xdr:col>11</xdr:col>
      <xdr:colOff>23634</xdr:colOff>
      <xdr:row>63</xdr:row>
      <xdr:rowOff>105484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3A46C-1099-48CC-B978-44CCB79DD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7126"/>
          <a:ext cx="11360148" cy="50346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434853</xdr:colOff>
      <xdr:row>82</xdr:row>
      <xdr:rowOff>178623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32923-1BA9-4183-8FFE-AEF08204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39200"/>
          <a:ext cx="11765017" cy="5887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10</xdr:col>
      <xdr:colOff>1374564</xdr:colOff>
      <xdr:row>113</xdr:row>
      <xdr:rowOff>172245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F399CA-73EB-4641-A54C-07357A4F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32000"/>
          <a:ext cx="11126753" cy="5696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10</xdr:col>
      <xdr:colOff>1412669</xdr:colOff>
      <xdr:row>151</xdr:row>
      <xdr:rowOff>26355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0B9E68-2EB9-4ED6-92A7-46C35401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440650"/>
          <a:ext cx="11164858" cy="68399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28</xdr:col>
      <xdr:colOff>529453</xdr:colOff>
      <xdr:row>56</xdr:row>
      <xdr:rowOff>67876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B653BC-25D4-C506-1204-EFD52921B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46667" y="6787444"/>
          <a:ext cx="9631119" cy="355332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25</xdr:col>
      <xdr:colOff>72993</xdr:colOff>
      <xdr:row>88</xdr:row>
      <xdr:rowOff>95704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9E177D-19E4-83FA-9087-74CD644E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46667" y="10456333"/>
          <a:ext cx="7354326" cy="578248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177800</xdr:rowOff>
    </xdr:from>
    <xdr:to>
      <xdr:col>5</xdr:col>
      <xdr:colOff>710532</xdr:colOff>
      <xdr:row>50</xdr:row>
      <xdr:rowOff>146896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8764C-DC69-4B23-9F74-8F68E00AE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65700"/>
          <a:ext cx="7155782" cy="4388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1778</xdr:rowOff>
    </xdr:from>
    <xdr:to>
      <xdr:col>5</xdr:col>
      <xdr:colOff>698500</xdr:colOff>
      <xdr:row>84</xdr:row>
      <xdr:rowOff>156611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519413-CFD5-4375-8023-3AE0457E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93428"/>
          <a:ext cx="7143750" cy="6231783"/>
        </a:xfrm>
        <a:prstGeom prst="rect">
          <a:avLst/>
        </a:prstGeom>
      </xdr:spPr>
    </xdr:pic>
    <xdr:clientData/>
  </xdr:twoCellAnchor>
  <xdr:twoCellAnchor editAs="oneCell">
    <xdr:from>
      <xdr:col>5</xdr:col>
      <xdr:colOff>863600</xdr:colOff>
      <xdr:row>26</xdr:row>
      <xdr:rowOff>110392</xdr:rowOff>
    </xdr:from>
    <xdr:to>
      <xdr:col>12</xdr:col>
      <xdr:colOff>499840</xdr:colOff>
      <xdr:row>49</xdr:row>
      <xdr:rowOff>26179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8CF9D1-C9AB-447E-A039-0BA2B0C70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8850" y="4898292"/>
          <a:ext cx="7275290" cy="4151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8B2B-D367-4108-B73E-9C688F573340}">
  <sheetPr codeName="Sheet1"/>
  <dimension ref="A1:I23"/>
  <sheetViews>
    <sheetView workbookViewId="0">
      <selection activeCell="B8" sqref="B3:B8"/>
    </sheetView>
  </sheetViews>
  <sheetFormatPr defaultRowHeight="14.5" x14ac:dyDescent="0.35"/>
  <cols>
    <col min="2" max="2" width="13.81640625" style="1" bestFit="1" customWidth="1"/>
    <col min="3" max="3" width="13.1796875" bestFit="1" customWidth="1"/>
    <col min="4" max="4" width="10.1796875" style="1" bestFit="1" customWidth="1"/>
    <col min="5" max="5" width="37" style="1" bestFit="1" customWidth="1"/>
    <col min="6" max="7" width="11.1796875" style="1" bestFit="1" customWidth="1"/>
    <col min="9" max="9" width="14.1796875" bestFit="1" customWidth="1"/>
  </cols>
  <sheetData>
    <row r="1" spans="1:6" x14ac:dyDescent="0.35">
      <c r="C1" t="s">
        <v>3</v>
      </c>
      <c r="D1" s="1" t="s">
        <v>4</v>
      </c>
      <c r="E1" s="1" t="s">
        <v>5</v>
      </c>
      <c r="F1" s="1" t="s">
        <v>13</v>
      </c>
    </row>
    <row r="2" spans="1:6" x14ac:dyDescent="0.35">
      <c r="A2" t="s">
        <v>0</v>
      </c>
      <c r="B2" s="1">
        <v>15000000</v>
      </c>
      <c r="C2" s="2">
        <f>B2*10.5%</f>
        <v>1575000</v>
      </c>
      <c r="D2" s="1">
        <v>20000</v>
      </c>
      <c r="E2" s="1">
        <f>(B9-C2-11*10^6)*5%</f>
        <v>136658.65384615373</v>
      </c>
      <c r="F2" s="1">
        <f>B9-C2-D2-E2</f>
        <v>13576514.42307692</v>
      </c>
    </row>
    <row r="3" spans="1:6" x14ac:dyDescent="0.35">
      <c r="A3" t="s">
        <v>1</v>
      </c>
      <c r="B3" s="1">
        <f>B2/26</f>
        <v>576923.07692307688</v>
      </c>
    </row>
    <row r="4" spans="1:6" x14ac:dyDescent="0.35">
      <c r="A4" t="s">
        <v>6</v>
      </c>
      <c r="B4" s="1">
        <f>B3*23</f>
        <v>13269230.769230768</v>
      </c>
    </row>
    <row r="5" spans="1:6" x14ac:dyDescent="0.35">
      <c r="A5" t="s">
        <v>7</v>
      </c>
      <c r="B5" s="1">
        <f>B3</f>
        <v>576923.07692307688</v>
      </c>
    </row>
    <row r="6" spans="1:6" x14ac:dyDescent="0.35">
      <c r="A6" t="s">
        <v>8</v>
      </c>
      <c r="B6" s="1">
        <f>B3*2</f>
        <v>1153846.1538461538</v>
      </c>
    </row>
    <row r="7" spans="1:6" x14ac:dyDescent="0.35">
      <c r="A7" t="s">
        <v>2</v>
      </c>
      <c r="B7" s="1">
        <f>B3/8*1.5</f>
        <v>108173.07692307691</v>
      </c>
    </row>
    <row r="8" spans="1:6" x14ac:dyDescent="0.35">
      <c r="A8" t="s">
        <v>9</v>
      </c>
      <c r="B8" s="1">
        <v>200000</v>
      </c>
    </row>
    <row r="9" spans="1:6" x14ac:dyDescent="0.35">
      <c r="A9" t="s">
        <v>12</v>
      </c>
      <c r="B9" s="1">
        <f>SUM(B4:B8)</f>
        <v>15308173.076923074</v>
      </c>
    </row>
    <row r="11" spans="1:6" x14ac:dyDescent="0.35">
      <c r="A11" t="s">
        <v>14</v>
      </c>
    </row>
    <row r="12" spans="1:6" x14ac:dyDescent="0.35">
      <c r="A12" t="s">
        <v>0</v>
      </c>
      <c r="B12" s="1">
        <v>15000000</v>
      </c>
      <c r="C12" s="2">
        <f>B12*10.5%</f>
        <v>1575000</v>
      </c>
      <c r="D12" s="1">
        <v>20000</v>
      </c>
      <c r="E12" s="1">
        <f>(B14-C12-11*10^6)*5%</f>
        <v>126658.65384615381</v>
      </c>
      <c r="F12" s="1">
        <f>B14-C12-D12-E12</f>
        <v>13386514.423076922</v>
      </c>
    </row>
    <row r="13" spans="1:6" x14ac:dyDescent="0.35">
      <c r="A13" t="s">
        <v>10</v>
      </c>
      <c r="B13" s="1">
        <v>108173.07692307691</v>
      </c>
    </row>
    <row r="14" spans="1:6" x14ac:dyDescent="0.35">
      <c r="A14" t="s">
        <v>11</v>
      </c>
      <c r="B14" s="1">
        <f>B12+B13</f>
        <v>15108173.076923076</v>
      </c>
    </row>
    <row r="18" spans="2:9" x14ac:dyDescent="0.35">
      <c r="B18" s="1">
        <f>((10.5*10^6*5)+(15*10^6*7))/12</f>
        <v>13125000</v>
      </c>
    </row>
    <row r="19" spans="2:9" x14ac:dyDescent="0.35">
      <c r="B19" s="1">
        <f>B14+B18</f>
        <v>28233173.076923076</v>
      </c>
      <c r="E19" s="1">
        <f>B19-C12-11*10^6</f>
        <v>15658173.076923076</v>
      </c>
      <c r="F19" s="1">
        <f>E19*15%-750000</f>
        <v>1598725.9615384615</v>
      </c>
      <c r="G19" s="3">
        <f>B19-C12-D12-F19</f>
        <v>25039447.115384616</v>
      </c>
      <c r="I19" s="4"/>
    </row>
    <row r="20" spans="2:9" x14ac:dyDescent="0.35">
      <c r="B20" s="1">
        <v>15000000</v>
      </c>
    </row>
    <row r="23" spans="2:9" x14ac:dyDescent="0.35">
      <c r="B23" s="1">
        <f>SUM(B19:B20)</f>
        <v>43233173.076923072</v>
      </c>
      <c r="E23" s="1">
        <f>B23-C12-11*10^6</f>
        <v>30658173.076923072</v>
      </c>
      <c r="F23" s="1">
        <f>20%*E23-1650000</f>
        <v>4481634.615384615</v>
      </c>
      <c r="G23" s="3">
        <f>B23-C12-D12-F23</f>
        <v>37156538.461538456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0BE3-ED76-4C9F-909C-A29B137DDFE2}">
  <sheetPr codeName="Sheet2"/>
  <dimension ref="A1:G15"/>
  <sheetViews>
    <sheetView workbookViewId="0">
      <selection activeCell="D6" sqref="D6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0.1796875" style="1" bestFit="1" customWidth="1"/>
    <col min="4" max="4" width="10.90625" style="1" bestFit="1" customWidth="1"/>
    <col min="5" max="5" width="37" bestFit="1" customWidth="1"/>
    <col min="6" max="6" width="49.1796875" bestFit="1" customWidth="1"/>
  </cols>
  <sheetData>
    <row r="1" spans="1:7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7" x14ac:dyDescent="0.35">
      <c r="A2" s="5" t="s">
        <v>14</v>
      </c>
      <c r="B2" s="1"/>
      <c r="E2" s="1"/>
      <c r="F2" s="1"/>
      <c r="G2" s="1"/>
    </row>
    <row r="3" spans="1:7" x14ac:dyDescent="0.35">
      <c r="A3" t="s">
        <v>0</v>
      </c>
      <c r="B3" s="1">
        <v>15000000</v>
      </c>
      <c r="C3" s="1">
        <f>B3*10.5%</f>
        <v>1575000</v>
      </c>
      <c r="D3" s="1">
        <v>20000</v>
      </c>
      <c r="E3" s="1">
        <f>(B5-C3-11*10^6)*5%</f>
        <v>126658.65384615381</v>
      </c>
      <c r="F3" s="1">
        <f>B5-C3-D3-E3</f>
        <v>13386514.423076922</v>
      </c>
      <c r="G3" s="1"/>
    </row>
    <row r="4" spans="1:7" x14ac:dyDescent="0.35">
      <c r="A4" t="s">
        <v>10</v>
      </c>
      <c r="B4" s="1">
        <v>108173.07692307691</v>
      </c>
      <c r="E4" s="1"/>
      <c r="F4" s="1"/>
      <c r="G4" s="1"/>
    </row>
    <row r="5" spans="1:7" x14ac:dyDescent="0.35">
      <c r="A5" t="s">
        <v>11</v>
      </c>
      <c r="B5" s="1">
        <f>B3+B4</f>
        <v>15108173.076923076</v>
      </c>
      <c r="E5" s="1"/>
      <c r="F5" s="1"/>
      <c r="G5" s="1"/>
    </row>
    <row r="7" spans="1:7" x14ac:dyDescent="0.35">
      <c r="A7" s="5" t="s">
        <v>15</v>
      </c>
      <c r="B7" s="1">
        <f>B3</f>
        <v>15000000</v>
      </c>
      <c r="D7" s="1">
        <f>B7*5%</f>
        <v>750000</v>
      </c>
      <c r="E7" s="6"/>
      <c r="F7" s="1"/>
    </row>
    <row r="8" spans="1:7" x14ac:dyDescent="0.35">
      <c r="F8" s="1"/>
    </row>
    <row r="9" spans="1:7" x14ac:dyDescent="0.35">
      <c r="B9" s="6">
        <f>SUM(B5:B7)</f>
        <v>30108173.076923076</v>
      </c>
      <c r="C9" s="1">
        <f>B3*10.5%</f>
        <v>1575000</v>
      </c>
      <c r="D9" s="1">
        <v>20000</v>
      </c>
      <c r="E9" s="7">
        <f>(B9-C9-11*10^6)*15%-750000</f>
        <v>1879975.9615384615</v>
      </c>
      <c r="F9" s="8">
        <f>B9-C9-D9-E9</f>
        <v>26633197.115384616</v>
      </c>
    </row>
    <row r="11" spans="1:7" x14ac:dyDescent="0.35">
      <c r="A11" t="s">
        <v>16</v>
      </c>
      <c r="B11" s="1">
        <v>20000000</v>
      </c>
    </row>
    <row r="12" spans="1:7" x14ac:dyDescent="0.35">
      <c r="B12" s="1">
        <v>2000000</v>
      </c>
    </row>
    <row r="13" spans="1:7" x14ac:dyDescent="0.35">
      <c r="B13" s="1">
        <v>2200000</v>
      </c>
    </row>
    <row r="14" spans="1:7" x14ac:dyDescent="0.35">
      <c r="B14" s="1">
        <v>300000</v>
      </c>
    </row>
    <row r="15" spans="1:7" x14ac:dyDescent="0.35">
      <c r="B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1F65-053A-4AF1-87E0-5501AF0D61CF}">
  <sheetPr codeName="Sheet3"/>
  <dimension ref="A1:G18"/>
  <sheetViews>
    <sheetView workbookViewId="0">
      <selection activeCell="E8" sqref="E8"/>
    </sheetView>
  </sheetViews>
  <sheetFormatPr defaultRowHeight="14.5" x14ac:dyDescent="0.35"/>
  <cols>
    <col min="1" max="1" width="19.36328125" bestFit="1" customWidth="1"/>
    <col min="2" max="2" width="11.179687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</cols>
  <sheetData>
    <row r="1" spans="1:7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7" x14ac:dyDescent="0.35">
      <c r="A2" s="5" t="s">
        <v>14</v>
      </c>
      <c r="B2" s="1"/>
      <c r="E2" s="1"/>
      <c r="F2" s="1"/>
      <c r="G2" s="1"/>
    </row>
    <row r="3" spans="1:7" x14ac:dyDescent="0.35">
      <c r="A3" t="s">
        <v>0</v>
      </c>
      <c r="B3" s="1">
        <v>15000000</v>
      </c>
      <c r="C3" s="1">
        <f>B3*10.5%</f>
        <v>1575000</v>
      </c>
      <c r="D3" s="1">
        <v>20000</v>
      </c>
      <c r="E3" s="1">
        <f>(B7-C3-11*10^6)*5%</f>
        <v>165504.80769230763</v>
      </c>
      <c r="F3" s="1">
        <f>B7-C3-D3-E3</f>
        <v>14124591.346153844</v>
      </c>
      <c r="G3" s="1"/>
    </row>
    <row r="4" spans="1:7" x14ac:dyDescent="0.35">
      <c r="A4" t="s">
        <v>17</v>
      </c>
      <c r="B4" s="1">
        <f>B3/26</f>
        <v>576923.07692307688</v>
      </c>
      <c r="E4" s="1"/>
      <c r="F4" s="1"/>
      <c r="G4" s="1"/>
    </row>
    <row r="5" spans="1:7" x14ac:dyDescent="0.35">
      <c r="A5" t="s">
        <v>9</v>
      </c>
      <c r="B5" s="1">
        <v>200000</v>
      </c>
      <c r="E5" s="1"/>
      <c r="F5" s="1"/>
      <c r="G5" s="1"/>
    </row>
    <row r="6" spans="1:7" x14ac:dyDescent="0.35">
      <c r="A6" t="s">
        <v>10</v>
      </c>
      <c r="B6" s="1">
        <v>108173.07692307691</v>
      </c>
      <c r="E6" s="1"/>
      <c r="F6" s="1"/>
      <c r="G6" s="1"/>
    </row>
    <row r="7" spans="1:7" x14ac:dyDescent="0.35">
      <c r="A7" t="s">
        <v>11</v>
      </c>
      <c r="B7" s="1">
        <f>B3+B4+B6+B5</f>
        <v>15885096.153846152</v>
      </c>
      <c r="E7" s="1"/>
      <c r="F7" s="1"/>
      <c r="G7" s="1"/>
    </row>
    <row r="8" spans="1:7" x14ac:dyDescent="0.35">
      <c r="B8" s="1">
        <v>15000000</v>
      </c>
      <c r="E8" s="1">
        <f>(SUM(B7:B8)-C3-11*10^6)*20%-1.65*10^6</f>
        <v>2012019.2307692305</v>
      </c>
    </row>
    <row r="9" spans="1:7" x14ac:dyDescent="0.35">
      <c r="A9" t="s">
        <v>18</v>
      </c>
      <c r="B9" s="9">
        <f>B7-C3-D3-(2012019-1500000)</f>
        <v>13778077.153846152</v>
      </c>
      <c r="E9" s="6">
        <f>E8-1500000</f>
        <v>512019.23076923052</v>
      </c>
      <c r="F9" s="6"/>
    </row>
    <row r="10" spans="1:7" x14ac:dyDescent="0.35">
      <c r="A10" s="5" t="s">
        <v>15</v>
      </c>
      <c r="B10" s="1">
        <f>B3</f>
        <v>15000000</v>
      </c>
      <c r="D10" s="1">
        <f>B10*5%</f>
        <v>750000</v>
      </c>
      <c r="E10" s="6"/>
      <c r="F10" s="1"/>
    </row>
    <row r="11" spans="1:7" x14ac:dyDescent="0.35">
      <c r="F11" s="1"/>
    </row>
    <row r="12" spans="1:7" x14ac:dyDescent="0.35">
      <c r="B12" s="6">
        <f>SUM(B7:B10)</f>
        <v>59663173.307692304</v>
      </c>
      <c r="C12" s="1">
        <f>B3*10.5%</f>
        <v>1575000</v>
      </c>
      <c r="D12" s="1">
        <v>20000</v>
      </c>
      <c r="E12" s="7">
        <f>(B12-C12-11*10^6)*15%-750000</f>
        <v>6313225.9961538455</v>
      </c>
      <c r="F12" s="8">
        <f>B12-C12-D12-E12</f>
        <v>51754947.311538458</v>
      </c>
    </row>
    <row r="14" spans="1:7" x14ac:dyDescent="0.35">
      <c r="A14" t="s">
        <v>16</v>
      </c>
      <c r="B14" s="1">
        <v>20000000</v>
      </c>
    </row>
    <row r="15" spans="1:7" x14ac:dyDescent="0.35">
      <c r="B15" s="1">
        <v>2000000</v>
      </c>
    </row>
    <row r="16" spans="1:7" x14ac:dyDescent="0.35">
      <c r="B16" s="1">
        <v>2200000</v>
      </c>
    </row>
    <row r="17" spans="2:2" x14ac:dyDescent="0.35">
      <c r="B17" s="1">
        <v>300000</v>
      </c>
    </row>
    <row r="18" spans="2:2" x14ac:dyDescent="0.35">
      <c r="B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CFBA-50AE-4E3F-8D0D-AE5126808E76}">
  <sheetPr codeName="Sheet4"/>
  <dimension ref="A1:G16"/>
  <sheetViews>
    <sheetView workbookViewId="0">
      <selection activeCell="E19" sqref="E19"/>
    </sheetView>
  </sheetViews>
  <sheetFormatPr defaultRowHeight="14.5" x14ac:dyDescent="0.35"/>
  <cols>
    <col min="1" max="1" width="19.36328125" bestFit="1" customWidth="1"/>
    <col min="2" max="2" width="11.179687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</cols>
  <sheetData>
    <row r="1" spans="1:7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7" x14ac:dyDescent="0.35">
      <c r="A2" s="5" t="s">
        <v>14</v>
      </c>
      <c r="B2" s="1"/>
      <c r="E2" s="1"/>
      <c r="F2" s="1"/>
      <c r="G2" s="1"/>
    </row>
    <row r="3" spans="1:7" x14ac:dyDescent="0.35">
      <c r="A3" t="s">
        <v>0</v>
      </c>
      <c r="B3" s="1">
        <f>15000000/26*19</f>
        <v>10961538.46153846</v>
      </c>
      <c r="C3" s="1">
        <f>15*10^6*10.5%</f>
        <v>1575000</v>
      </c>
      <c r="D3" s="1">
        <v>20000</v>
      </c>
      <c r="E3" s="1">
        <f>(B7-C3-11*10^6)*5%</f>
        <v>151658.65384615373</v>
      </c>
      <c r="F3" s="8">
        <f>B7-C3-D3-E3-500*10^3</f>
        <v>13361514.42307692</v>
      </c>
      <c r="G3" s="1"/>
    </row>
    <row r="4" spans="1:7" x14ac:dyDescent="0.35">
      <c r="A4" t="s">
        <v>17</v>
      </c>
      <c r="B4" s="1">
        <f>15*10^6/26*2</f>
        <v>1153846.1538461538</v>
      </c>
      <c r="E4" s="1"/>
      <c r="F4" s="1"/>
      <c r="G4" s="1"/>
    </row>
    <row r="5" spans="1:7" x14ac:dyDescent="0.35">
      <c r="A5" t="s">
        <v>9</v>
      </c>
      <c r="B5" s="1">
        <f>15*10^6/26*5</f>
        <v>2884615.3846153845</v>
      </c>
      <c r="E5" s="1"/>
      <c r="F5" s="1"/>
      <c r="G5" s="1"/>
    </row>
    <row r="6" spans="1:7" x14ac:dyDescent="0.35">
      <c r="A6" t="s">
        <v>10</v>
      </c>
      <c r="B6" s="1">
        <v>108173.07692307691</v>
      </c>
      <c r="E6" s="1"/>
      <c r="F6" s="1"/>
      <c r="G6" s="1"/>
    </row>
    <row r="7" spans="1:7" x14ac:dyDescent="0.35">
      <c r="A7" t="s">
        <v>11</v>
      </c>
      <c r="B7" s="1">
        <f>B3+B4+B6+B5+500*10^3</f>
        <v>15608173.076923074</v>
      </c>
      <c r="E7" s="1"/>
      <c r="F7" s="1"/>
      <c r="G7" s="1"/>
    </row>
    <row r="8" spans="1:7" x14ac:dyDescent="0.35">
      <c r="A8" s="5"/>
      <c r="B8" s="10"/>
      <c r="C8" s="10"/>
      <c r="D8" s="10"/>
      <c r="E8" s="6"/>
      <c r="F8" s="10"/>
    </row>
    <row r="9" spans="1:7" x14ac:dyDescent="0.35">
      <c r="C9" s="10"/>
      <c r="D9" s="10"/>
      <c r="F9" s="10"/>
    </row>
    <row r="10" spans="1:7" x14ac:dyDescent="0.35">
      <c r="B10" s="6"/>
      <c r="C10" s="10"/>
      <c r="D10" s="10"/>
      <c r="E10" s="11"/>
      <c r="F10" s="12"/>
    </row>
    <row r="11" spans="1:7" x14ac:dyDescent="0.35">
      <c r="C11" s="10"/>
      <c r="D11" s="10"/>
    </row>
    <row r="12" spans="1:7" x14ac:dyDescent="0.35">
      <c r="B12" s="10"/>
      <c r="C12" s="10"/>
      <c r="D12" s="10"/>
    </row>
    <row r="13" spans="1:7" x14ac:dyDescent="0.35">
      <c r="B13" s="10"/>
      <c r="C13" s="10"/>
      <c r="D13" s="10"/>
    </row>
    <row r="14" spans="1:7" x14ac:dyDescent="0.35">
      <c r="B14" s="10"/>
      <c r="C14" s="10"/>
      <c r="D14" s="10"/>
    </row>
    <row r="15" spans="1:7" s="10" customFormat="1" x14ac:dyDescent="0.35"/>
    <row r="16" spans="1:7" s="1" customFormat="1" x14ac:dyDescent="0.35">
      <c r="A16"/>
      <c r="E16"/>
      <c r="F16"/>
      <c r="G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8069-A879-494D-A5C0-18079F90FC50}">
  <sheetPr codeName="Sheet5"/>
  <dimension ref="A1:G16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1.179687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</cols>
  <sheetData>
    <row r="1" spans="1:7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7" x14ac:dyDescent="0.35">
      <c r="A2" s="5" t="s">
        <v>14</v>
      </c>
      <c r="B2" s="1"/>
      <c r="E2" s="1"/>
      <c r="F2" s="1"/>
      <c r="G2" s="1"/>
    </row>
    <row r="3" spans="1:7" x14ac:dyDescent="0.35">
      <c r="A3" t="s">
        <v>0</v>
      </c>
      <c r="B3" s="1">
        <f>15000000/26*24</f>
        <v>13846153.846153844</v>
      </c>
      <c r="C3" s="1">
        <f>15*10^6*10.5%</f>
        <v>1575000</v>
      </c>
      <c r="D3" s="1">
        <v>20000</v>
      </c>
      <c r="E3" s="1">
        <f>(B7-C3-11*10^6)*5%</f>
        <v>68966.346153846011</v>
      </c>
      <c r="F3" s="8">
        <f>B7-C3-D3-E3</f>
        <v>12290360.576923074</v>
      </c>
      <c r="G3" s="1"/>
    </row>
    <row r="4" spans="1:7" x14ac:dyDescent="0.35">
      <c r="B4" s="1"/>
      <c r="E4" s="1"/>
      <c r="F4" s="1"/>
      <c r="G4" s="1"/>
    </row>
    <row r="5" spans="1:7" x14ac:dyDescent="0.35">
      <c r="B5" s="1"/>
      <c r="E5" s="1"/>
      <c r="F5" s="1"/>
      <c r="G5" s="1"/>
    </row>
    <row r="6" spans="1:7" x14ac:dyDescent="0.35">
      <c r="A6" t="s">
        <v>10</v>
      </c>
      <c r="B6" s="1">
        <v>108173.07692307691</v>
      </c>
      <c r="E6" s="1"/>
      <c r="F6" s="1"/>
      <c r="G6" s="1"/>
    </row>
    <row r="7" spans="1:7" x14ac:dyDescent="0.35">
      <c r="A7" t="s">
        <v>11</v>
      </c>
      <c r="B7" s="1">
        <f>B3+B6</f>
        <v>13954326.92307692</v>
      </c>
      <c r="E7" s="1"/>
      <c r="F7" s="1"/>
      <c r="G7" s="1"/>
    </row>
    <row r="8" spans="1:7" x14ac:dyDescent="0.35">
      <c r="A8" s="5"/>
      <c r="B8" s="10"/>
      <c r="C8" s="10"/>
      <c r="D8" s="10"/>
      <c r="E8" s="6"/>
      <c r="F8" s="10"/>
    </row>
    <row r="9" spans="1:7" x14ac:dyDescent="0.35">
      <c r="C9" s="10"/>
      <c r="D9" s="10"/>
      <c r="F9" s="10"/>
    </row>
    <row r="10" spans="1:7" x14ac:dyDescent="0.35">
      <c r="B10" s="6"/>
      <c r="C10" s="10"/>
      <c r="D10" s="10"/>
      <c r="E10" s="11"/>
      <c r="F10" s="12"/>
    </row>
    <row r="11" spans="1:7" x14ac:dyDescent="0.35">
      <c r="C11" s="10"/>
      <c r="D11" s="10"/>
    </row>
    <row r="12" spans="1:7" x14ac:dyDescent="0.35">
      <c r="B12" s="10"/>
      <c r="C12" s="10"/>
      <c r="D12" s="10"/>
    </row>
    <row r="13" spans="1:7" x14ac:dyDescent="0.35">
      <c r="B13" s="10"/>
      <c r="C13" s="10"/>
      <c r="D13" s="10"/>
    </row>
    <row r="14" spans="1:7" x14ac:dyDescent="0.35">
      <c r="B14" s="10"/>
      <c r="C14" s="10"/>
      <c r="D14" s="10"/>
    </row>
    <row r="15" spans="1:7" s="10" customFormat="1" x14ac:dyDescent="0.35"/>
    <row r="16" spans="1:7" s="1" customFormat="1" x14ac:dyDescent="0.35">
      <c r="A16"/>
      <c r="E16"/>
      <c r="F16"/>
      <c r="G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9B6E-5454-4D6D-B179-F9A8C4827622}">
  <sheetPr codeName="Sheet6"/>
  <dimension ref="A1:H16"/>
  <sheetViews>
    <sheetView workbookViewId="0">
      <selection activeCell="E11" sqref="E11"/>
    </sheetView>
  </sheetViews>
  <sheetFormatPr defaultRowHeight="14.5" x14ac:dyDescent="0.35"/>
  <cols>
    <col min="1" max="1" width="19.36328125" bestFit="1" customWidth="1"/>
    <col min="2" max="2" width="11.179687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14</v>
      </c>
      <c r="B2" s="1"/>
      <c r="E2" s="1"/>
      <c r="F2" s="1"/>
      <c r="G2" s="1"/>
    </row>
    <row r="3" spans="1:8" x14ac:dyDescent="0.35">
      <c r="A3" t="s">
        <v>0</v>
      </c>
      <c r="B3" s="1">
        <f>15000000/26*27</f>
        <v>15576923.076923076</v>
      </c>
      <c r="C3" s="1">
        <f>15*10^6*10.5%</f>
        <v>1575000</v>
      </c>
      <c r="D3" s="1">
        <v>20000</v>
      </c>
      <c r="E3" s="1">
        <f>(B7-C3-11*10^6)*5%</f>
        <v>175504.80769230763</v>
      </c>
      <c r="F3" s="8">
        <f>B7-C3-D3-E3</f>
        <v>14314591.346153844</v>
      </c>
      <c r="G3" s="1"/>
    </row>
    <row r="4" spans="1:8" x14ac:dyDescent="0.35">
      <c r="A4" t="s">
        <v>19</v>
      </c>
      <c r="B4" s="1">
        <f>200000</f>
        <v>200000</v>
      </c>
      <c r="E4" s="1"/>
      <c r="F4" s="1"/>
      <c r="G4" s="1"/>
    </row>
    <row r="5" spans="1:8" x14ac:dyDescent="0.35">
      <c r="A5" t="s">
        <v>32</v>
      </c>
      <c r="B5" s="1">
        <f>200000</f>
        <v>200000</v>
      </c>
      <c r="E5" s="1"/>
      <c r="F5" s="1"/>
      <c r="G5" s="1"/>
    </row>
    <row r="6" spans="1:8" x14ac:dyDescent="0.35">
      <c r="A6" t="s">
        <v>10</v>
      </c>
      <c r="B6" s="1">
        <v>108173.07692307691</v>
      </c>
      <c r="E6" s="1"/>
      <c r="F6" s="1">
        <v>1369326.9230769239</v>
      </c>
      <c r="G6" s="1"/>
    </row>
    <row r="7" spans="1:8" x14ac:dyDescent="0.35">
      <c r="A7" t="s">
        <v>11</v>
      </c>
      <c r="B7" s="1">
        <f>B3+B6+B4+B5</f>
        <v>16085096.153846152</v>
      </c>
      <c r="E7" s="1"/>
      <c r="F7" s="1"/>
      <c r="G7" s="1"/>
      <c r="H7" s="13"/>
    </row>
    <row r="8" spans="1:8" x14ac:dyDescent="0.35">
      <c r="A8" s="5"/>
      <c r="B8" s="10"/>
      <c r="C8" s="10"/>
      <c r="D8" s="10"/>
      <c r="E8" s="6"/>
      <c r="F8" s="10"/>
      <c r="H8" s="1"/>
    </row>
    <row r="9" spans="1:8" x14ac:dyDescent="0.35">
      <c r="C9" s="10"/>
      <c r="D9" s="10"/>
      <c r="F9" s="10"/>
      <c r="H9" s="1"/>
    </row>
    <row r="10" spans="1:8" x14ac:dyDescent="0.35">
      <c r="B10" s="6"/>
      <c r="C10" s="10"/>
      <c r="D10" s="10"/>
      <c r="E10" s="11"/>
      <c r="F10" s="12"/>
      <c r="H10" s="1"/>
    </row>
    <row r="11" spans="1:8" x14ac:dyDescent="0.35">
      <c r="C11" s="10"/>
      <c r="D11" s="10"/>
      <c r="H11" s="1"/>
    </row>
    <row r="12" spans="1:8" x14ac:dyDescent="0.35">
      <c r="B12" s="10"/>
      <c r="C12" s="10"/>
      <c r="D12" s="10"/>
    </row>
    <row r="13" spans="1:8" x14ac:dyDescent="0.35">
      <c r="B13" s="10"/>
      <c r="C13" s="10"/>
      <c r="D13" s="10"/>
    </row>
    <row r="14" spans="1:8" x14ac:dyDescent="0.35">
      <c r="B14" s="10"/>
      <c r="C14" s="10"/>
      <c r="D14" s="10"/>
    </row>
    <row r="15" spans="1:8" s="10" customFormat="1" x14ac:dyDescent="0.35"/>
    <row r="16" spans="1:8" s="1" customFormat="1" x14ac:dyDescent="0.35">
      <c r="A16"/>
      <c r="E16"/>
      <c r="F16"/>
      <c r="G1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251D-C4D4-4A53-B631-7049CDB3C35C}">
  <sheetPr codeName="Sheet7"/>
  <dimension ref="A1:H16"/>
  <sheetViews>
    <sheetView workbookViewId="0">
      <selection activeCell="F7" sqref="F7"/>
    </sheetView>
  </sheetViews>
  <sheetFormatPr defaultRowHeight="14.5" x14ac:dyDescent="0.35"/>
  <cols>
    <col min="1" max="1" width="19.36328125" bestFit="1" customWidth="1"/>
    <col min="2" max="2" width="11.179687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14</v>
      </c>
      <c r="B2" s="1"/>
      <c r="E2" s="1"/>
      <c r="F2" s="1"/>
      <c r="G2" s="1"/>
    </row>
    <row r="3" spans="1:8" x14ac:dyDescent="0.35">
      <c r="A3" t="s">
        <v>0</v>
      </c>
      <c r="B3" s="1">
        <f>15000000/26*25</f>
        <v>14423076.923076922</v>
      </c>
      <c r="C3" s="1">
        <f>15*10^6*10.5%</f>
        <v>1575000</v>
      </c>
      <c r="D3" s="1">
        <v>20000</v>
      </c>
      <c r="E3" s="1">
        <f>(B7-C3-11*10^6)*5%</f>
        <v>107812.49999999991</v>
      </c>
      <c r="F3" s="8">
        <f>B7-C3-D3-E3</f>
        <v>13028437.499999998</v>
      </c>
      <c r="G3" s="1"/>
    </row>
    <row r="4" spans="1:8" x14ac:dyDescent="0.35">
      <c r="A4" t="s">
        <v>19</v>
      </c>
      <c r="B4" s="1">
        <f>200000</f>
        <v>200000</v>
      </c>
      <c r="E4" s="1"/>
      <c r="F4" s="1"/>
      <c r="G4" s="1"/>
    </row>
    <row r="5" spans="1:8" x14ac:dyDescent="0.35">
      <c r="B5" s="1"/>
      <c r="E5" s="1"/>
      <c r="F5" s="1"/>
      <c r="G5" s="1"/>
    </row>
    <row r="6" spans="1:8" x14ac:dyDescent="0.35">
      <c r="A6" t="s">
        <v>10</v>
      </c>
      <c r="B6" s="1">
        <v>108173.07692307691</v>
      </c>
      <c r="E6" s="1"/>
      <c r="F6" s="1">
        <v>1369326.9230769239</v>
      </c>
      <c r="G6" s="1"/>
    </row>
    <row r="7" spans="1:8" x14ac:dyDescent="0.35">
      <c r="A7" t="s">
        <v>11</v>
      </c>
      <c r="B7" s="1">
        <f>B3+B6+B4</f>
        <v>14731249.999999998</v>
      </c>
      <c r="E7" s="1"/>
      <c r="F7" s="1"/>
      <c r="G7" s="1"/>
      <c r="H7" s="13"/>
    </row>
    <row r="8" spans="1:8" x14ac:dyDescent="0.35">
      <c r="A8" s="5"/>
      <c r="B8" s="10"/>
      <c r="C8" s="10"/>
      <c r="D8" s="10"/>
      <c r="E8" s="6"/>
      <c r="F8" s="10"/>
      <c r="H8" s="1"/>
    </row>
    <row r="9" spans="1:8" x14ac:dyDescent="0.35">
      <c r="C9" s="10"/>
      <c r="D9" s="10"/>
      <c r="F9" s="10"/>
      <c r="H9" s="1"/>
    </row>
    <row r="10" spans="1:8" x14ac:dyDescent="0.35">
      <c r="B10" s="6"/>
      <c r="C10" s="10"/>
      <c r="D10" s="10"/>
      <c r="E10" s="11"/>
      <c r="F10" s="12"/>
      <c r="H10" s="1"/>
    </row>
    <row r="11" spans="1:8" x14ac:dyDescent="0.35">
      <c r="C11" s="10"/>
      <c r="D11" s="10"/>
      <c r="H11" s="1"/>
    </row>
    <row r="12" spans="1:8" x14ac:dyDescent="0.35">
      <c r="B12" s="10"/>
      <c r="C12" s="10"/>
      <c r="D12" s="10"/>
    </row>
    <row r="13" spans="1:8" x14ac:dyDescent="0.35">
      <c r="B13" s="10"/>
      <c r="C13" s="10"/>
      <c r="D13" s="10"/>
    </row>
    <row r="14" spans="1:8" x14ac:dyDescent="0.35">
      <c r="B14" s="10"/>
      <c r="C14" s="10"/>
      <c r="D14" s="10"/>
    </row>
    <row r="15" spans="1:8" s="10" customFormat="1" x14ac:dyDescent="0.35"/>
    <row r="16" spans="1:8" s="1" customFormat="1" x14ac:dyDescent="0.35">
      <c r="A16"/>
      <c r="E16"/>
      <c r="F16"/>
      <c r="G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6A33-8E5F-4A38-AC18-3D1E70892033}">
  <sheetPr codeName="Sheet8"/>
  <dimension ref="A1:H18"/>
  <sheetViews>
    <sheetView workbookViewId="0">
      <selection activeCell="E12" sqref="E12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33</v>
      </c>
      <c r="B2" s="1"/>
      <c r="E2" s="1"/>
      <c r="F2" s="1"/>
      <c r="G2" s="1"/>
    </row>
    <row r="3" spans="1:8" x14ac:dyDescent="0.35">
      <c r="A3" t="s">
        <v>0</v>
      </c>
      <c r="B3" s="1">
        <f>15000000/26*27</f>
        <v>15576923.076923076</v>
      </c>
      <c r="C3" s="1">
        <f>15*10^6*10.5%</f>
        <v>1575000</v>
      </c>
      <c r="D3" s="1">
        <v>20000</v>
      </c>
      <c r="E3" s="1">
        <f>(B7-C3-11*10^6)*5%</f>
        <v>155504.8076923076</v>
      </c>
      <c r="F3" s="8">
        <f>B7-C3-D3-E3</f>
        <v>13934591.346153844</v>
      </c>
      <c r="G3" s="1"/>
    </row>
    <row r="4" spans="1:8" x14ac:dyDescent="0.35">
      <c r="A4" t="s">
        <v>19</v>
      </c>
      <c r="B4" s="1"/>
      <c r="E4" s="1"/>
      <c r="F4" s="1"/>
      <c r="G4" s="1"/>
    </row>
    <row r="5" spans="1:8" x14ac:dyDescent="0.35">
      <c r="B5" s="1"/>
      <c r="E5" s="1"/>
      <c r="F5" s="1"/>
      <c r="G5" s="1"/>
    </row>
    <row r="6" spans="1:8" x14ac:dyDescent="0.35">
      <c r="A6" t="s">
        <v>10</v>
      </c>
      <c r="B6" s="1">
        <v>108173.07692307691</v>
      </c>
      <c r="E6" s="1"/>
      <c r="F6" s="1"/>
      <c r="G6" s="1"/>
    </row>
    <row r="7" spans="1:8" x14ac:dyDescent="0.35">
      <c r="A7" t="s">
        <v>11</v>
      </c>
      <c r="B7" s="1">
        <f>B3+B6+B4</f>
        <v>15685096.153846152</v>
      </c>
      <c r="E7" s="1"/>
      <c r="F7" s="1"/>
      <c r="G7" s="1"/>
      <c r="H7" s="13"/>
    </row>
    <row r="8" spans="1:8" x14ac:dyDescent="0.35">
      <c r="A8" s="5"/>
      <c r="B8" s="10"/>
      <c r="C8" s="10"/>
      <c r="D8" s="10"/>
      <c r="E8" s="6"/>
      <c r="F8" s="10"/>
      <c r="H8" s="1"/>
    </row>
    <row r="9" spans="1:8" x14ac:dyDescent="0.35">
      <c r="C9" s="10"/>
      <c r="D9" s="10"/>
      <c r="F9" s="10"/>
      <c r="H9" s="1"/>
    </row>
    <row r="10" spans="1:8" x14ac:dyDescent="0.35">
      <c r="A10" t="s">
        <v>34</v>
      </c>
      <c r="B10" s="1">
        <v>13900000</v>
      </c>
      <c r="C10" s="10"/>
      <c r="D10" s="10"/>
      <c r="E10" s="11"/>
      <c r="F10" s="12"/>
      <c r="H10" s="1"/>
    </row>
    <row r="11" spans="1:8" x14ac:dyDescent="0.35">
      <c r="A11" t="s">
        <v>35</v>
      </c>
      <c r="B11" s="1">
        <v>200000</v>
      </c>
      <c r="C11" s="10"/>
      <c r="D11" s="10"/>
      <c r="H11" s="1"/>
    </row>
    <row r="12" spans="1:8" x14ac:dyDescent="0.35">
      <c r="A12" t="s">
        <v>36</v>
      </c>
      <c r="B12" s="10">
        <v>800000</v>
      </c>
      <c r="C12" s="10"/>
      <c r="D12" s="10"/>
    </row>
    <row r="13" spans="1:8" x14ac:dyDescent="0.35">
      <c r="B13" s="10">
        <f>SUM(B10:B12)</f>
        <v>14900000</v>
      </c>
      <c r="C13" s="10"/>
      <c r="D13" s="10"/>
    </row>
    <row r="14" spans="1:8" x14ac:dyDescent="0.35">
      <c r="A14" t="s">
        <v>37</v>
      </c>
      <c r="B14" s="10">
        <v>2000000</v>
      </c>
      <c r="C14" s="10"/>
      <c r="D14" s="10"/>
    </row>
    <row r="15" spans="1:8" s="10" customFormat="1" x14ac:dyDescent="0.35">
      <c r="A15" s="10" t="s">
        <v>38</v>
      </c>
      <c r="B15" s="10">
        <v>700000</v>
      </c>
    </row>
    <row r="16" spans="1:8" s="1" customFormat="1" x14ac:dyDescent="0.35">
      <c r="A16" t="s">
        <v>39</v>
      </c>
      <c r="B16" s="1">
        <f>(0.5*4+0.5*2)*10^6</f>
        <v>3000000</v>
      </c>
      <c r="E16"/>
      <c r="F16"/>
      <c r="G16"/>
    </row>
    <row r="17" spans="1:3" x14ac:dyDescent="0.35">
      <c r="B17" s="6">
        <f>SUM(B14:B16)</f>
        <v>5700000</v>
      </c>
    </row>
    <row r="18" spans="1:3" x14ac:dyDescent="0.35">
      <c r="A18" s="1">
        <v>8000000</v>
      </c>
      <c r="B18" s="6">
        <f>B13-B17</f>
        <v>9200000</v>
      </c>
      <c r="C18" s="1">
        <v>3000000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D35F-9638-4A63-BF6B-FAF249857B0A}">
  <sheetPr codeName="Sheet9"/>
  <dimension ref="A1:H18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40</v>
      </c>
      <c r="B2" s="1"/>
      <c r="E2" s="1"/>
      <c r="F2" s="1"/>
      <c r="G2" s="1"/>
    </row>
    <row r="3" spans="1:8" x14ac:dyDescent="0.35">
      <c r="A3" t="s">
        <v>0</v>
      </c>
      <c r="B3" s="1">
        <f>15000000/26*25.5</f>
        <v>14711538.46153846</v>
      </c>
      <c r="C3" s="1">
        <f>15*10^6*10.5%</f>
        <v>1575000</v>
      </c>
      <c r="D3" s="1">
        <v>20000</v>
      </c>
      <c r="E3" s="1">
        <f>(B7-C3-11*10^6)*5%</f>
        <v>122235.57692307682</v>
      </c>
      <c r="F3" s="8">
        <f>B7-C3-D3-E3</f>
        <v>13302475.96153846</v>
      </c>
      <c r="G3" s="1"/>
    </row>
    <row r="4" spans="1:8" x14ac:dyDescent="0.35">
      <c r="A4" t="s">
        <v>41</v>
      </c>
      <c r="B4" s="1">
        <v>200000</v>
      </c>
      <c r="E4" s="1"/>
      <c r="F4" s="1"/>
      <c r="G4" s="1"/>
    </row>
    <row r="5" spans="1:8" x14ac:dyDescent="0.35">
      <c r="B5" s="1"/>
      <c r="E5" s="1"/>
      <c r="F5" s="1"/>
      <c r="G5" s="1"/>
    </row>
    <row r="6" spans="1:8" x14ac:dyDescent="0.35">
      <c r="A6" t="s">
        <v>10</v>
      </c>
      <c r="B6" s="1">
        <v>108173.07692307691</v>
      </c>
      <c r="E6" s="1"/>
      <c r="F6" s="1"/>
      <c r="G6" s="1"/>
    </row>
    <row r="7" spans="1:8" x14ac:dyDescent="0.35">
      <c r="A7" t="s">
        <v>11</v>
      </c>
      <c r="B7" s="1">
        <f>B3+B6+B4</f>
        <v>15019711.538461536</v>
      </c>
      <c r="E7" s="1"/>
      <c r="F7" s="1"/>
      <c r="G7" s="1"/>
      <c r="H7" s="13"/>
    </row>
    <row r="8" spans="1:8" x14ac:dyDescent="0.35">
      <c r="A8" s="5"/>
      <c r="B8" s="10"/>
      <c r="C8" s="10"/>
      <c r="D8" s="10"/>
      <c r="E8" s="6"/>
      <c r="F8" s="10"/>
      <c r="H8" s="1"/>
    </row>
    <row r="9" spans="1:8" x14ac:dyDescent="0.35">
      <c r="C9" s="10"/>
      <c r="D9" s="10"/>
      <c r="F9" s="10"/>
      <c r="H9" s="1"/>
    </row>
    <row r="10" spans="1:8" x14ac:dyDescent="0.35">
      <c r="B10" s="1"/>
      <c r="C10" s="10"/>
      <c r="D10" s="10"/>
      <c r="E10" s="11"/>
      <c r="F10" s="12"/>
      <c r="H10" s="1"/>
    </row>
    <row r="11" spans="1:8" x14ac:dyDescent="0.35">
      <c r="B11" s="1"/>
      <c r="C11" s="10"/>
      <c r="D11" s="10"/>
      <c r="H11" s="1"/>
    </row>
    <row r="12" spans="1:8" x14ac:dyDescent="0.35">
      <c r="B12" s="10"/>
      <c r="C12" s="10"/>
      <c r="D12" s="10"/>
    </row>
    <row r="13" spans="1:8" x14ac:dyDescent="0.35">
      <c r="B13" s="10"/>
      <c r="C13" s="10"/>
      <c r="D13" s="10"/>
    </row>
    <row r="14" spans="1:8" x14ac:dyDescent="0.35">
      <c r="B14" s="10"/>
      <c r="C14" s="10"/>
      <c r="D14" s="10"/>
    </row>
    <row r="15" spans="1:8" s="10" customFormat="1" x14ac:dyDescent="0.35"/>
    <row r="16" spans="1:8" s="1" customFormat="1" x14ac:dyDescent="0.35">
      <c r="A16"/>
      <c r="E16"/>
      <c r="F16"/>
      <c r="G16"/>
    </row>
    <row r="17" spans="1:2" x14ac:dyDescent="0.35">
      <c r="B17" s="6"/>
    </row>
    <row r="18" spans="1:2" x14ac:dyDescent="0.35">
      <c r="A18" s="1"/>
      <c r="B18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40EB-9FC4-4C2E-B819-30C9DB2BEE7D}">
  <sheetPr codeName="Sheet10"/>
  <dimension ref="A1:H18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6</v>
      </c>
      <c r="B2" s="1"/>
      <c r="E2" s="1"/>
      <c r="F2" s="1"/>
      <c r="G2" s="1"/>
    </row>
    <row r="3" spans="1:8" x14ac:dyDescent="0.35">
      <c r="A3" t="s">
        <v>0</v>
      </c>
      <c r="B3" s="1">
        <f>18000000/26*23</f>
        <v>15923076.923076922</v>
      </c>
      <c r="C3" s="1">
        <f>18*10^6*10.5%</f>
        <v>1890000</v>
      </c>
      <c r="D3" s="1">
        <v>20000</v>
      </c>
      <c r="E3" s="1">
        <f>(B7-C3-11*10^6)*5%</f>
        <v>308144.24615384603</v>
      </c>
      <c r="F3" s="8">
        <f>B7-C3-D3-E3</f>
        <v>16834740.676923074</v>
      </c>
      <c r="G3" s="1"/>
    </row>
    <row r="4" spans="1:8" x14ac:dyDescent="0.35">
      <c r="A4" t="s">
        <v>41</v>
      </c>
      <c r="B4" s="1">
        <v>3000000</v>
      </c>
      <c r="E4" s="1"/>
      <c r="F4" s="1"/>
      <c r="G4" s="1"/>
    </row>
    <row r="5" spans="1:8" x14ac:dyDescent="0.35">
      <c r="B5" s="1"/>
      <c r="E5" s="1"/>
      <c r="F5" s="1"/>
      <c r="G5" s="1"/>
    </row>
    <row r="6" spans="1:8" x14ac:dyDescent="0.35">
      <c r="A6" t="s">
        <v>10</v>
      </c>
      <c r="B6" s="1">
        <v>129808</v>
      </c>
      <c r="E6" s="1"/>
      <c r="F6" s="1"/>
      <c r="G6" s="1"/>
    </row>
    <row r="7" spans="1:8" x14ac:dyDescent="0.35">
      <c r="A7" t="s">
        <v>11</v>
      </c>
      <c r="B7" s="1">
        <f>B3+B6+B4</f>
        <v>19052884.92307692</v>
      </c>
      <c r="E7" s="1"/>
      <c r="F7" s="1"/>
      <c r="G7" s="1"/>
      <c r="H7" s="13"/>
    </row>
    <row r="8" spans="1:8" x14ac:dyDescent="0.35">
      <c r="A8" s="5"/>
      <c r="B8" s="10"/>
      <c r="C8" s="10"/>
      <c r="D8" s="10"/>
      <c r="E8" s="6"/>
      <c r="F8" s="10"/>
      <c r="H8" s="1"/>
    </row>
    <row r="9" spans="1:8" x14ac:dyDescent="0.35">
      <c r="C9" s="10"/>
      <c r="D9" s="10"/>
      <c r="F9" s="10"/>
      <c r="H9" s="1"/>
    </row>
    <row r="10" spans="1:8" x14ac:dyDescent="0.35">
      <c r="B10" s="1"/>
      <c r="C10" s="10"/>
      <c r="D10" s="10"/>
      <c r="E10" s="11"/>
      <c r="F10" s="12"/>
      <c r="H10" s="1"/>
    </row>
    <row r="11" spans="1:8" x14ac:dyDescent="0.35">
      <c r="B11" s="1"/>
      <c r="C11" s="14"/>
      <c r="D11" s="10"/>
      <c r="H11" s="1"/>
    </row>
    <row r="12" spans="1:8" x14ac:dyDescent="0.35">
      <c r="B12" s="10"/>
      <c r="C12" s="10"/>
      <c r="D12" s="10"/>
    </row>
    <row r="13" spans="1:8" x14ac:dyDescent="0.35">
      <c r="B13" s="10"/>
      <c r="C13" s="10"/>
      <c r="D13" s="10"/>
    </row>
    <row r="14" spans="1:8" x14ac:dyDescent="0.35">
      <c r="B14" s="10"/>
      <c r="C14" s="10"/>
      <c r="D14" s="10"/>
    </row>
    <row r="15" spans="1:8" s="10" customFormat="1" x14ac:dyDescent="0.35"/>
    <row r="16" spans="1:8" s="1" customFormat="1" x14ac:dyDescent="0.35">
      <c r="A16"/>
      <c r="E16"/>
      <c r="F16"/>
      <c r="G16"/>
    </row>
    <row r="17" spans="1:2" x14ac:dyDescent="0.35">
      <c r="B17" s="6"/>
    </row>
    <row r="18" spans="1:2" x14ac:dyDescent="0.35">
      <c r="A18" s="1"/>
      <c r="B18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B35-E512-4A89-881F-0C0E247DFCCD}">
  <sheetPr codeName="Sheet11"/>
  <dimension ref="A1:H19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42</v>
      </c>
      <c r="B2" s="1"/>
      <c r="E2" s="1"/>
      <c r="F2" s="1"/>
      <c r="G2" s="1"/>
    </row>
    <row r="3" spans="1:8" x14ac:dyDescent="0.35">
      <c r="A3" t="s">
        <v>0</v>
      </c>
      <c r="B3" s="1">
        <f>18000000/26*24</f>
        <v>16615384.615384614</v>
      </c>
      <c r="C3" s="1">
        <f>18*10^6*10.5%</f>
        <v>1890000</v>
      </c>
      <c r="D3" s="1">
        <v>20000</v>
      </c>
      <c r="E3" s="1">
        <f>(B8-C3-11*10^6)*10%-250000</f>
        <v>313980.76923076925</v>
      </c>
      <c r="F3" s="8">
        <f>B8-C3-D3-E3</f>
        <v>16305826.923076922</v>
      </c>
      <c r="G3" s="1"/>
    </row>
    <row r="4" spans="1:8" x14ac:dyDescent="0.35">
      <c r="A4" t="s">
        <v>19</v>
      </c>
      <c r="B4" s="1">
        <f>18*10^6/26*2</f>
        <v>1384615.3846153845</v>
      </c>
      <c r="E4" s="1"/>
      <c r="F4" s="1"/>
      <c r="G4" s="1"/>
    </row>
    <row r="5" spans="1:8" x14ac:dyDescent="0.35">
      <c r="A5" t="s">
        <v>32</v>
      </c>
      <c r="B5" s="1">
        <v>200000</v>
      </c>
      <c r="E5" s="1"/>
      <c r="F5" s="1"/>
      <c r="G5" s="1"/>
    </row>
    <row r="6" spans="1:8" x14ac:dyDescent="0.35">
      <c r="A6" t="s">
        <v>9</v>
      </c>
      <c r="B6" s="1">
        <v>200000</v>
      </c>
      <c r="E6" s="1"/>
      <c r="F6" s="1"/>
      <c r="G6" s="1"/>
    </row>
    <row r="7" spans="1:8" x14ac:dyDescent="0.35">
      <c r="A7" t="s">
        <v>10</v>
      </c>
      <c r="B7" s="1">
        <f>18*10^6/26/8*1.5</f>
        <v>129807.6923076923</v>
      </c>
      <c r="E7" s="1"/>
      <c r="F7" s="1"/>
      <c r="G7" s="1"/>
    </row>
    <row r="8" spans="1:8" x14ac:dyDescent="0.35">
      <c r="A8" t="s">
        <v>11</v>
      </c>
      <c r="B8" s="1">
        <f>SUM(B3:B7)</f>
        <v>18529807.692307692</v>
      </c>
      <c r="E8" s="1"/>
      <c r="F8" s="1"/>
      <c r="G8" s="1"/>
      <c r="H8" s="13"/>
    </row>
    <row r="9" spans="1:8" x14ac:dyDescent="0.35">
      <c r="A9" s="5"/>
      <c r="B9" s="10"/>
      <c r="C9" s="10"/>
      <c r="D9" s="10"/>
      <c r="E9" s="6"/>
      <c r="F9" s="10"/>
      <c r="H9" s="1"/>
    </row>
    <row r="10" spans="1:8" x14ac:dyDescent="0.35">
      <c r="C10" s="10"/>
      <c r="D10" s="10"/>
      <c r="F10" s="10"/>
      <c r="H10" s="1"/>
    </row>
    <row r="11" spans="1:8" x14ac:dyDescent="0.35">
      <c r="B11" s="1"/>
      <c r="C11" s="10"/>
      <c r="D11" s="10"/>
      <c r="E11" s="11"/>
      <c r="F11" s="12"/>
      <c r="H11" s="1"/>
    </row>
    <row r="12" spans="1:8" x14ac:dyDescent="0.35">
      <c r="B12" s="1"/>
      <c r="C12" s="14"/>
      <c r="D12" s="10"/>
      <c r="H12" s="1"/>
    </row>
    <row r="13" spans="1:8" x14ac:dyDescent="0.35">
      <c r="B13" s="10"/>
      <c r="C13" s="10"/>
      <c r="D13" s="10"/>
    </row>
    <row r="14" spans="1:8" x14ac:dyDescent="0.35">
      <c r="B14" s="10"/>
      <c r="C14" s="10"/>
      <c r="D14" s="10"/>
    </row>
    <row r="15" spans="1:8" x14ac:dyDescent="0.35">
      <c r="B15" s="10"/>
      <c r="C15" s="10"/>
      <c r="D15" s="10"/>
    </row>
    <row r="16" spans="1:8" s="10" customFormat="1" x14ac:dyDescent="0.35"/>
    <row r="17" spans="1:7" s="1" customFormat="1" x14ac:dyDescent="0.35">
      <c r="A17"/>
      <c r="E17"/>
      <c r="F17"/>
      <c r="G17"/>
    </row>
    <row r="18" spans="1:7" x14ac:dyDescent="0.35">
      <c r="B18" s="6"/>
    </row>
    <row r="19" spans="1:7" x14ac:dyDescent="0.35">
      <c r="A19" s="1"/>
      <c r="B19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65CB-EA72-44DA-A7B3-154B5BF53F98}">
  <sheetPr codeName="Sheet12"/>
  <dimension ref="A1:H19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47</v>
      </c>
      <c r="B2" s="1"/>
      <c r="E2" s="1"/>
      <c r="F2" s="1"/>
      <c r="G2" s="1"/>
    </row>
    <row r="3" spans="1:8" x14ac:dyDescent="0.35">
      <c r="A3" t="s">
        <v>0</v>
      </c>
      <c r="B3" s="1">
        <f>18000000/26*22.5</f>
        <v>15576923.076923076</v>
      </c>
      <c r="C3" s="1">
        <f>18*10^6*10.5%</f>
        <v>1890000</v>
      </c>
      <c r="D3" s="1">
        <v>20000</v>
      </c>
      <c r="E3" s="1">
        <f>(B8-C3-11*10^6)*5%</f>
        <v>210067.30769230763</v>
      </c>
      <c r="F3" s="8">
        <f>B8-C3-D3-E3</f>
        <v>14971278.846153844</v>
      </c>
      <c r="G3" s="1"/>
    </row>
    <row r="4" spans="1:8" x14ac:dyDescent="0.35">
      <c r="A4" t="s">
        <v>48</v>
      </c>
      <c r="B4" s="1">
        <f>18*10^6/26*2</f>
        <v>1384615.3846153845</v>
      </c>
      <c r="E4" s="1"/>
      <c r="F4" s="1"/>
      <c r="G4" s="1"/>
    </row>
    <row r="5" spans="1:8" x14ac:dyDescent="0.35">
      <c r="A5" t="s">
        <v>32</v>
      </c>
      <c r="B5" s="1"/>
      <c r="E5" s="1"/>
      <c r="F5" s="1"/>
      <c r="G5" s="1"/>
    </row>
    <row r="6" spans="1:8" x14ac:dyDescent="0.35">
      <c r="A6" t="s">
        <v>9</v>
      </c>
      <c r="B6" s="1"/>
      <c r="E6" s="1"/>
      <c r="F6" s="1"/>
      <c r="G6" s="1"/>
    </row>
    <row r="7" spans="1:8" x14ac:dyDescent="0.35">
      <c r="A7" t="s">
        <v>10</v>
      </c>
      <c r="B7" s="1">
        <f>18*10^6/26/8*1.5</f>
        <v>129807.6923076923</v>
      </c>
      <c r="E7" s="1"/>
      <c r="F7" s="1"/>
      <c r="G7" s="1"/>
    </row>
    <row r="8" spans="1:8" x14ac:dyDescent="0.35">
      <c r="A8" t="s">
        <v>11</v>
      </c>
      <c r="B8" s="1">
        <f>SUM(B3:B7)</f>
        <v>17091346.153846152</v>
      </c>
      <c r="E8" s="1"/>
      <c r="F8" s="1"/>
      <c r="G8" s="1"/>
      <c r="H8" s="13"/>
    </row>
    <row r="9" spans="1:8" x14ac:dyDescent="0.35">
      <c r="A9" s="5"/>
      <c r="B9" s="10"/>
      <c r="C9" s="10"/>
      <c r="D9" s="10"/>
      <c r="E9" s="6"/>
      <c r="F9" s="10"/>
      <c r="H9" s="1"/>
    </row>
    <row r="10" spans="1:8" x14ac:dyDescent="0.35">
      <c r="A10" t="s">
        <v>49</v>
      </c>
      <c r="B10" s="1">
        <f>75%*18*10^6/26</f>
        <v>519230.76923076925</v>
      </c>
      <c r="C10" s="10"/>
      <c r="D10" s="10"/>
      <c r="E10" s="15">
        <v>45926</v>
      </c>
      <c r="F10" s="15">
        <v>45955</v>
      </c>
      <c r="H10" s="1"/>
    </row>
    <row r="11" spans="1:8" x14ac:dyDescent="0.35">
      <c r="B11" s="1"/>
      <c r="C11" s="10"/>
      <c r="D11" s="10"/>
      <c r="E11" s="11"/>
      <c r="F11" s="12"/>
      <c r="H11" s="1"/>
    </row>
    <row r="12" spans="1:8" x14ac:dyDescent="0.35">
      <c r="B12" s="1"/>
      <c r="C12" s="14"/>
      <c r="D12" s="10"/>
      <c r="E12">
        <f>NETWORKDAYS.INTL(E10, F10,11)</f>
        <v>26</v>
      </c>
      <c r="H12" s="1"/>
    </row>
    <row r="13" spans="1:8" x14ac:dyDescent="0.35">
      <c r="A13" s="15">
        <v>45927</v>
      </c>
      <c r="B13" s="10" t="s">
        <v>43</v>
      </c>
      <c r="C13" s="10"/>
      <c r="D13" s="10"/>
    </row>
    <row r="14" spans="1:8" x14ac:dyDescent="0.35">
      <c r="A14" s="15">
        <v>45933</v>
      </c>
      <c r="B14" s="10" t="s">
        <v>44</v>
      </c>
      <c r="C14" s="10"/>
      <c r="D14" s="10"/>
    </row>
    <row r="15" spans="1:8" x14ac:dyDescent="0.35">
      <c r="A15" s="15">
        <v>45934</v>
      </c>
      <c r="B15" s="10" t="s">
        <v>44</v>
      </c>
      <c r="C15" s="10"/>
      <c r="D15" s="10"/>
    </row>
    <row r="16" spans="1:8" s="10" customFormat="1" x14ac:dyDescent="0.35">
      <c r="A16" s="15">
        <v>45941</v>
      </c>
      <c r="B16" s="10" t="s">
        <v>45</v>
      </c>
    </row>
    <row r="17" spans="1:7" s="1" customFormat="1" x14ac:dyDescent="0.35">
      <c r="A17" s="15">
        <v>45947</v>
      </c>
      <c r="B17" s="1" t="s">
        <v>46</v>
      </c>
      <c r="E17" s="16"/>
      <c r="F17"/>
      <c r="G17"/>
    </row>
    <row r="18" spans="1:7" x14ac:dyDescent="0.35">
      <c r="B18" s="6"/>
    </row>
    <row r="19" spans="1:7" x14ac:dyDescent="0.35">
      <c r="A19" s="1"/>
      <c r="B19" s="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75B9-7F27-4402-912F-E1A45030E980}">
  <sheetPr codeName="Sheet13"/>
  <dimension ref="A1:H19"/>
  <sheetViews>
    <sheetView workbookViewId="0">
      <selection activeCell="A15" sqref="A15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50</v>
      </c>
      <c r="B2" s="1"/>
      <c r="E2" s="1"/>
      <c r="F2" s="1"/>
      <c r="G2" s="1"/>
    </row>
    <row r="3" spans="1:8" x14ac:dyDescent="0.35">
      <c r="A3" t="s">
        <v>0</v>
      </c>
      <c r="B3" s="1">
        <f>18000000/26*25</f>
        <v>17307692.307692308</v>
      </c>
      <c r="C3" s="1">
        <f>18*10^6*10.5%</f>
        <v>1890000</v>
      </c>
      <c r="D3" s="1">
        <v>20000</v>
      </c>
      <c r="E3" s="1">
        <f>(B8-C3-11*10^6)*10%-0.25*10^6</f>
        <v>273980.76923076925</v>
      </c>
      <c r="F3" s="8">
        <f>B8-C3-D3-E3</f>
        <v>15945826.923076922</v>
      </c>
      <c r="G3" s="1"/>
    </row>
    <row r="4" spans="1:8" x14ac:dyDescent="0.35">
      <c r="A4" t="s">
        <v>48</v>
      </c>
      <c r="B4" s="1">
        <f>18*10^6/26</f>
        <v>692307.69230769225</v>
      </c>
      <c r="E4" s="1"/>
      <c r="F4" s="1"/>
      <c r="G4" s="1"/>
    </row>
    <row r="5" spans="1:8" x14ac:dyDescent="0.35">
      <c r="A5" t="s">
        <v>32</v>
      </c>
      <c r="B5" s="1"/>
      <c r="E5" s="1"/>
      <c r="F5" s="1"/>
      <c r="G5" s="1"/>
    </row>
    <row r="6" spans="1:8" x14ac:dyDescent="0.35">
      <c r="A6" t="s">
        <v>9</v>
      </c>
      <c r="B6" s="1"/>
      <c r="E6" s="1"/>
      <c r="F6" s="1"/>
      <c r="G6" s="1"/>
    </row>
    <row r="7" spans="1:8" x14ac:dyDescent="0.35">
      <c r="A7" t="s">
        <v>10</v>
      </c>
      <c r="B7" s="1">
        <f>18*10^6/26/8*1.5</f>
        <v>129807.6923076923</v>
      </c>
      <c r="E7" s="1"/>
      <c r="F7" s="1"/>
      <c r="G7" s="1"/>
    </row>
    <row r="8" spans="1:8" x14ac:dyDescent="0.35">
      <c r="A8" t="s">
        <v>11</v>
      </c>
      <c r="B8" s="1">
        <f>SUM(B3:B7)</f>
        <v>18129807.692307692</v>
      </c>
      <c r="E8" s="1"/>
      <c r="F8" s="1"/>
      <c r="G8" s="1"/>
      <c r="H8" s="13"/>
    </row>
    <row r="9" spans="1:8" x14ac:dyDescent="0.35">
      <c r="A9" s="5"/>
      <c r="B9" s="10"/>
      <c r="C9" s="10"/>
      <c r="D9" s="10"/>
      <c r="E9" s="6"/>
      <c r="F9" s="10"/>
      <c r="H9" s="1"/>
    </row>
    <row r="10" spans="1:8" x14ac:dyDescent="0.35">
      <c r="B10" s="1"/>
      <c r="C10" s="10"/>
      <c r="D10" s="10"/>
      <c r="E10" s="15">
        <v>45926</v>
      </c>
      <c r="F10" s="15">
        <v>45955</v>
      </c>
      <c r="H10" s="1"/>
    </row>
    <row r="11" spans="1:8" x14ac:dyDescent="0.35">
      <c r="B11" s="1"/>
      <c r="C11" s="10"/>
      <c r="D11" s="10"/>
      <c r="E11" s="11"/>
      <c r="F11" s="12"/>
      <c r="H11" s="1"/>
    </row>
    <row r="12" spans="1:8" x14ac:dyDescent="0.35">
      <c r="B12" s="1"/>
      <c r="C12" s="14"/>
      <c r="D12" s="10"/>
      <c r="E12">
        <f>NETWORKDAYS.INTL(E10, F10,11)</f>
        <v>26</v>
      </c>
      <c r="H12" s="1"/>
    </row>
    <row r="13" spans="1:8" x14ac:dyDescent="0.35">
      <c r="A13" s="15"/>
      <c r="B13" s="10"/>
      <c r="C13" s="10"/>
      <c r="D13" s="10"/>
    </row>
    <row r="14" spans="1:8" x14ac:dyDescent="0.35">
      <c r="A14" s="15"/>
      <c r="B14" s="10"/>
      <c r="C14" s="10"/>
      <c r="D14" s="10"/>
    </row>
    <row r="15" spans="1:8" x14ac:dyDescent="0.35">
      <c r="A15" s="15"/>
      <c r="B15" s="10"/>
      <c r="C15" s="10"/>
      <c r="D15" s="10"/>
    </row>
    <row r="16" spans="1:8" s="10" customFormat="1" x14ac:dyDescent="0.35">
      <c r="A16" s="15"/>
    </row>
    <row r="17" spans="1:7" s="1" customFormat="1" x14ac:dyDescent="0.35">
      <c r="A17" s="15"/>
      <c r="E17" s="16"/>
      <c r="F17"/>
      <c r="G17"/>
    </row>
    <row r="18" spans="1:7" x14ac:dyDescent="0.35">
      <c r="B18" s="6"/>
    </row>
    <row r="19" spans="1:7" x14ac:dyDescent="0.35">
      <c r="A19" s="1"/>
      <c r="B19" s="6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6EE7-645D-4FC3-8ADF-9D4F9E0B6E9A}">
  <sheetPr codeName="Sheet15"/>
  <dimension ref="A1:J22"/>
  <sheetViews>
    <sheetView workbookViewId="0">
      <selection activeCell="D6" sqref="D6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1" style="1" customWidth="1"/>
    <col min="5" max="5" width="37" bestFit="1" customWidth="1"/>
    <col min="6" max="6" width="33.81640625" customWidth="1"/>
    <col min="7" max="8" width="12.08984375" customWidth="1"/>
    <col min="9" max="9" width="12.36328125" customWidth="1"/>
    <col min="10" max="10" width="12.7265625" bestFit="1" customWidth="1"/>
  </cols>
  <sheetData>
    <row r="1" spans="1:10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  <c r="I1" s="1"/>
    </row>
    <row r="2" spans="1:10" x14ac:dyDescent="0.35">
      <c r="A2" s="5" t="s">
        <v>55</v>
      </c>
      <c r="B2" s="1"/>
      <c r="E2" s="1"/>
      <c r="F2" s="1"/>
      <c r="G2" s="1" t="s">
        <v>53</v>
      </c>
      <c r="H2" s="1" t="s">
        <v>66</v>
      </c>
      <c r="I2" s="1"/>
    </row>
    <row r="3" spans="1:10" x14ac:dyDescent="0.35">
      <c r="A3" t="s">
        <v>0</v>
      </c>
      <c r="B3" s="1">
        <f>18000000/26*20</f>
        <v>13846153.846153844</v>
      </c>
      <c r="C3" s="1">
        <f>18*10^6*10.5%</f>
        <v>1890000</v>
      </c>
      <c r="D3" s="1">
        <v>20000</v>
      </c>
      <c r="E3" s="1">
        <f>(B8-C3-11*10^6-4.4*2*10^6)*15%-0.75*10^6</f>
        <v>-1907105.7692307695</v>
      </c>
      <c r="F3" s="3">
        <f>B8-C3-D3</f>
        <v>12065961.538461536</v>
      </c>
      <c r="G3" s="8">
        <f>F3+$E$19</f>
        <v>14878461.538461536</v>
      </c>
      <c r="H3" s="8">
        <f>G3+$B$9</f>
        <v>32878461.538461536</v>
      </c>
      <c r="I3" s="1" t="s">
        <v>52</v>
      </c>
    </row>
    <row r="4" spans="1:10" x14ac:dyDescent="0.35">
      <c r="A4" t="s">
        <v>48</v>
      </c>
      <c r="B4" s="1"/>
      <c r="E4" s="1"/>
      <c r="F4" s="1"/>
      <c r="G4" s="8"/>
      <c r="H4" s="8"/>
      <c r="I4" s="1"/>
    </row>
    <row r="5" spans="1:10" x14ac:dyDescent="0.35">
      <c r="A5" t="s">
        <v>32</v>
      </c>
      <c r="B5" s="1"/>
      <c r="E5" s="1"/>
      <c r="F5" s="1"/>
      <c r="G5" s="8"/>
      <c r="H5" s="8"/>
      <c r="I5" s="1"/>
    </row>
    <row r="6" spans="1:10" x14ac:dyDescent="0.35">
      <c r="A6" t="s">
        <v>9</v>
      </c>
      <c r="B6" s="1"/>
    </row>
    <row r="7" spans="1:10" x14ac:dyDescent="0.35">
      <c r="A7" t="s">
        <v>10</v>
      </c>
      <c r="B7" s="1">
        <f>18*10^6/26/8*1.5</f>
        <v>129807.6923076923</v>
      </c>
      <c r="E7" s="1"/>
      <c r="F7" s="1"/>
      <c r="G7" s="1"/>
      <c r="H7" s="1"/>
      <c r="I7" s="1"/>
    </row>
    <row r="8" spans="1:10" x14ac:dyDescent="0.35">
      <c r="A8" t="s">
        <v>11</v>
      </c>
      <c r="B8" s="1">
        <f>SUM(B3:B7)</f>
        <v>13975961.538461536</v>
      </c>
      <c r="E8" s="1"/>
      <c r="F8" s="1"/>
      <c r="G8" s="1"/>
      <c r="H8" s="1"/>
      <c r="I8" s="1"/>
      <c r="J8" s="13"/>
    </row>
    <row r="9" spans="1:10" s="41" customFormat="1" x14ac:dyDescent="0.35">
      <c r="A9" s="41" t="s">
        <v>15</v>
      </c>
      <c r="B9" s="12">
        <v>18000000</v>
      </c>
      <c r="C9" s="12" t="s">
        <v>132</v>
      </c>
      <c r="D9" s="12"/>
      <c r="E9" s="9"/>
      <c r="F9" s="12"/>
      <c r="G9" s="12"/>
      <c r="H9" s="12"/>
      <c r="J9" s="8"/>
    </row>
    <row r="10" spans="1:10" x14ac:dyDescent="0.35">
      <c r="B10" s="1"/>
      <c r="C10" s="10"/>
      <c r="D10" s="10"/>
      <c r="E10" s="15">
        <v>45926</v>
      </c>
      <c r="F10" s="15">
        <v>45955</v>
      </c>
      <c r="G10" s="15"/>
      <c r="H10" s="15"/>
      <c r="J10" s="1"/>
    </row>
    <row r="11" spans="1:10" x14ac:dyDescent="0.35">
      <c r="B11" s="1"/>
      <c r="C11" s="10"/>
      <c r="D11" s="10"/>
      <c r="E11" s="11"/>
      <c r="F11" s="12"/>
      <c r="G11" s="12"/>
      <c r="H11" s="12"/>
      <c r="J11" s="1"/>
    </row>
    <row r="12" spans="1:10" x14ac:dyDescent="0.35">
      <c r="B12" s="1"/>
      <c r="C12" s="14"/>
      <c r="D12" s="10"/>
      <c r="E12">
        <f>NETWORKDAYS.INTL(E10, F10,11)</f>
        <v>26</v>
      </c>
      <c r="J12" s="1"/>
    </row>
    <row r="13" spans="1:10" x14ac:dyDescent="0.35">
      <c r="A13" s="15"/>
      <c r="B13" s="10">
        <f>18*10^6*2</f>
        <v>36000000</v>
      </c>
      <c r="C13" s="10"/>
      <c r="D13" s="10"/>
    </row>
    <row r="14" spans="1:10" x14ac:dyDescent="0.35">
      <c r="A14" s="15"/>
      <c r="B14" s="10">
        <f>B13*90%</f>
        <v>32400000</v>
      </c>
      <c r="C14" s="10"/>
      <c r="D14" s="10"/>
      <c r="G14" s="1"/>
      <c r="H14" s="1"/>
    </row>
    <row r="15" spans="1:10" x14ac:dyDescent="0.35">
      <c r="A15" s="1">
        <f>18*10^6-B15</f>
        <v>3149230.7692307699</v>
      </c>
      <c r="B15" s="10">
        <f>18*10^6/26*24*89.5%-20000</f>
        <v>14850769.23076923</v>
      </c>
      <c r="C15" s="10"/>
      <c r="D15" s="10">
        <v>18000000</v>
      </c>
      <c r="E15" s="1">
        <f>18000000</f>
        <v>18000000</v>
      </c>
      <c r="F15" s="1"/>
      <c r="G15" s="1"/>
      <c r="H15" s="1"/>
      <c r="I15" s="1"/>
    </row>
    <row r="16" spans="1:10" s="10" customFormat="1" x14ac:dyDescent="0.35">
      <c r="A16" s="15"/>
      <c r="D16" s="10">
        <v>47500000</v>
      </c>
      <c r="E16" s="10">
        <f>E15/24</f>
        <v>750000</v>
      </c>
    </row>
    <row r="17" spans="1:6" s="1" customFormat="1" x14ac:dyDescent="0.35">
      <c r="A17" s="15"/>
      <c r="E17" s="1">
        <f>E16*75%</f>
        <v>562500</v>
      </c>
    </row>
    <row r="18" spans="1:6" x14ac:dyDescent="0.35">
      <c r="B18" s="6">
        <v>30711269</v>
      </c>
      <c r="E18" s="1"/>
      <c r="F18" s="1"/>
    </row>
    <row r="19" spans="1:6" x14ac:dyDescent="0.35">
      <c r="A19" s="1"/>
      <c r="B19" s="6"/>
      <c r="E19" s="17">
        <f>E17*5</f>
        <v>2812500</v>
      </c>
      <c r="F19" s="17"/>
    </row>
    <row r="20" spans="1:6" x14ac:dyDescent="0.35">
      <c r="E20" s="18">
        <v>34219808</v>
      </c>
    </row>
    <row r="21" spans="1:6" x14ac:dyDescent="0.35">
      <c r="B21" s="15"/>
      <c r="E21" s="18">
        <v>32878462</v>
      </c>
    </row>
    <row r="22" spans="1:6" x14ac:dyDescent="0.35">
      <c r="B22" s="15"/>
      <c r="E22" s="16">
        <f>E20-E21</f>
        <v>1341346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9987-2B3D-4D94-9A7E-1877933B6F28}">
  <sheetPr codeName="Sheet16"/>
  <dimension ref="A1:I24"/>
  <sheetViews>
    <sheetView zoomScale="110" zoomScaleNormal="110"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6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19440000/26*22</f>
        <v>16449230.76923077</v>
      </c>
      <c r="C3" s="1">
        <f>19.44*10^6*10.5%</f>
        <v>2041200</v>
      </c>
      <c r="D3" s="1">
        <v>20000</v>
      </c>
      <c r="E3" s="1">
        <f>(B10-C3-15.5*10^6-6.2*2*10^6)*10%-0.5*10^6</f>
        <v>1859591.5384615376</v>
      </c>
      <c r="F3" s="7">
        <f>B10-C3-D3-E3</f>
        <v>49616323.84615384</v>
      </c>
      <c r="G3" s="8"/>
      <c r="H3" s="1"/>
    </row>
    <row r="4" spans="1:9" x14ac:dyDescent="0.35">
      <c r="A4" t="s">
        <v>48</v>
      </c>
      <c r="B4" s="1"/>
      <c r="E4" s="1"/>
      <c r="F4" s="1"/>
      <c r="G4" s="8"/>
      <c r="H4" s="1"/>
    </row>
    <row r="5" spans="1:9" x14ac:dyDescent="0.35">
      <c r="A5" t="s">
        <v>19</v>
      </c>
      <c r="B5" s="1">
        <f>19440000/26</f>
        <v>747692.30769230775</v>
      </c>
      <c r="E5" s="1"/>
      <c r="F5" s="1"/>
      <c r="G5" s="8"/>
      <c r="H5" s="1"/>
    </row>
    <row r="6" spans="1:9" x14ac:dyDescent="0.35">
      <c r="A6" t="s">
        <v>32</v>
      </c>
      <c r="B6" s="1"/>
      <c r="E6" s="19"/>
      <c r="F6" s="1"/>
      <c r="G6" s="8"/>
      <c r="H6" s="1"/>
    </row>
    <row r="7" spans="1:9" x14ac:dyDescent="0.35">
      <c r="A7" t="s">
        <v>99</v>
      </c>
      <c r="B7" s="1">
        <f>18*2*10^6</f>
        <v>36000000</v>
      </c>
      <c r="E7" s="1"/>
      <c r="F7" s="1"/>
      <c r="G7" s="8"/>
      <c r="H7" s="1"/>
    </row>
    <row r="8" spans="1:9" x14ac:dyDescent="0.35">
      <c r="A8" t="s">
        <v>9</v>
      </c>
      <c r="B8" s="1">
        <v>200000</v>
      </c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53537115.384615377</v>
      </c>
      <c r="E10" s="1"/>
      <c r="F10" s="1"/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>
        <v>45955</v>
      </c>
      <c r="G12" s="15"/>
      <c r="I12" s="1"/>
    </row>
    <row r="13" spans="1:9" x14ac:dyDescent="0.35">
      <c r="B13" s="1">
        <f>B10-15.5*10^6-C3</f>
        <v>35995915.384615377</v>
      </c>
      <c r="C13" s="10"/>
      <c r="D13" s="10"/>
      <c r="E13" s="11"/>
      <c r="F13" s="12"/>
      <c r="G13" s="12"/>
      <c r="I13" s="1"/>
    </row>
    <row r="14" spans="1:9" x14ac:dyDescent="0.35">
      <c r="B14" s="1">
        <f>B13*20%-3.5*10^6</f>
        <v>3699183.0769230761</v>
      </c>
      <c r="C14" s="14"/>
      <c r="D14" s="10"/>
      <c r="G14" s="1"/>
      <c r="I14" s="1"/>
    </row>
    <row r="15" spans="1:9" x14ac:dyDescent="0.35">
      <c r="A15" s="15"/>
      <c r="B15" s="10">
        <f>B14-E3</f>
        <v>1839591.5384615385</v>
      </c>
      <c r="C15" s="10"/>
      <c r="D15" s="10"/>
      <c r="G15" s="1">
        <v>15475915.384615388</v>
      </c>
      <c r="H15" s="1">
        <v>1500000</v>
      </c>
      <c r="I15" t="s">
        <v>56</v>
      </c>
    </row>
    <row r="16" spans="1:9" x14ac:dyDescent="0.35">
      <c r="A16" s="15"/>
      <c r="B16" s="10"/>
      <c r="C16" s="10"/>
      <c r="D16" s="10"/>
      <c r="G16" s="1">
        <v>32400000</v>
      </c>
      <c r="H16" s="1">
        <v>3000000</v>
      </c>
      <c r="I16" s="1" t="s">
        <v>39</v>
      </c>
    </row>
    <row r="17" spans="1:9" x14ac:dyDescent="0.35">
      <c r="A17" s="1"/>
      <c r="B17" s="10"/>
      <c r="C17" s="10"/>
      <c r="D17" s="10"/>
      <c r="E17" s="1"/>
      <c r="F17" s="1"/>
      <c r="G17" s="1">
        <v>32878461.538461536</v>
      </c>
      <c r="H17" s="1">
        <v>500000</v>
      </c>
      <c r="I17" t="s">
        <v>64</v>
      </c>
    </row>
    <row r="18" spans="1:9" s="10" customFormat="1" x14ac:dyDescent="0.35">
      <c r="A18" s="15"/>
      <c r="F18" s="22" t="s">
        <v>67</v>
      </c>
      <c r="G18" s="10">
        <v>562500</v>
      </c>
      <c r="H18" s="1">
        <v>1000000</v>
      </c>
      <c r="I18" t="s">
        <v>65</v>
      </c>
    </row>
    <row r="19" spans="1:9" s="1" customFormat="1" x14ac:dyDescent="0.35">
      <c r="A19" s="15"/>
      <c r="G19" s="1">
        <v>2812500</v>
      </c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 t="s">
        <v>95</v>
      </c>
      <c r="G21" s="1"/>
    </row>
    <row r="22" spans="1:9" x14ac:dyDescent="0.35">
      <c r="E22" s="18"/>
      <c r="G22" s="6">
        <f>SUM(G15:G19)</f>
        <v>84129376.923076928</v>
      </c>
      <c r="H22" s="6">
        <f>SUM(H15:H18)</f>
        <v>6000000</v>
      </c>
      <c r="I22" s="6">
        <f>G22-H22</f>
        <v>78129376.923076928</v>
      </c>
    </row>
    <row r="23" spans="1:9" x14ac:dyDescent="0.35">
      <c r="B23" s="15"/>
      <c r="E23" s="18"/>
    </row>
    <row r="24" spans="1:9" x14ac:dyDescent="0.35">
      <c r="B24" s="15"/>
      <c r="E24" s="16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7F10-68C8-4859-A014-AC7C86F7CBFD}">
  <sheetPr codeName="Sheet17">
    <tabColor theme="5" tint="0.39997558519241921"/>
  </sheetPr>
  <dimension ref="A1:I24"/>
  <sheetViews>
    <sheetView zoomScale="110" zoomScaleNormal="110" workbookViewId="0">
      <selection activeCell="C12" sqref="C12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120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19440000/26*17</f>
        <v>12710769.230769232</v>
      </c>
      <c r="C3" s="1">
        <f>19.44*10^6*10.5%</f>
        <v>2041200</v>
      </c>
      <c r="D3" s="1">
        <v>20000</v>
      </c>
      <c r="E3" s="1">
        <f>(B10-C3-15.5*10^6-6.2*2*10^6)*5%</f>
        <v>486565</v>
      </c>
      <c r="F3" s="7">
        <f>B10-C3-D3-E3</f>
        <v>37124735</v>
      </c>
      <c r="G3" s="8"/>
      <c r="H3" s="1"/>
    </row>
    <row r="4" spans="1:9" x14ac:dyDescent="0.35">
      <c r="A4" t="s">
        <v>48</v>
      </c>
      <c r="B4" s="1">
        <f>19440000/26*3</f>
        <v>2243076.923076923</v>
      </c>
      <c r="E4" s="1"/>
      <c r="G4" s="8"/>
      <c r="H4" s="1"/>
    </row>
    <row r="5" spans="1:9" x14ac:dyDescent="0.35">
      <c r="A5" t="s">
        <v>19</v>
      </c>
      <c r="B5" s="1">
        <f>19440000/26*5</f>
        <v>3738461.538461539</v>
      </c>
      <c r="E5" s="1"/>
      <c r="F5" s="1"/>
      <c r="G5" s="8"/>
      <c r="H5" s="1"/>
    </row>
    <row r="6" spans="1:9" x14ac:dyDescent="0.35">
      <c r="A6" t="s">
        <v>118</v>
      </c>
      <c r="B6" s="1">
        <v>20340000</v>
      </c>
      <c r="E6" s="19"/>
      <c r="F6" s="1"/>
      <c r="G6" s="8"/>
      <c r="H6" s="1"/>
    </row>
    <row r="7" spans="1:9" x14ac:dyDescent="0.35">
      <c r="A7" t="s">
        <v>99</v>
      </c>
      <c r="B7" s="1"/>
      <c r="E7" s="1"/>
      <c r="F7" s="1"/>
      <c r="G7" s="8"/>
      <c r="H7" s="1"/>
    </row>
    <row r="8" spans="1:9" x14ac:dyDescent="0.35">
      <c r="A8" t="s">
        <v>9</v>
      </c>
      <c r="B8" s="1">
        <v>500000</v>
      </c>
      <c r="C8" s="1" t="s">
        <v>117</v>
      </c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39672500</v>
      </c>
      <c r="E10" s="38" t="s">
        <v>119</v>
      </c>
      <c r="F10" s="38">
        <f>F3-B6-B8</f>
        <v>16284735</v>
      </c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/>
      <c r="G12" s="15"/>
      <c r="I12" s="1"/>
    </row>
    <row r="13" spans="1:9" x14ac:dyDescent="0.35">
      <c r="B13" s="1"/>
      <c r="C13" s="10"/>
      <c r="D13" s="10"/>
      <c r="E13" s="11"/>
      <c r="F13" s="12"/>
      <c r="G13" s="12"/>
      <c r="I13" s="1"/>
    </row>
    <row r="14" spans="1:9" x14ac:dyDescent="0.35">
      <c r="B14" s="1"/>
      <c r="C14" s="14"/>
      <c r="D14" s="10"/>
      <c r="G14" s="1"/>
      <c r="I14" s="1"/>
    </row>
    <row r="15" spans="1:9" x14ac:dyDescent="0.35">
      <c r="A15" s="15"/>
      <c r="B15" s="10"/>
      <c r="C15" s="10"/>
      <c r="D15" s="10"/>
      <c r="G15" s="1"/>
      <c r="H15" s="1"/>
    </row>
    <row r="16" spans="1:9" x14ac:dyDescent="0.35">
      <c r="A16" s="15"/>
      <c r="B16" s="10"/>
      <c r="C16" s="10"/>
      <c r="D16" s="10"/>
      <c r="G16" s="1"/>
      <c r="H16" s="1"/>
      <c r="I16" s="1"/>
    </row>
    <row r="17" spans="1:9" x14ac:dyDescent="0.35">
      <c r="A17" s="1"/>
      <c r="B17" s="10"/>
      <c r="C17" s="10"/>
      <c r="D17" s="10"/>
      <c r="E17" s="1"/>
      <c r="F17" s="1"/>
      <c r="G17" s="1"/>
      <c r="H17" s="1"/>
    </row>
    <row r="18" spans="1:9" s="10" customFormat="1" x14ac:dyDescent="0.35">
      <c r="A18" s="15"/>
      <c r="F18" s="22"/>
      <c r="H18" s="1"/>
      <c r="I18"/>
    </row>
    <row r="19" spans="1:9" s="1" customFormat="1" x14ac:dyDescent="0.35">
      <c r="A19" s="15"/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/>
      <c r="G21" s="1"/>
    </row>
    <row r="22" spans="1:9" x14ac:dyDescent="0.35">
      <c r="E22" s="18"/>
      <c r="G22" s="6"/>
      <c r="H22" s="6"/>
      <c r="I22" s="6"/>
    </row>
    <row r="23" spans="1:9" x14ac:dyDescent="0.35">
      <c r="B23" s="15"/>
      <c r="E23" s="18"/>
    </row>
    <row r="24" spans="1:9" x14ac:dyDescent="0.35">
      <c r="B24" s="15"/>
      <c r="E24" s="16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DC8A-0BC6-45D4-8BF5-A3F4145ED9DD}">
  <sheetPr codeName="Sheet18"/>
  <dimension ref="A1:I24"/>
  <sheetViews>
    <sheetView zoomScale="110" zoomScaleNormal="110" workbookViewId="0">
      <selection activeCell="F3" sqref="F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130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19440000/26*21</f>
        <v>15701538.461538462</v>
      </c>
      <c r="C3" s="1">
        <f>19.44*10^6*10.5%</f>
        <v>2041200</v>
      </c>
      <c r="D3" s="1">
        <v>20000</v>
      </c>
      <c r="E3" s="1">
        <f>MAX(0,(B10-C3-15.5*10^6-6.2*2*10^6)*5%)</f>
        <v>0</v>
      </c>
      <c r="F3" s="7">
        <f>B10-C3-D3-E3</f>
        <v>14528223.076923078</v>
      </c>
      <c r="G3" s="8"/>
      <c r="H3" s="1"/>
    </row>
    <row r="4" spans="1:9" x14ac:dyDescent="0.35">
      <c r="A4" t="s">
        <v>48</v>
      </c>
      <c r="B4" s="1">
        <f>19440000/26*1</f>
        <v>747692.30769230775</v>
      </c>
      <c r="E4" s="1"/>
      <c r="G4" s="8"/>
      <c r="H4" s="1"/>
    </row>
    <row r="5" spans="1:9" x14ac:dyDescent="0.35">
      <c r="A5" t="s">
        <v>19</v>
      </c>
      <c r="B5" s="1">
        <v>0</v>
      </c>
      <c r="E5" s="1"/>
      <c r="F5" s="1"/>
      <c r="G5" s="8"/>
      <c r="H5" s="1"/>
    </row>
    <row r="6" spans="1:9" x14ac:dyDescent="0.35">
      <c r="A6" t="s">
        <v>118</v>
      </c>
      <c r="B6" s="1">
        <v>0</v>
      </c>
      <c r="E6" s="19"/>
      <c r="F6" s="1"/>
      <c r="G6" s="8"/>
      <c r="H6" s="1"/>
    </row>
    <row r="7" spans="1:9" x14ac:dyDescent="0.35">
      <c r="A7" t="s">
        <v>99</v>
      </c>
      <c r="B7" s="1"/>
      <c r="E7" s="1"/>
      <c r="F7" s="1"/>
      <c r="G7" s="8"/>
      <c r="H7" s="1"/>
    </row>
    <row r="8" spans="1:9" x14ac:dyDescent="0.35">
      <c r="A8" t="s">
        <v>9</v>
      </c>
      <c r="B8" s="1">
        <v>0</v>
      </c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16589423.076923078</v>
      </c>
      <c r="E10" s="38"/>
      <c r="F10" s="38"/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/>
      <c r="G12" s="15"/>
      <c r="I12" s="1"/>
    </row>
    <row r="13" spans="1:9" x14ac:dyDescent="0.35">
      <c r="B13" s="1"/>
      <c r="C13" s="10"/>
      <c r="D13" s="10"/>
      <c r="E13" s="11"/>
      <c r="F13" s="12"/>
      <c r="G13" s="12"/>
      <c r="I13" s="1"/>
    </row>
    <row r="14" spans="1:9" x14ac:dyDescent="0.35">
      <c r="B14" s="1"/>
      <c r="C14" s="14"/>
      <c r="D14" s="10"/>
      <c r="G14" s="1"/>
      <c r="I14" s="1"/>
    </row>
    <row r="15" spans="1:9" x14ac:dyDescent="0.35">
      <c r="A15" s="15"/>
      <c r="B15" s="10"/>
      <c r="C15" s="10"/>
      <c r="D15" s="10"/>
      <c r="G15" s="1"/>
      <c r="H15" s="1"/>
    </row>
    <row r="16" spans="1:9" x14ac:dyDescent="0.35">
      <c r="A16" s="15"/>
      <c r="B16" s="10"/>
      <c r="C16" s="10"/>
      <c r="D16" s="10"/>
      <c r="G16" s="1"/>
      <c r="H16" s="1"/>
      <c r="I16" s="1"/>
    </row>
    <row r="17" spans="1:9" x14ac:dyDescent="0.35">
      <c r="A17" s="1"/>
      <c r="B17" s="10"/>
      <c r="C17" s="10"/>
      <c r="D17" s="10"/>
      <c r="E17" s="1"/>
      <c r="F17" s="1"/>
      <c r="G17" s="1"/>
      <c r="H17" s="1"/>
    </row>
    <row r="18" spans="1:9" s="10" customFormat="1" x14ac:dyDescent="0.35">
      <c r="A18" s="15"/>
      <c r="F18" s="22"/>
      <c r="H18" s="1"/>
      <c r="I18"/>
    </row>
    <row r="19" spans="1:9" s="1" customFormat="1" x14ac:dyDescent="0.35">
      <c r="A19" s="15"/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/>
      <c r="G21" s="1"/>
    </row>
    <row r="22" spans="1:9" x14ac:dyDescent="0.35">
      <c r="E22" s="18"/>
      <c r="G22" s="6"/>
      <c r="H22" s="6"/>
      <c r="I22" s="6"/>
    </row>
    <row r="23" spans="1:9" x14ac:dyDescent="0.35">
      <c r="B23" s="15"/>
      <c r="E23" s="18"/>
    </row>
    <row r="24" spans="1:9" x14ac:dyDescent="0.35">
      <c r="B24" s="15"/>
      <c r="E24" s="16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534F-BE48-479D-9EBD-A8C08D823C69}">
  <dimension ref="A1:I24"/>
  <sheetViews>
    <sheetView zoomScale="110" zoomScaleNormal="110" workbookViewId="0">
      <selection activeCell="F6" sqref="F6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138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19440000/26*26</f>
        <v>19440000</v>
      </c>
      <c r="C3" s="1">
        <f>19.44*10^6*10.5%</f>
        <v>2041200</v>
      </c>
      <c r="D3" s="1">
        <v>20000</v>
      </c>
      <c r="E3" s="1">
        <f>MAX(0,(B10-C3-15.5*10^6-6.2*2*10^6)*5%)</f>
        <v>0</v>
      </c>
      <c r="F3" s="7">
        <f>B10-C3-D3-E3</f>
        <v>17518992.307692308</v>
      </c>
      <c r="G3" s="8"/>
      <c r="H3" s="1"/>
    </row>
    <row r="4" spans="1:9" x14ac:dyDescent="0.35">
      <c r="A4" t="s">
        <v>48</v>
      </c>
      <c r="B4" s="1"/>
      <c r="E4" s="1"/>
      <c r="G4" s="8"/>
      <c r="H4" s="1"/>
    </row>
    <row r="5" spans="1:9" x14ac:dyDescent="0.35">
      <c r="A5" t="s">
        <v>19</v>
      </c>
      <c r="B5" s="1">
        <v>0</v>
      </c>
      <c r="E5" s="1"/>
      <c r="F5" s="1">
        <v>18258253</v>
      </c>
      <c r="G5" s="8"/>
      <c r="H5" s="1"/>
    </row>
    <row r="6" spans="1:9" x14ac:dyDescent="0.35">
      <c r="A6" t="s">
        <v>118</v>
      </c>
      <c r="B6" s="1">
        <v>0</v>
      </c>
      <c r="E6" s="19"/>
      <c r="F6" s="1">
        <f>F5-F3</f>
        <v>739260.69230769202</v>
      </c>
      <c r="G6" s="8"/>
      <c r="H6" s="1"/>
    </row>
    <row r="7" spans="1:9" x14ac:dyDescent="0.35">
      <c r="A7" t="s">
        <v>99</v>
      </c>
      <c r="B7" s="1"/>
      <c r="E7" s="1"/>
      <c r="F7" s="1"/>
      <c r="G7" s="8"/>
      <c r="H7" s="1"/>
    </row>
    <row r="8" spans="1:9" x14ac:dyDescent="0.35">
      <c r="A8" t="s">
        <v>9</v>
      </c>
      <c r="B8" s="1"/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19580192.307692308</v>
      </c>
      <c r="E10" s="38"/>
      <c r="F10" s="38"/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/>
      <c r="G12" s="15"/>
      <c r="I12" s="1"/>
    </row>
    <row r="13" spans="1:9" x14ac:dyDescent="0.35">
      <c r="B13" s="1"/>
      <c r="C13" s="10"/>
      <c r="D13" s="10"/>
      <c r="E13" s="11"/>
      <c r="F13" s="12"/>
      <c r="G13" s="12"/>
      <c r="I13" s="1"/>
    </row>
    <row r="14" spans="1:9" x14ac:dyDescent="0.35">
      <c r="B14" s="1"/>
      <c r="C14" s="14"/>
      <c r="D14" s="10"/>
      <c r="G14" s="1"/>
      <c r="I14" s="1"/>
    </row>
    <row r="15" spans="1:9" x14ac:dyDescent="0.35">
      <c r="A15" s="15"/>
      <c r="B15" s="10"/>
      <c r="C15" s="10"/>
      <c r="D15" s="10"/>
      <c r="G15" s="1"/>
      <c r="H15" s="1"/>
    </row>
    <row r="16" spans="1:9" x14ac:dyDescent="0.35">
      <c r="A16" s="15"/>
      <c r="B16" s="10"/>
      <c r="C16" s="10"/>
      <c r="D16" s="10"/>
      <c r="G16" s="1"/>
      <c r="H16" s="1"/>
      <c r="I16" s="1"/>
    </row>
    <row r="17" spans="1:9" x14ac:dyDescent="0.35">
      <c r="A17" s="1"/>
      <c r="B17" s="10"/>
      <c r="C17" s="10"/>
      <c r="D17" s="10"/>
      <c r="E17" s="1"/>
      <c r="F17" s="1"/>
      <c r="G17" s="1"/>
      <c r="H17" s="1"/>
    </row>
    <row r="18" spans="1:9" s="10" customFormat="1" x14ac:dyDescent="0.35">
      <c r="A18" s="15"/>
      <c r="F18" s="22"/>
      <c r="H18" s="1"/>
      <c r="I18"/>
    </row>
    <row r="19" spans="1:9" s="1" customFormat="1" x14ac:dyDescent="0.35">
      <c r="A19" s="15"/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/>
      <c r="G21" s="1"/>
    </row>
    <row r="22" spans="1:9" x14ac:dyDescent="0.35">
      <c r="E22" s="18"/>
      <c r="G22" s="6"/>
      <c r="H22" s="6"/>
      <c r="I22" s="6"/>
    </row>
    <row r="23" spans="1:9" x14ac:dyDescent="0.35">
      <c r="B23" s="15"/>
      <c r="E23" s="18"/>
    </row>
    <row r="24" spans="1:9" x14ac:dyDescent="0.35">
      <c r="B24" s="15"/>
      <c r="E24" s="16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F95D-FBF6-4CD3-98E1-BF1C29B2F675}">
  <dimension ref="A1:I38"/>
  <sheetViews>
    <sheetView zoomScale="130" zoomScaleNormal="130" workbookViewId="0">
      <selection activeCell="B6" sqref="B6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4.2695312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6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19440000/26*19</f>
        <v>14206153.846153848</v>
      </c>
      <c r="C3" s="1">
        <f>19.44*10^6*10.5%</f>
        <v>2041200</v>
      </c>
      <c r="D3" s="1">
        <v>20000</v>
      </c>
      <c r="E3" s="1">
        <f>MAX(0,(B10-C3-15.5*10^6-6.2*2*10^6)*5%)</f>
        <v>0</v>
      </c>
      <c r="F3" s="7">
        <f>B10-C3-D3-E3</f>
        <v>16623607.692307696</v>
      </c>
      <c r="G3" s="8"/>
      <c r="H3" s="1"/>
    </row>
    <row r="4" spans="1:9" x14ac:dyDescent="0.35">
      <c r="A4" t="s">
        <v>48</v>
      </c>
      <c r="B4" s="1">
        <f>19440000/26*2</f>
        <v>1495384.6153846155</v>
      </c>
      <c r="E4" s="1"/>
      <c r="G4" s="8"/>
      <c r="H4" s="1"/>
    </row>
    <row r="5" spans="1:9" x14ac:dyDescent="0.35">
      <c r="A5" t="s">
        <v>19</v>
      </c>
      <c r="B5" s="1">
        <f>19440000/26*3</f>
        <v>2243076.923076923</v>
      </c>
      <c r="E5" s="1"/>
      <c r="F5" s="1">
        <v>18258253</v>
      </c>
      <c r="G5" s="8"/>
      <c r="H5" s="1"/>
    </row>
    <row r="6" spans="1:9" x14ac:dyDescent="0.35">
      <c r="A6" t="s">
        <v>32</v>
      </c>
      <c r="B6" s="1">
        <v>400000</v>
      </c>
      <c r="E6" s="19"/>
      <c r="F6" s="1">
        <f>F5-F3</f>
        <v>1634645.3076923043</v>
      </c>
      <c r="G6" s="8"/>
      <c r="H6" s="1"/>
    </row>
    <row r="7" spans="1:9" x14ac:dyDescent="0.35">
      <c r="A7" t="s">
        <v>99</v>
      </c>
      <c r="B7" s="1">
        <v>200000</v>
      </c>
      <c r="E7" s="1"/>
      <c r="F7" s="1"/>
      <c r="G7" s="8"/>
      <c r="H7" s="1"/>
    </row>
    <row r="8" spans="1:9" x14ac:dyDescent="0.35">
      <c r="A8" t="s">
        <v>9</v>
      </c>
      <c r="B8" s="1"/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18684807.692307696</v>
      </c>
      <c r="E10" s="38"/>
      <c r="F10" s="38"/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/>
      <c r="G12" s="15"/>
      <c r="I12" s="1"/>
    </row>
    <row r="13" spans="1:9" x14ac:dyDescent="0.35">
      <c r="B13" s="1"/>
      <c r="C13" s="10"/>
      <c r="D13" s="10"/>
      <c r="E13" s="11"/>
      <c r="F13" s="12"/>
      <c r="G13" s="12"/>
      <c r="I13" s="1"/>
    </row>
    <row r="14" spans="1:9" x14ac:dyDescent="0.35">
      <c r="B14" s="1"/>
      <c r="C14" s="14"/>
      <c r="D14" s="10"/>
      <c r="G14" s="1"/>
      <c r="I14" s="1"/>
    </row>
    <row r="15" spans="1:9" x14ac:dyDescent="0.35">
      <c r="A15" s="15"/>
      <c r="B15" s="10"/>
      <c r="C15" s="10"/>
      <c r="D15" s="10"/>
      <c r="G15" s="1"/>
      <c r="H15" s="1"/>
    </row>
    <row r="16" spans="1:9" x14ac:dyDescent="0.35">
      <c r="A16" s="15"/>
      <c r="B16" s="10"/>
      <c r="C16" s="10"/>
      <c r="D16" s="10"/>
      <c r="G16" s="1"/>
      <c r="H16" s="1"/>
      <c r="I16" s="1"/>
    </row>
    <row r="17" spans="1:9" x14ac:dyDescent="0.35">
      <c r="A17" s="1"/>
      <c r="B17" s="10"/>
      <c r="C17" s="10"/>
      <c r="D17" s="10"/>
      <c r="E17" s="1"/>
      <c r="F17" s="1"/>
      <c r="G17" s="1"/>
      <c r="H17" s="1"/>
    </row>
    <row r="18" spans="1:9" s="10" customFormat="1" x14ac:dyDescent="0.35">
      <c r="A18" s="15"/>
      <c r="F18" s="22"/>
      <c r="H18" s="1"/>
      <c r="I18"/>
    </row>
    <row r="19" spans="1:9" s="1" customFormat="1" x14ac:dyDescent="0.35">
      <c r="A19" s="15"/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/>
      <c r="G21" s="1"/>
    </row>
    <row r="22" spans="1:9" x14ac:dyDescent="0.35">
      <c r="E22" s="18"/>
      <c r="G22" s="6"/>
      <c r="H22" s="6"/>
      <c r="I22" s="6"/>
    </row>
    <row r="23" spans="1:9" x14ac:dyDescent="0.35">
      <c r="B23" s="15"/>
      <c r="E23" s="18"/>
    </row>
    <row r="24" spans="1:9" x14ac:dyDescent="0.35">
      <c r="B24" s="15"/>
      <c r="E24" s="16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6172-3527-4366-9525-8895E83E3F88}">
  <dimension ref="A1:I38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4.26953125" style="1" bestFit="1" customWidth="1"/>
    <col min="4" max="4" width="11" style="1" customWidth="1"/>
    <col min="5" max="5" width="37" bestFit="1" customWidth="1"/>
    <col min="6" max="6" width="33.81640625" customWidth="1"/>
    <col min="7" max="7" width="12.08984375" customWidth="1"/>
    <col min="8" max="8" width="12.36328125" customWidth="1"/>
    <col min="9" max="9" width="12.7265625" bestFit="1" customWidth="1"/>
  </cols>
  <sheetData>
    <row r="1" spans="1:9" x14ac:dyDescent="0.35">
      <c r="A1" s="1">
        <v>19440000</v>
      </c>
      <c r="B1" s="1"/>
      <c r="C1" s="1" t="s">
        <v>3</v>
      </c>
      <c r="D1" s="1" t="s">
        <v>4</v>
      </c>
      <c r="E1" s="1" t="s">
        <v>54</v>
      </c>
      <c r="F1" s="1" t="s">
        <v>13</v>
      </c>
      <c r="G1" s="1"/>
      <c r="H1" s="1"/>
    </row>
    <row r="2" spans="1:9" x14ac:dyDescent="0.35">
      <c r="A2" s="5" t="s">
        <v>6</v>
      </c>
      <c r="B2" s="1"/>
      <c r="E2" s="1"/>
      <c r="F2" s="1"/>
      <c r="G2" s="1"/>
      <c r="H2" s="1"/>
    </row>
    <row r="3" spans="1:9" x14ac:dyDescent="0.35">
      <c r="A3" t="s">
        <v>0</v>
      </c>
      <c r="B3" s="1">
        <f>$A$1/26*26</f>
        <v>19440000</v>
      </c>
      <c r="C3" s="1">
        <f>$A$1*10.5%</f>
        <v>2041200</v>
      </c>
      <c r="E3" s="1">
        <f>MAX(0,(B10-C3-15.5*10^6-6.2*2*10^6)*5%)</f>
        <v>0</v>
      </c>
      <c r="F3" s="7">
        <f>B10-C3-D3-E3</f>
        <v>17538992.307692308</v>
      </c>
      <c r="G3" s="8"/>
      <c r="H3" s="1"/>
    </row>
    <row r="4" spans="1:9" x14ac:dyDescent="0.35">
      <c r="A4" t="s">
        <v>48</v>
      </c>
      <c r="B4" s="1"/>
      <c r="E4" s="1"/>
      <c r="G4" s="8"/>
      <c r="H4" s="1"/>
    </row>
    <row r="5" spans="1:9" x14ac:dyDescent="0.35">
      <c r="A5" t="s">
        <v>19</v>
      </c>
      <c r="B5" s="1"/>
      <c r="E5" s="1"/>
      <c r="F5" s="1">
        <v>18258253</v>
      </c>
      <c r="G5" s="8"/>
      <c r="H5" s="1"/>
    </row>
    <row r="6" spans="1:9" x14ac:dyDescent="0.35">
      <c r="A6" t="s">
        <v>32</v>
      </c>
      <c r="B6" s="1"/>
      <c r="E6" s="19"/>
      <c r="F6" s="1">
        <f>F5-F3</f>
        <v>719260.69230769202</v>
      </c>
      <c r="G6" s="8"/>
      <c r="H6" s="1"/>
    </row>
    <row r="7" spans="1:9" x14ac:dyDescent="0.35">
      <c r="A7" t="s">
        <v>99</v>
      </c>
      <c r="B7" s="1"/>
      <c r="E7" s="1"/>
      <c r="F7" s="1"/>
      <c r="G7" s="8"/>
      <c r="H7" s="1"/>
    </row>
    <row r="8" spans="1:9" x14ac:dyDescent="0.35">
      <c r="A8" t="s">
        <v>9</v>
      </c>
      <c r="B8" s="1"/>
    </row>
    <row r="9" spans="1:9" x14ac:dyDescent="0.35">
      <c r="A9" t="s">
        <v>10</v>
      </c>
      <c r="B9" s="1">
        <f>19.44*10^6/26/8*1.5</f>
        <v>140192.30769230769</v>
      </c>
      <c r="E9" s="1"/>
      <c r="F9" s="1"/>
      <c r="G9" s="1"/>
      <c r="H9" s="1"/>
    </row>
    <row r="10" spans="1:9" x14ac:dyDescent="0.35">
      <c r="A10" t="s">
        <v>11</v>
      </c>
      <c r="B10" s="1">
        <f>SUM(B3:B9)</f>
        <v>19580192.307692308</v>
      </c>
      <c r="E10" s="38"/>
      <c r="F10" s="38"/>
      <c r="G10" s="1"/>
      <c r="H10" s="1"/>
      <c r="I10" s="13"/>
    </row>
    <row r="11" spans="1:9" x14ac:dyDescent="0.35">
      <c r="A11" s="5"/>
      <c r="B11" s="10"/>
      <c r="C11" s="10"/>
      <c r="D11" s="10"/>
      <c r="E11" s="6"/>
      <c r="F11" s="10"/>
      <c r="G11" s="10"/>
      <c r="I11" s="1"/>
    </row>
    <row r="12" spans="1:9" x14ac:dyDescent="0.35">
      <c r="B12" s="1"/>
      <c r="C12" s="10"/>
      <c r="D12" s="10"/>
      <c r="E12" s="15"/>
      <c r="F12" s="15"/>
      <c r="G12" s="15"/>
      <c r="I12" s="1"/>
    </row>
    <row r="13" spans="1:9" x14ac:dyDescent="0.35">
      <c r="B13" s="1"/>
      <c r="C13" s="10"/>
      <c r="D13" s="10"/>
      <c r="E13" s="11"/>
      <c r="F13" s="12"/>
      <c r="G13" s="12"/>
      <c r="I13" s="1"/>
    </row>
    <row r="14" spans="1:9" x14ac:dyDescent="0.35">
      <c r="B14" s="1"/>
      <c r="C14" s="14"/>
      <c r="D14" s="10"/>
      <c r="G14" s="1"/>
      <c r="I14" s="1"/>
    </row>
    <row r="15" spans="1:9" x14ac:dyDescent="0.35">
      <c r="A15" s="15"/>
      <c r="B15" s="10"/>
      <c r="C15" s="10"/>
      <c r="D15" s="10"/>
      <c r="G15" s="1"/>
      <c r="H15" s="1"/>
    </row>
    <row r="16" spans="1:9" x14ac:dyDescent="0.35">
      <c r="A16" s="15"/>
      <c r="B16" s="10"/>
      <c r="C16" s="10"/>
      <c r="D16" s="10"/>
      <c r="G16" s="1"/>
      <c r="H16" s="1"/>
      <c r="I16" s="1"/>
    </row>
    <row r="17" spans="1:9" x14ac:dyDescent="0.35">
      <c r="A17" s="1"/>
      <c r="B17" s="10"/>
      <c r="C17" s="10"/>
      <c r="D17" s="10"/>
      <c r="E17" s="1"/>
      <c r="F17" s="1"/>
      <c r="G17" s="1"/>
      <c r="H17" s="1"/>
    </row>
    <row r="18" spans="1:9" s="10" customFormat="1" x14ac:dyDescent="0.35">
      <c r="A18" s="15"/>
      <c r="F18" s="22"/>
      <c r="H18" s="1"/>
      <c r="I18"/>
    </row>
    <row r="19" spans="1:9" s="1" customFormat="1" x14ac:dyDescent="0.35">
      <c r="A19" s="15"/>
    </row>
    <row r="20" spans="1:9" x14ac:dyDescent="0.35">
      <c r="B20" s="6"/>
      <c r="E20" s="1"/>
      <c r="F20" s="1"/>
      <c r="G20" s="1"/>
    </row>
    <row r="21" spans="1:9" x14ac:dyDescent="0.35">
      <c r="A21" s="1"/>
      <c r="B21" s="6"/>
      <c r="E21" s="17"/>
      <c r="F21" s="20"/>
      <c r="G21" s="1"/>
    </row>
    <row r="22" spans="1:9" x14ac:dyDescent="0.35">
      <c r="E22" s="18"/>
      <c r="G22" s="6"/>
      <c r="H22" s="6"/>
      <c r="I22" s="6"/>
    </row>
    <row r="23" spans="1:9" x14ac:dyDescent="0.35">
      <c r="B23" s="15"/>
      <c r="E23" s="18"/>
    </row>
    <row r="24" spans="1:9" x14ac:dyDescent="0.35">
      <c r="B24" s="15"/>
      <c r="E24" s="16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8E50-33A9-4473-8010-A24574632886}">
  <sheetPr codeName="Sheet19"/>
  <dimension ref="C5:I24"/>
  <sheetViews>
    <sheetView showGridLines="0" topLeftCell="A4" workbookViewId="0">
      <selection activeCell="F10" sqref="F10:F13"/>
    </sheetView>
  </sheetViews>
  <sheetFormatPr defaultRowHeight="14.5" x14ac:dyDescent="0.35"/>
  <cols>
    <col min="3" max="3" width="16.26953125" bestFit="1" customWidth="1"/>
    <col min="4" max="4" width="12.7265625" style="1" bestFit="1" customWidth="1"/>
    <col min="5" max="5" width="15.08984375" bestFit="1" customWidth="1"/>
    <col min="8" max="8" width="13.81640625" bestFit="1" customWidth="1"/>
    <col min="9" max="9" width="12.7265625" bestFit="1" customWidth="1"/>
  </cols>
  <sheetData>
    <row r="5" spans="3:6" x14ac:dyDescent="0.35">
      <c r="C5" t="s">
        <v>64</v>
      </c>
      <c r="D5" s="1">
        <v>10500000</v>
      </c>
      <c r="F5" t="s">
        <v>136</v>
      </c>
    </row>
    <row r="6" spans="3:6" x14ac:dyDescent="0.35">
      <c r="C6" t="s">
        <v>39</v>
      </c>
      <c r="D6" s="1">
        <v>500000</v>
      </c>
      <c r="F6" t="s">
        <v>136</v>
      </c>
    </row>
    <row r="7" spans="3:6" x14ac:dyDescent="0.35">
      <c r="C7" t="s">
        <v>76</v>
      </c>
      <c r="D7" s="1">
        <v>1000000</v>
      </c>
      <c r="E7" t="s">
        <v>121</v>
      </c>
      <c r="F7" t="s">
        <v>136</v>
      </c>
    </row>
    <row r="8" spans="3:6" x14ac:dyDescent="0.35">
      <c r="C8" t="s">
        <v>76</v>
      </c>
      <c r="D8" s="1">
        <v>200000</v>
      </c>
      <c r="E8" t="s">
        <v>122</v>
      </c>
    </row>
    <row r="9" spans="3:6" x14ac:dyDescent="0.35">
      <c r="C9" t="s">
        <v>76</v>
      </c>
      <c r="D9" s="1">
        <v>100000</v>
      </c>
      <c r="E9" t="s">
        <v>123</v>
      </c>
    </row>
    <row r="10" spans="3:6" x14ac:dyDescent="0.35">
      <c r="C10" t="s">
        <v>76</v>
      </c>
      <c r="D10" s="1">
        <v>1800000</v>
      </c>
      <c r="E10" t="s">
        <v>129</v>
      </c>
      <c r="F10" t="s">
        <v>136</v>
      </c>
    </row>
    <row r="11" spans="3:6" x14ac:dyDescent="0.35">
      <c r="C11" t="s">
        <v>102</v>
      </c>
      <c r="D11" s="1">
        <v>500000</v>
      </c>
      <c r="E11" t="s">
        <v>124</v>
      </c>
      <c r="F11" t="s">
        <v>136</v>
      </c>
    </row>
    <row r="12" spans="3:6" x14ac:dyDescent="0.35">
      <c r="C12" t="s">
        <v>102</v>
      </c>
      <c r="D12" s="1">
        <v>1000000</v>
      </c>
      <c r="E12" t="s">
        <v>125</v>
      </c>
      <c r="F12" t="s">
        <v>136</v>
      </c>
    </row>
    <row r="13" spans="3:6" x14ac:dyDescent="0.35">
      <c r="C13" t="s">
        <v>102</v>
      </c>
      <c r="D13" s="1">
        <f>2500000/2</f>
        <v>1250000</v>
      </c>
      <c r="E13" t="s">
        <v>126</v>
      </c>
      <c r="F13" t="s">
        <v>136</v>
      </c>
    </row>
    <row r="14" spans="3:6" x14ac:dyDescent="0.35">
      <c r="C14" t="s">
        <v>75</v>
      </c>
      <c r="D14" s="1">
        <f>1000000+1000000</f>
        <v>2000000</v>
      </c>
      <c r="E14" t="s">
        <v>127</v>
      </c>
    </row>
    <row r="15" spans="3:6" x14ac:dyDescent="0.35">
      <c r="D15" s="17">
        <f>SUM(D5:D14)</f>
        <v>18850000</v>
      </c>
    </row>
    <row r="17" spans="3:9" x14ac:dyDescent="0.35">
      <c r="C17" t="s">
        <v>128</v>
      </c>
      <c r="D17" s="1">
        <f>2500000/2</f>
        <v>1250000</v>
      </c>
      <c r="E17" t="s">
        <v>126</v>
      </c>
      <c r="H17" s="1"/>
      <c r="I17" s="1"/>
    </row>
    <row r="18" spans="3:9" x14ac:dyDescent="0.35">
      <c r="D18" s="17">
        <f>SUM(D17:D17)</f>
        <v>1250000</v>
      </c>
      <c r="H18" s="1"/>
      <c r="I18" s="1"/>
    </row>
    <row r="19" spans="3:9" x14ac:dyDescent="0.35">
      <c r="I19" s="6"/>
    </row>
    <row r="20" spans="3:9" x14ac:dyDescent="0.35">
      <c r="D20" s="17">
        <f>SUM(D18,D15)</f>
        <v>20100000</v>
      </c>
    </row>
    <row r="21" spans="3:9" x14ac:dyDescent="0.35">
      <c r="I21" s="6"/>
    </row>
    <row r="22" spans="3:9" x14ac:dyDescent="0.35">
      <c r="I22" s="6"/>
    </row>
    <row r="23" spans="3:9" x14ac:dyDescent="0.35">
      <c r="C23" t="s">
        <v>131</v>
      </c>
      <c r="D23" s="17">
        <v>14528223.076923078</v>
      </c>
    </row>
    <row r="24" spans="3:9" x14ac:dyDescent="0.35">
      <c r="D24" s="1">
        <f>D15-D23</f>
        <v>4321776.9230769221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C97B-116C-445A-8B83-9771FCEABC66}">
  <sheetPr codeName="Sheet20"/>
  <dimension ref="A2:S50"/>
  <sheetViews>
    <sheetView topLeftCell="A18" zoomScale="90" zoomScaleNormal="90" workbookViewId="0">
      <selection activeCell="Q47" sqref="Q47"/>
    </sheetView>
  </sheetViews>
  <sheetFormatPr defaultRowHeight="14.5" x14ac:dyDescent="0.35"/>
  <cols>
    <col min="1" max="1" width="18.90625" style="23" bestFit="1" customWidth="1"/>
    <col min="2" max="2" width="18.90625" style="23" customWidth="1"/>
    <col min="3" max="3" width="13.81640625" style="24" bestFit="1" customWidth="1"/>
    <col min="4" max="5" width="8.7265625" style="23"/>
    <col min="6" max="6" width="14.6328125" style="24" bestFit="1" customWidth="1"/>
    <col min="7" max="9" width="8.7265625" style="23"/>
    <col min="10" max="10" width="14.6328125" style="23" bestFit="1" customWidth="1"/>
    <col min="11" max="11" width="7.7265625" style="23" bestFit="1" customWidth="1"/>
    <col min="12" max="12" width="13.453125" style="23" bestFit="1" customWidth="1"/>
    <col min="13" max="13" width="16.54296875" style="23" bestFit="1" customWidth="1"/>
    <col min="14" max="14" width="15.1796875" style="24" customWidth="1"/>
    <col min="15" max="15" width="15.1796875" style="23" customWidth="1"/>
    <col min="16" max="16" width="14.6328125" style="24" bestFit="1" customWidth="1"/>
    <col min="17" max="17" width="20.7265625" style="23" bestFit="1" customWidth="1"/>
    <col min="18" max="16384" width="8.7265625" style="23"/>
  </cols>
  <sheetData>
    <row r="2" spans="1:15" x14ac:dyDescent="0.35">
      <c r="A2" s="23" t="s">
        <v>68</v>
      </c>
      <c r="C2" s="24">
        <v>300000</v>
      </c>
      <c r="F2" s="24">
        <v>20000000</v>
      </c>
    </row>
    <row r="3" spans="1:15" x14ac:dyDescent="0.35">
      <c r="A3" s="23" t="s">
        <v>69</v>
      </c>
      <c r="C3" s="24">
        <v>2000000</v>
      </c>
      <c r="F3" s="24">
        <v>50000000</v>
      </c>
    </row>
    <row r="4" spans="1:15" x14ac:dyDescent="0.35">
      <c r="A4" s="23" t="s">
        <v>70</v>
      </c>
      <c r="C4" s="24">
        <v>50000000</v>
      </c>
      <c r="F4" s="24">
        <v>50000000</v>
      </c>
    </row>
    <row r="5" spans="1:15" ht="15" customHeight="1" x14ac:dyDescent="0.35">
      <c r="A5" s="23" t="s">
        <v>90</v>
      </c>
      <c r="C5" s="24">
        <v>2000000</v>
      </c>
      <c r="I5"/>
      <c r="J5"/>
      <c r="K5"/>
      <c r="L5" s="1"/>
      <c r="M5"/>
    </row>
    <row r="6" spans="1:15" ht="15" customHeight="1" x14ac:dyDescent="0.35">
      <c r="A6" s="23" t="s">
        <v>71</v>
      </c>
      <c r="B6" s="23" t="s">
        <v>72</v>
      </c>
      <c r="C6" s="24">
        <v>1000000</v>
      </c>
      <c r="I6"/>
      <c r="J6" t="s">
        <v>81</v>
      </c>
      <c r="K6" t="s">
        <v>82</v>
      </c>
      <c r="L6" s="1">
        <v>2000000</v>
      </c>
      <c r="M6" t="s">
        <v>87</v>
      </c>
    </row>
    <row r="7" spans="1:15" x14ac:dyDescent="0.35">
      <c r="B7" s="23" t="s">
        <v>73</v>
      </c>
      <c r="C7" s="24">
        <v>1000000</v>
      </c>
      <c r="I7"/>
      <c r="J7"/>
      <c r="K7" t="s">
        <v>83</v>
      </c>
      <c r="L7" s="1">
        <v>1000000</v>
      </c>
      <c r="M7" t="s">
        <v>85</v>
      </c>
    </row>
    <row r="8" spans="1:15" x14ac:dyDescent="0.35">
      <c r="B8" s="23" t="s">
        <v>74</v>
      </c>
      <c r="C8" s="46" t="s">
        <v>80</v>
      </c>
      <c r="I8"/>
      <c r="J8"/>
      <c r="K8"/>
      <c r="L8" s="1">
        <v>2000000</v>
      </c>
      <c r="M8" t="s">
        <v>86</v>
      </c>
    </row>
    <row r="9" spans="1:15" x14ac:dyDescent="0.35">
      <c r="B9" s="23" t="s">
        <v>75</v>
      </c>
      <c r="C9" s="46"/>
      <c r="I9"/>
      <c r="J9"/>
      <c r="K9" t="s">
        <v>84</v>
      </c>
      <c r="L9" s="1">
        <f>20000*50</f>
        <v>1000000</v>
      </c>
      <c r="M9" t="s">
        <v>91</v>
      </c>
    </row>
    <row r="10" spans="1:15" x14ac:dyDescent="0.35">
      <c r="B10" s="23" t="s">
        <v>64</v>
      </c>
      <c r="C10" s="24">
        <v>100000</v>
      </c>
      <c r="I10"/>
      <c r="J10"/>
      <c r="K10"/>
      <c r="L10" s="1">
        <v>2000000</v>
      </c>
      <c r="M10" t="s">
        <v>87</v>
      </c>
    </row>
    <row r="11" spans="1:15" x14ac:dyDescent="0.35">
      <c r="B11" s="23" t="s">
        <v>76</v>
      </c>
      <c r="C11" s="24">
        <v>100000</v>
      </c>
      <c r="I11"/>
      <c r="J11"/>
      <c r="K11"/>
      <c r="L11" s="1">
        <v>2000000</v>
      </c>
      <c r="M11" t="s">
        <v>92</v>
      </c>
      <c r="N11" s="47" t="s">
        <v>93</v>
      </c>
      <c r="O11" s="26"/>
    </row>
    <row r="12" spans="1:15" x14ac:dyDescent="0.35">
      <c r="B12" s="23" t="s">
        <v>77</v>
      </c>
      <c r="C12" s="24">
        <v>100000</v>
      </c>
      <c r="I12"/>
      <c r="J12"/>
      <c r="K12"/>
      <c r="L12" s="1">
        <v>5000000</v>
      </c>
      <c r="M12" t="s">
        <v>94</v>
      </c>
      <c r="N12" s="47"/>
      <c r="O12" s="26"/>
    </row>
    <row r="13" spans="1:15" x14ac:dyDescent="0.35">
      <c r="B13" s="23" t="s">
        <v>78</v>
      </c>
      <c r="C13" s="24">
        <v>100000</v>
      </c>
      <c r="I13"/>
      <c r="J13"/>
      <c r="K13" t="s">
        <v>88</v>
      </c>
      <c r="L13" s="1">
        <v>2000000</v>
      </c>
      <c r="M13"/>
    </row>
    <row r="14" spans="1:15" x14ac:dyDescent="0.35">
      <c r="B14" s="23" t="s">
        <v>79</v>
      </c>
      <c r="C14" s="24">
        <v>100000</v>
      </c>
      <c r="I14"/>
      <c r="J14"/>
      <c r="K14" t="s">
        <v>89</v>
      </c>
      <c r="L14" s="1">
        <v>6200000</v>
      </c>
      <c r="M14"/>
    </row>
    <row r="15" spans="1:15" x14ac:dyDescent="0.35">
      <c r="B15" s="23" t="s">
        <v>39</v>
      </c>
      <c r="C15" s="24">
        <v>200000</v>
      </c>
      <c r="I15"/>
      <c r="J15"/>
      <c r="K15"/>
      <c r="L15" s="1"/>
      <c r="M15"/>
    </row>
    <row r="18" spans="11:17" x14ac:dyDescent="0.35">
      <c r="L18" s="24"/>
    </row>
    <row r="19" spans="11:17" x14ac:dyDescent="0.35">
      <c r="L19" s="24">
        <v>500000</v>
      </c>
      <c r="M19" s="23" t="s">
        <v>96</v>
      </c>
      <c r="N19" s="24">
        <v>28000000</v>
      </c>
      <c r="O19" s="23" t="s">
        <v>115</v>
      </c>
      <c r="P19" s="24">
        <v>1471543</v>
      </c>
      <c r="Q19" s="23" t="s">
        <v>97</v>
      </c>
    </row>
    <row r="20" spans="11:17" x14ac:dyDescent="0.35">
      <c r="L20" s="24">
        <v>7000000</v>
      </c>
      <c r="M20" s="23" t="s">
        <v>98</v>
      </c>
      <c r="N20" s="24">
        <v>7000000</v>
      </c>
      <c r="O20" s="23" t="s">
        <v>116</v>
      </c>
    </row>
    <row r="21" spans="11:17" x14ac:dyDescent="0.35">
      <c r="L21" s="24">
        <v>10000000</v>
      </c>
      <c r="M21" s="23" t="s">
        <v>102</v>
      </c>
    </row>
    <row r="22" spans="11:17" x14ac:dyDescent="0.35">
      <c r="L22" s="24">
        <v>8000000</v>
      </c>
      <c r="M22" s="23" t="s">
        <v>103</v>
      </c>
    </row>
    <row r="23" spans="11:17" x14ac:dyDescent="0.35">
      <c r="L23" s="24">
        <v>500000</v>
      </c>
      <c r="M23" s="23" t="s">
        <v>104</v>
      </c>
    </row>
    <row r="25" spans="11:17" x14ac:dyDescent="0.35">
      <c r="L25" s="24"/>
    </row>
    <row r="26" spans="11:17" x14ac:dyDescent="0.35">
      <c r="L26" s="24"/>
    </row>
    <row r="27" spans="11:17" x14ac:dyDescent="0.35">
      <c r="L27" s="27"/>
      <c r="M27" s="29"/>
    </row>
    <row r="28" spans="11:17" x14ac:dyDescent="0.35">
      <c r="L28" s="24"/>
    </row>
    <row r="29" spans="11:17" x14ac:dyDescent="0.35">
      <c r="K29" s="23" t="s">
        <v>101</v>
      </c>
      <c r="L29" s="25">
        <f>SUM(L19:L28)</f>
        <v>26000000</v>
      </c>
      <c r="N29" s="25">
        <f>SUM(N19:N28)</f>
        <v>35000000</v>
      </c>
      <c r="P29" s="25"/>
    </row>
    <row r="33" spans="10:19" x14ac:dyDescent="0.35">
      <c r="L33" s="30"/>
    </row>
    <row r="35" spans="10:19" x14ac:dyDescent="0.35">
      <c r="L35" s="24">
        <v>49616323.84615384</v>
      </c>
      <c r="M35" s="23" t="s">
        <v>100</v>
      </c>
    </row>
    <row r="36" spans="10:19" x14ac:dyDescent="0.35">
      <c r="J36" s="24"/>
      <c r="L36" s="31"/>
    </row>
    <row r="37" spans="10:19" x14ac:dyDescent="0.35">
      <c r="J37" s="28"/>
      <c r="L37" s="31"/>
    </row>
    <row r="38" spans="10:19" x14ac:dyDescent="0.35">
      <c r="L38" s="32"/>
    </row>
    <row r="39" spans="10:19" x14ac:dyDescent="0.35">
      <c r="L39" s="31"/>
    </row>
    <row r="42" spans="10:19" x14ac:dyDescent="0.35">
      <c r="L42" s="33" t="s">
        <v>105</v>
      </c>
      <c r="M42" s="33" t="s">
        <v>106</v>
      </c>
      <c r="N42" s="34" t="s">
        <v>107</v>
      </c>
      <c r="O42" s="35" t="s">
        <v>108</v>
      </c>
      <c r="P42" s="33" t="s">
        <v>109</v>
      </c>
      <c r="Q42" s="33" t="s">
        <v>110</v>
      </c>
      <c r="R42"/>
      <c r="S42"/>
    </row>
    <row r="43" spans="10:19" x14ac:dyDescent="0.35">
      <c r="L43">
        <v>2</v>
      </c>
      <c r="M43" s="1">
        <v>1717000</v>
      </c>
      <c r="N43" s="1">
        <f>L43*M43</f>
        <v>3434000</v>
      </c>
      <c r="O43" s="1" t="s">
        <v>111</v>
      </c>
      <c r="P43" s="15">
        <v>45926</v>
      </c>
      <c r="Q43" s="15">
        <v>45933</v>
      </c>
      <c r="R43"/>
      <c r="S43"/>
    </row>
    <row r="44" spans="10:19" x14ac:dyDescent="0.35">
      <c r="L44">
        <v>2</v>
      </c>
      <c r="M44" s="1">
        <v>1908000</v>
      </c>
      <c r="N44" s="1">
        <f t="shared" ref="N44:N45" si="0">L44*M44</f>
        <v>3816000</v>
      </c>
      <c r="O44" s="1" t="s">
        <v>111</v>
      </c>
      <c r="P44" s="15">
        <v>45941</v>
      </c>
      <c r="Q44" s="15">
        <v>45966</v>
      </c>
      <c r="R44"/>
      <c r="S44"/>
    </row>
    <row r="45" spans="10:19" x14ac:dyDescent="0.35">
      <c r="L45">
        <v>5</v>
      </c>
      <c r="M45" s="1">
        <f>13880000/5</f>
        <v>2776000</v>
      </c>
      <c r="N45" s="1">
        <f t="shared" si="0"/>
        <v>13880000</v>
      </c>
      <c r="O45" s="1" t="s">
        <v>112</v>
      </c>
      <c r="P45" s="15">
        <v>46059</v>
      </c>
      <c r="Q45" s="15">
        <v>46155</v>
      </c>
      <c r="R45"/>
      <c r="S45"/>
    </row>
    <row r="46" spans="10:19" x14ac:dyDescent="0.35">
      <c r="L46">
        <v>5</v>
      </c>
      <c r="M46" s="1">
        <f>(14342350+85000)/5</f>
        <v>2885470</v>
      </c>
      <c r="N46" s="1">
        <f>L46*M46</f>
        <v>14427350</v>
      </c>
      <c r="O46" s="1" t="s">
        <v>113</v>
      </c>
      <c r="P46" s="15">
        <v>46059</v>
      </c>
      <c r="Q46" s="15"/>
      <c r="R46" t="s">
        <v>114</v>
      </c>
      <c r="S46"/>
    </row>
    <row r="47" spans="10:19" x14ac:dyDescent="0.35">
      <c r="L47" s="17">
        <f>SUM(L43:L46)</f>
        <v>14</v>
      </c>
      <c r="M47" s="36">
        <f>N47/L47</f>
        <v>2539810.7142857141</v>
      </c>
      <c r="N47" s="17">
        <f>SUM(N43:N46)</f>
        <v>35557350</v>
      </c>
      <c r="O47" s="1"/>
      <c r="P47" s="37"/>
      <c r="Q47" s="1"/>
      <c r="R47"/>
      <c r="S47"/>
    </row>
    <row r="48" spans="10:19" x14ac:dyDescent="0.35">
      <c r="L48" s="6"/>
      <c r="M48" s="38">
        <v>2918000</v>
      </c>
      <c r="N48" s="1"/>
      <c r="O48" s="1"/>
      <c r="P48" s="37"/>
      <c r="Q48" s="1"/>
      <c r="R48"/>
      <c r="S48"/>
    </row>
    <row r="49" spans="12:19" x14ac:dyDescent="0.35">
      <c r="L49" s="6"/>
      <c r="M49" s="38">
        <f>L47*M48</f>
        <v>40852000</v>
      </c>
      <c r="N49" s="1"/>
      <c r="O49" s="1"/>
      <c r="P49" s="37"/>
      <c r="Q49" s="1"/>
      <c r="R49"/>
      <c r="S49"/>
    </row>
    <row r="50" spans="12:19" x14ac:dyDescent="0.35">
      <c r="L50" s="6"/>
      <c r="M50" s="39">
        <f>M49-N47</f>
        <v>5294650</v>
      </c>
      <c r="N50" s="1"/>
      <c r="O50" s="1"/>
      <c r="P50" s="37"/>
      <c r="Q50" s="1"/>
      <c r="R50"/>
      <c r="S50"/>
    </row>
  </sheetData>
  <mergeCells count="2">
    <mergeCell ref="C8:C9"/>
    <mergeCell ref="N11:N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F7DF-92A7-433A-AEAB-387A730EC7CC}">
  <sheetPr codeName="Sheet14"/>
  <dimension ref="A1:M25"/>
  <sheetViews>
    <sheetView workbookViewId="0">
      <selection activeCell="C13" sqref="C13"/>
    </sheetView>
  </sheetViews>
  <sheetFormatPr defaultRowHeight="14.5" x14ac:dyDescent="0.35"/>
  <cols>
    <col min="2" max="2" width="15" customWidth="1"/>
    <col min="3" max="3" width="13.81640625" customWidth="1"/>
    <col min="4" max="4" width="14.1796875" bestFit="1" customWidth="1"/>
    <col min="5" max="5" width="12.1796875" bestFit="1" customWidth="1"/>
    <col min="7" max="7" width="24.7265625" bestFit="1" customWidth="1"/>
    <col min="8" max="8" width="16.1796875" bestFit="1" customWidth="1"/>
    <col min="9" max="10" width="13.1796875" customWidth="1"/>
    <col min="11" max="11" width="14.81640625" bestFit="1" customWidth="1"/>
    <col min="12" max="12" width="13.1796875" customWidth="1"/>
    <col min="13" max="13" width="13.81640625" bestFit="1" customWidth="1"/>
  </cols>
  <sheetData>
    <row r="1" spans="1:13" x14ac:dyDescent="0.35">
      <c r="B1" t="s">
        <v>20</v>
      </c>
      <c r="C1" t="s">
        <v>25</v>
      </c>
      <c r="D1" t="s">
        <v>21</v>
      </c>
      <c r="E1" t="s">
        <v>9</v>
      </c>
      <c r="F1" t="s">
        <v>10</v>
      </c>
      <c r="G1" t="s">
        <v>3</v>
      </c>
      <c r="H1" t="s">
        <v>23</v>
      </c>
      <c r="I1" t="s">
        <v>24</v>
      </c>
      <c r="J1" t="s">
        <v>26</v>
      </c>
      <c r="K1" t="s">
        <v>22</v>
      </c>
    </row>
    <row r="2" spans="1:13" x14ac:dyDescent="0.35">
      <c r="A2">
        <v>1</v>
      </c>
      <c r="B2" s="1">
        <v>10500000</v>
      </c>
      <c r="C2" s="1"/>
      <c r="D2" s="4">
        <f>B2/26</f>
        <v>403846.15384615387</v>
      </c>
      <c r="E2" s="1">
        <v>200000</v>
      </c>
      <c r="F2" s="1"/>
      <c r="G2" s="1">
        <f>10.5*10^6*10.5%</f>
        <v>1102500</v>
      </c>
      <c r="H2" s="1">
        <f t="shared" ref="H2:H6" si="0">IF((B2+D2+E2+F2+C2-11*10^6-G2)&lt;0,0,(B2+D2+C2+E2+F2-11*10^6-G2)*5%)</f>
        <v>0</v>
      </c>
      <c r="I2" s="1">
        <v>20000</v>
      </c>
      <c r="J2" s="1"/>
      <c r="K2" s="1"/>
    </row>
    <row r="3" spans="1:13" x14ac:dyDescent="0.35">
      <c r="A3">
        <v>2</v>
      </c>
      <c r="B3" s="1">
        <f>B2/26*14</f>
        <v>5653846.153846154</v>
      </c>
      <c r="C3" s="1">
        <f>B2/26*4</f>
        <v>1615384.6153846155</v>
      </c>
      <c r="D3" s="4">
        <f>B2/26*5</f>
        <v>2019230.7692307695</v>
      </c>
      <c r="E3" s="1">
        <v>500000</v>
      </c>
      <c r="F3" s="1"/>
      <c r="G3" s="1">
        <f>10.5*10^6*10.5%</f>
        <v>1102500</v>
      </c>
      <c r="H3" s="1">
        <f t="shared" si="0"/>
        <v>0</v>
      </c>
      <c r="I3" s="1">
        <v>20000</v>
      </c>
      <c r="J3" s="1">
        <v>500000</v>
      </c>
      <c r="K3" s="1"/>
    </row>
    <row r="4" spans="1:13" x14ac:dyDescent="0.35">
      <c r="A4">
        <v>3</v>
      </c>
      <c r="B4" s="1">
        <f>B2/26*24</f>
        <v>9692307.692307692</v>
      </c>
      <c r="C4" s="1">
        <f>B2/26*1</f>
        <v>403846.15384615387</v>
      </c>
      <c r="D4" s="4"/>
      <c r="E4" s="1"/>
      <c r="F4" s="1"/>
      <c r="G4" s="1">
        <f>10.5*10^6*10.5%</f>
        <v>1102500</v>
      </c>
      <c r="H4" s="1">
        <f t="shared" si="0"/>
        <v>0</v>
      </c>
      <c r="I4" s="1">
        <v>20000</v>
      </c>
      <c r="J4" s="1"/>
      <c r="K4" s="1"/>
    </row>
    <row r="5" spans="1:13" x14ac:dyDescent="0.35">
      <c r="A5">
        <v>4</v>
      </c>
      <c r="B5" s="1">
        <v>10500000</v>
      </c>
      <c r="C5" s="1"/>
      <c r="D5" s="4">
        <f>B5/26</f>
        <v>403846.15384615387</v>
      </c>
      <c r="E5" s="1">
        <v>200000</v>
      </c>
      <c r="F5" s="1"/>
      <c r="G5" s="1">
        <f>10.5*10^6*10.5%</f>
        <v>1102500</v>
      </c>
      <c r="H5" s="1">
        <f t="shared" si="0"/>
        <v>0</v>
      </c>
      <c r="I5" s="1">
        <v>20000</v>
      </c>
      <c r="J5" s="1"/>
      <c r="K5" s="1"/>
    </row>
    <row r="6" spans="1:13" x14ac:dyDescent="0.35">
      <c r="A6">
        <v>5</v>
      </c>
      <c r="B6" s="1">
        <f>B5/26*23</f>
        <v>9288461.5384615399</v>
      </c>
      <c r="C6" s="1">
        <f>C4</f>
        <v>403846.15384615387</v>
      </c>
      <c r="D6" s="4">
        <f>D5*2</f>
        <v>807692.30769230775</v>
      </c>
      <c r="E6" s="1">
        <v>200000</v>
      </c>
      <c r="F6" s="1"/>
      <c r="G6" s="1">
        <f>10.5*10^6*10.5%</f>
        <v>1102500</v>
      </c>
      <c r="H6" s="1">
        <f t="shared" si="0"/>
        <v>0</v>
      </c>
      <c r="I6" s="1">
        <v>20000</v>
      </c>
      <c r="J6" s="1"/>
      <c r="K6" s="1"/>
    </row>
    <row r="7" spans="1:13" x14ac:dyDescent="0.35">
      <c r="A7">
        <v>6</v>
      </c>
      <c r="B7" s="1">
        <f>15*10^6/26*24</f>
        <v>13846153.846153844</v>
      </c>
      <c r="C7" s="1">
        <f>15*10^6/26*1</f>
        <v>576923.07692307688</v>
      </c>
      <c r="D7" s="4"/>
      <c r="E7" s="1"/>
      <c r="F7" s="1"/>
      <c r="G7" s="1">
        <f t="shared" ref="G7:G13" si="1">15*10^6*10.5%</f>
        <v>1575000</v>
      </c>
      <c r="H7" s="1">
        <f t="shared" ref="H7:H12" si="2">IF((B7+D7+E7+F7+C7-11*10^6-G7)&lt;0,0,(B7+D7+C7+E7+F7-11*10^6-G7)*5%)</f>
        <v>92403.846153846011</v>
      </c>
      <c r="I7" s="1">
        <v>20000</v>
      </c>
      <c r="J7" s="1"/>
      <c r="K7" s="1"/>
    </row>
    <row r="8" spans="1:13" x14ac:dyDescent="0.35">
      <c r="A8">
        <v>7</v>
      </c>
      <c r="B8" s="1">
        <f>15*10^6/26*23</f>
        <v>13269230.769230768</v>
      </c>
      <c r="C8" s="1">
        <f>15*10^6/26*1</f>
        <v>576923.07692307688</v>
      </c>
      <c r="D8" s="4"/>
      <c r="E8" s="1"/>
      <c r="F8" s="1"/>
      <c r="G8" s="1">
        <f t="shared" si="1"/>
        <v>1575000</v>
      </c>
      <c r="H8" s="1">
        <f t="shared" si="2"/>
        <v>63557.69230769221</v>
      </c>
      <c r="I8" s="1">
        <v>20000</v>
      </c>
      <c r="J8" s="1"/>
      <c r="K8" s="1"/>
    </row>
    <row r="9" spans="1:13" x14ac:dyDescent="0.35">
      <c r="A9">
        <v>8</v>
      </c>
      <c r="B9" s="1">
        <f>15*10^6/26*25</f>
        <v>14423076.923076922</v>
      </c>
      <c r="C9" s="1"/>
      <c r="D9" s="4"/>
      <c r="E9" s="1"/>
      <c r="F9" s="1">
        <f>15*10^6/26*1.5/8</f>
        <v>108173.07692307691</v>
      </c>
      <c r="G9" s="1">
        <f t="shared" si="1"/>
        <v>1575000</v>
      </c>
      <c r="H9" s="1">
        <f t="shared" si="2"/>
        <v>97812.499999999913</v>
      </c>
      <c r="I9" s="1">
        <v>20000</v>
      </c>
      <c r="J9" s="1"/>
      <c r="K9" s="1"/>
    </row>
    <row r="10" spans="1:13" x14ac:dyDescent="0.35">
      <c r="A10">
        <v>9</v>
      </c>
      <c r="B10" s="1">
        <f>15*10^6/26*23</f>
        <v>13269230.769230768</v>
      </c>
      <c r="C10" s="1">
        <f>15*10^6/26*1</f>
        <v>576923.07692307688</v>
      </c>
      <c r="D10" s="1">
        <f>15*10^6/26*2</f>
        <v>1153846.1538461538</v>
      </c>
      <c r="E10" s="1">
        <v>200000</v>
      </c>
      <c r="F10" s="1">
        <f>15*10^6/26*1.5/8</f>
        <v>108173.07692307691</v>
      </c>
      <c r="G10" s="1">
        <f t="shared" si="1"/>
        <v>1575000</v>
      </c>
      <c r="H10" s="1">
        <f t="shared" si="2"/>
        <v>136658.65384615373</v>
      </c>
      <c r="I10" s="1">
        <v>20000</v>
      </c>
      <c r="J10" s="1"/>
      <c r="K10" s="1"/>
    </row>
    <row r="11" spans="1:13" x14ac:dyDescent="0.35">
      <c r="A11">
        <v>10</v>
      </c>
      <c r="B11" s="1">
        <f>15*10^6/26*26</f>
        <v>14999999.999999998</v>
      </c>
      <c r="C11" s="1"/>
      <c r="D11" s="4"/>
      <c r="E11" s="1"/>
      <c r="F11" s="1">
        <f>15*10^6/26*1.5/8</f>
        <v>108173.07692307691</v>
      </c>
      <c r="G11" s="1">
        <f t="shared" si="1"/>
        <v>1575000</v>
      </c>
      <c r="H11" s="1">
        <f t="shared" si="2"/>
        <v>126658.65384615371</v>
      </c>
      <c r="I11" s="1">
        <v>20000</v>
      </c>
      <c r="J11" s="1"/>
      <c r="K11" s="1"/>
    </row>
    <row r="12" spans="1:13" x14ac:dyDescent="0.35">
      <c r="A12">
        <v>11</v>
      </c>
      <c r="B12" s="1">
        <f>15*10^6/26*25</f>
        <v>14423076.923076922</v>
      </c>
      <c r="C12" s="1">
        <f>15*10^6/26*1</f>
        <v>576923.07692307688</v>
      </c>
      <c r="D12" s="4"/>
      <c r="E12" s="1"/>
      <c r="F12" s="1">
        <f>15*10^6/26*1.5/8</f>
        <v>108173.07692307691</v>
      </c>
      <c r="G12" s="1">
        <f t="shared" si="1"/>
        <v>1575000</v>
      </c>
      <c r="H12" s="1">
        <f t="shared" si="2"/>
        <v>126658.65384615371</v>
      </c>
      <c r="I12" s="1">
        <v>20000</v>
      </c>
      <c r="J12" s="1"/>
      <c r="K12" s="1"/>
    </row>
    <row r="13" spans="1:13" x14ac:dyDescent="0.35">
      <c r="A13" t="s">
        <v>134</v>
      </c>
      <c r="B13" s="1">
        <f>15*10^6/26*25+15*10^6</f>
        <v>29423076.92307692</v>
      </c>
      <c r="C13" s="1">
        <f>15*10^6/26*1</f>
        <v>576923.07692307688</v>
      </c>
      <c r="D13" s="4"/>
      <c r="E13" s="1"/>
      <c r="F13" s="1">
        <f>15*10^6/26*1.5/8</f>
        <v>108173.07692307691</v>
      </c>
      <c r="G13" s="1">
        <f t="shared" si="1"/>
        <v>1575000</v>
      </c>
      <c r="H13" s="1">
        <f>IF((B13+D13+E13+F13+C13-11*10^6-G13)&lt;0,0,(B13+D13+C13+E13+F13-11*10^6-G13)*15%-0.75*10^6)</f>
        <v>1879975.9615384606</v>
      </c>
      <c r="I13" s="1">
        <v>20000</v>
      </c>
      <c r="J13" s="1"/>
      <c r="K13" s="1"/>
    </row>
    <row r="14" spans="1:13" x14ac:dyDescent="0.35">
      <c r="A14" t="s">
        <v>27</v>
      </c>
      <c r="B14" s="1">
        <f>2*200000</f>
        <v>400000</v>
      </c>
      <c r="C14" s="1"/>
      <c r="D14" s="4"/>
      <c r="E14" s="1"/>
      <c r="F14" s="1"/>
    </row>
    <row r="15" spans="1:13" x14ac:dyDescent="0.35">
      <c r="B15" s="1"/>
      <c r="C15" s="1"/>
      <c r="D15" s="4"/>
      <c r="E15" s="1"/>
      <c r="F15" s="1"/>
    </row>
    <row r="16" spans="1:13" x14ac:dyDescent="0.35">
      <c r="B16" s="1">
        <f>SUM(B2:F14)</f>
        <v>171625480.76923072</v>
      </c>
      <c r="C16" s="1"/>
      <c r="D16" s="4"/>
      <c r="E16" s="1"/>
      <c r="F16" s="1"/>
      <c r="G16" s="6">
        <f>SUM(G2:G14)</f>
        <v>16537500</v>
      </c>
      <c r="H16" s="4">
        <f>(B16-11*10^6*12-G16)</f>
        <v>23087980.769230723</v>
      </c>
      <c r="K16" s="1">
        <v>212772597</v>
      </c>
      <c r="L16" s="1">
        <v>18585000</v>
      </c>
      <c r="M16" s="1">
        <f>K16-11*12*10^6-L16</f>
        <v>62187597</v>
      </c>
    </row>
    <row r="17" spans="2:13" x14ac:dyDescent="0.35">
      <c r="B17" s="1"/>
      <c r="C17" s="1"/>
      <c r="D17" s="4"/>
      <c r="E17" s="1"/>
      <c r="F17" s="1"/>
      <c r="G17" t="s">
        <v>28</v>
      </c>
      <c r="H17" s="4">
        <f>H16/12</f>
        <v>1923998.3974358935</v>
      </c>
      <c r="M17" s="40">
        <f>M16/12</f>
        <v>5182299.75</v>
      </c>
    </row>
    <row r="18" spans="2:13" x14ac:dyDescent="0.35">
      <c r="B18" s="1"/>
      <c r="C18" s="1"/>
      <c r="D18" s="4"/>
      <c r="E18" s="1"/>
      <c r="F18" s="1"/>
      <c r="G18" t="s">
        <v>29</v>
      </c>
      <c r="H18" s="4">
        <f>H17*5%</f>
        <v>96199.919871794686</v>
      </c>
      <c r="M18" s="40">
        <f>M17*10%</f>
        <v>518229.97500000003</v>
      </c>
    </row>
    <row r="19" spans="2:13" x14ac:dyDescent="0.35">
      <c r="B19" s="1"/>
      <c r="C19" s="1"/>
      <c r="D19" s="4"/>
      <c r="E19" s="1"/>
      <c r="F19" s="1"/>
      <c r="G19" t="s">
        <v>30</v>
      </c>
      <c r="H19" s="4">
        <f>H18*12</f>
        <v>1154399.0384615362</v>
      </c>
      <c r="M19" s="40">
        <f>M18*12</f>
        <v>6218759.7000000002</v>
      </c>
    </row>
    <row r="20" spans="2:13" x14ac:dyDescent="0.35">
      <c r="B20" s="1"/>
      <c r="C20" s="1"/>
      <c r="D20" s="4"/>
      <c r="E20" s="1"/>
      <c r="F20" s="1"/>
      <c r="G20" t="s">
        <v>31</v>
      </c>
      <c r="H20" s="4">
        <f>SUM(H2:H13)-H19</f>
        <v>1369326.9230769239</v>
      </c>
      <c r="M20" s="1">
        <v>3958021</v>
      </c>
    </row>
    <row r="21" spans="2:13" x14ac:dyDescent="0.35">
      <c r="B21" s="1"/>
      <c r="C21" s="1"/>
      <c r="D21" s="4"/>
      <c r="E21" s="1"/>
      <c r="F21" s="1"/>
      <c r="M21" s="40">
        <f>M19-M20</f>
        <v>2260738.7000000002</v>
      </c>
    </row>
    <row r="22" spans="2:13" x14ac:dyDescent="0.35">
      <c r="B22" s="1"/>
      <c r="C22" s="1"/>
      <c r="D22" s="4"/>
      <c r="E22" s="1"/>
      <c r="F22" s="1"/>
    </row>
    <row r="23" spans="2:13" x14ac:dyDescent="0.35">
      <c r="B23" s="1"/>
      <c r="C23" s="1"/>
      <c r="D23" s="4"/>
      <c r="E23" s="1"/>
      <c r="F23" s="1"/>
    </row>
    <row r="24" spans="2:13" x14ac:dyDescent="0.35">
      <c r="B24" s="1"/>
      <c r="C24" s="1"/>
      <c r="D24" s="4"/>
      <c r="E24" s="1"/>
      <c r="F24" s="1"/>
    </row>
    <row r="25" spans="2:13" x14ac:dyDescent="0.35">
      <c r="B25" s="1"/>
      <c r="C25" s="1"/>
      <c r="D25" s="4"/>
      <c r="E25" s="1"/>
      <c r="F25" s="1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F4C0-6EA1-49F9-B288-A29315999ED4}">
  <sheetPr codeName="Sheet21"/>
  <dimension ref="A1:M35"/>
  <sheetViews>
    <sheetView zoomScale="90" zoomScaleNormal="90" workbookViewId="0">
      <selection activeCell="C14" sqref="C14"/>
    </sheetView>
  </sheetViews>
  <sheetFormatPr defaultRowHeight="14.5" x14ac:dyDescent="0.35"/>
  <cols>
    <col min="2" max="2" width="18.26953125" customWidth="1"/>
    <col min="3" max="3" width="12.1796875" bestFit="1" customWidth="1"/>
    <col min="4" max="4" width="17" style="1" bestFit="1" customWidth="1"/>
    <col min="5" max="5" width="9.08984375" bestFit="1" customWidth="1"/>
    <col min="6" max="6" width="10.81640625" customWidth="1"/>
    <col min="7" max="7" width="9.08984375" bestFit="1" customWidth="1"/>
    <col min="8" max="8" width="25" bestFit="1" customWidth="1"/>
    <col min="9" max="9" width="16.1796875" bestFit="1" customWidth="1"/>
    <col min="10" max="10" width="13.1796875" customWidth="1"/>
    <col min="11" max="11" width="22.6328125" customWidth="1"/>
    <col min="12" max="13" width="15.81640625" bestFit="1" customWidth="1"/>
  </cols>
  <sheetData>
    <row r="1" spans="1:13" x14ac:dyDescent="0.35">
      <c r="B1" t="s">
        <v>20</v>
      </c>
      <c r="C1" t="s">
        <v>25</v>
      </c>
      <c r="D1" s="1" t="s">
        <v>21</v>
      </c>
      <c r="E1" t="s">
        <v>9</v>
      </c>
      <c r="F1" t="s">
        <v>41</v>
      </c>
      <c r="G1" t="s">
        <v>10</v>
      </c>
      <c r="H1" t="s">
        <v>3</v>
      </c>
      <c r="I1" t="s">
        <v>23</v>
      </c>
      <c r="J1" t="s">
        <v>24</v>
      </c>
      <c r="K1" t="s">
        <v>26</v>
      </c>
      <c r="L1" t="s">
        <v>135</v>
      </c>
    </row>
    <row r="2" spans="1:13" s="5" customFormat="1" x14ac:dyDescent="0.35">
      <c r="A2" s="5">
        <v>1</v>
      </c>
      <c r="B2" s="17">
        <v>13846154</v>
      </c>
      <c r="C2" s="17">
        <v>1153846</v>
      </c>
      <c r="D2" s="17">
        <f>15*10^6/26</f>
        <v>576923.07692307688</v>
      </c>
      <c r="E2" s="17">
        <v>200000</v>
      </c>
      <c r="F2" s="17"/>
      <c r="G2" s="17">
        <f>15*10^6/26*1.5/8</f>
        <v>108173.07692307691</v>
      </c>
      <c r="H2" s="42">
        <f>15*10^6*10.5%</f>
        <v>1575000</v>
      </c>
      <c r="I2" s="42">
        <v>2012019.2307692305</v>
      </c>
      <c r="J2" s="42">
        <v>20000</v>
      </c>
      <c r="K2" s="17"/>
      <c r="L2" s="43"/>
      <c r="M2" s="44"/>
    </row>
    <row r="3" spans="1:13" s="5" customFormat="1" x14ac:dyDescent="0.35">
      <c r="A3" s="5" t="s">
        <v>133</v>
      </c>
      <c r="B3" s="17">
        <v>15000000</v>
      </c>
      <c r="C3" s="17"/>
      <c r="D3" s="17"/>
      <c r="E3" s="17"/>
      <c r="F3" s="17"/>
      <c r="G3" s="17"/>
      <c r="H3" s="42"/>
      <c r="I3" s="42"/>
      <c r="J3" s="42"/>
      <c r="K3" s="17"/>
      <c r="L3" s="43"/>
      <c r="M3" s="44"/>
    </row>
    <row r="4" spans="1:13" s="5" customFormat="1" x14ac:dyDescent="0.35">
      <c r="A4" s="5">
        <v>2</v>
      </c>
      <c r="B4" s="17">
        <f>15*10^6/26*20</f>
        <v>11538461.538461538</v>
      </c>
      <c r="C4" s="17">
        <f>B3/26*1</f>
        <v>576923.07692307688</v>
      </c>
      <c r="D4" s="17">
        <f>B3/26*5</f>
        <v>2884615.3846153845</v>
      </c>
      <c r="E4" s="17">
        <v>500000</v>
      </c>
      <c r="F4" s="17"/>
      <c r="G4" s="17">
        <f t="shared" ref="G4:G9" si="0">15*10^6/26*1.5/8</f>
        <v>108173.07692307691</v>
      </c>
      <c r="H4" s="17">
        <f t="shared" ref="H4:H7" si="1">15*10^6*10.5%</f>
        <v>1575000</v>
      </c>
      <c r="I4" s="17">
        <f t="shared" ref="I4:I9" si="2">IF((B4+D4+E4+G4+C4+F4-11*10^6-H4)&lt;0,0,(B4+D4+C4+E4+G4+F4-11*10^6-H4)*5%)</f>
        <v>151658.65384615373</v>
      </c>
      <c r="J4" s="17">
        <v>20000</v>
      </c>
      <c r="K4" s="17">
        <v>500000</v>
      </c>
      <c r="L4" s="17"/>
    </row>
    <row r="5" spans="1:13" s="5" customFormat="1" x14ac:dyDescent="0.35">
      <c r="A5" s="5">
        <v>3</v>
      </c>
      <c r="B5" s="17">
        <f>B3/26*23</f>
        <v>13269230.769230768</v>
      </c>
      <c r="C5" s="17">
        <f>B3/26*1</f>
        <v>576923.07692307688</v>
      </c>
      <c r="D5" s="17"/>
      <c r="E5" s="17"/>
      <c r="F5" s="17"/>
      <c r="G5" s="17">
        <f t="shared" si="0"/>
        <v>108173.07692307691</v>
      </c>
      <c r="H5" s="17">
        <f t="shared" si="1"/>
        <v>1575000</v>
      </c>
      <c r="I5" s="17">
        <f t="shared" si="2"/>
        <v>68966.346153846011</v>
      </c>
      <c r="J5" s="17">
        <v>20000</v>
      </c>
      <c r="K5" s="17"/>
      <c r="L5" s="17"/>
    </row>
    <row r="6" spans="1:13" s="5" customFormat="1" x14ac:dyDescent="0.35">
      <c r="A6" s="5">
        <v>4</v>
      </c>
      <c r="B6" s="17">
        <f>15*10^6/26*25</f>
        <v>14423076.923076922</v>
      </c>
      <c r="C6" s="17">
        <f>15*10^6/26*1</f>
        <v>576923.07692307688</v>
      </c>
      <c r="D6" s="17">
        <f>B3/26</f>
        <v>576923.07692307688</v>
      </c>
      <c r="E6" s="17">
        <v>200000</v>
      </c>
      <c r="F6" s="17">
        <v>200000</v>
      </c>
      <c r="G6" s="17">
        <f t="shared" si="0"/>
        <v>108173.07692307691</v>
      </c>
      <c r="H6" s="17">
        <f t="shared" si="1"/>
        <v>1575000</v>
      </c>
      <c r="I6" s="17">
        <f t="shared" si="2"/>
        <v>175504.80769230751</v>
      </c>
      <c r="J6" s="17">
        <v>20000</v>
      </c>
      <c r="K6" s="17"/>
      <c r="L6" s="17">
        <v>1369329</v>
      </c>
    </row>
    <row r="7" spans="1:13" s="5" customFormat="1" x14ac:dyDescent="0.35">
      <c r="A7" s="5">
        <v>5</v>
      </c>
      <c r="B7" s="17">
        <f>B3/26*21.5</f>
        <v>12403846.153846152</v>
      </c>
      <c r="C7" s="17">
        <f>B3/26*1.5</f>
        <v>865384.61538461526</v>
      </c>
      <c r="D7" s="17">
        <f>B3/26*2</f>
        <v>1153846.1538461538</v>
      </c>
      <c r="E7" s="17">
        <v>200000</v>
      </c>
      <c r="F7" s="17"/>
      <c r="G7" s="17">
        <f t="shared" si="0"/>
        <v>108173.07692307691</v>
      </c>
      <c r="H7" s="17">
        <f t="shared" si="1"/>
        <v>1575000</v>
      </c>
      <c r="I7" s="17">
        <f t="shared" si="2"/>
        <v>107812.49999999991</v>
      </c>
      <c r="J7" s="17">
        <v>20000</v>
      </c>
      <c r="K7" s="17"/>
      <c r="L7" s="45"/>
    </row>
    <row r="8" spans="1:13" s="5" customFormat="1" x14ac:dyDescent="0.35">
      <c r="A8" s="5">
        <v>6</v>
      </c>
      <c r="B8" s="17">
        <f>15*10^6/26*27</f>
        <v>15576923.076923076</v>
      </c>
      <c r="C8" s="17"/>
      <c r="D8" s="17"/>
      <c r="E8" s="17"/>
      <c r="F8" s="17"/>
      <c r="G8" s="17">
        <f t="shared" si="0"/>
        <v>108173.07692307691</v>
      </c>
      <c r="H8" s="17">
        <f t="shared" ref="H8:H9" si="3">15*10^6*10.5%</f>
        <v>1575000</v>
      </c>
      <c r="I8" s="17">
        <f t="shared" si="2"/>
        <v>155504.8076923076</v>
      </c>
      <c r="J8" s="17">
        <v>20000</v>
      </c>
      <c r="K8" s="17"/>
      <c r="L8" s="17"/>
    </row>
    <row r="9" spans="1:13" s="5" customFormat="1" x14ac:dyDescent="0.35">
      <c r="A9" s="5">
        <v>7</v>
      </c>
      <c r="B9" s="17">
        <f>15*10^6/26*22</f>
        <v>12692307.692307692</v>
      </c>
      <c r="C9" s="17">
        <f>15*10^6/26*3.5</f>
        <v>2019230.769230769</v>
      </c>
      <c r="D9" s="17"/>
      <c r="E9" s="17"/>
      <c r="F9" s="17">
        <v>200000</v>
      </c>
      <c r="G9" s="17">
        <f t="shared" si="0"/>
        <v>108173.07692307691</v>
      </c>
      <c r="H9" s="17">
        <f t="shared" si="3"/>
        <v>1575000</v>
      </c>
      <c r="I9" s="17">
        <f t="shared" si="2"/>
        <v>122235.57692307682</v>
      </c>
      <c r="J9" s="17">
        <v>20000</v>
      </c>
      <c r="K9" s="17"/>
      <c r="L9" s="17"/>
    </row>
    <row r="10" spans="1:13" s="5" customFormat="1" x14ac:dyDescent="0.35">
      <c r="A10" s="5">
        <v>8</v>
      </c>
      <c r="B10" s="17">
        <f>18*10^6/26*22</f>
        <v>15230769.23076923</v>
      </c>
      <c r="C10" s="17">
        <f>18*10^6/26*1</f>
        <v>692307.69230769225</v>
      </c>
      <c r="D10" s="17"/>
      <c r="E10" s="17"/>
      <c r="F10" s="17">
        <v>3000000</v>
      </c>
      <c r="G10" s="17">
        <f>18*10^6/26*1.5/8</f>
        <v>129807.6923076923</v>
      </c>
      <c r="H10" s="17">
        <f>18*10^6*10.5%</f>
        <v>1890000</v>
      </c>
      <c r="I10" s="17">
        <f>IF((B10+D10+E10+G10+C10+F10-11*10^6-H10)&lt;0,0,(B10+D10+C10+E10+G10+F10-11*10^6-H10)*10%-0.25*10^6)</f>
        <v>366288.46153846162</v>
      </c>
      <c r="J10" s="17">
        <v>20000</v>
      </c>
      <c r="K10" s="17"/>
      <c r="L10" s="17"/>
    </row>
    <row r="11" spans="1:13" s="5" customFormat="1" x14ac:dyDescent="0.35">
      <c r="A11" s="5">
        <v>9</v>
      </c>
      <c r="B11" s="17">
        <f>18*10^6/26*24</f>
        <v>16615384.615384614</v>
      </c>
      <c r="C11" s="17"/>
      <c r="D11" s="17">
        <f>18*10^6/26*2</f>
        <v>1384615.3846153845</v>
      </c>
      <c r="E11" s="17">
        <v>200000</v>
      </c>
      <c r="F11" s="17">
        <v>200000</v>
      </c>
      <c r="G11" s="17">
        <f t="shared" ref="G11:G15" si="4">18*10^6/26*1.5/8</f>
        <v>129807.6923076923</v>
      </c>
      <c r="H11" s="17">
        <f t="shared" ref="H11:H15" si="5">18*10^6*10.5%</f>
        <v>1890000</v>
      </c>
      <c r="I11" s="17">
        <f>IF((B11+D11+E11+G11+C11+F11-11*10^6-H11)&lt;0,0,(B11+D11+C11+E11+G11+F11-11*10^6-H11)*10%-0.25*10^6)</f>
        <v>313980.76923076925</v>
      </c>
      <c r="J11" s="17">
        <v>20000</v>
      </c>
      <c r="K11" s="17"/>
      <c r="L11" s="17"/>
    </row>
    <row r="12" spans="1:13" s="5" customFormat="1" x14ac:dyDescent="0.35">
      <c r="A12" s="5">
        <v>10</v>
      </c>
      <c r="B12" s="17">
        <f>18*10^6/26*22.5</f>
        <v>15576923.076923076</v>
      </c>
      <c r="C12" s="17"/>
      <c r="D12" s="17">
        <f>18*10^6/26*2</f>
        <v>1384615.3846153845</v>
      </c>
      <c r="E12" s="17"/>
      <c r="F12" s="17"/>
      <c r="G12" s="17">
        <f t="shared" si="4"/>
        <v>129807.6923076923</v>
      </c>
      <c r="H12" s="17">
        <f t="shared" si="5"/>
        <v>1890000</v>
      </c>
      <c r="I12" s="17">
        <f>IF((B12+D12+E12+G12+C12+F12-11*10^6-H12)&lt;0,0,(B12+D12+C12+E12+G12+F12-11*10^6-H12)*5%)</f>
        <v>210067.30769230763</v>
      </c>
      <c r="J12" s="17">
        <v>20000</v>
      </c>
      <c r="K12" s="17"/>
      <c r="L12" s="17"/>
    </row>
    <row r="13" spans="1:13" s="5" customFormat="1" x14ac:dyDescent="0.35">
      <c r="A13" s="5">
        <v>11</v>
      </c>
      <c r="B13" s="17">
        <f>18*10^6/26*25</f>
        <v>17307692.307692308</v>
      </c>
      <c r="C13" s="17">
        <f>18*10^6/26*1</f>
        <v>692307.69230769225</v>
      </c>
      <c r="D13" s="17"/>
      <c r="E13" s="17"/>
      <c r="F13" s="17"/>
      <c r="G13" s="17">
        <f t="shared" si="4"/>
        <v>129807.6923076923</v>
      </c>
      <c r="H13" s="17">
        <f t="shared" si="5"/>
        <v>1890000</v>
      </c>
      <c r="I13" s="17">
        <f t="shared" ref="I13" si="6">IF((B13+D13+E13+G13+C13+F13-11*10^6-H13)&lt;0,0,(B13+D13+C13+E13+G13+F13-11*10^6-H13)*10%-0.25*10^6)</f>
        <v>273980.76923076925</v>
      </c>
      <c r="J13" s="17">
        <v>20000</v>
      </c>
      <c r="K13" s="17"/>
      <c r="L13" s="17"/>
    </row>
    <row r="14" spans="1:13" s="5" customFormat="1" x14ac:dyDescent="0.35">
      <c r="A14" s="5">
        <v>13</v>
      </c>
      <c r="B14" s="17">
        <v>18000000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3" x14ac:dyDescent="0.35">
      <c r="A15">
        <v>12</v>
      </c>
      <c r="B15" s="1">
        <v>13846153.846153844</v>
      </c>
      <c r="C15" s="1"/>
      <c r="E15" s="1"/>
      <c r="F15" s="1"/>
      <c r="G15" s="20">
        <f t="shared" si="4"/>
        <v>129807.6923076923</v>
      </c>
      <c r="H15" s="20">
        <f t="shared" si="5"/>
        <v>1890000</v>
      </c>
      <c r="I15" s="20">
        <v>0</v>
      </c>
      <c r="J15" s="20">
        <v>20000</v>
      </c>
      <c r="K15" s="1"/>
      <c r="L15" s="1"/>
    </row>
    <row r="16" spans="1:13" x14ac:dyDescent="0.35">
      <c r="A16" t="s">
        <v>27</v>
      </c>
      <c r="B16" s="1"/>
      <c r="C16" s="1"/>
      <c r="E16" s="1"/>
      <c r="F16" s="1"/>
      <c r="G16" s="1"/>
    </row>
    <row r="17" spans="2:12" x14ac:dyDescent="0.35">
      <c r="B17" s="1">
        <f>SUM(B2:G14)</f>
        <v>212772596.15384609</v>
      </c>
      <c r="C17" s="1"/>
      <c r="E17" s="1"/>
      <c r="F17" s="1"/>
      <c r="G17" s="1"/>
      <c r="H17" s="1">
        <f>SUM(H2:H14)</f>
        <v>18585000</v>
      </c>
      <c r="I17" s="1">
        <f>SUM(I2:I14)</f>
        <v>3958019.2307692301</v>
      </c>
    </row>
    <row r="18" spans="2:12" x14ac:dyDescent="0.35">
      <c r="B18" s="1"/>
      <c r="C18" s="1"/>
      <c r="E18" s="1"/>
      <c r="F18" s="1"/>
      <c r="G18" s="1"/>
      <c r="H18" s="6"/>
      <c r="I18" s="6"/>
    </row>
    <row r="19" spans="2:12" x14ac:dyDescent="0.35">
      <c r="B19" s="1"/>
      <c r="C19" s="1"/>
      <c r="E19" s="1"/>
      <c r="F19" s="1"/>
      <c r="G19" s="1"/>
      <c r="H19" s="6" t="s">
        <v>137</v>
      </c>
      <c r="I19" s="4">
        <f>(B17-11*10^6*12-H17)</f>
        <v>62187596.153846085</v>
      </c>
    </row>
    <row r="20" spans="2:12" x14ac:dyDescent="0.35">
      <c r="B20" s="1">
        <v>212772597</v>
      </c>
      <c r="C20" s="1"/>
      <c r="E20" s="1"/>
      <c r="F20" s="1"/>
      <c r="G20" s="1"/>
      <c r="H20" s="21" t="s">
        <v>28</v>
      </c>
      <c r="I20" s="4">
        <f>I19/12</f>
        <v>5182299.6794871734</v>
      </c>
    </row>
    <row r="21" spans="2:12" x14ac:dyDescent="0.35">
      <c r="B21" s="1"/>
      <c r="C21" s="1"/>
      <c r="E21" s="1"/>
      <c r="F21" s="1"/>
      <c r="G21" s="1"/>
      <c r="H21" s="21" t="s">
        <v>29</v>
      </c>
      <c r="I21" s="4">
        <f>I20*5%</f>
        <v>259114.98397435868</v>
      </c>
    </row>
    <row r="22" spans="2:12" x14ac:dyDescent="0.35">
      <c r="B22" s="1"/>
      <c r="C22" s="1"/>
      <c r="E22" s="1"/>
      <c r="F22" s="1"/>
      <c r="G22" s="1"/>
      <c r="H22" s="21" t="s">
        <v>30</v>
      </c>
      <c r="I22" s="4">
        <f>I21*12</f>
        <v>3109379.8076923043</v>
      </c>
    </row>
    <row r="23" spans="2:12" x14ac:dyDescent="0.35">
      <c r="B23" s="1"/>
      <c r="C23" s="1"/>
      <c r="E23" s="1"/>
      <c r="F23" s="1"/>
      <c r="G23" s="1"/>
      <c r="H23" s="21" t="s">
        <v>31</v>
      </c>
      <c r="I23" s="4">
        <f>SUM(I2:I15)-I22</f>
        <v>848639.4230769258</v>
      </c>
    </row>
    <row r="24" spans="2:12" x14ac:dyDescent="0.35">
      <c r="B24" s="1"/>
      <c r="C24" s="1"/>
      <c r="E24" s="1"/>
      <c r="F24" s="1"/>
      <c r="G24" s="1"/>
    </row>
    <row r="25" spans="2:12" x14ac:dyDescent="0.35">
      <c r="B25" s="1"/>
      <c r="C25" s="1"/>
      <c r="E25" s="1"/>
      <c r="F25" s="1"/>
      <c r="G25" s="1"/>
      <c r="H25" t="s">
        <v>57</v>
      </c>
      <c r="I25" s="1">
        <f>12*11*10^6</f>
        <v>132000000</v>
      </c>
      <c r="L25" s="10"/>
    </row>
    <row r="26" spans="2:12" x14ac:dyDescent="0.35">
      <c r="B26" s="1"/>
      <c r="C26" s="1"/>
      <c r="E26" s="1"/>
      <c r="F26" s="1"/>
      <c r="G26" s="1"/>
      <c r="H26" t="s">
        <v>63</v>
      </c>
      <c r="I26" s="1">
        <v>0</v>
      </c>
      <c r="L26" s="10"/>
    </row>
    <row r="27" spans="2:12" x14ac:dyDescent="0.35">
      <c r="B27" s="1"/>
      <c r="C27" s="1"/>
      <c r="E27" s="1"/>
      <c r="F27" s="1"/>
      <c r="G27" s="1"/>
      <c r="H27" t="s">
        <v>58</v>
      </c>
      <c r="I27" s="1">
        <f>SUM(B2:G14)-SUM(H2:H14)-I25-I26</f>
        <v>62187596.153846085</v>
      </c>
      <c r="L27" s="10"/>
    </row>
    <row r="28" spans="2:12" x14ac:dyDescent="0.35">
      <c r="B28" s="1"/>
      <c r="C28" s="1"/>
      <c r="E28" s="1"/>
      <c r="F28" s="1"/>
      <c r="G28" s="1"/>
      <c r="H28" t="s">
        <v>28</v>
      </c>
      <c r="I28" s="1">
        <f>I27/12</f>
        <v>5182299.6794871734</v>
      </c>
      <c r="L28" s="10"/>
    </row>
    <row r="29" spans="2:12" x14ac:dyDescent="0.35">
      <c r="H29" t="s">
        <v>59</v>
      </c>
      <c r="I29" s="1">
        <f>I28*10%-0.25*10^6</f>
        <v>268229.96794871736</v>
      </c>
      <c r="L29" s="10"/>
    </row>
    <row r="30" spans="2:12" x14ac:dyDescent="0.35">
      <c r="H30" t="s">
        <v>60</v>
      </c>
      <c r="I30" s="1">
        <f>I29*12</f>
        <v>3218759.6153846085</v>
      </c>
      <c r="L30" s="10"/>
    </row>
    <row r="31" spans="2:12" x14ac:dyDescent="0.35">
      <c r="H31" t="s">
        <v>61</v>
      </c>
      <c r="I31" s="1">
        <f>SUM(I2:I15)</f>
        <v>3958019.2307692301</v>
      </c>
      <c r="L31" s="10"/>
    </row>
    <row r="32" spans="2:12" x14ac:dyDescent="0.35">
      <c r="H32" t="s">
        <v>62</v>
      </c>
      <c r="I32" s="7">
        <f>I31-I30</f>
        <v>739259.61538462155</v>
      </c>
      <c r="L32" s="11"/>
    </row>
    <row r="33" spans="9:12" x14ac:dyDescent="0.35">
      <c r="I33" s="1"/>
      <c r="L33" s="10"/>
    </row>
    <row r="34" spans="9:12" x14ac:dyDescent="0.35">
      <c r="L34" s="1"/>
    </row>
    <row r="35" spans="9:12" x14ac:dyDescent="0.35">
      <c r="J35" s="6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A7C9-B7EE-4E99-9A40-D38EE26DC23D}">
  <sheetPr codeName="Sheet22"/>
  <dimension ref="A1:H22"/>
  <sheetViews>
    <sheetView workbookViewId="0">
      <selection activeCell="E3" sqref="E3"/>
    </sheetView>
  </sheetViews>
  <sheetFormatPr defaultRowHeight="14.5" x14ac:dyDescent="0.35"/>
  <cols>
    <col min="1" max="1" width="19.36328125" bestFit="1" customWidth="1"/>
    <col min="2" max="2" width="13.81640625" bestFit="1" customWidth="1"/>
    <col min="3" max="3" width="11.1796875" style="1" bestFit="1" customWidth="1"/>
    <col min="4" max="4" width="10.90625" style="1" bestFit="1" customWidth="1"/>
    <col min="5" max="5" width="37" bestFit="1" customWidth="1"/>
    <col min="6" max="6" width="49.1796875" bestFit="1" customWidth="1"/>
    <col min="7" max="7" width="12.54296875" bestFit="1" customWidth="1"/>
    <col min="8" max="8" width="12.7265625" bestFit="1" customWidth="1"/>
  </cols>
  <sheetData>
    <row r="1" spans="1:8" x14ac:dyDescent="0.35">
      <c r="B1" s="1"/>
      <c r="C1" s="1" t="s">
        <v>3</v>
      </c>
      <c r="D1" s="1" t="s">
        <v>4</v>
      </c>
      <c r="E1" s="1" t="s">
        <v>5</v>
      </c>
      <c r="F1" s="1" t="s">
        <v>13</v>
      </c>
      <c r="G1" s="1"/>
    </row>
    <row r="2" spans="1:8" x14ac:dyDescent="0.35">
      <c r="A2" s="5" t="s">
        <v>50</v>
      </c>
      <c r="B2" s="1"/>
      <c r="E2" s="1"/>
      <c r="F2" s="1"/>
      <c r="G2" s="1"/>
    </row>
    <row r="3" spans="1:8" x14ac:dyDescent="0.35">
      <c r="A3" t="s">
        <v>0</v>
      </c>
      <c r="B3" s="1">
        <f>18000000/26*25</f>
        <v>17307692.307692308</v>
      </c>
      <c r="C3" s="1">
        <f>18*10^6*10.5%</f>
        <v>1890000</v>
      </c>
      <c r="D3" s="1">
        <v>20000</v>
      </c>
      <c r="E3" s="1">
        <f>(B9-C3-11*10^6)*20%-1.65*10^6</f>
        <v>2997961.538461539</v>
      </c>
      <c r="F3" s="8">
        <f>B9-C3-D3-E3</f>
        <v>31221846.153846156</v>
      </c>
      <c r="G3" s="1"/>
    </row>
    <row r="4" spans="1:8" x14ac:dyDescent="0.35">
      <c r="A4" t="s">
        <v>48</v>
      </c>
      <c r="B4" s="1">
        <f>18*10^6/26</f>
        <v>692307.69230769225</v>
      </c>
      <c r="E4" s="1"/>
      <c r="F4" s="1"/>
      <c r="G4" s="1"/>
    </row>
    <row r="5" spans="1:8" x14ac:dyDescent="0.35">
      <c r="A5" t="s">
        <v>32</v>
      </c>
      <c r="B5" s="1"/>
      <c r="E5" s="1"/>
      <c r="F5" s="1"/>
      <c r="G5" s="1"/>
    </row>
    <row r="6" spans="1:8" x14ac:dyDescent="0.35">
      <c r="A6" t="s">
        <v>9</v>
      </c>
      <c r="B6" s="1"/>
      <c r="E6" s="1"/>
      <c r="F6" s="1"/>
      <c r="G6" s="1"/>
    </row>
    <row r="7" spans="1:8" x14ac:dyDescent="0.35">
      <c r="A7" t="s">
        <v>10</v>
      </c>
      <c r="B7" s="1">
        <f>18*10^6/26/8*1.5</f>
        <v>129807.6923076923</v>
      </c>
      <c r="E7" s="1"/>
      <c r="F7" s="1"/>
      <c r="G7" s="1"/>
    </row>
    <row r="8" spans="1:8" x14ac:dyDescent="0.35">
      <c r="A8" t="s">
        <v>51</v>
      </c>
      <c r="B8" s="1">
        <f>18*10^6</f>
        <v>18000000</v>
      </c>
      <c r="E8" s="1"/>
      <c r="F8" s="1"/>
      <c r="G8" s="1"/>
    </row>
    <row r="9" spans="1:8" x14ac:dyDescent="0.35">
      <c r="A9" t="s">
        <v>11</v>
      </c>
      <c r="B9" s="1">
        <f>SUM(B3:B8)</f>
        <v>36129807.692307696</v>
      </c>
      <c r="E9" s="1"/>
      <c r="F9" s="1"/>
      <c r="G9" s="1"/>
      <c r="H9" s="13"/>
    </row>
    <row r="10" spans="1:8" x14ac:dyDescent="0.35">
      <c r="A10" s="5"/>
      <c r="B10" s="10"/>
      <c r="C10" s="10"/>
      <c r="D10" s="10"/>
      <c r="E10" s="6"/>
      <c r="F10" s="10"/>
      <c r="H10" s="1"/>
    </row>
    <row r="11" spans="1:8" x14ac:dyDescent="0.35">
      <c r="B11" s="1"/>
      <c r="C11" s="10"/>
      <c r="D11" s="10"/>
      <c r="E11" s="15">
        <v>45926</v>
      </c>
      <c r="F11" s="15">
        <v>45955</v>
      </c>
      <c r="H11" s="1"/>
    </row>
    <row r="12" spans="1:8" x14ac:dyDescent="0.35">
      <c r="B12" s="1"/>
      <c r="C12" s="10"/>
      <c r="D12" s="10"/>
      <c r="E12" s="11"/>
      <c r="F12" s="12"/>
      <c r="H12" s="1"/>
    </row>
    <row r="13" spans="1:8" x14ac:dyDescent="0.35">
      <c r="B13" s="1"/>
      <c r="C13" s="14"/>
      <c r="D13" s="10"/>
      <c r="E13">
        <f>NETWORKDAYS.INTL(E11, F11,11)</f>
        <v>26</v>
      </c>
      <c r="H13" s="1"/>
    </row>
    <row r="14" spans="1:8" x14ac:dyDescent="0.35">
      <c r="A14" s="15"/>
      <c r="B14" s="10"/>
      <c r="C14" s="10"/>
      <c r="D14" s="10"/>
    </row>
    <row r="15" spans="1:8" x14ac:dyDescent="0.35">
      <c r="A15" s="15"/>
      <c r="B15" s="10"/>
      <c r="C15" s="10"/>
      <c r="D15" s="10"/>
    </row>
    <row r="16" spans="1:8" x14ac:dyDescent="0.35">
      <c r="A16" s="15"/>
      <c r="B16" s="10"/>
      <c r="C16" s="10"/>
      <c r="D16" s="10"/>
      <c r="E16">
        <f>18000000</f>
        <v>18000000</v>
      </c>
      <c r="F16" s="1">
        <v>10500000</v>
      </c>
      <c r="G16" s="1">
        <v>15000000</v>
      </c>
    </row>
    <row r="17" spans="1:7" s="10" customFormat="1" x14ac:dyDescent="0.35">
      <c r="A17" s="15"/>
      <c r="E17" s="10">
        <f>E16/24</f>
        <v>750000</v>
      </c>
      <c r="F17" s="10">
        <f>F16/24</f>
        <v>437500</v>
      </c>
      <c r="G17" s="10">
        <f>G16/26</f>
        <v>576923.07692307688</v>
      </c>
    </row>
    <row r="18" spans="1:7" s="1" customFormat="1" x14ac:dyDescent="0.35">
      <c r="A18" s="15"/>
      <c r="E18" s="16">
        <f>E17*75%</f>
        <v>562500</v>
      </c>
      <c r="F18" s="1">
        <f>F17*75%</f>
        <v>328125</v>
      </c>
      <c r="G18" s="1">
        <f>G17*75%</f>
        <v>432692.30769230763</v>
      </c>
    </row>
    <row r="19" spans="1:7" x14ac:dyDescent="0.35">
      <c r="B19" s="6"/>
    </row>
    <row r="20" spans="1:7" x14ac:dyDescent="0.35">
      <c r="A20" s="1"/>
      <c r="B20" s="6"/>
      <c r="E20" s="17">
        <f>E18*5</f>
        <v>2812500</v>
      </c>
    </row>
    <row r="21" spans="1:7" x14ac:dyDescent="0.35">
      <c r="E21" s="1">
        <f>B4*5</f>
        <v>3461538.461538461</v>
      </c>
    </row>
    <row r="22" spans="1:7" x14ac:dyDescent="0.35">
      <c r="E22" s="6">
        <f>E21-E20</f>
        <v>649038.46153846104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T09</vt:lpstr>
      <vt:lpstr>Tháng 12</vt:lpstr>
      <vt:lpstr>T1.25</vt:lpstr>
      <vt:lpstr>T2.25</vt:lpstr>
      <vt:lpstr>T3.25</vt:lpstr>
      <vt:lpstr>T4.25</vt:lpstr>
      <vt:lpstr>T5.25</vt:lpstr>
      <vt:lpstr>T6.25</vt:lpstr>
      <vt:lpstr>T7.25</vt:lpstr>
      <vt:lpstr>T8.25</vt:lpstr>
      <vt:lpstr>T9.25</vt:lpstr>
      <vt:lpstr>T10.2025</vt:lpstr>
      <vt:lpstr>T11.2025</vt:lpstr>
      <vt:lpstr>T12.2025</vt:lpstr>
      <vt:lpstr>T01.26</vt:lpstr>
      <vt:lpstr>T02.26-ok</vt:lpstr>
      <vt:lpstr>T03.26</vt:lpstr>
      <vt:lpstr>T04.26</vt:lpstr>
      <vt:lpstr>T05.26</vt:lpstr>
      <vt:lpstr>T06.26</vt:lpstr>
      <vt:lpstr>Sheet1</vt:lpstr>
      <vt:lpstr>Sắm đồ</vt:lpstr>
      <vt:lpstr>Tính quyết toán thuế 2024</vt:lpstr>
      <vt:lpstr>Tính quyết toán thuế 2025</vt:lpstr>
      <vt:lpstr>T12.2025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Huyền, Lữ Ngọc Mỹ</dc:creator>
  <cp:lastModifiedBy>Huyền, Lữ Ngọc Mỹ</cp:lastModifiedBy>
  <dcterms:created xsi:type="dcterms:W3CDTF">2024-10-03T03:50:55Z</dcterms:created>
  <dcterms:modified xsi:type="dcterms:W3CDTF">2026-06-09T09:19:52Z</dcterms:modified>
</cp:coreProperties>
</file>