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rojetos\ufabc\publicos\ufabc-bd-pogym\_docs\"/>
    </mc:Choice>
  </mc:AlternateContent>
  <bookViews>
    <workbookView xWindow="0" yWindow="0" windowWidth="24000" windowHeight="9600"/>
  </bookViews>
  <sheets>
    <sheet name="Recuperada_Planilha1" sheetId="1" r:id="rId1"/>
    <sheet name="Leveling Info" sheetId="2" r:id="rId2"/>
    <sheet name="Go Base Stats" sheetId="3" r:id="rId3"/>
    <sheet name="Type Advantage Chart" sheetId="4" r:id="rId4"/>
    <sheet name="Move sets" sheetId="5" r:id="rId5"/>
    <sheet name="Recuperada_Planilha2" sheetId="6" r:id="rId6"/>
    <sheet name="Form Responses (How much CP did" sheetId="7" r:id="rId7"/>
    <sheet name="Form Responses (Power-up data)" sheetId="8" r:id="rId8"/>
    <sheet name="Form Responses (Pokemon Stats)" sheetId="9" r:id="rId9"/>
    <sheet name="Pokemon Science 2.0 data" sheetId="10" r:id="rId10"/>
    <sheet name="Graphs" sheetId="11" r:id="rId11"/>
    <sheet name="Base Stats" sheetId="12" r:id="rId12"/>
  </sheets>
  <externalReferences>
    <externalReference r:id="rId13"/>
  </externalReferences>
  <calcPr calcId="162913"/>
  <fileRecoveryPr repairLoad="1"/>
</workbook>
</file>

<file path=xl/calcChain.xml><?xml version="1.0" encoding="utf-8"?>
<calcChain xmlns="http://schemas.openxmlformats.org/spreadsheetml/2006/main">
  <c r="F943" i="10" l="1"/>
  <c r="C943" i="10"/>
  <c r="B943" i="10"/>
  <c r="A943" i="10"/>
  <c r="F942" i="10"/>
  <c r="C942" i="10"/>
  <c r="B942" i="10"/>
  <c r="A942" i="10"/>
  <c r="F941" i="10"/>
  <c r="C941" i="10"/>
  <c r="B941" i="10"/>
  <c r="A941" i="10"/>
  <c r="F940" i="10"/>
  <c r="C940" i="10"/>
  <c r="B940" i="10"/>
  <c r="A940" i="10"/>
  <c r="F939" i="10"/>
  <c r="C939" i="10"/>
  <c r="B939" i="10"/>
  <c r="A939" i="10"/>
  <c r="F938" i="10"/>
  <c r="C938" i="10"/>
  <c r="B938" i="10"/>
  <c r="A938" i="10"/>
  <c r="F937" i="10"/>
  <c r="C937" i="10"/>
  <c r="B937" i="10"/>
  <c r="A937" i="10"/>
  <c r="F936" i="10"/>
  <c r="C936" i="10"/>
  <c r="B936" i="10"/>
  <c r="A936" i="10"/>
  <c r="F935" i="10"/>
  <c r="C935" i="10"/>
  <c r="B935" i="10"/>
  <c r="A935" i="10"/>
  <c r="F934" i="10"/>
  <c r="C934" i="10"/>
  <c r="B934" i="10"/>
  <c r="A934" i="10"/>
  <c r="F933" i="10"/>
  <c r="C933" i="10"/>
  <c r="B933" i="10"/>
  <c r="A933" i="10"/>
  <c r="F932" i="10"/>
  <c r="C932" i="10"/>
  <c r="B932" i="10"/>
  <c r="A932" i="10"/>
  <c r="F931" i="10"/>
  <c r="C931" i="10"/>
  <c r="B931" i="10"/>
  <c r="A931" i="10"/>
  <c r="F930" i="10"/>
  <c r="C930" i="10"/>
  <c r="B930" i="10"/>
  <c r="A930" i="10"/>
  <c r="F929" i="10"/>
  <c r="C929" i="10"/>
  <c r="B929" i="10"/>
  <c r="A929" i="10"/>
  <c r="F928" i="10"/>
  <c r="C928" i="10"/>
  <c r="B928" i="10"/>
  <c r="A928" i="10"/>
  <c r="F927" i="10"/>
  <c r="C927" i="10"/>
  <c r="B927" i="10"/>
  <c r="A927" i="10"/>
  <c r="F926" i="10"/>
  <c r="C926" i="10"/>
  <c r="B926" i="10"/>
  <c r="A926" i="10"/>
  <c r="F925" i="10"/>
  <c r="C925" i="10"/>
  <c r="B925" i="10"/>
  <c r="A925" i="10"/>
  <c r="F924" i="10"/>
  <c r="C924" i="10"/>
  <c r="B924" i="10"/>
  <c r="A924" i="10"/>
  <c r="F923" i="10"/>
  <c r="C923" i="10"/>
  <c r="B923" i="10"/>
  <c r="A923" i="10"/>
  <c r="F922" i="10"/>
  <c r="C922" i="10"/>
  <c r="B922" i="10"/>
  <c r="A922" i="10"/>
  <c r="F921" i="10"/>
  <c r="C921" i="10"/>
  <c r="B921" i="10"/>
  <c r="A921" i="10"/>
  <c r="F920" i="10"/>
  <c r="C920" i="10"/>
  <c r="B920" i="10"/>
  <c r="A920" i="10"/>
  <c r="F919" i="10"/>
  <c r="C919" i="10"/>
  <c r="B919" i="10"/>
  <c r="A919" i="10"/>
  <c r="F918" i="10"/>
  <c r="C918" i="10"/>
  <c r="B918" i="10"/>
  <c r="A918" i="10"/>
  <c r="F917" i="10"/>
  <c r="C917" i="10"/>
  <c r="B917" i="10"/>
  <c r="A917" i="10"/>
  <c r="F916" i="10"/>
  <c r="C916" i="10"/>
  <c r="B916" i="10"/>
  <c r="A916" i="10"/>
  <c r="F915" i="10"/>
  <c r="C915" i="10"/>
  <c r="B915" i="10"/>
  <c r="A915" i="10"/>
  <c r="F914" i="10"/>
  <c r="C914" i="10"/>
  <c r="B914" i="10"/>
  <c r="A914" i="10"/>
  <c r="F913" i="10"/>
  <c r="C913" i="10"/>
  <c r="B913" i="10"/>
  <c r="A913" i="10"/>
  <c r="F912" i="10"/>
  <c r="C912" i="10"/>
  <c r="B912" i="10"/>
  <c r="A912" i="10"/>
  <c r="F911" i="10"/>
  <c r="C911" i="10"/>
  <c r="B911" i="10"/>
  <c r="A911" i="10"/>
  <c r="F910" i="10"/>
  <c r="C910" i="10"/>
  <c r="B910" i="10"/>
  <c r="A910" i="10"/>
  <c r="F909" i="10"/>
  <c r="C909" i="10"/>
  <c r="B909" i="10"/>
  <c r="A909" i="10"/>
  <c r="F908" i="10"/>
  <c r="C908" i="10"/>
  <c r="B908" i="10"/>
  <c r="A908" i="10"/>
  <c r="F907" i="10"/>
  <c r="C907" i="10"/>
  <c r="B907" i="10"/>
  <c r="A907" i="10"/>
  <c r="F906" i="10"/>
  <c r="C906" i="10"/>
  <c r="B906" i="10"/>
  <c r="A906" i="10"/>
  <c r="F905" i="10"/>
  <c r="C905" i="10"/>
  <c r="B905" i="10"/>
  <c r="A905" i="10"/>
  <c r="F904" i="10"/>
  <c r="C904" i="10"/>
  <c r="B904" i="10"/>
  <c r="A904" i="10"/>
  <c r="F903" i="10"/>
  <c r="C903" i="10"/>
  <c r="B903" i="10"/>
  <c r="A903" i="10"/>
  <c r="F902" i="10"/>
  <c r="C902" i="10"/>
  <c r="B902" i="10"/>
  <c r="A902" i="10"/>
  <c r="F901" i="10"/>
  <c r="C901" i="10"/>
  <c r="B901" i="10"/>
  <c r="A901" i="10"/>
  <c r="F900" i="10"/>
  <c r="C900" i="10"/>
  <c r="B900" i="10"/>
  <c r="A900" i="10"/>
  <c r="F899" i="10"/>
  <c r="C899" i="10"/>
  <c r="B899" i="10"/>
  <c r="A899" i="10"/>
  <c r="F898" i="10"/>
  <c r="C898" i="10"/>
  <c r="B898" i="10"/>
  <c r="A898" i="10"/>
  <c r="F897" i="10"/>
  <c r="C897" i="10"/>
  <c r="B897" i="10"/>
  <c r="A897" i="10"/>
  <c r="F896" i="10"/>
  <c r="C896" i="10"/>
  <c r="B896" i="10"/>
  <c r="A896" i="10"/>
  <c r="F895" i="10"/>
  <c r="C895" i="10"/>
  <c r="B895" i="10"/>
  <c r="A895" i="10"/>
  <c r="F894" i="10"/>
  <c r="C894" i="10"/>
  <c r="B894" i="10"/>
  <c r="A894" i="10"/>
  <c r="F893" i="10"/>
  <c r="C893" i="10"/>
  <c r="B893" i="10"/>
  <c r="A893" i="10"/>
  <c r="F892" i="10"/>
  <c r="C892" i="10"/>
  <c r="B892" i="10"/>
  <c r="A892" i="10"/>
  <c r="F891" i="10"/>
  <c r="C891" i="10"/>
  <c r="B891" i="10"/>
  <c r="A891" i="10"/>
  <c r="F890" i="10"/>
  <c r="C890" i="10"/>
  <c r="B890" i="10"/>
  <c r="A890" i="10"/>
  <c r="F889" i="10"/>
  <c r="C889" i="10"/>
  <c r="B889" i="10"/>
  <c r="A889" i="10"/>
  <c r="F888" i="10"/>
  <c r="C888" i="10"/>
  <c r="B888" i="10"/>
  <c r="A888" i="10"/>
  <c r="F887" i="10"/>
  <c r="C887" i="10"/>
  <c r="B887" i="10"/>
  <c r="A887" i="10"/>
  <c r="F886" i="10"/>
  <c r="C886" i="10"/>
  <c r="B886" i="10"/>
  <c r="A886" i="10"/>
  <c r="F885" i="10"/>
  <c r="C885" i="10"/>
  <c r="B885" i="10"/>
  <c r="A885" i="10"/>
  <c r="F884" i="10"/>
  <c r="C884" i="10"/>
  <c r="B884" i="10"/>
  <c r="A884" i="10"/>
  <c r="F883" i="10"/>
  <c r="C883" i="10"/>
  <c r="B883" i="10"/>
  <c r="A883" i="10"/>
  <c r="F882" i="10"/>
  <c r="C882" i="10"/>
  <c r="B882" i="10"/>
  <c r="A882" i="10"/>
  <c r="F881" i="10"/>
  <c r="C881" i="10"/>
  <c r="B881" i="10"/>
  <c r="A881" i="10"/>
  <c r="F880" i="10"/>
  <c r="C880" i="10"/>
  <c r="B880" i="10"/>
  <c r="A880" i="10"/>
  <c r="F879" i="10"/>
  <c r="C879" i="10"/>
  <c r="B879" i="10"/>
  <c r="A879" i="10"/>
  <c r="F878" i="10"/>
  <c r="C878" i="10"/>
  <c r="B878" i="10"/>
  <c r="A878" i="10"/>
  <c r="F877" i="10"/>
  <c r="C877" i="10"/>
  <c r="B877" i="10"/>
  <c r="A877" i="10"/>
  <c r="F876" i="10"/>
  <c r="C876" i="10"/>
  <c r="B876" i="10"/>
  <c r="A876" i="10"/>
  <c r="F875" i="10"/>
  <c r="C875" i="10"/>
  <c r="B875" i="10"/>
  <c r="A875" i="10"/>
  <c r="F874" i="10"/>
  <c r="C874" i="10"/>
  <c r="B874" i="10"/>
  <c r="A874" i="10"/>
  <c r="F873" i="10"/>
  <c r="C873" i="10"/>
  <c r="B873" i="10"/>
  <c r="A873" i="10"/>
  <c r="F872" i="10"/>
  <c r="C872" i="10"/>
  <c r="B872" i="10"/>
  <c r="A872" i="10"/>
  <c r="F871" i="10"/>
  <c r="C871" i="10"/>
  <c r="B871" i="10"/>
  <c r="A871" i="10"/>
  <c r="F870" i="10"/>
  <c r="C870" i="10"/>
  <c r="B870" i="10"/>
  <c r="A870" i="10"/>
  <c r="F869" i="10"/>
  <c r="C869" i="10"/>
  <c r="B869" i="10"/>
  <c r="A869" i="10"/>
  <c r="F868" i="10"/>
  <c r="C868" i="10"/>
  <c r="B868" i="10"/>
  <c r="A868" i="10"/>
  <c r="F867" i="10"/>
  <c r="C867" i="10"/>
  <c r="B867" i="10"/>
  <c r="A867" i="10"/>
  <c r="F866" i="10"/>
  <c r="C866" i="10"/>
  <c r="B866" i="10"/>
  <c r="A866" i="10"/>
  <c r="F865" i="10"/>
  <c r="C865" i="10"/>
  <c r="B865" i="10"/>
  <c r="A865" i="10"/>
  <c r="F864" i="10"/>
  <c r="C864" i="10"/>
  <c r="B864" i="10"/>
  <c r="A864" i="10"/>
  <c r="F863" i="10"/>
  <c r="C863" i="10"/>
  <c r="B863" i="10"/>
  <c r="A863" i="10"/>
  <c r="F862" i="10"/>
  <c r="C862" i="10"/>
  <c r="B862" i="10"/>
  <c r="A862" i="10"/>
  <c r="F861" i="10"/>
  <c r="C861" i="10"/>
  <c r="B861" i="10"/>
  <c r="A861" i="10"/>
  <c r="F860" i="10"/>
  <c r="C860" i="10"/>
  <c r="B860" i="10"/>
  <c r="A860" i="10"/>
  <c r="F859" i="10"/>
  <c r="C859" i="10"/>
  <c r="B859" i="10"/>
  <c r="A859" i="10"/>
  <c r="F858" i="10"/>
  <c r="C858" i="10"/>
  <c r="B858" i="10"/>
  <c r="A858" i="10"/>
  <c r="F857" i="10"/>
  <c r="C857" i="10"/>
  <c r="B857" i="10"/>
  <c r="A857" i="10"/>
  <c r="F856" i="10"/>
  <c r="C856" i="10"/>
  <c r="B856" i="10"/>
  <c r="A856" i="10"/>
  <c r="F855" i="10"/>
  <c r="C855" i="10"/>
  <c r="B855" i="10"/>
  <c r="A855" i="10"/>
  <c r="F854" i="10"/>
  <c r="C854" i="10"/>
  <c r="B854" i="10"/>
  <c r="A854" i="10"/>
  <c r="F853" i="10"/>
  <c r="C853" i="10"/>
  <c r="B853" i="10"/>
  <c r="A853" i="10"/>
  <c r="F852" i="10"/>
  <c r="C852" i="10"/>
  <c r="B852" i="10"/>
  <c r="A852" i="10"/>
  <c r="F851" i="10"/>
  <c r="C851" i="10"/>
  <c r="B851" i="10"/>
  <c r="A851" i="10"/>
  <c r="F850" i="10"/>
  <c r="C850" i="10"/>
  <c r="B850" i="10"/>
  <c r="A850" i="10"/>
  <c r="F849" i="10"/>
  <c r="C849" i="10"/>
  <c r="B849" i="10"/>
  <c r="A849" i="10"/>
  <c r="F848" i="10"/>
  <c r="C848" i="10"/>
  <c r="B848" i="10"/>
  <c r="A848" i="10"/>
  <c r="F847" i="10"/>
  <c r="C847" i="10"/>
  <c r="B847" i="10"/>
  <c r="A847" i="10"/>
  <c r="F846" i="10"/>
  <c r="C846" i="10"/>
  <c r="B846" i="10"/>
  <c r="A846" i="10"/>
  <c r="F845" i="10"/>
  <c r="C845" i="10"/>
  <c r="B845" i="10"/>
  <c r="A845" i="10"/>
  <c r="F844" i="10"/>
  <c r="C844" i="10"/>
  <c r="B844" i="10"/>
  <c r="A844" i="10"/>
  <c r="F843" i="10"/>
  <c r="C843" i="10"/>
  <c r="B843" i="10"/>
  <c r="A843" i="10"/>
  <c r="F842" i="10"/>
  <c r="C842" i="10"/>
  <c r="B842" i="10"/>
  <c r="A842" i="10"/>
  <c r="F841" i="10"/>
  <c r="C841" i="10"/>
  <c r="B841" i="10"/>
  <c r="A841" i="10"/>
  <c r="F840" i="10"/>
  <c r="C840" i="10"/>
  <c r="B840" i="10"/>
  <c r="A840" i="10"/>
  <c r="F839" i="10"/>
  <c r="C839" i="10"/>
  <c r="B839" i="10"/>
  <c r="A839" i="10"/>
  <c r="F838" i="10"/>
  <c r="C838" i="10"/>
  <c r="B838" i="10"/>
  <c r="A838" i="10"/>
  <c r="F837" i="10"/>
  <c r="C837" i="10"/>
  <c r="B837" i="10"/>
  <c r="A837" i="10"/>
  <c r="F836" i="10"/>
  <c r="C836" i="10"/>
  <c r="B836" i="10"/>
  <c r="A836" i="10"/>
  <c r="F835" i="10"/>
  <c r="C835" i="10"/>
  <c r="B835" i="10"/>
  <c r="A835" i="10"/>
  <c r="F834" i="10"/>
  <c r="C834" i="10"/>
  <c r="B834" i="10"/>
  <c r="A834" i="10"/>
  <c r="F833" i="10"/>
  <c r="C833" i="10"/>
  <c r="B833" i="10"/>
  <c r="A833" i="10"/>
  <c r="F832" i="10"/>
  <c r="C832" i="10"/>
  <c r="B832" i="10"/>
  <c r="A832" i="10"/>
  <c r="F831" i="10"/>
  <c r="C831" i="10"/>
  <c r="B831" i="10"/>
  <c r="A831" i="10"/>
  <c r="F830" i="10"/>
  <c r="C830" i="10"/>
  <c r="B830" i="10"/>
  <c r="A830" i="10"/>
  <c r="F829" i="10"/>
  <c r="C829" i="10"/>
  <c r="B829" i="10"/>
  <c r="A829" i="10"/>
  <c r="F828" i="10"/>
  <c r="C828" i="10"/>
  <c r="B828" i="10"/>
  <c r="A828" i="10"/>
  <c r="F827" i="10"/>
  <c r="C827" i="10"/>
  <c r="B827" i="10"/>
  <c r="A827" i="10"/>
  <c r="F826" i="10"/>
  <c r="C826" i="10"/>
  <c r="B826" i="10"/>
  <c r="A826" i="10"/>
  <c r="F825" i="10"/>
  <c r="C825" i="10"/>
  <c r="B825" i="10"/>
  <c r="A825" i="10"/>
  <c r="F824" i="10"/>
  <c r="C824" i="10"/>
  <c r="B824" i="10"/>
  <c r="A824" i="10"/>
  <c r="F823" i="10"/>
  <c r="C823" i="10"/>
  <c r="B823" i="10"/>
  <c r="A823" i="10"/>
  <c r="F822" i="10"/>
  <c r="C822" i="10"/>
  <c r="B822" i="10"/>
  <c r="A822" i="10"/>
  <c r="F821" i="10"/>
  <c r="C821" i="10"/>
  <c r="B821" i="10"/>
  <c r="A821" i="10"/>
  <c r="F820" i="10"/>
  <c r="C820" i="10"/>
  <c r="B820" i="10"/>
  <c r="A820" i="10"/>
  <c r="F819" i="10"/>
  <c r="C819" i="10"/>
  <c r="B819" i="10"/>
  <c r="A819" i="10"/>
  <c r="F818" i="10"/>
  <c r="C818" i="10"/>
  <c r="B818" i="10"/>
  <c r="A818" i="10"/>
  <c r="F817" i="10"/>
  <c r="C817" i="10"/>
  <c r="B817" i="10"/>
  <c r="A817" i="10"/>
  <c r="F816" i="10"/>
  <c r="C816" i="10"/>
  <c r="B816" i="10"/>
  <c r="A816" i="10"/>
  <c r="F815" i="10"/>
  <c r="C815" i="10"/>
  <c r="B815" i="10"/>
  <c r="A815" i="10"/>
  <c r="F814" i="10"/>
  <c r="C814" i="10"/>
  <c r="B814" i="10"/>
  <c r="A814" i="10"/>
  <c r="F813" i="10"/>
  <c r="C813" i="10"/>
  <c r="B813" i="10"/>
  <c r="A813" i="10"/>
  <c r="F812" i="10"/>
  <c r="C812" i="10"/>
  <c r="B812" i="10"/>
  <c r="A812" i="10"/>
  <c r="F811" i="10"/>
  <c r="C811" i="10"/>
  <c r="B811" i="10"/>
  <c r="A811" i="10"/>
  <c r="F810" i="10"/>
  <c r="C810" i="10"/>
  <c r="B810" i="10"/>
  <c r="A810" i="10"/>
  <c r="F809" i="10"/>
  <c r="C809" i="10"/>
  <c r="B809" i="10"/>
  <c r="A809" i="10"/>
  <c r="F808" i="10"/>
  <c r="C808" i="10"/>
  <c r="B808" i="10"/>
  <c r="A808" i="10"/>
  <c r="F807" i="10"/>
  <c r="C807" i="10"/>
  <c r="B807" i="10"/>
  <c r="A807" i="10"/>
  <c r="F806" i="10"/>
  <c r="C806" i="10"/>
  <c r="B806" i="10"/>
  <c r="A806" i="10"/>
  <c r="F805" i="10"/>
  <c r="C805" i="10"/>
  <c r="B805" i="10"/>
  <c r="A805" i="10"/>
  <c r="F804" i="10"/>
  <c r="C804" i="10"/>
  <c r="B804" i="10"/>
  <c r="A804" i="10"/>
  <c r="F803" i="10"/>
  <c r="C803" i="10"/>
  <c r="B803" i="10"/>
  <c r="A803" i="10"/>
  <c r="F802" i="10"/>
  <c r="C802" i="10"/>
  <c r="B802" i="10"/>
  <c r="A802" i="10"/>
  <c r="F801" i="10"/>
  <c r="C801" i="10"/>
  <c r="B801" i="10"/>
  <c r="A801" i="10"/>
  <c r="F800" i="10"/>
  <c r="C800" i="10"/>
  <c r="B800" i="10"/>
  <c r="A800" i="10"/>
  <c r="F799" i="10"/>
  <c r="C799" i="10"/>
  <c r="B799" i="10"/>
  <c r="A799" i="10"/>
  <c r="F798" i="10"/>
  <c r="C798" i="10"/>
  <c r="B798" i="10"/>
  <c r="A798" i="10"/>
  <c r="F797" i="10"/>
  <c r="C797" i="10"/>
  <c r="B797" i="10"/>
  <c r="A797" i="10"/>
  <c r="F796" i="10"/>
  <c r="C796" i="10"/>
  <c r="B796" i="10"/>
  <c r="A796" i="10"/>
  <c r="F795" i="10"/>
  <c r="C795" i="10"/>
  <c r="B795" i="10"/>
  <c r="A795" i="10"/>
  <c r="F794" i="10"/>
  <c r="C794" i="10"/>
  <c r="B794" i="10"/>
  <c r="A794" i="10"/>
  <c r="F793" i="10"/>
  <c r="C793" i="10"/>
  <c r="B793" i="10"/>
  <c r="A793" i="10"/>
  <c r="F792" i="10"/>
  <c r="C792" i="10"/>
  <c r="B792" i="10"/>
  <c r="A792" i="10"/>
  <c r="F791" i="10"/>
  <c r="C791" i="10"/>
  <c r="B791" i="10"/>
  <c r="A791" i="10"/>
  <c r="F790" i="10"/>
  <c r="C790" i="10"/>
  <c r="B790" i="10"/>
  <c r="A790" i="10"/>
  <c r="F789" i="10"/>
  <c r="C789" i="10"/>
  <c r="B789" i="10"/>
  <c r="A789" i="10"/>
  <c r="F788" i="10"/>
  <c r="C788" i="10"/>
  <c r="B788" i="10"/>
  <c r="A788" i="10"/>
  <c r="F787" i="10"/>
  <c r="C787" i="10"/>
  <c r="B787" i="10"/>
  <c r="A787" i="10"/>
  <c r="F786" i="10"/>
  <c r="C786" i="10"/>
  <c r="B786" i="10"/>
  <c r="A786" i="10"/>
  <c r="F785" i="10"/>
  <c r="C785" i="10"/>
  <c r="B785" i="10"/>
  <c r="A785" i="10"/>
  <c r="F784" i="10"/>
  <c r="C784" i="10"/>
  <c r="B784" i="10"/>
  <c r="A784" i="10"/>
  <c r="F783" i="10"/>
  <c r="C783" i="10"/>
  <c r="B783" i="10"/>
  <c r="A783" i="10"/>
  <c r="F782" i="10"/>
  <c r="C782" i="10"/>
  <c r="B782" i="10"/>
  <c r="A782" i="10"/>
  <c r="F781" i="10"/>
  <c r="C781" i="10"/>
  <c r="B781" i="10"/>
  <c r="A781" i="10"/>
  <c r="F780" i="10"/>
  <c r="C780" i="10"/>
  <c r="B780" i="10"/>
  <c r="A780" i="10"/>
  <c r="F779" i="10"/>
  <c r="C779" i="10"/>
  <c r="B779" i="10"/>
  <c r="A779" i="10"/>
  <c r="F778" i="10"/>
  <c r="C778" i="10"/>
  <c r="B778" i="10"/>
  <c r="A778" i="10"/>
  <c r="F777" i="10"/>
  <c r="C777" i="10"/>
  <c r="B777" i="10"/>
  <c r="A777" i="10"/>
  <c r="F776" i="10"/>
  <c r="C776" i="10"/>
  <c r="B776" i="10"/>
  <c r="A776" i="10"/>
  <c r="F775" i="10"/>
  <c r="C775" i="10"/>
  <c r="B775" i="10"/>
  <c r="A775" i="10"/>
  <c r="F774" i="10"/>
  <c r="C774" i="10"/>
  <c r="B774" i="10"/>
  <c r="A774" i="10"/>
  <c r="F773" i="10"/>
  <c r="C773" i="10"/>
  <c r="B773" i="10"/>
  <c r="A773" i="10"/>
  <c r="F772" i="10"/>
  <c r="C772" i="10"/>
  <c r="B772" i="10"/>
  <c r="A772" i="10"/>
  <c r="F771" i="10"/>
  <c r="C771" i="10"/>
  <c r="B771" i="10"/>
  <c r="A771" i="10"/>
  <c r="F770" i="10"/>
  <c r="C770" i="10"/>
  <c r="B770" i="10"/>
  <c r="A770" i="10"/>
  <c r="F769" i="10"/>
  <c r="C769" i="10"/>
  <c r="B769" i="10"/>
  <c r="A769" i="10"/>
  <c r="F768" i="10"/>
  <c r="C768" i="10"/>
  <c r="B768" i="10"/>
  <c r="A768" i="10"/>
  <c r="F767" i="10"/>
  <c r="C767" i="10"/>
  <c r="B767" i="10"/>
  <c r="A767" i="10"/>
  <c r="F766" i="10"/>
  <c r="C766" i="10"/>
  <c r="B766" i="10"/>
  <c r="A766" i="10"/>
  <c r="F765" i="10"/>
  <c r="C765" i="10"/>
  <c r="B765" i="10"/>
  <c r="A765" i="10"/>
  <c r="F764" i="10"/>
  <c r="C764" i="10"/>
  <c r="B764" i="10"/>
  <c r="A764" i="10"/>
  <c r="F763" i="10"/>
  <c r="C763" i="10"/>
  <c r="B763" i="10"/>
  <c r="A763" i="10"/>
  <c r="F762" i="10"/>
  <c r="C762" i="10"/>
  <c r="B762" i="10"/>
  <c r="A762" i="10"/>
  <c r="F761" i="10"/>
  <c r="C761" i="10"/>
  <c r="B761" i="10"/>
  <c r="A761" i="10"/>
  <c r="F760" i="10"/>
  <c r="C760" i="10"/>
  <c r="B760" i="10"/>
  <c r="A760" i="10"/>
  <c r="F759" i="10"/>
  <c r="C759" i="10"/>
  <c r="B759" i="10"/>
  <c r="A759" i="10"/>
  <c r="F758" i="10"/>
  <c r="C758" i="10"/>
  <c r="B758" i="10"/>
  <c r="A758" i="10"/>
  <c r="F757" i="10"/>
  <c r="C757" i="10"/>
  <c r="B757" i="10"/>
  <c r="A757" i="10"/>
  <c r="F756" i="10"/>
  <c r="C756" i="10"/>
  <c r="B756" i="10"/>
  <c r="A756" i="10"/>
  <c r="F755" i="10"/>
  <c r="C755" i="10"/>
  <c r="B755" i="10"/>
  <c r="A755" i="10"/>
  <c r="F754" i="10"/>
  <c r="C754" i="10"/>
  <c r="B754" i="10"/>
  <c r="A754" i="10"/>
  <c r="F753" i="10"/>
  <c r="C753" i="10"/>
  <c r="B753" i="10"/>
  <c r="A753" i="10"/>
  <c r="F752" i="10"/>
  <c r="C752" i="10"/>
  <c r="B752" i="10"/>
  <c r="A752" i="10"/>
  <c r="F751" i="10"/>
  <c r="C751" i="10"/>
  <c r="B751" i="10"/>
  <c r="A751" i="10"/>
  <c r="F750" i="10"/>
  <c r="C750" i="10"/>
  <c r="B750" i="10"/>
  <c r="A750" i="10"/>
  <c r="F749" i="10"/>
  <c r="C749" i="10"/>
  <c r="B749" i="10"/>
  <c r="A749" i="10"/>
  <c r="F748" i="10"/>
  <c r="C748" i="10"/>
  <c r="B748" i="10"/>
  <c r="A748" i="10"/>
  <c r="F747" i="10"/>
  <c r="C747" i="10"/>
  <c r="B747" i="10"/>
  <c r="A747" i="10"/>
  <c r="F746" i="10"/>
  <c r="C746" i="10"/>
  <c r="B746" i="10"/>
  <c r="A746" i="10"/>
  <c r="F745" i="10"/>
  <c r="C745" i="10"/>
  <c r="B745" i="10"/>
  <c r="A745" i="10"/>
  <c r="F744" i="10"/>
  <c r="C744" i="10"/>
  <c r="B744" i="10"/>
  <c r="A744" i="10"/>
  <c r="F743" i="10"/>
  <c r="C743" i="10"/>
  <c r="B743" i="10"/>
  <c r="A743" i="10"/>
  <c r="F742" i="10"/>
  <c r="C742" i="10"/>
  <c r="B742" i="10"/>
  <c r="A742" i="10"/>
  <c r="F741" i="10"/>
  <c r="C741" i="10"/>
  <c r="B741" i="10"/>
  <c r="A741" i="10"/>
  <c r="F740" i="10"/>
  <c r="C740" i="10"/>
  <c r="B740" i="10"/>
  <c r="A740" i="10"/>
  <c r="F739" i="10"/>
  <c r="C739" i="10"/>
  <c r="B739" i="10"/>
  <c r="A739" i="10"/>
  <c r="F738" i="10"/>
  <c r="C738" i="10"/>
  <c r="B738" i="10"/>
  <c r="A738" i="10"/>
  <c r="F737" i="10"/>
  <c r="C737" i="10"/>
  <c r="B737" i="10"/>
  <c r="A737" i="10"/>
  <c r="F736" i="10"/>
  <c r="C736" i="10"/>
  <c r="B736" i="10"/>
  <c r="A736" i="10"/>
  <c r="F735" i="10"/>
  <c r="C735" i="10"/>
  <c r="B735" i="10"/>
  <c r="A735" i="10"/>
  <c r="F734" i="10"/>
  <c r="C734" i="10"/>
  <c r="B734" i="10"/>
  <c r="A734" i="10"/>
  <c r="F733" i="10"/>
  <c r="C733" i="10"/>
  <c r="B733" i="10"/>
  <c r="A733" i="10"/>
  <c r="F732" i="10"/>
  <c r="C732" i="10"/>
  <c r="B732" i="10"/>
  <c r="A732" i="10"/>
  <c r="F731" i="10"/>
  <c r="C731" i="10"/>
  <c r="B731" i="10"/>
  <c r="A731" i="10"/>
  <c r="F730" i="10"/>
  <c r="C730" i="10"/>
  <c r="B730" i="10"/>
  <c r="A730" i="10"/>
  <c r="F729" i="10"/>
  <c r="C729" i="10"/>
  <c r="B729" i="10"/>
  <c r="A729" i="10"/>
  <c r="F728" i="10"/>
  <c r="C728" i="10"/>
  <c r="B728" i="10"/>
  <c r="A728" i="10"/>
  <c r="F727" i="10"/>
  <c r="C727" i="10"/>
  <c r="B727" i="10"/>
  <c r="A727" i="10"/>
  <c r="F726" i="10"/>
  <c r="C726" i="10"/>
  <c r="B726" i="10"/>
  <c r="A726" i="10"/>
  <c r="F725" i="10"/>
  <c r="C725" i="10"/>
  <c r="B725" i="10"/>
  <c r="A725" i="10"/>
  <c r="F724" i="10"/>
  <c r="C724" i="10"/>
  <c r="B724" i="10"/>
  <c r="A724" i="10"/>
  <c r="F723" i="10"/>
  <c r="C723" i="10"/>
  <c r="B723" i="10"/>
  <c r="A723" i="10"/>
  <c r="F722" i="10"/>
  <c r="C722" i="10"/>
  <c r="B722" i="10"/>
  <c r="A722" i="10"/>
  <c r="F721" i="10"/>
  <c r="C721" i="10"/>
  <c r="B721" i="10"/>
  <c r="A721" i="10"/>
  <c r="F720" i="10"/>
  <c r="C720" i="10"/>
  <c r="B720" i="10"/>
  <c r="A720" i="10"/>
  <c r="F719" i="10"/>
  <c r="C719" i="10"/>
  <c r="B719" i="10"/>
  <c r="A719" i="10"/>
  <c r="F718" i="10"/>
  <c r="C718" i="10"/>
  <c r="B718" i="10"/>
  <c r="A718" i="10"/>
  <c r="F717" i="10"/>
  <c r="C717" i="10"/>
  <c r="B717" i="10"/>
  <c r="A717" i="10"/>
  <c r="F716" i="10"/>
  <c r="C716" i="10"/>
  <c r="B716" i="10"/>
  <c r="A716" i="10"/>
  <c r="F715" i="10"/>
  <c r="C715" i="10"/>
  <c r="B715" i="10"/>
  <c r="A715" i="10"/>
  <c r="F714" i="10"/>
  <c r="C714" i="10"/>
  <c r="B714" i="10"/>
  <c r="A714" i="10"/>
  <c r="F713" i="10"/>
  <c r="C713" i="10"/>
  <c r="B713" i="10"/>
  <c r="A713" i="10"/>
  <c r="F712" i="10"/>
  <c r="C712" i="10"/>
  <c r="B712" i="10"/>
  <c r="A712" i="10"/>
  <c r="F711" i="10"/>
  <c r="C711" i="10"/>
  <c r="B711" i="10"/>
  <c r="A711" i="10"/>
  <c r="F710" i="10"/>
  <c r="C710" i="10"/>
  <c r="B710" i="10"/>
  <c r="A710" i="10"/>
  <c r="F709" i="10"/>
  <c r="C709" i="10"/>
  <c r="B709" i="10"/>
  <c r="A709" i="10"/>
  <c r="F708" i="10"/>
  <c r="C708" i="10"/>
  <c r="B708" i="10"/>
  <c r="A708" i="10"/>
  <c r="F707" i="10"/>
  <c r="C707" i="10"/>
  <c r="B707" i="10"/>
  <c r="A707" i="10"/>
  <c r="F706" i="10"/>
  <c r="C706" i="10"/>
  <c r="B706" i="10"/>
  <c r="A706" i="10"/>
  <c r="F705" i="10"/>
  <c r="C705" i="10"/>
  <c r="B705" i="10"/>
  <c r="A705" i="10"/>
  <c r="F704" i="10"/>
  <c r="C704" i="10"/>
  <c r="B704" i="10"/>
  <c r="A704" i="10"/>
  <c r="F703" i="10"/>
  <c r="C703" i="10"/>
  <c r="B703" i="10"/>
  <c r="A703" i="10"/>
  <c r="F702" i="10"/>
  <c r="C702" i="10"/>
  <c r="B702" i="10"/>
  <c r="A702" i="10"/>
  <c r="F701" i="10"/>
  <c r="C701" i="10"/>
  <c r="B701" i="10"/>
  <c r="A701" i="10"/>
  <c r="F700" i="10"/>
  <c r="C700" i="10"/>
  <c r="B700" i="10"/>
  <c r="A700" i="10"/>
  <c r="F699" i="10"/>
  <c r="C699" i="10"/>
  <c r="B699" i="10"/>
  <c r="A699" i="10"/>
  <c r="F698" i="10"/>
  <c r="C698" i="10"/>
  <c r="B698" i="10"/>
  <c r="A698" i="10"/>
  <c r="F697" i="10"/>
  <c r="C697" i="10"/>
  <c r="B697" i="10"/>
  <c r="A697" i="10"/>
  <c r="F696" i="10"/>
  <c r="C696" i="10"/>
  <c r="B696" i="10"/>
  <c r="A696" i="10"/>
  <c r="F695" i="10"/>
  <c r="C695" i="10"/>
  <c r="B695" i="10"/>
  <c r="A695" i="10"/>
  <c r="F694" i="10"/>
  <c r="C694" i="10"/>
  <c r="B694" i="10"/>
  <c r="A694" i="10"/>
  <c r="F693" i="10"/>
  <c r="C693" i="10"/>
  <c r="B693" i="10"/>
  <c r="A693" i="10"/>
  <c r="F692" i="10"/>
  <c r="C692" i="10"/>
  <c r="B692" i="10"/>
  <c r="A692" i="10"/>
  <c r="F691" i="10"/>
  <c r="C691" i="10"/>
  <c r="B691" i="10"/>
  <c r="A691" i="10"/>
  <c r="F690" i="10"/>
  <c r="C690" i="10"/>
  <c r="B690" i="10"/>
  <c r="A690" i="10"/>
  <c r="F689" i="10"/>
  <c r="C689" i="10"/>
  <c r="B689" i="10"/>
  <c r="A689" i="10"/>
  <c r="F688" i="10"/>
  <c r="C688" i="10"/>
  <c r="B688" i="10"/>
  <c r="A688" i="10"/>
  <c r="F687" i="10"/>
  <c r="C687" i="10"/>
  <c r="B687" i="10"/>
  <c r="A687" i="10"/>
  <c r="F686" i="10"/>
  <c r="C686" i="10"/>
  <c r="B686" i="10"/>
  <c r="A686" i="10"/>
  <c r="F685" i="10"/>
  <c r="C685" i="10"/>
  <c r="B685" i="10"/>
  <c r="A685" i="10"/>
  <c r="F684" i="10"/>
  <c r="C684" i="10"/>
  <c r="B684" i="10"/>
  <c r="A684" i="10"/>
  <c r="F683" i="10"/>
  <c r="C683" i="10"/>
  <c r="B683" i="10"/>
  <c r="A683" i="10"/>
  <c r="F682" i="10"/>
  <c r="C682" i="10"/>
  <c r="B682" i="10"/>
  <c r="A682" i="10"/>
  <c r="F681" i="10"/>
  <c r="C681" i="10"/>
  <c r="B681" i="10"/>
  <c r="A681" i="10"/>
  <c r="F680" i="10"/>
  <c r="C680" i="10"/>
  <c r="B680" i="10"/>
  <c r="A680" i="10"/>
  <c r="F679" i="10"/>
  <c r="C679" i="10"/>
  <c r="B679" i="10"/>
  <c r="A679" i="10"/>
  <c r="F678" i="10"/>
  <c r="C678" i="10"/>
  <c r="B678" i="10"/>
  <c r="A678" i="10"/>
  <c r="F677" i="10"/>
  <c r="C677" i="10"/>
  <c r="B677" i="10"/>
  <c r="A677" i="10"/>
  <c r="F676" i="10"/>
  <c r="C676" i="10"/>
  <c r="B676" i="10"/>
  <c r="A676" i="10"/>
  <c r="F675" i="10"/>
  <c r="C675" i="10"/>
  <c r="B675" i="10"/>
  <c r="A675" i="10"/>
  <c r="F674" i="10"/>
  <c r="C674" i="10"/>
  <c r="B674" i="10"/>
  <c r="A674" i="10"/>
  <c r="F673" i="10"/>
  <c r="C673" i="10"/>
  <c r="B673" i="10"/>
  <c r="A673" i="10"/>
  <c r="F672" i="10"/>
  <c r="C672" i="10"/>
  <c r="B672" i="10"/>
  <c r="A672" i="10"/>
  <c r="F671" i="10"/>
  <c r="C671" i="10"/>
  <c r="B671" i="10"/>
  <c r="A671" i="10"/>
  <c r="F670" i="10"/>
  <c r="C670" i="10"/>
  <c r="B670" i="10"/>
  <c r="A670" i="10"/>
  <c r="F669" i="10"/>
  <c r="C669" i="10"/>
  <c r="B669" i="10"/>
  <c r="A669" i="10"/>
  <c r="F668" i="10"/>
  <c r="C668" i="10"/>
  <c r="B668" i="10"/>
  <c r="A668" i="10"/>
  <c r="F667" i="10"/>
  <c r="C667" i="10"/>
  <c r="B667" i="10"/>
  <c r="A667" i="10"/>
  <c r="F666" i="10"/>
  <c r="C666" i="10"/>
  <c r="B666" i="10"/>
  <c r="A666" i="10"/>
  <c r="F665" i="10"/>
  <c r="C665" i="10"/>
  <c r="B665" i="10"/>
  <c r="A665" i="10"/>
  <c r="F664" i="10"/>
  <c r="C664" i="10"/>
  <c r="B664" i="10"/>
  <c r="A664" i="10"/>
  <c r="F663" i="10"/>
  <c r="C663" i="10"/>
  <c r="B663" i="10"/>
  <c r="A663" i="10"/>
  <c r="F662" i="10"/>
  <c r="C662" i="10"/>
  <c r="B662" i="10"/>
  <c r="A662" i="10"/>
  <c r="F661" i="10"/>
  <c r="C661" i="10"/>
  <c r="B661" i="10"/>
  <c r="A661" i="10"/>
  <c r="F660" i="10"/>
  <c r="C660" i="10"/>
  <c r="B660" i="10"/>
  <c r="A660" i="10"/>
  <c r="F659" i="10"/>
  <c r="C659" i="10"/>
  <c r="B659" i="10"/>
  <c r="A659" i="10"/>
  <c r="F658" i="10"/>
  <c r="C658" i="10"/>
  <c r="B658" i="10"/>
  <c r="A658" i="10"/>
  <c r="F657" i="10"/>
  <c r="C657" i="10"/>
  <c r="B657" i="10"/>
  <c r="A657" i="10"/>
  <c r="F656" i="10"/>
  <c r="C656" i="10"/>
  <c r="B656" i="10"/>
  <c r="A656" i="10"/>
  <c r="F655" i="10"/>
  <c r="C655" i="10"/>
  <c r="B655" i="10"/>
  <c r="A655" i="10"/>
  <c r="F654" i="10"/>
  <c r="C654" i="10"/>
  <c r="B654" i="10"/>
  <c r="A654" i="10"/>
  <c r="F653" i="10"/>
  <c r="C653" i="10"/>
  <c r="B653" i="10"/>
  <c r="A653" i="10"/>
  <c r="F652" i="10"/>
  <c r="C652" i="10"/>
  <c r="B652" i="10"/>
  <c r="A652" i="10"/>
  <c r="F651" i="10"/>
  <c r="C651" i="10"/>
  <c r="B651" i="10"/>
  <c r="A651" i="10"/>
  <c r="F650" i="10"/>
  <c r="C650" i="10"/>
  <c r="B650" i="10"/>
  <c r="A650" i="10"/>
  <c r="F649" i="10"/>
  <c r="C649" i="10"/>
  <c r="B649" i="10"/>
  <c r="A649" i="10"/>
  <c r="F648" i="10"/>
  <c r="C648" i="10"/>
  <c r="B648" i="10"/>
  <c r="A648" i="10"/>
  <c r="F647" i="10"/>
  <c r="C647" i="10"/>
  <c r="B647" i="10"/>
  <c r="A647" i="10"/>
  <c r="F646" i="10"/>
  <c r="C646" i="10"/>
  <c r="B646" i="10"/>
  <c r="A646" i="10"/>
  <c r="F645" i="10"/>
  <c r="C645" i="10"/>
  <c r="B645" i="10"/>
  <c r="A645" i="10"/>
  <c r="F644" i="10"/>
  <c r="C644" i="10"/>
  <c r="B644" i="10"/>
  <c r="A644" i="10"/>
  <c r="F643" i="10"/>
  <c r="C643" i="10"/>
  <c r="B643" i="10"/>
  <c r="A643" i="10"/>
  <c r="F642" i="10"/>
  <c r="C642" i="10"/>
  <c r="B642" i="10"/>
  <c r="A642" i="10"/>
  <c r="F641" i="10"/>
  <c r="C641" i="10"/>
  <c r="B641" i="10"/>
  <c r="A641" i="10"/>
  <c r="F640" i="10"/>
  <c r="C640" i="10"/>
  <c r="B640" i="10"/>
  <c r="A640" i="10"/>
  <c r="F639" i="10"/>
  <c r="C639" i="10"/>
  <c r="B639" i="10"/>
  <c r="A639" i="10"/>
  <c r="F638" i="10"/>
  <c r="C638" i="10"/>
  <c r="B638" i="10"/>
  <c r="A638" i="10"/>
  <c r="F637" i="10"/>
  <c r="C637" i="10"/>
  <c r="B637" i="10"/>
  <c r="A637" i="10"/>
  <c r="F636" i="10"/>
  <c r="C636" i="10"/>
  <c r="B636" i="10"/>
  <c r="A636" i="10"/>
  <c r="F635" i="10"/>
  <c r="C635" i="10"/>
  <c r="B635" i="10"/>
  <c r="A635" i="10"/>
  <c r="F634" i="10"/>
  <c r="C634" i="10"/>
  <c r="B634" i="10"/>
  <c r="A634" i="10"/>
  <c r="F633" i="10"/>
  <c r="C633" i="10"/>
  <c r="B633" i="10"/>
  <c r="A633" i="10"/>
  <c r="F632" i="10"/>
  <c r="C632" i="10"/>
  <c r="B632" i="10"/>
  <c r="A632" i="10"/>
  <c r="F631" i="10"/>
  <c r="C631" i="10"/>
  <c r="B631" i="10"/>
  <c r="A631" i="10"/>
  <c r="F630" i="10"/>
  <c r="C630" i="10"/>
  <c r="B630" i="10"/>
  <c r="A630" i="10"/>
  <c r="F629" i="10"/>
  <c r="C629" i="10"/>
  <c r="B629" i="10"/>
  <c r="A629" i="10"/>
  <c r="F628" i="10"/>
  <c r="C628" i="10"/>
  <c r="B628" i="10"/>
  <c r="A628" i="10"/>
  <c r="F627" i="10"/>
  <c r="C627" i="10"/>
  <c r="B627" i="10"/>
  <c r="A627" i="10"/>
  <c r="F626" i="10"/>
  <c r="C626" i="10"/>
  <c r="B626" i="10"/>
  <c r="A626" i="10"/>
  <c r="F625" i="10"/>
  <c r="C625" i="10"/>
  <c r="B625" i="10"/>
  <c r="A625" i="10"/>
  <c r="F624" i="10"/>
  <c r="C624" i="10"/>
  <c r="B624" i="10"/>
  <c r="A624" i="10"/>
  <c r="F623" i="10"/>
  <c r="C623" i="10"/>
  <c r="B623" i="10"/>
  <c r="A623" i="10"/>
  <c r="F622" i="10"/>
  <c r="C622" i="10"/>
  <c r="B622" i="10"/>
  <c r="A622" i="10"/>
  <c r="F621" i="10"/>
  <c r="C621" i="10"/>
  <c r="B621" i="10"/>
  <c r="A621" i="10"/>
  <c r="F620" i="10"/>
  <c r="C620" i="10"/>
  <c r="B620" i="10"/>
  <c r="A620" i="10"/>
  <c r="F619" i="10"/>
  <c r="C619" i="10"/>
  <c r="B619" i="10"/>
  <c r="A619" i="10"/>
  <c r="F618" i="10"/>
  <c r="C618" i="10"/>
  <c r="B618" i="10"/>
  <c r="A618" i="10"/>
  <c r="F617" i="10"/>
  <c r="C617" i="10"/>
  <c r="B617" i="10"/>
  <c r="A617" i="10"/>
  <c r="F616" i="10"/>
  <c r="C616" i="10"/>
  <c r="B616" i="10"/>
  <c r="A616" i="10"/>
  <c r="F615" i="10"/>
  <c r="C615" i="10"/>
  <c r="B615" i="10"/>
  <c r="A615" i="10"/>
  <c r="F614" i="10"/>
  <c r="C614" i="10"/>
  <c r="B614" i="10"/>
  <c r="A614" i="10"/>
  <c r="F613" i="10"/>
  <c r="C613" i="10"/>
  <c r="B613" i="10"/>
  <c r="A613" i="10"/>
  <c r="F612" i="10"/>
  <c r="C612" i="10"/>
  <c r="B612" i="10"/>
  <c r="A612" i="10"/>
  <c r="F611" i="10"/>
  <c r="C611" i="10"/>
  <c r="B611" i="10"/>
  <c r="A611" i="10"/>
  <c r="F610" i="10"/>
  <c r="C610" i="10"/>
  <c r="B610" i="10"/>
  <c r="A610" i="10"/>
  <c r="F609" i="10"/>
  <c r="C609" i="10"/>
  <c r="B609" i="10"/>
  <c r="A609" i="10"/>
  <c r="F608" i="10"/>
  <c r="C608" i="10"/>
  <c r="B608" i="10"/>
  <c r="A608" i="10"/>
  <c r="F607" i="10"/>
  <c r="C607" i="10"/>
  <c r="B607" i="10"/>
  <c r="A607" i="10"/>
  <c r="F606" i="10"/>
  <c r="C606" i="10"/>
  <c r="B606" i="10"/>
  <c r="A606" i="10"/>
  <c r="F605" i="10"/>
  <c r="C605" i="10"/>
  <c r="B605" i="10"/>
  <c r="A605" i="10"/>
  <c r="F604" i="10"/>
  <c r="C604" i="10"/>
  <c r="B604" i="10"/>
  <c r="A604" i="10"/>
  <c r="F603" i="10"/>
  <c r="C603" i="10"/>
  <c r="B603" i="10"/>
  <c r="A603" i="10"/>
  <c r="F602" i="10"/>
  <c r="C602" i="10"/>
  <c r="B602" i="10"/>
  <c r="A602" i="10"/>
  <c r="F601" i="10"/>
  <c r="C601" i="10"/>
  <c r="B601" i="10"/>
  <c r="A601" i="10"/>
  <c r="F600" i="10"/>
  <c r="C600" i="10"/>
  <c r="B600" i="10"/>
  <c r="A600" i="10"/>
  <c r="F599" i="10"/>
  <c r="C599" i="10"/>
  <c r="B599" i="10"/>
  <c r="A599" i="10"/>
  <c r="F598" i="10"/>
  <c r="C598" i="10"/>
  <c r="B598" i="10"/>
  <c r="A598" i="10"/>
  <c r="F597" i="10"/>
  <c r="C597" i="10"/>
  <c r="B597" i="10"/>
  <c r="A597" i="10"/>
  <c r="F596" i="10"/>
  <c r="C596" i="10"/>
  <c r="B596" i="10"/>
  <c r="A596" i="10"/>
  <c r="F595" i="10"/>
  <c r="C595" i="10"/>
  <c r="B595" i="10"/>
  <c r="A595" i="10"/>
  <c r="F594" i="10"/>
  <c r="C594" i="10"/>
  <c r="B594" i="10"/>
  <c r="A594" i="10"/>
  <c r="F593" i="10"/>
  <c r="C593" i="10"/>
  <c r="B593" i="10"/>
  <c r="A593" i="10"/>
  <c r="F592" i="10"/>
  <c r="C592" i="10"/>
  <c r="B592" i="10"/>
  <c r="A592" i="10"/>
  <c r="F591" i="10"/>
  <c r="C591" i="10"/>
  <c r="B591" i="10"/>
  <c r="A591" i="10"/>
  <c r="F590" i="10"/>
  <c r="C590" i="10"/>
  <c r="B590" i="10"/>
  <c r="A590" i="10"/>
  <c r="F589" i="10"/>
  <c r="C589" i="10"/>
  <c r="B589" i="10"/>
  <c r="A589" i="10"/>
  <c r="F588" i="10"/>
  <c r="C588" i="10"/>
  <c r="B588" i="10"/>
  <c r="A588" i="10"/>
  <c r="F587" i="10"/>
  <c r="C587" i="10"/>
  <c r="B587" i="10"/>
  <c r="A587" i="10"/>
  <c r="F586" i="10"/>
  <c r="C586" i="10"/>
  <c r="B586" i="10"/>
  <c r="A586" i="10"/>
  <c r="F585" i="10"/>
  <c r="C585" i="10"/>
  <c r="B585" i="10"/>
  <c r="A585" i="10"/>
  <c r="F584" i="10"/>
  <c r="C584" i="10"/>
  <c r="B584" i="10"/>
  <c r="A584" i="10"/>
  <c r="F583" i="10"/>
  <c r="C583" i="10"/>
  <c r="B583" i="10"/>
  <c r="A583" i="10"/>
  <c r="F582" i="10"/>
  <c r="C582" i="10"/>
  <c r="B582" i="10"/>
  <c r="A582" i="10"/>
  <c r="F581" i="10"/>
  <c r="C581" i="10"/>
  <c r="B581" i="10"/>
  <c r="A581" i="10"/>
  <c r="F580" i="10"/>
  <c r="C580" i="10"/>
  <c r="B580" i="10"/>
  <c r="A580" i="10"/>
  <c r="F579" i="10"/>
  <c r="C579" i="10"/>
  <c r="B579" i="10"/>
  <c r="A579" i="10"/>
  <c r="F578" i="10"/>
  <c r="C578" i="10"/>
  <c r="B578" i="10"/>
  <c r="A578" i="10"/>
  <c r="F577" i="10"/>
  <c r="C577" i="10"/>
  <c r="B577" i="10"/>
  <c r="A577" i="10"/>
  <c r="F576" i="10"/>
  <c r="C576" i="10"/>
  <c r="B576" i="10"/>
  <c r="A576" i="10"/>
  <c r="F575" i="10"/>
  <c r="C575" i="10"/>
  <c r="B575" i="10"/>
  <c r="A575" i="10"/>
  <c r="F574" i="10"/>
  <c r="C574" i="10"/>
  <c r="B574" i="10"/>
  <c r="A574" i="10"/>
  <c r="F573" i="10"/>
  <c r="C573" i="10"/>
  <c r="B573" i="10"/>
  <c r="A573" i="10"/>
  <c r="F572" i="10"/>
  <c r="C572" i="10"/>
  <c r="B572" i="10"/>
  <c r="A572" i="10"/>
  <c r="F571" i="10"/>
  <c r="C571" i="10"/>
  <c r="B571" i="10"/>
  <c r="A571" i="10"/>
  <c r="F570" i="10"/>
  <c r="C570" i="10"/>
  <c r="B570" i="10"/>
  <c r="A570" i="10"/>
  <c r="F569" i="10"/>
  <c r="C569" i="10"/>
  <c r="B569" i="10"/>
  <c r="A569" i="10"/>
  <c r="F568" i="10"/>
  <c r="C568" i="10"/>
  <c r="B568" i="10"/>
  <c r="A568" i="10"/>
  <c r="F567" i="10"/>
  <c r="C567" i="10"/>
  <c r="B567" i="10"/>
  <c r="A567" i="10"/>
  <c r="F566" i="10"/>
  <c r="C566" i="10"/>
  <c r="B566" i="10"/>
  <c r="A566" i="10"/>
  <c r="F565" i="10"/>
  <c r="C565" i="10"/>
  <c r="B565" i="10"/>
  <c r="A565" i="10"/>
  <c r="F564" i="10"/>
  <c r="C564" i="10"/>
  <c r="B564" i="10"/>
  <c r="A564" i="10"/>
  <c r="F563" i="10"/>
  <c r="C563" i="10"/>
  <c r="B563" i="10"/>
  <c r="A563" i="10"/>
  <c r="F562" i="10"/>
  <c r="C562" i="10"/>
  <c r="B562" i="10"/>
  <c r="A562" i="10"/>
  <c r="F561" i="10"/>
  <c r="C561" i="10"/>
  <c r="B561" i="10"/>
  <c r="A561" i="10"/>
  <c r="F560" i="10"/>
  <c r="C560" i="10"/>
  <c r="B560" i="10"/>
  <c r="A560" i="10"/>
  <c r="F559" i="10"/>
  <c r="C559" i="10"/>
  <c r="B559" i="10"/>
  <c r="A559" i="10"/>
  <c r="F558" i="10"/>
  <c r="C558" i="10"/>
  <c r="B558" i="10"/>
  <c r="A558" i="10"/>
  <c r="F557" i="10"/>
  <c r="C557" i="10"/>
  <c r="B557" i="10"/>
  <c r="A557" i="10"/>
  <c r="F556" i="10"/>
  <c r="C556" i="10"/>
  <c r="B556" i="10"/>
  <c r="A556" i="10"/>
  <c r="F555" i="10"/>
  <c r="C555" i="10"/>
  <c r="B555" i="10"/>
  <c r="A555" i="10"/>
  <c r="F554" i="10"/>
  <c r="C554" i="10"/>
  <c r="B554" i="10"/>
  <c r="A554" i="10"/>
  <c r="F553" i="10"/>
  <c r="C553" i="10"/>
  <c r="B553" i="10"/>
  <c r="A553" i="10"/>
  <c r="F552" i="10"/>
  <c r="C552" i="10"/>
  <c r="B552" i="10"/>
  <c r="A552" i="10"/>
  <c r="F551" i="10"/>
  <c r="C551" i="10"/>
  <c r="B551" i="10"/>
  <c r="A551" i="10"/>
  <c r="F550" i="10"/>
  <c r="C550" i="10"/>
  <c r="B550" i="10"/>
  <c r="A550" i="10"/>
  <c r="F549" i="10"/>
  <c r="C549" i="10"/>
  <c r="B549" i="10"/>
  <c r="A549" i="10"/>
  <c r="F548" i="10"/>
  <c r="C548" i="10"/>
  <c r="B548" i="10"/>
  <c r="A548" i="10"/>
  <c r="F547" i="10"/>
  <c r="C547" i="10"/>
  <c r="B547" i="10"/>
  <c r="A547" i="10"/>
  <c r="F546" i="10"/>
  <c r="C546" i="10"/>
  <c r="B546" i="10"/>
  <c r="A546" i="10"/>
  <c r="F545" i="10"/>
  <c r="C545" i="10"/>
  <c r="B545" i="10"/>
  <c r="A545" i="10"/>
  <c r="F544" i="10"/>
  <c r="C544" i="10"/>
  <c r="B544" i="10"/>
  <c r="A544" i="10"/>
  <c r="F543" i="10"/>
  <c r="C543" i="10"/>
  <c r="B543" i="10"/>
  <c r="A543" i="10"/>
  <c r="F542" i="10"/>
  <c r="C542" i="10"/>
  <c r="B542" i="10"/>
  <c r="A542" i="10"/>
  <c r="F541" i="10"/>
  <c r="C541" i="10"/>
  <c r="B541" i="10"/>
  <c r="A541" i="10"/>
  <c r="F540" i="10"/>
  <c r="C540" i="10"/>
  <c r="B540" i="10"/>
  <c r="A540" i="10"/>
  <c r="F539" i="10"/>
  <c r="C539" i="10"/>
  <c r="B539" i="10"/>
  <c r="A539" i="10"/>
  <c r="F538" i="10"/>
  <c r="C538" i="10"/>
  <c r="B538" i="10"/>
  <c r="A538" i="10"/>
  <c r="F537" i="10"/>
  <c r="C537" i="10"/>
  <c r="B537" i="10"/>
  <c r="A537" i="10"/>
  <c r="F536" i="10"/>
  <c r="C536" i="10"/>
  <c r="B536" i="10"/>
  <c r="A536" i="10"/>
  <c r="F535" i="10"/>
  <c r="C535" i="10"/>
  <c r="B535" i="10"/>
  <c r="A535" i="10"/>
  <c r="F534" i="10"/>
  <c r="C534" i="10"/>
  <c r="B534" i="10"/>
  <c r="A534" i="10"/>
  <c r="F533" i="10"/>
  <c r="C533" i="10"/>
  <c r="B533" i="10"/>
  <c r="A533" i="10"/>
  <c r="F532" i="10"/>
  <c r="C532" i="10"/>
  <c r="B532" i="10"/>
  <c r="A532" i="10"/>
  <c r="F531" i="10"/>
  <c r="C531" i="10"/>
  <c r="B531" i="10"/>
  <c r="A531" i="10"/>
  <c r="F530" i="10"/>
  <c r="C530" i="10"/>
  <c r="B530" i="10"/>
  <c r="A530" i="10"/>
  <c r="F529" i="10"/>
  <c r="C529" i="10"/>
  <c r="B529" i="10"/>
  <c r="A529" i="10"/>
  <c r="F528" i="10"/>
  <c r="C528" i="10"/>
  <c r="B528" i="10"/>
  <c r="A528" i="10"/>
  <c r="F527" i="10"/>
  <c r="C527" i="10"/>
  <c r="B527" i="10"/>
  <c r="A527" i="10"/>
  <c r="F526" i="10"/>
  <c r="C526" i="10"/>
  <c r="B526" i="10"/>
  <c r="A526" i="10"/>
  <c r="F525" i="10"/>
  <c r="C525" i="10"/>
  <c r="B525" i="10"/>
  <c r="A525" i="10"/>
  <c r="F524" i="10"/>
  <c r="C524" i="10"/>
  <c r="B524" i="10"/>
  <c r="A524" i="10"/>
  <c r="F523" i="10"/>
  <c r="C523" i="10"/>
  <c r="B523" i="10"/>
  <c r="A523" i="10"/>
  <c r="F522" i="10"/>
  <c r="C522" i="10"/>
  <c r="B522" i="10"/>
  <c r="A522" i="10"/>
  <c r="F521" i="10"/>
  <c r="C521" i="10"/>
  <c r="B521" i="10"/>
  <c r="A521" i="10"/>
  <c r="F520" i="10"/>
  <c r="C520" i="10"/>
  <c r="B520" i="10"/>
  <c r="A520" i="10"/>
  <c r="F519" i="10"/>
  <c r="C519" i="10"/>
  <c r="B519" i="10"/>
  <c r="A519" i="10"/>
  <c r="F518" i="10"/>
  <c r="C518" i="10"/>
  <c r="B518" i="10"/>
  <c r="A518" i="10"/>
  <c r="F517" i="10"/>
  <c r="C517" i="10"/>
  <c r="B517" i="10"/>
  <c r="A517" i="10"/>
  <c r="F516" i="10"/>
  <c r="C516" i="10"/>
  <c r="B516" i="10"/>
  <c r="A516" i="10"/>
  <c r="F515" i="10"/>
  <c r="C515" i="10"/>
  <c r="B515" i="10"/>
  <c r="A515" i="10"/>
  <c r="F514" i="10"/>
  <c r="C514" i="10"/>
  <c r="B514" i="10"/>
  <c r="A514" i="10"/>
  <c r="F513" i="10"/>
  <c r="C513" i="10"/>
  <c r="B513" i="10"/>
  <c r="A513" i="10"/>
  <c r="F512" i="10"/>
  <c r="C512" i="10"/>
  <c r="B512" i="10"/>
  <c r="A512" i="10"/>
  <c r="F511" i="10"/>
  <c r="C511" i="10"/>
  <c r="B511" i="10"/>
  <c r="A511" i="10"/>
  <c r="F510" i="10"/>
  <c r="C510" i="10"/>
  <c r="B510" i="10"/>
  <c r="A510" i="10"/>
  <c r="F509" i="10"/>
  <c r="C509" i="10"/>
  <c r="B509" i="10"/>
  <c r="A509" i="10"/>
  <c r="F508" i="10"/>
  <c r="C508" i="10"/>
  <c r="B508" i="10"/>
  <c r="A508" i="10"/>
  <c r="F507" i="10"/>
  <c r="C507" i="10"/>
  <c r="B507" i="10"/>
  <c r="A507" i="10"/>
  <c r="F506" i="10"/>
  <c r="C506" i="10"/>
  <c r="B506" i="10"/>
  <c r="A506" i="10"/>
  <c r="F505" i="10"/>
  <c r="C505" i="10"/>
  <c r="B505" i="10"/>
  <c r="A505" i="10"/>
  <c r="F504" i="10"/>
  <c r="C504" i="10"/>
  <c r="B504" i="10"/>
  <c r="A504" i="10"/>
  <c r="F503" i="10"/>
  <c r="C503" i="10"/>
  <c r="B503" i="10"/>
  <c r="A503" i="10"/>
  <c r="F502" i="10"/>
  <c r="C502" i="10"/>
  <c r="B502" i="10"/>
  <c r="A502" i="10"/>
  <c r="F501" i="10"/>
  <c r="C501" i="10"/>
  <c r="B501" i="10"/>
  <c r="A501" i="10"/>
  <c r="F500" i="10"/>
  <c r="C500" i="10"/>
  <c r="B500" i="10"/>
  <c r="A500" i="10"/>
  <c r="F499" i="10"/>
  <c r="C499" i="10"/>
  <c r="B499" i="10"/>
  <c r="A499" i="10"/>
  <c r="F498" i="10"/>
  <c r="C498" i="10"/>
  <c r="B498" i="10"/>
  <c r="A498" i="10"/>
  <c r="F497" i="10"/>
  <c r="C497" i="10"/>
  <c r="B497" i="10"/>
  <c r="A497" i="10"/>
  <c r="F496" i="10"/>
  <c r="C496" i="10"/>
  <c r="B496" i="10"/>
  <c r="A496" i="10"/>
  <c r="F495" i="10"/>
  <c r="C495" i="10"/>
  <c r="B495" i="10"/>
  <c r="A495" i="10"/>
  <c r="F494" i="10"/>
  <c r="C494" i="10"/>
  <c r="B494" i="10"/>
  <c r="A494" i="10"/>
  <c r="F493" i="10"/>
  <c r="C493" i="10"/>
  <c r="B493" i="10"/>
  <c r="A493" i="10"/>
  <c r="F492" i="10"/>
  <c r="C492" i="10"/>
  <c r="B492" i="10"/>
  <c r="A492" i="10"/>
  <c r="F491" i="10"/>
  <c r="C491" i="10"/>
  <c r="B491" i="10"/>
  <c r="A491" i="10"/>
  <c r="F490" i="10"/>
  <c r="C490" i="10"/>
  <c r="B490" i="10"/>
  <c r="A490" i="10"/>
  <c r="F489" i="10"/>
  <c r="C489" i="10"/>
  <c r="B489" i="10"/>
  <c r="A489" i="10"/>
  <c r="F488" i="10"/>
  <c r="C488" i="10"/>
  <c r="B488" i="10"/>
  <c r="A488" i="10"/>
  <c r="F487" i="10"/>
  <c r="C487" i="10"/>
  <c r="B487" i="10"/>
  <c r="A487" i="10"/>
  <c r="F486" i="10"/>
  <c r="C486" i="10"/>
  <c r="B486" i="10"/>
  <c r="A486" i="10"/>
  <c r="F485" i="10"/>
  <c r="C485" i="10"/>
  <c r="B485" i="10"/>
  <c r="A485" i="10"/>
  <c r="F484" i="10"/>
  <c r="C484" i="10"/>
  <c r="B484" i="10"/>
  <c r="A484" i="10"/>
  <c r="F483" i="10"/>
  <c r="C483" i="10"/>
  <c r="B483" i="10"/>
  <c r="A483" i="10"/>
  <c r="F482" i="10"/>
  <c r="C482" i="10"/>
  <c r="B482" i="10"/>
  <c r="A482" i="10"/>
  <c r="F481" i="10"/>
  <c r="C481" i="10"/>
  <c r="B481" i="10"/>
  <c r="A481" i="10"/>
  <c r="F480" i="10"/>
  <c r="C480" i="10"/>
  <c r="B480" i="10"/>
  <c r="A480" i="10"/>
  <c r="F479" i="10"/>
  <c r="C479" i="10"/>
  <c r="B479" i="10"/>
  <c r="A479" i="10"/>
  <c r="F478" i="10"/>
  <c r="C478" i="10"/>
  <c r="B478" i="10"/>
  <c r="A478" i="10"/>
  <c r="F477" i="10"/>
  <c r="C477" i="10"/>
  <c r="B477" i="10"/>
  <c r="A477" i="10"/>
  <c r="F476" i="10"/>
  <c r="C476" i="10"/>
  <c r="B476" i="10"/>
  <c r="A476" i="10"/>
  <c r="F475" i="10"/>
  <c r="C475" i="10"/>
  <c r="B475" i="10"/>
  <c r="A475" i="10"/>
  <c r="F474" i="10"/>
  <c r="C474" i="10"/>
  <c r="B474" i="10"/>
  <c r="A474" i="10"/>
  <c r="F473" i="10"/>
  <c r="C473" i="10"/>
  <c r="B473" i="10"/>
  <c r="A473" i="10"/>
  <c r="F472" i="10"/>
  <c r="C472" i="10"/>
  <c r="B472" i="10"/>
  <c r="A472" i="10"/>
  <c r="F471" i="10"/>
  <c r="C471" i="10"/>
  <c r="B471" i="10"/>
  <c r="A471" i="10"/>
  <c r="F470" i="10"/>
  <c r="C470" i="10"/>
  <c r="B470" i="10"/>
  <c r="A470" i="10"/>
  <c r="F469" i="10"/>
  <c r="C469" i="10"/>
  <c r="B469" i="10"/>
  <c r="A469" i="10"/>
  <c r="F468" i="10"/>
  <c r="C468" i="10"/>
  <c r="B468" i="10"/>
  <c r="A468" i="10"/>
  <c r="F467" i="10"/>
  <c r="C467" i="10"/>
  <c r="B467" i="10"/>
  <c r="A467" i="10"/>
  <c r="F466" i="10"/>
  <c r="C466" i="10"/>
  <c r="B466" i="10"/>
  <c r="A466" i="10"/>
  <c r="F465" i="10"/>
  <c r="C465" i="10"/>
  <c r="B465" i="10"/>
  <c r="A465" i="10"/>
  <c r="F464" i="10"/>
  <c r="C464" i="10"/>
  <c r="B464" i="10"/>
  <c r="A464" i="10"/>
  <c r="F463" i="10"/>
  <c r="C463" i="10"/>
  <c r="B463" i="10"/>
  <c r="A463" i="10"/>
  <c r="F462" i="10"/>
  <c r="C462" i="10"/>
  <c r="B462" i="10"/>
  <c r="A462" i="10"/>
  <c r="F461" i="10"/>
  <c r="C461" i="10"/>
  <c r="B461" i="10"/>
  <c r="A461" i="10"/>
  <c r="F460" i="10"/>
  <c r="C460" i="10"/>
  <c r="B460" i="10"/>
  <c r="A460" i="10"/>
  <c r="F459" i="10"/>
  <c r="C459" i="10"/>
  <c r="B459" i="10"/>
  <c r="A459" i="10"/>
  <c r="F458" i="10"/>
  <c r="C458" i="10"/>
  <c r="B458" i="10"/>
  <c r="A458" i="10"/>
  <c r="F457" i="10"/>
  <c r="C457" i="10"/>
  <c r="B457" i="10"/>
  <c r="A457" i="10"/>
  <c r="F456" i="10"/>
  <c r="C456" i="10"/>
  <c r="B456" i="10"/>
  <c r="A456" i="10"/>
  <c r="F455" i="10"/>
  <c r="C455" i="10"/>
  <c r="B455" i="10"/>
  <c r="A455" i="10"/>
  <c r="F454" i="10"/>
  <c r="C454" i="10"/>
  <c r="B454" i="10"/>
  <c r="A454" i="10"/>
  <c r="F453" i="10"/>
  <c r="C453" i="10"/>
  <c r="B453" i="10"/>
  <c r="A453" i="10"/>
  <c r="F452" i="10"/>
  <c r="C452" i="10"/>
  <c r="B452" i="10"/>
  <c r="A452" i="10"/>
  <c r="F451" i="10"/>
  <c r="C451" i="10"/>
  <c r="B451" i="10"/>
  <c r="A451" i="10"/>
  <c r="F450" i="10"/>
  <c r="C450" i="10"/>
  <c r="B450" i="10"/>
  <c r="A450" i="10"/>
  <c r="F449" i="10"/>
  <c r="C449" i="10"/>
  <c r="B449" i="10"/>
  <c r="A449" i="10"/>
  <c r="F448" i="10"/>
  <c r="C448" i="10"/>
  <c r="B448" i="10"/>
  <c r="A448" i="10"/>
  <c r="F447" i="10"/>
  <c r="C447" i="10"/>
  <c r="B447" i="10"/>
  <c r="A447" i="10"/>
  <c r="F446" i="10"/>
  <c r="C446" i="10"/>
  <c r="B446" i="10"/>
  <c r="A446" i="10"/>
  <c r="F445" i="10"/>
  <c r="C445" i="10"/>
  <c r="B445" i="10"/>
  <c r="A445" i="10"/>
  <c r="F444" i="10"/>
  <c r="C444" i="10"/>
  <c r="B444" i="10"/>
  <c r="A444" i="10"/>
  <c r="F443" i="10"/>
  <c r="C443" i="10"/>
  <c r="B443" i="10"/>
  <c r="A443" i="10"/>
  <c r="F442" i="10"/>
  <c r="C442" i="10"/>
  <c r="B442" i="10"/>
  <c r="A442" i="10"/>
  <c r="F441" i="10"/>
  <c r="C441" i="10"/>
  <c r="B441" i="10"/>
  <c r="A441" i="10"/>
  <c r="F440" i="10"/>
  <c r="C440" i="10"/>
  <c r="B440" i="10"/>
  <c r="A440" i="10"/>
  <c r="F439" i="10"/>
  <c r="C439" i="10"/>
  <c r="B439" i="10"/>
  <c r="A439" i="10"/>
  <c r="F438" i="10"/>
  <c r="C438" i="10"/>
  <c r="B438" i="10"/>
  <c r="A438" i="10"/>
  <c r="F437" i="10"/>
  <c r="C437" i="10"/>
  <c r="B437" i="10"/>
  <c r="A437" i="10"/>
  <c r="F436" i="10"/>
  <c r="C436" i="10"/>
  <c r="B436" i="10"/>
  <c r="A436" i="10"/>
  <c r="F435" i="10"/>
  <c r="C435" i="10"/>
  <c r="B435" i="10"/>
  <c r="A435" i="10"/>
  <c r="F434" i="10"/>
  <c r="C434" i="10"/>
  <c r="B434" i="10"/>
  <c r="A434" i="10"/>
  <c r="F433" i="10"/>
  <c r="C433" i="10"/>
  <c r="B433" i="10"/>
  <c r="A433" i="10"/>
  <c r="F432" i="10"/>
  <c r="C432" i="10"/>
  <c r="B432" i="10"/>
  <c r="A432" i="10"/>
  <c r="F431" i="10"/>
  <c r="C431" i="10"/>
  <c r="B431" i="10"/>
  <c r="A431" i="10"/>
  <c r="F430" i="10"/>
  <c r="C430" i="10"/>
  <c r="B430" i="10"/>
  <c r="A430" i="10"/>
  <c r="F429" i="10"/>
  <c r="C429" i="10"/>
  <c r="B429" i="10"/>
  <c r="A429" i="10"/>
  <c r="F428" i="10"/>
  <c r="C428" i="10"/>
  <c r="B428" i="10"/>
  <c r="A428" i="10"/>
  <c r="F427" i="10"/>
  <c r="C427" i="10"/>
  <c r="B427" i="10"/>
  <c r="A427" i="10"/>
  <c r="F426" i="10"/>
  <c r="C426" i="10"/>
  <c r="B426" i="10"/>
  <c r="A426" i="10"/>
  <c r="F425" i="10"/>
  <c r="C425" i="10"/>
  <c r="B425" i="10"/>
  <c r="A425" i="10"/>
  <c r="F424" i="10"/>
  <c r="C424" i="10"/>
  <c r="B424" i="10"/>
  <c r="A424" i="10"/>
  <c r="F423" i="10"/>
  <c r="C423" i="10"/>
  <c r="B423" i="10"/>
  <c r="A423" i="10"/>
  <c r="F422" i="10"/>
  <c r="C422" i="10"/>
  <c r="B422" i="10"/>
  <c r="A422" i="10"/>
  <c r="F421" i="10"/>
  <c r="C421" i="10"/>
  <c r="B421" i="10"/>
  <c r="A421" i="10"/>
  <c r="F420" i="10"/>
  <c r="C420" i="10"/>
  <c r="B420" i="10"/>
  <c r="A420" i="10"/>
  <c r="F419" i="10"/>
  <c r="C419" i="10"/>
  <c r="B419" i="10"/>
  <c r="A419" i="10"/>
  <c r="F418" i="10"/>
  <c r="C418" i="10"/>
  <c r="B418" i="10"/>
  <c r="A418" i="10"/>
  <c r="F417" i="10"/>
  <c r="C417" i="10"/>
  <c r="B417" i="10"/>
  <c r="A417" i="10"/>
  <c r="F416" i="10"/>
  <c r="C416" i="10"/>
  <c r="B416" i="10"/>
  <c r="A416" i="10"/>
  <c r="F415" i="10"/>
  <c r="C415" i="10"/>
  <c r="B415" i="10"/>
  <c r="A415" i="10"/>
  <c r="F414" i="10"/>
  <c r="C414" i="10"/>
  <c r="B414" i="10"/>
  <c r="A414" i="10"/>
  <c r="F413" i="10"/>
  <c r="C413" i="10"/>
  <c r="B413" i="10"/>
  <c r="A413" i="10"/>
  <c r="F412" i="10"/>
  <c r="C412" i="10"/>
  <c r="B412" i="10"/>
  <c r="A412" i="10"/>
  <c r="F411" i="10"/>
  <c r="C411" i="10"/>
  <c r="B411" i="10"/>
  <c r="A411" i="10"/>
  <c r="F410" i="10"/>
  <c r="C410" i="10"/>
  <c r="B410" i="10"/>
  <c r="A410" i="10"/>
  <c r="F409" i="10"/>
  <c r="C409" i="10"/>
  <c r="B409" i="10"/>
  <c r="A409" i="10"/>
  <c r="F408" i="10"/>
  <c r="C408" i="10"/>
  <c r="B408" i="10"/>
  <c r="A408" i="10"/>
  <c r="F407" i="10"/>
  <c r="C407" i="10"/>
  <c r="B407" i="10"/>
  <c r="A407" i="10"/>
  <c r="F406" i="10"/>
  <c r="C406" i="10"/>
  <c r="B406" i="10"/>
  <c r="A406" i="10"/>
  <c r="F405" i="10"/>
  <c r="C405" i="10"/>
  <c r="B405" i="10"/>
  <c r="A405" i="10"/>
  <c r="F404" i="10"/>
  <c r="C404" i="10"/>
  <c r="B404" i="10"/>
  <c r="A404" i="10"/>
  <c r="F403" i="10"/>
  <c r="C403" i="10"/>
  <c r="B403" i="10"/>
  <c r="A403" i="10"/>
  <c r="F402" i="10"/>
  <c r="C402" i="10"/>
  <c r="B402" i="10"/>
  <c r="A402" i="10"/>
  <c r="F401" i="10"/>
  <c r="C401" i="10"/>
  <c r="B401" i="10"/>
  <c r="A401" i="10"/>
  <c r="F400" i="10"/>
  <c r="C400" i="10"/>
  <c r="B400" i="10"/>
  <c r="A400" i="10"/>
  <c r="F399" i="10"/>
  <c r="C399" i="10"/>
  <c r="B399" i="10"/>
  <c r="A399" i="10"/>
  <c r="F398" i="10"/>
  <c r="C398" i="10"/>
  <c r="B398" i="10"/>
  <c r="A398" i="10"/>
  <c r="F397" i="10"/>
  <c r="C397" i="10"/>
  <c r="B397" i="10"/>
  <c r="A397" i="10"/>
  <c r="F396" i="10"/>
  <c r="C396" i="10"/>
  <c r="B396" i="10"/>
  <c r="A396" i="10"/>
  <c r="F395" i="10"/>
  <c r="C395" i="10"/>
  <c r="B395" i="10"/>
  <c r="A395" i="10"/>
  <c r="F394" i="10"/>
  <c r="C394" i="10"/>
  <c r="B394" i="10"/>
  <c r="A394" i="10"/>
  <c r="F393" i="10"/>
  <c r="C393" i="10"/>
  <c r="B393" i="10"/>
  <c r="A393" i="10"/>
  <c r="F392" i="10"/>
  <c r="C392" i="10"/>
  <c r="B392" i="10"/>
  <c r="A392" i="10"/>
  <c r="F391" i="10"/>
  <c r="C391" i="10"/>
  <c r="B391" i="10"/>
  <c r="A391" i="10"/>
  <c r="F390" i="10"/>
  <c r="C390" i="10"/>
  <c r="B390" i="10"/>
  <c r="A390" i="10"/>
  <c r="F389" i="10"/>
  <c r="C389" i="10"/>
  <c r="B389" i="10"/>
  <c r="A389" i="10"/>
  <c r="F388" i="10"/>
  <c r="C388" i="10"/>
  <c r="B388" i="10"/>
  <c r="A388" i="10"/>
  <c r="F387" i="10"/>
  <c r="C387" i="10"/>
  <c r="B387" i="10"/>
  <c r="A387" i="10"/>
  <c r="F386" i="10"/>
  <c r="C386" i="10"/>
  <c r="B386" i="10"/>
  <c r="A386" i="10"/>
  <c r="F385" i="10"/>
  <c r="C385" i="10"/>
  <c r="B385" i="10"/>
  <c r="A385" i="10"/>
  <c r="F384" i="10"/>
  <c r="C384" i="10"/>
  <c r="B384" i="10"/>
  <c r="A384" i="10"/>
  <c r="F383" i="10"/>
  <c r="C383" i="10"/>
  <c r="B383" i="10"/>
  <c r="A383" i="10"/>
  <c r="F382" i="10"/>
  <c r="C382" i="10"/>
  <c r="B382" i="10"/>
  <c r="A382" i="10"/>
  <c r="F381" i="10"/>
  <c r="C381" i="10"/>
  <c r="B381" i="10"/>
  <c r="A381" i="10"/>
  <c r="F380" i="10"/>
  <c r="C380" i="10"/>
  <c r="B380" i="10"/>
  <c r="A380" i="10"/>
  <c r="F379" i="10"/>
  <c r="C379" i="10"/>
  <c r="B379" i="10"/>
  <c r="A379" i="10"/>
  <c r="F378" i="10"/>
  <c r="C378" i="10"/>
  <c r="B378" i="10"/>
  <c r="A378" i="10"/>
  <c r="H81" i="2"/>
  <c r="G81" i="2"/>
  <c r="E81" i="2"/>
  <c r="D81" i="2"/>
  <c r="G80" i="2"/>
  <c r="H80" i="2" s="1"/>
  <c r="E80" i="2"/>
  <c r="D80" i="2"/>
  <c r="G79" i="2"/>
  <c r="E79" i="2"/>
  <c r="D79" i="2"/>
  <c r="G78" i="2"/>
  <c r="H78" i="2" s="1"/>
  <c r="E78" i="2"/>
  <c r="D78" i="2"/>
  <c r="H77" i="2"/>
  <c r="G77" i="2"/>
  <c r="E77" i="2"/>
  <c r="D77" i="2"/>
  <c r="G76" i="2"/>
  <c r="H76" i="2" s="1"/>
  <c r="E76" i="2"/>
  <c r="D76" i="2"/>
  <c r="G75" i="2"/>
  <c r="E75" i="2"/>
  <c r="D75" i="2"/>
  <c r="G74" i="2"/>
  <c r="H74" i="2" s="1"/>
  <c r="E74" i="2"/>
  <c r="D74" i="2"/>
  <c r="H73" i="2"/>
  <c r="G73" i="2"/>
  <c r="E73" i="2"/>
  <c r="D73" i="2"/>
  <c r="G72" i="2"/>
  <c r="H72" i="2" s="1"/>
  <c r="E72" i="2"/>
  <c r="D72" i="2"/>
  <c r="G71" i="2"/>
  <c r="E71" i="2"/>
  <c r="D71" i="2"/>
  <c r="G70" i="2"/>
  <c r="H70" i="2" s="1"/>
  <c r="E70" i="2"/>
  <c r="D70" i="2"/>
  <c r="H69" i="2"/>
  <c r="G69" i="2"/>
  <c r="E69" i="2"/>
  <c r="D69" i="2"/>
  <c r="G68" i="2"/>
  <c r="H68" i="2" s="1"/>
  <c r="E68" i="2"/>
  <c r="D68" i="2"/>
  <c r="G67" i="2"/>
  <c r="E67" i="2"/>
  <c r="D67" i="2"/>
  <c r="G66" i="2"/>
  <c r="H66" i="2" s="1"/>
  <c r="E66" i="2"/>
  <c r="D66" i="2"/>
  <c r="H65" i="2"/>
  <c r="G65" i="2"/>
  <c r="E65" i="2"/>
  <c r="D65" i="2"/>
  <c r="G64" i="2"/>
  <c r="H64" i="2" s="1"/>
  <c r="E64" i="2"/>
  <c r="D64" i="2"/>
  <c r="G63" i="2"/>
  <c r="E63" i="2"/>
  <c r="D63" i="2"/>
  <c r="G62" i="2"/>
  <c r="H62" i="2" s="1"/>
  <c r="E62" i="2"/>
  <c r="D62" i="2"/>
  <c r="H61" i="2"/>
  <c r="G61" i="2"/>
  <c r="E61" i="2"/>
  <c r="D61" i="2"/>
  <c r="G60" i="2"/>
  <c r="H60" i="2" s="1"/>
  <c r="E60" i="2"/>
  <c r="D60" i="2"/>
  <c r="G59" i="2"/>
  <c r="E59" i="2"/>
  <c r="D59" i="2"/>
  <c r="G58" i="2"/>
  <c r="H58" i="2" s="1"/>
  <c r="E58" i="2"/>
  <c r="D58" i="2"/>
  <c r="H57" i="2"/>
  <c r="G57" i="2"/>
  <c r="E57" i="2"/>
  <c r="D57" i="2"/>
  <c r="G56" i="2"/>
  <c r="H56" i="2" s="1"/>
  <c r="E56" i="2"/>
  <c r="D56" i="2"/>
  <c r="G55" i="2"/>
  <c r="E55" i="2"/>
  <c r="D55" i="2"/>
  <c r="G54" i="2"/>
  <c r="H54" i="2" s="1"/>
  <c r="E54" i="2"/>
  <c r="D54" i="2"/>
  <c r="H53" i="2"/>
  <c r="G53" i="2"/>
  <c r="E53" i="2"/>
  <c r="D53" i="2"/>
  <c r="G52" i="2"/>
  <c r="H52" i="2" s="1"/>
  <c r="E52" i="2"/>
  <c r="D52" i="2"/>
  <c r="G51" i="2"/>
  <c r="E51" i="2"/>
  <c r="D51" i="2"/>
  <c r="G50" i="2"/>
  <c r="H50" i="2" s="1"/>
  <c r="E50" i="2"/>
  <c r="D50" i="2"/>
  <c r="H49" i="2"/>
  <c r="G49" i="2"/>
  <c r="E49" i="2"/>
  <c r="D49" i="2"/>
  <c r="G48" i="2"/>
  <c r="H48" i="2" s="1"/>
  <c r="E48" i="2"/>
  <c r="D48" i="2"/>
  <c r="G47" i="2"/>
  <c r="E47" i="2"/>
  <c r="D47" i="2"/>
  <c r="G46" i="2"/>
  <c r="H46" i="2" s="1"/>
  <c r="E46" i="2"/>
  <c r="D46" i="2"/>
  <c r="H45" i="2"/>
  <c r="G45" i="2"/>
  <c r="E45" i="2"/>
  <c r="D45" i="2"/>
  <c r="G44" i="2"/>
  <c r="H44" i="2" s="1"/>
  <c r="E44" i="2"/>
  <c r="D44" i="2"/>
  <c r="G43" i="2"/>
  <c r="E43" i="2"/>
  <c r="D43" i="2"/>
  <c r="G42" i="2"/>
  <c r="H42" i="2" s="1"/>
  <c r="E42" i="2"/>
  <c r="D42" i="2"/>
  <c r="H41" i="2"/>
  <c r="G41" i="2"/>
  <c r="E41" i="2"/>
  <c r="D41" i="2"/>
  <c r="G40" i="2"/>
  <c r="H40" i="2" s="1"/>
  <c r="E40" i="2"/>
  <c r="D40" i="2"/>
  <c r="G39" i="2"/>
  <c r="E39" i="2"/>
  <c r="D39" i="2"/>
  <c r="G38" i="2"/>
  <c r="H38" i="2" s="1"/>
  <c r="E38" i="2"/>
  <c r="D38" i="2"/>
  <c r="H37" i="2"/>
  <c r="G37" i="2"/>
  <c r="E37" i="2"/>
  <c r="D37" i="2"/>
  <c r="G36" i="2"/>
  <c r="H36" i="2" s="1"/>
  <c r="E36" i="2"/>
  <c r="D36" i="2"/>
  <c r="G35" i="2"/>
  <c r="E35" i="2"/>
  <c r="D35" i="2"/>
  <c r="G34" i="2"/>
  <c r="H34" i="2" s="1"/>
  <c r="E34" i="2"/>
  <c r="D34" i="2"/>
  <c r="H33" i="2"/>
  <c r="G33" i="2"/>
  <c r="E33" i="2"/>
  <c r="D33" i="2"/>
  <c r="G32" i="2"/>
  <c r="H32" i="2" s="1"/>
  <c r="E32" i="2"/>
  <c r="D32" i="2"/>
  <c r="G31" i="2"/>
  <c r="E31" i="2"/>
  <c r="D31" i="2"/>
  <c r="G30" i="2"/>
  <c r="H30" i="2" s="1"/>
  <c r="E30" i="2"/>
  <c r="D30" i="2"/>
  <c r="H29" i="2"/>
  <c r="G29" i="2"/>
  <c r="E29" i="2"/>
  <c r="D29" i="2"/>
  <c r="G28" i="2"/>
  <c r="H28" i="2" s="1"/>
  <c r="E28" i="2"/>
  <c r="D28" i="2"/>
  <c r="G27" i="2"/>
  <c r="E27" i="2"/>
  <c r="D27" i="2"/>
  <c r="G26" i="2"/>
  <c r="H26" i="2" s="1"/>
  <c r="E26" i="2"/>
  <c r="D26" i="2"/>
  <c r="H25" i="2"/>
  <c r="G25" i="2"/>
  <c r="E25" i="2"/>
  <c r="D25" i="2"/>
  <c r="G24" i="2"/>
  <c r="H24" i="2" s="1"/>
  <c r="E24" i="2"/>
  <c r="D24" i="2"/>
  <c r="G23" i="2"/>
  <c r="E23" i="2"/>
  <c r="D23" i="2"/>
  <c r="G22" i="2"/>
  <c r="H22" i="2" s="1"/>
  <c r="E22" i="2"/>
  <c r="D22" i="2"/>
  <c r="H21" i="2"/>
  <c r="G21" i="2"/>
  <c r="E21" i="2"/>
  <c r="D21" i="2"/>
  <c r="G20" i="2"/>
  <c r="H20" i="2" s="1"/>
  <c r="E20" i="2"/>
  <c r="D20" i="2"/>
  <c r="G19" i="2"/>
  <c r="E19" i="2"/>
  <c r="D19" i="2"/>
  <c r="G18" i="2"/>
  <c r="H18" i="2" s="1"/>
  <c r="E18" i="2"/>
  <c r="D18" i="2"/>
  <c r="H17" i="2"/>
  <c r="G17" i="2"/>
  <c r="E17" i="2"/>
  <c r="D17" i="2"/>
  <c r="G16" i="2"/>
  <c r="H16" i="2" s="1"/>
  <c r="E16" i="2"/>
  <c r="D16" i="2"/>
  <c r="G15" i="2"/>
  <c r="E15" i="2"/>
  <c r="D15" i="2"/>
  <c r="G14" i="2"/>
  <c r="H14" i="2" s="1"/>
  <c r="E14" i="2"/>
  <c r="D14" i="2"/>
  <c r="H13" i="2"/>
  <c r="G13" i="2"/>
  <c r="E13" i="2"/>
  <c r="D13" i="2"/>
  <c r="G12" i="2"/>
  <c r="H12" i="2" s="1"/>
  <c r="E12" i="2"/>
  <c r="D12" i="2"/>
  <c r="G11" i="2"/>
  <c r="E11" i="2"/>
  <c r="D11" i="2"/>
  <c r="G10" i="2"/>
  <c r="H10" i="2" s="1"/>
  <c r="E10" i="2"/>
  <c r="D10" i="2"/>
  <c r="H9" i="2"/>
  <c r="G9" i="2"/>
  <c r="E9" i="2"/>
  <c r="D9" i="2"/>
  <c r="G8" i="2"/>
  <c r="H8" i="2" s="1"/>
  <c r="E8" i="2"/>
  <c r="D8" i="2"/>
  <c r="I7" i="2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I43" i="2" s="1"/>
  <c r="I45" i="2" s="1"/>
  <c r="I47" i="2" s="1"/>
  <c r="I49" i="2" s="1"/>
  <c r="I51" i="2" s="1"/>
  <c r="I53" i="2" s="1"/>
  <c r="I55" i="2" s="1"/>
  <c r="I57" i="2" s="1"/>
  <c r="I59" i="2" s="1"/>
  <c r="I61" i="2" s="1"/>
  <c r="I63" i="2" s="1"/>
  <c r="I65" i="2" s="1"/>
  <c r="I67" i="2" s="1"/>
  <c r="I69" i="2" s="1"/>
  <c r="I71" i="2" s="1"/>
  <c r="I73" i="2" s="1"/>
  <c r="I75" i="2" s="1"/>
  <c r="I77" i="2" s="1"/>
  <c r="I79" i="2" s="1"/>
  <c r="I81" i="2" s="1"/>
  <c r="G7" i="2"/>
  <c r="E7" i="2"/>
  <c r="D7" i="2"/>
  <c r="G6" i="2"/>
  <c r="H6" i="2" s="1"/>
  <c r="E6" i="2"/>
  <c r="D6" i="2"/>
  <c r="I5" i="2"/>
  <c r="H5" i="2"/>
  <c r="G5" i="2"/>
  <c r="E5" i="2"/>
  <c r="D5" i="2"/>
  <c r="I4" i="2"/>
  <c r="I6" i="2" s="1"/>
  <c r="I8" i="2" s="1"/>
  <c r="I10" i="2" s="1"/>
  <c r="I12" i="2" s="1"/>
  <c r="I14" i="2" s="1"/>
  <c r="I16" i="2" s="1"/>
  <c r="I18" i="2" s="1"/>
  <c r="I20" i="2" s="1"/>
  <c r="I22" i="2" s="1"/>
  <c r="I24" i="2" s="1"/>
  <c r="I26" i="2" s="1"/>
  <c r="I28" i="2" s="1"/>
  <c r="I30" i="2" s="1"/>
  <c r="I32" i="2" s="1"/>
  <c r="I34" i="2" s="1"/>
  <c r="I36" i="2" s="1"/>
  <c r="I38" i="2" s="1"/>
  <c r="I40" i="2" s="1"/>
  <c r="I42" i="2" s="1"/>
  <c r="I44" i="2" s="1"/>
  <c r="I46" i="2" s="1"/>
  <c r="I48" i="2" s="1"/>
  <c r="I50" i="2" s="1"/>
  <c r="I52" i="2" s="1"/>
  <c r="I54" i="2" s="1"/>
  <c r="I56" i="2" s="1"/>
  <c r="I58" i="2" s="1"/>
  <c r="I60" i="2" s="1"/>
  <c r="I62" i="2" s="1"/>
  <c r="I64" i="2" s="1"/>
  <c r="I66" i="2" s="1"/>
  <c r="I68" i="2" s="1"/>
  <c r="I70" i="2" s="1"/>
  <c r="I72" i="2" s="1"/>
  <c r="I74" i="2" s="1"/>
  <c r="I76" i="2" s="1"/>
  <c r="I78" i="2" s="1"/>
  <c r="I80" i="2" s="1"/>
  <c r="G4" i="2"/>
  <c r="H4" i="2" s="1"/>
  <c r="E4" i="2"/>
  <c r="D4" i="2"/>
  <c r="H3" i="2"/>
  <c r="G3" i="2"/>
  <c r="E3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G2" i="2"/>
  <c r="M152" i="1"/>
  <c r="N152" i="1" s="1"/>
  <c r="M151" i="1"/>
  <c r="N151" i="1" s="1"/>
  <c r="M150" i="1"/>
  <c r="N150" i="1" s="1"/>
  <c r="F150" i="1"/>
  <c r="M149" i="1"/>
  <c r="N149" i="1" s="1"/>
  <c r="F149" i="1"/>
  <c r="M148" i="1"/>
  <c r="N148" i="1" s="1"/>
  <c r="N147" i="1"/>
  <c r="M147" i="1"/>
  <c r="M146" i="1"/>
  <c r="N146" i="1" s="1"/>
  <c r="M145" i="1"/>
  <c r="N145" i="1" s="1"/>
  <c r="M144" i="1"/>
  <c r="N144" i="1" s="1"/>
  <c r="N143" i="1"/>
  <c r="M143" i="1"/>
  <c r="M142" i="1"/>
  <c r="N142" i="1" s="1"/>
  <c r="F142" i="1"/>
  <c r="N141" i="1"/>
  <c r="M141" i="1"/>
  <c r="N140" i="1"/>
  <c r="M140" i="1"/>
  <c r="F140" i="1"/>
  <c r="M139" i="1"/>
  <c r="N139" i="1" s="1"/>
  <c r="N138" i="1"/>
  <c r="M138" i="1"/>
  <c r="M137" i="1"/>
  <c r="N137" i="1" s="1"/>
  <c r="F137" i="1"/>
  <c r="N136" i="1"/>
  <c r="M136" i="1"/>
  <c r="F136" i="1"/>
  <c r="M135" i="1"/>
  <c r="N135" i="1" s="1"/>
  <c r="F135" i="1"/>
  <c r="N134" i="1"/>
  <c r="M134" i="1"/>
  <c r="M133" i="1"/>
  <c r="N133" i="1" s="1"/>
  <c r="M132" i="1"/>
  <c r="N132" i="1" s="1"/>
  <c r="N131" i="1"/>
  <c r="M131" i="1"/>
  <c r="F131" i="1"/>
  <c r="M130" i="1"/>
  <c r="N130" i="1" s="1"/>
  <c r="M129" i="1"/>
  <c r="N129" i="1" s="1"/>
  <c r="N128" i="1"/>
  <c r="M128" i="1"/>
  <c r="M127" i="1"/>
  <c r="N127" i="1" s="1"/>
  <c r="M126" i="1"/>
  <c r="N126" i="1" s="1"/>
  <c r="M125" i="1"/>
  <c r="N125" i="1" s="1"/>
  <c r="N124" i="1"/>
  <c r="M124" i="1"/>
  <c r="M123" i="1"/>
  <c r="N123" i="1" s="1"/>
  <c r="M122" i="1"/>
  <c r="N122" i="1" s="1"/>
  <c r="F122" i="1"/>
  <c r="N121" i="1"/>
  <c r="M121" i="1"/>
  <c r="M120" i="1"/>
  <c r="N120" i="1" s="1"/>
  <c r="F120" i="1"/>
  <c r="N119" i="1"/>
  <c r="M119" i="1"/>
  <c r="M118" i="1"/>
  <c r="N118" i="1" s="1"/>
  <c r="F118" i="1"/>
  <c r="N117" i="1"/>
  <c r="M117" i="1"/>
  <c r="N116" i="1"/>
  <c r="M116" i="1"/>
  <c r="M115" i="1"/>
  <c r="N115" i="1" s="1"/>
  <c r="M114" i="1"/>
  <c r="N114" i="1" s="1"/>
  <c r="N113" i="1"/>
  <c r="M113" i="1"/>
  <c r="F113" i="1"/>
  <c r="M112" i="1"/>
  <c r="N112" i="1" s="1"/>
  <c r="M111" i="1"/>
  <c r="N111" i="1" s="1"/>
  <c r="F111" i="1"/>
  <c r="M110" i="1"/>
  <c r="N110" i="1" s="1"/>
  <c r="M109" i="1"/>
  <c r="N109" i="1" s="1"/>
  <c r="N108" i="1"/>
  <c r="M108" i="1"/>
  <c r="N107" i="1"/>
  <c r="M107" i="1"/>
  <c r="M106" i="1"/>
  <c r="N106" i="1" s="1"/>
  <c r="F106" i="1"/>
  <c r="N105" i="1"/>
  <c r="M105" i="1"/>
  <c r="M104" i="1"/>
  <c r="N104" i="1" s="1"/>
  <c r="F104" i="1"/>
  <c r="N103" i="1"/>
  <c r="M103" i="1"/>
  <c r="N102" i="1"/>
  <c r="M102" i="1"/>
  <c r="F102" i="1"/>
  <c r="M101" i="1"/>
  <c r="N101" i="1" s="1"/>
  <c r="N100" i="1"/>
  <c r="M100" i="1"/>
  <c r="F100" i="1"/>
  <c r="M99" i="1"/>
  <c r="N99" i="1" s="1"/>
  <c r="N98" i="1"/>
  <c r="M98" i="1"/>
  <c r="F98" i="1"/>
  <c r="M97" i="1"/>
  <c r="N97" i="1" s="1"/>
  <c r="M96" i="1"/>
  <c r="N96" i="1" s="1"/>
  <c r="N95" i="1"/>
  <c r="M95" i="1"/>
  <c r="F95" i="1"/>
  <c r="M94" i="1"/>
  <c r="N94" i="1" s="1"/>
  <c r="F94" i="1"/>
  <c r="M93" i="1"/>
  <c r="N93" i="1" s="1"/>
  <c r="M92" i="1"/>
  <c r="N92" i="1" s="1"/>
  <c r="F92" i="1"/>
  <c r="N91" i="1"/>
  <c r="M91" i="1"/>
  <c r="M90" i="1"/>
  <c r="N90" i="1" s="1"/>
  <c r="F90" i="1"/>
  <c r="N89" i="1"/>
  <c r="M89" i="1"/>
  <c r="M88" i="1"/>
  <c r="N88" i="1" s="1"/>
  <c r="F88" i="1"/>
  <c r="N87" i="1"/>
  <c r="M87" i="1"/>
  <c r="N86" i="1"/>
  <c r="M86" i="1"/>
  <c r="F86" i="1"/>
  <c r="M85" i="1"/>
  <c r="N85" i="1" s="1"/>
  <c r="N84" i="1"/>
  <c r="M84" i="1"/>
  <c r="M83" i="1"/>
  <c r="N83" i="1" s="1"/>
  <c r="F83" i="1"/>
  <c r="N82" i="1"/>
  <c r="M82" i="1"/>
  <c r="N81" i="1"/>
  <c r="M81" i="1"/>
  <c r="F81" i="1"/>
  <c r="M80" i="1"/>
  <c r="N80" i="1" s="1"/>
  <c r="N79" i="1"/>
  <c r="M79" i="1"/>
  <c r="F79" i="1"/>
  <c r="M78" i="1"/>
  <c r="N78" i="1" s="1"/>
  <c r="N77" i="1"/>
  <c r="M77" i="1"/>
  <c r="F77" i="1"/>
  <c r="M76" i="1"/>
  <c r="N76" i="1" s="1"/>
  <c r="F76" i="1"/>
  <c r="N75" i="1"/>
  <c r="M75" i="1"/>
  <c r="N74" i="1"/>
  <c r="M74" i="1"/>
  <c r="F74" i="1"/>
  <c r="N73" i="1"/>
  <c r="M73" i="1"/>
  <c r="M72" i="1"/>
  <c r="N72" i="1" s="1"/>
  <c r="F72" i="1"/>
  <c r="N71" i="1"/>
  <c r="M71" i="1"/>
  <c r="F71" i="1"/>
  <c r="M70" i="1"/>
  <c r="N70" i="1" s="1"/>
  <c r="M69" i="1"/>
  <c r="N69" i="1" s="1"/>
  <c r="F69" i="1"/>
  <c r="N68" i="1"/>
  <c r="M68" i="1"/>
  <c r="F68" i="1"/>
  <c r="N67" i="1"/>
  <c r="M67" i="1"/>
  <c r="M66" i="1"/>
  <c r="N66" i="1" s="1"/>
  <c r="F66" i="1"/>
  <c r="N65" i="1"/>
  <c r="M65" i="1"/>
  <c r="F65" i="1"/>
  <c r="M64" i="1"/>
  <c r="N64" i="1" s="1"/>
  <c r="M63" i="1"/>
  <c r="N63" i="1" s="1"/>
  <c r="F63" i="1"/>
  <c r="N62" i="1"/>
  <c r="M62" i="1"/>
  <c r="F62" i="1"/>
  <c r="N61" i="1"/>
  <c r="M61" i="1"/>
  <c r="M60" i="1"/>
  <c r="N60" i="1" s="1"/>
  <c r="F60" i="1"/>
  <c r="N59" i="1"/>
  <c r="M59" i="1"/>
  <c r="N58" i="1"/>
  <c r="M58" i="1"/>
  <c r="F58" i="1"/>
  <c r="M57" i="1"/>
  <c r="N57" i="1" s="1"/>
  <c r="N56" i="1"/>
  <c r="M56" i="1"/>
  <c r="F56" i="1"/>
  <c r="M55" i="1"/>
  <c r="N55" i="1" s="1"/>
  <c r="N54" i="1"/>
  <c r="M54" i="1"/>
  <c r="F54" i="1"/>
  <c r="M53" i="1"/>
  <c r="N53" i="1" s="1"/>
  <c r="M52" i="1"/>
  <c r="N52" i="1" s="1"/>
  <c r="F52" i="1"/>
  <c r="N51" i="1"/>
  <c r="M51" i="1"/>
  <c r="M50" i="1"/>
  <c r="N50" i="1" s="1"/>
  <c r="F50" i="1"/>
  <c r="M49" i="1"/>
  <c r="N49" i="1" s="1"/>
  <c r="M48" i="1"/>
  <c r="N48" i="1" s="1"/>
  <c r="F48" i="1"/>
  <c r="N47" i="1"/>
  <c r="M47" i="1"/>
  <c r="N46" i="1"/>
  <c r="M46" i="1"/>
  <c r="F46" i="1"/>
  <c r="N45" i="1"/>
  <c r="M45" i="1"/>
  <c r="F45" i="1"/>
  <c r="M44" i="1"/>
  <c r="N44" i="1" s="1"/>
  <c r="N43" i="1"/>
  <c r="M43" i="1"/>
  <c r="F43" i="1"/>
  <c r="M42" i="1"/>
  <c r="N42" i="1" s="1"/>
  <c r="M41" i="1"/>
  <c r="N41" i="1" s="1"/>
  <c r="F41" i="1"/>
  <c r="N40" i="1"/>
  <c r="M40" i="1"/>
  <c r="M39" i="1"/>
  <c r="N39" i="1" s="1"/>
  <c r="F39" i="1"/>
  <c r="M38" i="1"/>
  <c r="N38" i="1" s="1"/>
  <c r="M37" i="1"/>
  <c r="N37" i="1" s="1"/>
  <c r="F37" i="1"/>
  <c r="N36" i="1"/>
  <c r="M36" i="1"/>
  <c r="N35" i="1"/>
  <c r="M35" i="1"/>
  <c r="F35" i="1"/>
  <c r="N34" i="1"/>
  <c r="M34" i="1"/>
  <c r="F34" i="1"/>
  <c r="M33" i="1"/>
  <c r="N33" i="1" s="1"/>
  <c r="N32" i="1"/>
  <c r="M32" i="1"/>
  <c r="F32" i="1"/>
  <c r="M31" i="1"/>
  <c r="N31" i="1" s="1"/>
  <c r="F31" i="1"/>
  <c r="N30" i="1"/>
  <c r="M30" i="1"/>
  <c r="N29" i="1"/>
  <c r="M29" i="1"/>
  <c r="F29" i="1"/>
  <c r="N28" i="1"/>
  <c r="M28" i="1"/>
  <c r="M27" i="1"/>
  <c r="N27" i="1" s="1"/>
  <c r="F27" i="1"/>
  <c r="N26" i="1"/>
  <c r="M26" i="1"/>
  <c r="N25" i="1"/>
  <c r="M25" i="1"/>
  <c r="F25" i="1"/>
  <c r="M24" i="1"/>
  <c r="N24" i="1" s="1"/>
  <c r="N23" i="1"/>
  <c r="M23" i="1"/>
  <c r="F23" i="1"/>
  <c r="M22" i="1"/>
  <c r="N22" i="1" s="1"/>
  <c r="N21" i="1"/>
  <c r="M21" i="1"/>
  <c r="F21" i="1"/>
  <c r="M20" i="1"/>
  <c r="N20" i="1" s="1"/>
  <c r="M19" i="1"/>
  <c r="N19" i="1" s="1"/>
  <c r="F19" i="1"/>
  <c r="N18" i="1"/>
  <c r="M18" i="1"/>
  <c r="F18" i="1"/>
  <c r="N17" i="1"/>
  <c r="M17" i="1"/>
  <c r="M16" i="1"/>
  <c r="N16" i="1" s="1"/>
  <c r="F16" i="1"/>
  <c r="N15" i="1"/>
  <c r="M15" i="1"/>
  <c r="F15" i="1"/>
  <c r="M14" i="1"/>
  <c r="N14" i="1" s="1"/>
  <c r="M13" i="1"/>
  <c r="N13" i="1" s="1"/>
  <c r="F13" i="1"/>
  <c r="N12" i="1"/>
  <c r="M12" i="1"/>
  <c r="F12" i="1"/>
  <c r="N11" i="1"/>
  <c r="M11" i="1"/>
  <c r="M10" i="1"/>
  <c r="N10" i="1" s="1"/>
  <c r="F10" i="1"/>
  <c r="N9" i="1"/>
  <c r="M9" i="1"/>
  <c r="F9" i="1"/>
  <c r="N8" i="1"/>
  <c r="M8" i="1"/>
  <c r="M7" i="1"/>
  <c r="N7" i="1" s="1"/>
  <c r="F7" i="1"/>
  <c r="M6" i="1"/>
  <c r="N6" i="1" s="1"/>
  <c r="F6" i="1"/>
  <c r="M5" i="1"/>
  <c r="N5" i="1" s="1"/>
  <c r="N4" i="1"/>
  <c r="M4" i="1"/>
  <c r="F4" i="1"/>
  <c r="N3" i="1"/>
  <c r="M3" i="1"/>
  <c r="F3" i="1"/>
  <c r="N2" i="1"/>
  <c r="M2" i="1"/>
  <c r="M943" i="10"/>
  <c r="H942" i="10"/>
  <c r="L938" i="10"/>
  <c r="G937" i="10"/>
  <c r="J936" i="10"/>
  <c r="M935" i="10"/>
  <c r="H934" i="10"/>
  <c r="L930" i="10"/>
  <c r="G929" i="10"/>
  <c r="J928" i="10"/>
  <c r="M927" i="10"/>
  <c r="H926" i="10"/>
  <c r="L922" i="10"/>
  <c r="G921" i="10"/>
  <c r="J920" i="10"/>
  <c r="M919" i="10"/>
  <c r="H918" i="10"/>
  <c r="L914" i="10"/>
  <c r="G913" i="10"/>
  <c r="J912" i="10"/>
  <c r="M911" i="10"/>
  <c r="H910" i="10"/>
  <c r="L906" i="10"/>
  <c r="G905" i="10"/>
  <c r="J904" i="10"/>
  <c r="M903" i="10"/>
  <c r="H902" i="10"/>
  <c r="L898" i="10"/>
  <c r="G897" i="10"/>
  <c r="J896" i="10"/>
  <c r="M895" i="10"/>
  <c r="H894" i="10"/>
  <c r="L890" i="10"/>
  <c r="G889" i="10"/>
  <c r="J888" i="10"/>
  <c r="M887" i="10"/>
  <c r="H886" i="10"/>
  <c r="L882" i="10"/>
  <c r="G881" i="10"/>
  <c r="J880" i="10"/>
  <c r="M879" i="10"/>
  <c r="H878" i="10"/>
  <c r="L874" i="10"/>
  <c r="G873" i="10"/>
  <c r="J872" i="10"/>
  <c r="M871" i="10"/>
  <c r="H870" i="10"/>
  <c r="L866" i="10"/>
  <c r="G865" i="10"/>
  <c r="J864" i="10"/>
  <c r="M863" i="10"/>
  <c r="H862" i="10"/>
  <c r="L858" i="10"/>
  <c r="L943" i="10"/>
  <c r="G942" i="10"/>
  <c r="J941" i="10"/>
  <c r="M940" i="10"/>
  <c r="H939" i="10"/>
  <c r="L935" i="10"/>
  <c r="G934" i="10"/>
  <c r="J933" i="10"/>
  <c r="M932" i="10"/>
  <c r="H931" i="10"/>
  <c r="L927" i="10"/>
  <c r="G926" i="10"/>
  <c r="J925" i="10"/>
  <c r="M924" i="10"/>
  <c r="H923" i="10"/>
  <c r="L919" i="10"/>
  <c r="G918" i="10"/>
  <c r="J917" i="10"/>
  <c r="M916" i="10"/>
  <c r="H915" i="10"/>
  <c r="L911" i="10"/>
  <c r="G910" i="10"/>
  <c r="J909" i="10"/>
  <c r="M908" i="10"/>
  <c r="H907" i="10"/>
  <c r="L903" i="10"/>
  <c r="G902" i="10"/>
  <c r="J901" i="10"/>
  <c r="M900" i="10"/>
  <c r="H899" i="10"/>
  <c r="L895" i="10"/>
  <c r="G894" i="10"/>
  <c r="J893" i="10"/>
  <c r="M892" i="10"/>
  <c r="H891" i="10"/>
  <c r="L887" i="10"/>
  <c r="G886" i="10"/>
  <c r="J885" i="10"/>
  <c r="M884" i="10"/>
  <c r="H883" i="10"/>
  <c r="L879" i="10"/>
  <c r="G878" i="10"/>
  <c r="J877" i="10"/>
  <c r="M876" i="10"/>
  <c r="H875" i="10"/>
  <c r="L871" i="10"/>
  <c r="G870" i="10"/>
  <c r="J869" i="10"/>
  <c r="M868" i="10"/>
  <c r="H867" i="10"/>
  <c r="L940" i="10"/>
  <c r="G939" i="10"/>
  <c r="J938" i="10"/>
  <c r="M937" i="10"/>
  <c r="H936" i="10"/>
  <c r="L932" i="10"/>
  <c r="G931" i="10"/>
  <c r="J930" i="10"/>
  <c r="M929" i="10"/>
  <c r="H928" i="10"/>
  <c r="L924" i="10"/>
  <c r="G923" i="10"/>
  <c r="J922" i="10"/>
  <c r="M921" i="10"/>
  <c r="H920" i="10"/>
  <c r="L916" i="10"/>
  <c r="G915" i="10"/>
  <c r="J914" i="10"/>
  <c r="M913" i="10"/>
  <c r="H912" i="10"/>
  <c r="L908" i="10"/>
  <c r="G907" i="10"/>
  <c r="J906" i="10"/>
  <c r="M905" i="10"/>
  <c r="H904" i="10"/>
  <c r="L900" i="10"/>
  <c r="G899" i="10"/>
  <c r="J898" i="10"/>
  <c r="M897" i="10"/>
  <c r="H896" i="10"/>
  <c r="L892" i="10"/>
  <c r="G891" i="10"/>
  <c r="J890" i="10"/>
  <c r="M889" i="10"/>
  <c r="H888" i="10"/>
  <c r="L884" i="10"/>
  <c r="G883" i="10"/>
  <c r="J882" i="10"/>
  <c r="M881" i="10"/>
  <c r="H880" i="10"/>
  <c r="L876" i="10"/>
  <c r="G875" i="10"/>
  <c r="J874" i="10"/>
  <c r="M873" i="10"/>
  <c r="H872" i="10"/>
  <c r="L868" i="10"/>
  <c r="G867" i="10"/>
  <c r="J866" i="10"/>
  <c r="M865" i="10"/>
  <c r="H864" i="10"/>
  <c r="L860" i="10"/>
  <c r="G859" i="10"/>
  <c r="J858" i="10"/>
  <c r="M857" i="10"/>
  <c r="J943" i="10"/>
  <c r="M942" i="10"/>
  <c r="H941" i="10"/>
  <c r="L937" i="10"/>
  <c r="G936" i="10"/>
  <c r="J935" i="10"/>
  <c r="M934" i="10"/>
  <c r="H933" i="10"/>
  <c r="L929" i="10"/>
  <c r="G928" i="10"/>
  <c r="J927" i="10"/>
  <c r="M926" i="10"/>
  <c r="H925" i="10"/>
  <c r="L921" i="10"/>
  <c r="G920" i="10"/>
  <c r="J919" i="10"/>
  <c r="M918" i="10"/>
  <c r="H917" i="10"/>
  <c r="L913" i="10"/>
  <c r="G912" i="10"/>
  <c r="J911" i="10"/>
  <c r="M910" i="10"/>
  <c r="H909" i="10"/>
  <c r="L905" i="10"/>
  <c r="G904" i="10"/>
  <c r="J903" i="10"/>
  <c r="M902" i="10"/>
  <c r="H901" i="10"/>
  <c r="L897" i="10"/>
  <c r="G896" i="10"/>
  <c r="J895" i="10"/>
  <c r="M894" i="10"/>
  <c r="H893" i="10"/>
  <c r="L889" i="10"/>
  <c r="G888" i="10"/>
  <c r="J887" i="10"/>
  <c r="M886" i="10"/>
  <c r="H885" i="10"/>
  <c r="L881" i="10"/>
  <c r="G880" i="10"/>
  <c r="J879" i="10"/>
  <c r="M878" i="10"/>
  <c r="H877" i="10"/>
  <c r="L873" i="10"/>
  <c r="G872" i="10"/>
  <c r="J871" i="10"/>
  <c r="M870" i="10"/>
  <c r="H869" i="10"/>
  <c r="L865" i="10"/>
  <c r="G864" i="10"/>
  <c r="J863" i="10"/>
  <c r="M862" i="10"/>
  <c r="H861" i="10"/>
  <c r="L857" i="10"/>
  <c r="G856" i="10"/>
  <c r="J855" i="10"/>
  <c r="M854" i="10"/>
  <c r="H853" i="10"/>
  <c r="L849" i="10"/>
  <c r="G848" i="10"/>
  <c r="J847" i="10"/>
  <c r="M846" i="10"/>
  <c r="H845" i="10"/>
  <c r="L841" i="10"/>
  <c r="G840" i="10"/>
  <c r="J839" i="10"/>
  <c r="M838" i="10"/>
  <c r="H837" i="10"/>
  <c r="L833" i="10"/>
  <c r="G832" i="10"/>
  <c r="J831" i="10"/>
  <c r="M830" i="10"/>
  <c r="H829" i="10"/>
  <c r="L825" i="10"/>
  <c r="G824" i="10"/>
  <c r="J823" i="10"/>
  <c r="M822" i="10"/>
  <c r="H821" i="10"/>
  <c r="L817" i="10"/>
  <c r="L942" i="10"/>
  <c r="G941" i="10"/>
  <c r="J940" i="10"/>
  <c r="M939" i="10"/>
  <c r="H938" i="10"/>
  <c r="L934" i="10"/>
  <c r="G933" i="10"/>
  <c r="J932" i="10"/>
  <c r="M931" i="10"/>
  <c r="H930" i="10"/>
  <c r="L926" i="10"/>
  <c r="G925" i="10"/>
  <c r="J924" i="10"/>
  <c r="M923" i="10"/>
  <c r="H922" i="10"/>
  <c r="L918" i="10"/>
  <c r="G917" i="10"/>
  <c r="J916" i="10"/>
  <c r="M915" i="10"/>
  <c r="H914" i="10"/>
  <c r="L910" i="10"/>
  <c r="G909" i="10"/>
  <c r="J908" i="10"/>
  <c r="M907" i="10"/>
  <c r="H906" i="10"/>
  <c r="L902" i="10"/>
  <c r="G901" i="10"/>
  <c r="J900" i="10"/>
  <c r="M899" i="10"/>
  <c r="H898" i="10"/>
  <c r="L894" i="10"/>
  <c r="G893" i="10"/>
  <c r="J892" i="10"/>
  <c r="M891" i="10"/>
  <c r="H890" i="10"/>
  <c r="L886" i="10"/>
  <c r="G885" i="10"/>
  <c r="J884" i="10"/>
  <c r="M883" i="10"/>
  <c r="H882" i="10"/>
  <c r="L878" i="10"/>
  <c r="G877" i="10"/>
  <c r="J876" i="10"/>
  <c r="M875" i="10"/>
  <c r="H874" i="10"/>
  <c r="L870" i="10"/>
  <c r="G869" i="10"/>
  <c r="J868" i="10"/>
  <c r="M867" i="10"/>
  <c r="H866" i="10"/>
  <c r="L862" i="10"/>
  <c r="G861" i="10"/>
  <c r="J860" i="10"/>
  <c r="M859" i="10"/>
  <c r="H858" i="10"/>
  <c r="L854" i="10"/>
  <c r="G853" i="10"/>
  <c r="J852" i="10"/>
  <c r="M851" i="10"/>
  <c r="H850" i="10"/>
  <c r="H943" i="10"/>
  <c r="L939" i="10"/>
  <c r="G938" i="10"/>
  <c r="J937" i="10"/>
  <c r="M936" i="10"/>
  <c r="H935" i="10"/>
  <c r="L931" i="10"/>
  <c r="G930" i="10"/>
  <c r="J929" i="10"/>
  <c r="M928" i="10"/>
  <c r="H927" i="10"/>
  <c r="L923" i="10"/>
  <c r="G922" i="10"/>
  <c r="J921" i="10"/>
  <c r="M920" i="10"/>
  <c r="H919" i="10"/>
  <c r="L915" i="10"/>
  <c r="G914" i="10"/>
  <c r="J913" i="10"/>
  <c r="M912" i="10"/>
  <c r="H911" i="10"/>
  <c r="L907" i="10"/>
  <c r="G906" i="10"/>
  <c r="J905" i="10"/>
  <c r="M904" i="10"/>
  <c r="H903" i="10"/>
  <c r="L899" i="10"/>
  <c r="G898" i="10"/>
  <c r="J897" i="10"/>
  <c r="M896" i="10"/>
  <c r="H895" i="10"/>
  <c r="L891" i="10"/>
  <c r="G890" i="10"/>
  <c r="J889" i="10"/>
  <c r="M888" i="10"/>
  <c r="H887" i="10"/>
  <c r="L883" i="10"/>
  <c r="G882" i="10"/>
  <c r="J881" i="10"/>
  <c r="M880" i="10"/>
  <c r="H879" i="10"/>
  <c r="L875" i="10"/>
  <c r="G874" i="10"/>
  <c r="J873" i="10"/>
  <c r="M872" i="10"/>
  <c r="H871" i="10"/>
  <c r="L867" i="10"/>
  <c r="G866" i="10"/>
  <c r="J865" i="10"/>
  <c r="M864" i="10"/>
  <c r="H863" i="10"/>
  <c r="L859" i="10"/>
  <c r="G943" i="10"/>
  <c r="J942" i="10"/>
  <c r="M941" i="10"/>
  <c r="H940" i="10"/>
  <c r="L936" i="10"/>
  <c r="G935" i="10"/>
  <c r="J934" i="10"/>
  <c r="M933" i="10"/>
  <c r="H932" i="10"/>
  <c r="L928" i="10"/>
  <c r="G927" i="10"/>
  <c r="J926" i="10"/>
  <c r="M925" i="10"/>
  <c r="H924" i="10"/>
  <c r="L920" i="10"/>
  <c r="G919" i="10"/>
  <c r="J918" i="10"/>
  <c r="M917" i="10"/>
  <c r="H916" i="10"/>
  <c r="L912" i="10"/>
  <c r="G911" i="10"/>
  <c r="J910" i="10"/>
  <c r="M909" i="10"/>
  <c r="H908" i="10"/>
  <c r="L904" i="10"/>
  <c r="G903" i="10"/>
  <c r="J902" i="10"/>
  <c r="M901" i="10"/>
  <c r="H900" i="10"/>
  <c r="L896" i="10"/>
  <c r="G895" i="10"/>
  <c r="J894" i="10"/>
  <c r="M893" i="10"/>
  <c r="H892" i="10"/>
  <c r="L888" i="10"/>
  <c r="G887" i="10"/>
  <c r="J886" i="10"/>
  <c r="M885" i="10"/>
  <c r="H884" i="10"/>
  <c r="L880" i="10"/>
  <c r="G879" i="10"/>
  <c r="J878" i="10"/>
  <c r="M877" i="10"/>
  <c r="H876" i="10"/>
  <c r="L872" i="10"/>
  <c r="G871" i="10"/>
  <c r="J870" i="10"/>
  <c r="M869" i="10"/>
  <c r="H868" i="10"/>
  <c r="L941" i="10"/>
  <c r="G940" i="10"/>
  <c r="J939" i="10"/>
  <c r="M938" i="10"/>
  <c r="H937" i="10"/>
  <c r="L933" i="10"/>
  <c r="G932" i="10"/>
  <c r="J931" i="10"/>
  <c r="M930" i="10"/>
  <c r="H929" i="10"/>
  <c r="L925" i="10"/>
  <c r="G924" i="10"/>
  <c r="J923" i="10"/>
  <c r="M922" i="10"/>
  <c r="H921" i="10"/>
  <c r="L917" i="10"/>
  <c r="G916" i="10"/>
  <c r="J915" i="10"/>
  <c r="M914" i="10"/>
  <c r="H913" i="10"/>
  <c r="L909" i="10"/>
  <c r="G908" i="10"/>
  <c r="J907" i="10"/>
  <c r="M906" i="10"/>
  <c r="H905" i="10"/>
  <c r="L901" i="10"/>
  <c r="G900" i="10"/>
  <c r="J899" i="10"/>
  <c r="M898" i="10"/>
  <c r="H897" i="10"/>
  <c r="L893" i="10"/>
  <c r="G892" i="10"/>
  <c r="J891" i="10"/>
  <c r="M890" i="10"/>
  <c r="H889" i="10"/>
  <c r="L885" i="10"/>
  <c r="G884" i="10"/>
  <c r="J883" i="10"/>
  <c r="M882" i="10"/>
  <c r="H881" i="10"/>
  <c r="L877" i="10"/>
  <c r="G876" i="10"/>
  <c r="J875" i="10"/>
  <c r="M874" i="10"/>
  <c r="H873" i="10"/>
  <c r="L869" i="10"/>
  <c r="G868" i="10"/>
  <c r="J867" i="10"/>
  <c r="M866" i="10"/>
  <c r="H857" i="10"/>
  <c r="M855" i="10"/>
  <c r="H851" i="10"/>
  <c r="J849" i="10"/>
  <c r="M848" i="10"/>
  <c r="H846" i="10"/>
  <c r="M844" i="10"/>
  <c r="G843" i="10"/>
  <c r="J842" i="10"/>
  <c r="G839" i="10"/>
  <c r="L837" i="10"/>
  <c r="H835" i="10"/>
  <c r="M833" i="10"/>
  <c r="H831" i="10"/>
  <c r="J830" i="10"/>
  <c r="M829" i="10"/>
  <c r="L826" i="10"/>
  <c r="H824" i="10"/>
  <c r="G820" i="10"/>
  <c r="J819" i="10"/>
  <c r="M818" i="10"/>
  <c r="L815" i="10"/>
  <c r="G814" i="10"/>
  <c r="J813" i="10"/>
  <c r="M812" i="10"/>
  <c r="H811" i="10"/>
  <c r="L807" i="10"/>
  <c r="G806" i="10"/>
  <c r="J805" i="10"/>
  <c r="M804" i="10"/>
  <c r="H803" i="10"/>
  <c r="L799" i="10"/>
  <c r="G798" i="10"/>
  <c r="J797" i="10"/>
  <c r="M796" i="10"/>
  <c r="H795" i="10"/>
  <c r="L791" i="10"/>
  <c r="G790" i="10"/>
  <c r="J789" i="10"/>
  <c r="M788" i="10"/>
  <c r="H787" i="10"/>
  <c r="L783" i="10"/>
  <c r="H865" i="10"/>
  <c r="M860" i="10"/>
  <c r="J859" i="10"/>
  <c r="G858" i="10"/>
  <c r="G857" i="10"/>
  <c r="J856" i="10"/>
  <c r="L855" i="10"/>
  <c r="G851" i="10"/>
  <c r="J850" i="10"/>
  <c r="L848" i="10"/>
  <c r="G846" i="10"/>
  <c r="J845" i="10"/>
  <c r="L844" i="10"/>
  <c r="H842" i="10"/>
  <c r="J841" i="10"/>
  <c r="M840" i="10"/>
  <c r="H838" i="10"/>
  <c r="M836" i="10"/>
  <c r="G835" i="10"/>
  <c r="J834" i="10"/>
  <c r="G831" i="10"/>
  <c r="L829" i="10"/>
  <c r="H827" i="10"/>
  <c r="M825" i="10"/>
  <c r="H823" i="10"/>
  <c r="J822" i="10"/>
  <c r="M821" i="10"/>
  <c r="L818" i="10"/>
  <c r="H816" i="10"/>
  <c r="L812" i="10"/>
  <c r="G811" i="10"/>
  <c r="J810" i="10"/>
  <c r="M809" i="10"/>
  <c r="H808" i="10"/>
  <c r="L804" i="10"/>
  <c r="G803" i="10"/>
  <c r="J802" i="10"/>
  <c r="M801" i="10"/>
  <c r="H800" i="10"/>
  <c r="L796" i="10"/>
  <c r="G795" i="10"/>
  <c r="J794" i="10"/>
  <c r="M793" i="10"/>
  <c r="H792" i="10"/>
  <c r="L788" i="10"/>
  <c r="G787" i="10"/>
  <c r="J786" i="10"/>
  <c r="M785" i="10"/>
  <c r="H784" i="10"/>
  <c r="L780" i="10"/>
  <c r="G779" i="10"/>
  <c r="J778" i="10"/>
  <c r="M777" i="10"/>
  <c r="H776" i="10"/>
  <c r="L772" i="10"/>
  <c r="G771" i="10"/>
  <c r="J770" i="10"/>
  <c r="M769" i="10"/>
  <c r="H768" i="10"/>
  <c r="L764" i="10"/>
  <c r="G763" i="10"/>
  <c r="J762" i="10"/>
  <c r="M761" i="10"/>
  <c r="H760" i="10"/>
  <c r="L756" i="10"/>
  <c r="G755" i="10"/>
  <c r="J754" i="10"/>
  <c r="M753" i="10"/>
  <c r="H752" i="10"/>
  <c r="L748" i="10"/>
  <c r="G747" i="10"/>
  <c r="J746" i="10"/>
  <c r="M745" i="10"/>
  <c r="H744" i="10"/>
  <c r="L740" i="10"/>
  <c r="G739" i="10"/>
  <c r="J738" i="10"/>
  <c r="M737" i="10"/>
  <c r="H736" i="10"/>
  <c r="L732" i="10"/>
  <c r="G731" i="10"/>
  <c r="M861" i="10"/>
  <c r="H860" i="10"/>
  <c r="H859" i="10"/>
  <c r="J854" i="10"/>
  <c r="M853" i="10"/>
  <c r="G850" i="10"/>
  <c r="H849" i="10"/>
  <c r="M847" i="10"/>
  <c r="J844" i="10"/>
  <c r="M843" i="10"/>
  <c r="G842" i="10"/>
  <c r="L840" i="10"/>
  <c r="G838" i="10"/>
  <c r="J837" i="10"/>
  <c r="L836" i="10"/>
  <c r="H834" i="10"/>
  <c r="J833" i="10"/>
  <c r="M832" i="10"/>
  <c r="H830" i="10"/>
  <c r="M828" i="10"/>
  <c r="G827" i="10"/>
  <c r="J826" i="10"/>
  <c r="G823" i="10"/>
  <c r="L821" i="10"/>
  <c r="H819" i="10"/>
  <c r="M817" i="10"/>
  <c r="G816" i="10"/>
  <c r="J815" i="10"/>
  <c r="M814" i="10"/>
  <c r="H813" i="10"/>
  <c r="L809" i="10"/>
  <c r="G808" i="10"/>
  <c r="J807" i="10"/>
  <c r="M806" i="10"/>
  <c r="H805" i="10"/>
  <c r="L801" i="10"/>
  <c r="G800" i="10"/>
  <c r="J799" i="10"/>
  <c r="M798" i="10"/>
  <c r="H797" i="10"/>
  <c r="L793" i="10"/>
  <c r="J862" i="10"/>
  <c r="L861" i="10"/>
  <c r="G860" i="10"/>
  <c r="H856" i="10"/>
  <c r="H855" i="10"/>
  <c r="L853" i="10"/>
  <c r="M852" i="10"/>
  <c r="G849" i="10"/>
  <c r="J848" i="10"/>
  <c r="L847" i="10"/>
  <c r="G845" i="10"/>
  <c r="L843" i="10"/>
  <c r="H841" i="10"/>
  <c r="M839" i="10"/>
  <c r="J836" i="10"/>
  <c r="M835" i="10"/>
  <c r="G834" i="10"/>
  <c r="L832" i="10"/>
  <c r="G830" i="10"/>
  <c r="J829" i="10"/>
  <c r="L828" i="10"/>
  <c r="H826" i="10"/>
  <c r="J825" i="10"/>
  <c r="M824" i="10"/>
  <c r="H822" i="10"/>
  <c r="M820" i="10"/>
  <c r="G819" i="10"/>
  <c r="J818" i="10"/>
  <c r="L814" i="10"/>
  <c r="G813" i="10"/>
  <c r="J812" i="10"/>
  <c r="M811" i="10"/>
  <c r="H810" i="10"/>
  <c r="L806" i="10"/>
  <c r="G805" i="10"/>
  <c r="J804" i="10"/>
  <c r="M803" i="10"/>
  <c r="H802" i="10"/>
  <c r="L798" i="10"/>
  <c r="G797" i="10"/>
  <c r="J796" i="10"/>
  <c r="M795" i="10"/>
  <c r="H794" i="10"/>
  <c r="L790" i="10"/>
  <c r="G789" i="10"/>
  <c r="J788" i="10"/>
  <c r="M787" i="10"/>
  <c r="H786" i="10"/>
  <c r="L782" i="10"/>
  <c r="G781" i="10"/>
  <c r="J780" i="10"/>
  <c r="M779" i="10"/>
  <c r="H778" i="10"/>
  <c r="L774" i="10"/>
  <c r="J861" i="10"/>
  <c r="G855" i="10"/>
  <c r="H854" i="10"/>
  <c r="L852" i="10"/>
  <c r="L851" i="10"/>
  <c r="L846" i="10"/>
  <c r="H844" i="10"/>
  <c r="G841" i="10"/>
  <c r="J840" i="10"/>
  <c r="L839" i="10"/>
  <c r="G837" i="10"/>
  <c r="L835" i="10"/>
  <c r="H833" i="10"/>
  <c r="M831" i="10"/>
  <c r="J828" i="10"/>
  <c r="M827" i="10"/>
  <c r="G826" i="10"/>
  <c r="L824" i="10"/>
  <c r="G822" i="10"/>
  <c r="J821" i="10"/>
  <c r="L820" i="10"/>
  <c r="H818" i="10"/>
  <c r="J817" i="10"/>
  <c r="M816" i="10"/>
  <c r="H815" i="10"/>
  <c r="L811" i="10"/>
  <c r="G810" i="10"/>
  <c r="J809" i="10"/>
  <c r="M808" i="10"/>
  <c r="H807" i="10"/>
  <c r="L803" i="10"/>
  <c r="G802" i="10"/>
  <c r="J801" i="10"/>
  <c r="M800" i="10"/>
  <c r="H799" i="10"/>
  <c r="L795" i="10"/>
  <c r="G794" i="10"/>
  <c r="J793" i="10"/>
  <c r="M792" i="10"/>
  <c r="H791" i="10"/>
  <c r="L787" i="10"/>
  <c r="G786" i="10"/>
  <c r="J785" i="10"/>
  <c r="M784" i="10"/>
  <c r="H783" i="10"/>
  <c r="L779" i="10"/>
  <c r="G778" i="10"/>
  <c r="J777" i="10"/>
  <c r="M776" i="10"/>
  <c r="H775" i="10"/>
  <c r="L771" i="10"/>
  <c r="L863" i="10"/>
  <c r="G862" i="10"/>
  <c r="G854" i="10"/>
  <c r="J853" i="10"/>
  <c r="H848" i="10"/>
  <c r="G844" i="10"/>
  <c r="J843" i="10"/>
  <c r="M842" i="10"/>
  <c r="L838" i="10"/>
  <c r="H836" i="10"/>
  <c r="G833" i="10"/>
  <c r="J832" i="10"/>
  <c r="L831" i="10"/>
  <c r="G829" i="10"/>
  <c r="L827" i="10"/>
  <c r="H825" i="10"/>
  <c r="M823" i="10"/>
  <c r="J820" i="10"/>
  <c r="M819" i="10"/>
  <c r="G818" i="10"/>
  <c r="L816" i="10"/>
  <c r="G815" i="10"/>
  <c r="J814" i="10"/>
  <c r="M813" i="10"/>
  <c r="H812" i="10"/>
  <c r="L808" i="10"/>
  <c r="G807" i="10"/>
  <c r="J806" i="10"/>
  <c r="M805" i="10"/>
  <c r="H804" i="10"/>
  <c r="L800" i="10"/>
  <c r="G799" i="10"/>
  <c r="J798" i="10"/>
  <c r="M797" i="10"/>
  <c r="H796" i="10"/>
  <c r="L792" i="10"/>
  <c r="G791" i="10"/>
  <c r="J790" i="10"/>
  <c r="M789" i="10"/>
  <c r="H788" i="10"/>
  <c r="L864" i="10"/>
  <c r="G863" i="10"/>
  <c r="J857" i="10"/>
  <c r="M856" i="10"/>
  <c r="H852" i="10"/>
  <c r="J851" i="10"/>
  <c r="M850" i="10"/>
  <c r="H847" i="10"/>
  <c r="J846" i="10"/>
  <c r="M845" i="10"/>
  <c r="L842" i="10"/>
  <c r="H840" i="10"/>
  <c r="G836" i="10"/>
  <c r="J835" i="10"/>
  <c r="M834" i="10"/>
  <c r="L830" i="10"/>
  <c r="H828" i="10"/>
  <c r="G825" i="10"/>
  <c r="J824" i="10"/>
  <c r="L823" i="10"/>
  <c r="G821" i="10"/>
  <c r="L819" i="10"/>
  <c r="H817" i="10"/>
  <c r="L813" i="10"/>
  <c r="G812" i="10"/>
  <c r="J811" i="10"/>
  <c r="M810" i="10"/>
  <c r="H809" i="10"/>
  <c r="L805" i="10"/>
  <c r="G804" i="10"/>
  <c r="J803" i="10"/>
  <c r="M802" i="10"/>
  <c r="H801" i="10"/>
  <c r="L797" i="10"/>
  <c r="G796" i="10"/>
  <c r="J795" i="10"/>
  <c r="M794" i="10"/>
  <c r="H793" i="10"/>
  <c r="L789" i="10"/>
  <c r="G788" i="10"/>
  <c r="J787" i="10"/>
  <c r="M786" i="10"/>
  <c r="H785" i="10"/>
  <c r="M858" i="10"/>
  <c r="L856" i="10"/>
  <c r="G852" i="10"/>
  <c r="L850" i="10"/>
  <c r="M849" i="10"/>
  <c r="G847" i="10"/>
  <c r="L845" i="10"/>
  <c r="H843" i="10"/>
  <c r="M841" i="10"/>
  <c r="H839" i="10"/>
  <c r="J838" i="10"/>
  <c r="M837" i="10"/>
  <c r="L834" i="10"/>
  <c r="H832" i="10"/>
  <c r="G828" i="10"/>
  <c r="J827" i="10"/>
  <c r="M826" i="10"/>
  <c r="L822" i="10"/>
  <c r="H820" i="10"/>
  <c r="G817" i="10"/>
  <c r="J816" i="10"/>
  <c r="M815" i="10"/>
  <c r="H814" i="10"/>
  <c r="L810" i="10"/>
  <c r="G809" i="10"/>
  <c r="J808" i="10"/>
  <c r="M807" i="10"/>
  <c r="H806" i="10"/>
  <c r="L802" i="10"/>
  <c r="G801" i="10"/>
  <c r="J800" i="10"/>
  <c r="M799" i="10"/>
  <c r="H798" i="10"/>
  <c r="L794" i="10"/>
  <c r="G793" i="10"/>
  <c r="J792" i="10"/>
  <c r="M791" i="10"/>
  <c r="H790" i="10"/>
  <c r="L786" i="10"/>
  <c r="G785" i="10"/>
  <c r="H781" i="10"/>
  <c r="G780" i="10"/>
  <c r="H779" i="10"/>
  <c r="G777" i="10"/>
  <c r="J775" i="10"/>
  <c r="L773" i="10"/>
  <c r="G770" i="10"/>
  <c r="L768" i="10"/>
  <c r="H766" i="10"/>
  <c r="M764" i="10"/>
  <c r="H762" i="10"/>
  <c r="J761" i="10"/>
  <c r="M760" i="10"/>
  <c r="L757" i="10"/>
  <c r="H755" i="10"/>
  <c r="G751" i="10"/>
  <c r="J750" i="10"/>
  <c r="M749" i="10"/>
  <c r="L745" i="10"/>
  <c r="H743" i="10"/>
  <c r="G740" i="10"/>
  <c r="J739" i="10"/>
  <c r="L738" i="10"/>
  <c r="G736" i="10"/>
  <c r="L734" i="10"/>
  <c r="H732" i="10"/>
  <c r="M730" i="10"/>
  <c r="H729" i="10"/>
  <c r="L725" i="10"/>
  <c r="G724" i="10"/>
  <c r="J723" i="10"/>
  <c r="M722" i="10"/>
  <c r="H721" i="10"/>
  <c r="L717" i="10"/>
  <c r="G716" i="10"/>
  <c r="J715" i="10"/>
  <c r="M714" i="10"/>
  <c r="H713" i="10"/>
  <c r="L709" i="10"/>
  <c r="G708" i="10"/>
  <c r="J707" i="10"/>
  <c r="M706" i="10"/>
  <c r="H705" i="10"/>
  <c r="L701" i="10"/>
  <c r="G700" i="10"/>
  <c r="J699" i="10"/>
  <c r="M698" i="10"/>
  <c r="H697" i="10"/>
  <c r="L693" i="10"/>
  <c r="G692" i="10"/>
  <c r="J691" i="10"/>
  <c r="M690" i="10"/>
  <c r="H689" i="10"/>
  <c r="L685" i="10"/>
  <c r="G684" i="10"/>
  <c r="J683" i="10"/>
  <c r="M682" i="10"/>
  <c r="J791" i="10"/>
  <c r="G776" i="10"/>
  <c r="G775" i="10"/>
  <c r="H774" i="10"/>
  <c r="M772" i="10"/>
  <c r="H769" i="10"/>
  <c r="M767" i="10"/>
  <c r="G766" i="10"/>
  <c r="J765" i="10"/>
  <c r="G762" i="10"/>
  <c r="L760" i="10"/>
  <c r="H758" i="10"/>
  <c r="M756" i="10"/>
  <c r="H754" i="10"/>
  <c r="J753" i="10"/>
  <c r="M752" i="10"/>
  <c r="L749" i="10"/>
  <c r="H747" i="10"/>
  <c r="G743" i="10"/>
  <c r="J742" i="10"/>
  <c r="M741" i="10"/>
  <c r="L737" i="10"/>
  <c r="H735" i="10"/>
  <c r="G732" i="10"/>
  <c r="J731" i="10"/>
  <c r="L730" i="10"/>
  <c r="G729" i="10"/>
  <c r="J728" i="10"/>
  <c r="M727" i="10"/>
  <c r="H726" i="10"/>
  <c r="L722" i="10"/>
  <c r="G721" i="10"/>
  <c r="J720" i="10"/>
  <c r="M719" i="10"/>
  <c r="H718" i="10"/>
  <c r="G774" i="10"/>
  <c r="J773" i="10"/>
  <c r="M771" i="10"/>
  <c r="G769" i="10"/>
  <c r="J768" i="10"/>
  <c r="L767" i="10"/>
  <c r="H765" i="10"/>
  <c r="J764" i="10"/>
  <c r="M763" i="10"/>
  <c r="H761" i="10"/>
  <c r="M759" i="10"/>
  <c r="G758" i="10"/>
  <c r="J757" i="10"/>
  <c r="G754" i="10"/>
  <c r="L752" i="10"/>
  <c r="H750" i="10"/>
  <c r="M748" i="10"/>
  <c r="H746" i="10"/>
  <c r="J745" i="10"/>
  <c r="M744" i="10"/>
  <c r="H789" i="10"/>
  <c r="M782" i="10"/>
  <c r="H773" i="10"/>
  <c r="J772" i="10"/>
  <c r="M770" i="10"/>
  <c r="J767" i="10"/>
  <c r="M766" i="10"/>
  <c r="G765" i="10"/>
  <c r="L763" i="10"/>
  <c r="G761" i="10"/>
  <c r="J760" i="10"/>
  <c r="L759" i="10"/>
  <c r="H757" i="10"/>
  <c r="J756" i="10"/>
  <c r="M755" i="10"/>
  <c r="H753" i="10"/>
  <c r="M751" i="10"/>
  <c r="G750" i="10"/>
  <c r="J749" i="10"/>
  <c r="G746" i="10"/>
  <c r="L744" i="10"/>
  <c r="H742" i="10"/>
  <c r="M740" i="10"/>
  <c r="H738" i="10"/>
  <c r="J737" i="10"/>
  <c r="M736" i="10"/>
  <c r="L733" i="10"/>
  <c r="H731" i="10"/>
  <c r="J730" i="10"/>
  <c r="M729" i="10"/>
  <c r="H728" i="10"/>
  <c r="L724" i="10"/>
  <c r="G723" i="10"/>
  <c r="J722" i="10"/>
  <c r="M721" i="10"/>
  <c r="H720" i="10"/>
  <c r="G792" i="10"/>
  <c r="M783" i="10"/>
  <c r="J782" i="10"/>
  <c r="M781" i="10"/>
  <c r="G773" i="10"/>
  <c r="H772" i="10"/>
  <c r="J771" i="10"/>
  <c r="L770" i="10"/>
  <c r="G768" i="10"/>
  <c r="L766" i="10"/>
  <c r="H764" i="10"/>
  <c r="M762" i="10"/>
  <c r="J759" i="10"/>
  <c r="M758" i="10"/>
  <c r="G757" i="10"/>
  <c r="L755" i="10"/>
  <c r="G753" i="10"/>
  <c r="J752" i="10"/>
  <c r="L751" i="10"/>
  <c r="H749" i="10"/>
  <c r="J748" i="10"/>
  <c r="M747" i="10"/>
  <c r="H745" i="10"/>
  <c r="M743" i="10"/>
  <c r="G742" i="10"/>
  <c r="J741" i="10"/>
  <c r="L784" i="10"/>
  <c r="J783" i="10"/>
  <c r="L781" i="10"/>
  <c r="M780" i="10"/>
  <c r="M778" i="10"/>
  <c r="L777" i="10"/>
  <c r="L776" i="10"/>
  <c r="G772" i="10"/>
  <c r="L769" i="10"/>
  <c r="H767" i="10"/>
  <c r="G764" i="10"/>
  <c r="J763" i="10"/>
  <c r="L762" i="10"/>
  <c r="G760" i="10"/>
  <c r="L758" i="10"/>
  <c r="H756" i="10"/>
  <c r="M754" i="10"/>
  <c r="J751" i="10"/>
  <c r="M750" i="10"/>
  <c r="G749" i="10"/>
  <c r="L747" i="10"/>
  <c r="G745" i="10"/>
  <c r="J744" i="10"/>
  <c r="L743" i="10"/>
  <c r="H741" i="10"/>
  <c r="J740" i="10"/>
  <c r="M739" i="10"/>
  <c r="H737" i="10"/>
  <c r="M735" i="10"/>
  <c r="G734" i="10"/>
  <c r="J733" i="10"/>
  <c r="H730" i="10"/>
  <c r="L726" i="10"/>
  <c r="G725" i="10"/>
  <c r="J724" i="10"/>
  <c r="M723" i="10"/>
  <c r="H722" i="10"/>
  <c r="L718" i="10"/>
  <c r="G717" i="10"/>
  <c r="J716" i="10"/>
  <c r="M715" i="10"/>
  <c r="H714" i="10"/>
  <c r="M790" i="10"/>
  <c r="L785" i="10"/>
  <c r="J784" i="10"/>
  <c r="G783" i="10"/>
  <c r="H782" i="10"/>
  <c r="J779" i="10"/>
  <c r="L778" i="10"/>
  <c r="M775" i="10"/>
  <c r="M774" i="10"/>
  <c r="H771" i="10"/>
  <c r="G767" i="10"/>
  <c r="J766" i="10"/>
  <c r="M765" i="10"/>
  <c r="L761" i="10"/>
  <c r="H759" i="10"/>
  <c r="G756" i="10"/>
  <c r="J755" i="10"/>
  <c r="L754" i="10"/>
  <c r="G752" i="10"/>
  <c r="L750" i="10"/>
  <c r="H748" i="10"/>
  <c r="M746" i="10"/>
  <c r="J743" i="10"/>
  <c r="M742" i="10"/>
  <c r="G741" i="10"/>
  <c r="L739" i="10"/>
  <c r="G737" i="10"/>
  <c r="J736" i="10"/>
  <c r="L735" i="10"/>
  <c r="H733" i="10"/>
  <c r="J732" i="10"/>
  <c r="M731" i="10"/>
  <c r="G730" i="10"/>
  <c r="J729" i="10"/>
  <c r="M728" i="10"/>
  <c r="H727" i="10"/>
  <c r="L723" i="10"/>
  <c r="G722" i="10"/>
  <c r="J721" i="10"/>
  <c r="M720" i="10"/>
  <c r="H719" i="10"/>
  <c r="G784" i="10"/>
  <c r="G782" i="10"/>
  <c r="J781" i="10"/>
  <c r="H780" i="10"/>
  <c r="H777" i="10"/>
  <c r="J776" i="10"/>
  <c r="L775" i="10"/>
  <c r="J774" i="10"/>
  <c r="M773" i="10"/>
  <c r="H770" i="10"/>
  <c r="J769" i="10"/>
  <c r="M768" i="10"/>
  <c r="L765" i="10"/>
  <c r="H763" i="10"/>
  <c r="G759" i="10"/>
  <c r="J758" i="10"/>
  <c r="M757" i="10"/>
  <c r="L753" i="10"/>
  <c r="H751" i="10"/>
  <c r="G748" i="10"/>
  <c r="J747" i="10"/>
  <c r="L746" i="10"/>
  <c r="G744" i="10"/>
  <c r="L742" i="10"/>
  <c r="H740" i="10"/>
  <c r="M738" i="10"/>
  <c r="J735" i="10"/>
  <c r="M734" i="10"/>
  <c r="G733" i="10"/>
  <c r="L731" i="10"/>
  <c r="L728" i="10"/>
  <c r="G727" i="10"/>
  <c r="J726" i="10"/>
  <c r="M725" i="10"/>
  <c r="H724" i="10"/>
  <c r="L720" i="10"/>
  <c r="G738" i="10"/>
  <c r="G735" i="10"/>
  <c r="J725" i="10"/>
  <c r="M717" i="10"/>
  <c r="M716" i="10"/>
  <c r="G712" i="10"/>
  <c r="J711" i="10"/>
  <c r="M710" i="10"/>
  <c r="L706" i="10"/>
  <c r="H704" i="10"/>
  <c r="G701" i="10"/>
  <c r="J700" i="10"/>
  <c r="L699" i="10"/>
  <c r="G697" i="10"/>
  <c r="L695" i="10"/>
  <c r="H693" i="10"/>
  <c r="M691" i="10"/>
  <c r="J688" i="10"/>
  <c r="M687" i="10"/>
  <c r="G686" i="10"/>
  <c r="L684" i="10"/>
  <c r="G682" i="10"/>
  <c r="J681" i="10"/>
  <c r="M680" i="10"/>
  <c r="H679" i="10"/>
  <c r="L675" i="10"/>
  <c r="G674" i="10"/>
  <c r="J673" i="10"/>
  <c r="M672" i="10"/>
  <c r="H671" i="10"/>
  <c r="L667" i="10"/>
  <c r="G666" i="10"/>
  <c r="J665" i="10"/>
  <c r="M664" i="10"/>
  <c r="H663" i="10"/>
  <c r="L659" i="10"/>
  <c r="G658" i="10"/>
  <c r="J657" i="10"/>
  <c r="M656" i="10"/>
  <c r="H655" i="10"/>
  <c r="L651" i="10"/>
  <c r="G650" i="10"/>
  <c r="J649" i="10"/>
  <c r="M648" i="10"/>
  <c r="H647" i="10"/>
  <c r="L643" i="10"/>
  <c r="G642" i="10"/>
  <c r="J641" i="10"/>
  <c r="M640" i="10"/>
  <c r="H639" i="10"/>
  <c r="L635" i="10"/>
  <c r="G634" i="10"/>
  <c r="J633" i="10"/>
  <c r="M632" i="10"/>
  <c r="H631" i="10"/>
  <c r="L627" i="10"/>
  <c r="G626" i="10"/>
  <c r="J625" i="10"/>
  <c r="M624" i="10"/>
  <c r="H623" i="10"/>
  <c r="L619" i="10"/>
  <c r="G618" i="10"/>
  <c r="J617" i="10"/>
  <c r="M616" i="10"/>
  <c r="H615" i="10"/>
  <c r="L611" i="10"/>
  <c r="G610" i="10"/>
  <c r="J609" i="10"/>
  <c r="M608" i="10"/>
  <c r="H607" i="10"/>
  <c r="L603" i="10"/>
  <c r="G602" i="10"/>
  <c r="J601" i="10"/>
  <c r="M600" i="10"/>
  <c r="H599" i="10"/>
  <c r="L595" i="10"/>
  <c r="G594" i="10"/>
  <c r="J593" i="10"/>
  <c r="M592" i="10"/>
  <c r="H591" i="10"/>
  <c r="L587" i="10"/>
  <c r="G586" i="10"/>
  <c r="J585" i="10"/>
  <c r="M584" i="10"/>
  <c r="H583" i="10"/>
  <c r="L579" i="10"/>
  <c r="G578" i="10"/>
  <c r="J577" i="10"/>
  <c r="M576" i="10"/>
  <c r="H575" i="10"/>
  <c r="L571" i="10"/>
  <c r="G570" i="10"/>
  <c r="J569" i="10"/>
  <c r="M568" i="10"/>
  <c r="H567" i="10"/>
  <c r="L563" i="10"/>
  <c r="G562" i="10"/>
  <c r="J561" i="10"/>
  <c r="M560" i="10"/>
  <c r="H559" i="10"/>
  <c r="L741" i="10"/>
  <c r="M732" i="10"/>
  <c r="L729" i="10"/>
  <c r="H725" i="10"/>
  <c r="M718" i="10"/>
  <c r="J717" i="10"/>
  <c r="L716" i="10"/>
  <c r="L715" i="10"/>
  <c r="L714" i="10"/>
  <c r="L710" i="10"/>
  <c r="H708" i="10"/>
  <c r="G704" i="10"/>
  <c r="J703" i="10"/>
  <c r="M702" i="10"/>
  <c r="L698" i="10"/>
  <c r="H696" i="10"/>
  <c r="G693" i="10"/>
  <c r="J692" i="10"/>
  <c r="L691" i="10"/>
  <c r="G689" i="10"/>
  <c r="L687" i="10"/>
  <c r="H685" i="10"/>
  <c r="M683" i="10"/>
  <c r="L680" i="10"/>
  <c r="G679" i="10"/>
  <c r="J678" i="10"/>
  <c r="M677" i="10"/>
  <c r="H676" i="10"/>
  <c r="L672" i="10"/>
  <c r="G671" i="10"/>
  <c r="J670" i="10"/>
  <c r="M669" i="10"/>
  <c r="H668" i="10"/>
  <c r="L664" i="10"/>
  <c r="G663" i="10"/>
  <c r="J662" i="10"/>
  <c r="M661" i="10"/>
  <c r="H660" i="10"/>
  <c r="L656" i="10"/>
  <c r="G655" i="10"/>
  <c r="J654" i="10"/>
  <c r="M653" i="10"/>
  <c r="H652" i="10"/>
  <c r="L648" i="10"/>
  <c r="G647" i="10"/>
  <c r="J646" i="10"/>
  <c r="M645" i="10"/>
  <c r="H644" i="10"/>
  <c r="L640" i="10"/>
  <c r="G639" i="10"/>
  <c r="J638" i="10"/>
  <c r="M637" i="10"/>
  <c r="H636" i="10"/>
  <c r="L632" i="10"/>
  <c r="G631" i="10"/>
  <c r="J630" i="10"/>
  <c r="M629" i="10"/>
  <c r="H628" i="10"/>
  <c r="L624" i="10"/>
  <c r="G623" i="10"/>
  <c r="J622" i="10"/>
  <c r="M621" i="10"/>
  <c r="H620" i="10"/>
  <c r="L616" i="10"/>
  <c r="G615" i="10"/>
  <c r="J614" i="10"/>
  <c r="M613" i="10"/>
  <c r="H612" i="10"/>
  <c r="L608" i="10"/>
  <c r="G607" i="10"/>
  <c r="J606" i="10"/>
  <c r="M605" i="10"/>
  <c r="H604" i="10"/>
  <c r="L600" i="10"/>
  <c r="G599" i="10"/>
  <c r="J598" i="10"/>
  <c r="M597" i="10"/>
  <c r="H596" i="10"/>
  <c r="H739" i="10"/>
  <c r="M726" i="10"/>
  <c r="L719" i="10"/>
  <c r="J718" i="10"/>
  <c r="M713" i="10"/>
  <c r="H711" i="10"/>
  <c r="M709" i="10"/>
  <c r="H707" i="10"/>
  <c r="J706" i="10"/>
  <c r="M705" i="10"/>
  <c r="L702" i="10"/>
  <c r="H700" i="10"/>
  <c r="G696" i="10"/>
  <c r="J695" i="10"/>
  <c r="M694" i="10"/>
  <c r="L690" i="10"/>
  <c r="H688" i="10"/>
  <c r="G685" i="10"/>
  <c r="J684" i="10"/>
  <c r="L683" i="10"/>
  <c r="H681" i="10"/>
  <c r="L677" i="10"/>
  <c r="G676" i="10"/>
  <c r="J675" i="10"/>
  <c r="M674" i="10"/>
  <c r="H673" i="10"/>
  <c r="L669" i="10"/>
  <c r="G668" i="10"/>
  <c r="J667" i="10"/>
  <c r="M666" i="10"/>
  <c r="H665" i="10"/>
  <c r="L661" i="10"/>
  <c r="G660" i="10"/>
  <c r="J659" i="10"/>
  <c r="M658" i="10"/>
  <c r="H657" i="10"/>
  <c r="L653" i="10"/>
  <c r="G652" i="10"/>
  <c r="J651" i="10"/>
  <c r="M650" i="10"/>
  <c r="H649" i="10"/>
  <c r="L645" i="10"/>
  <c r="G644" i="10"/>
  <c r="J643" i="10"/>
  <c r="M642" i="10"/>
  <c r="H641" i="10"/>
  <c r="L637" i="10"/>
  <c r="G636" i="10"/>
  <c r="J635" i="10"/>
  <c r="M634" i="10"/>
  <c r="H633" i="10"/>
  <c r="L629" i="10"/>
  <c r="G628" i="10"/>
  <c r="J627" i="10"/>
  <c r="M626" i="10"/>
  <c r="H625" i="10"/>
  <c r="L621" i="10"/>
  <c r="G620" i="10"/>
  <c r="J619" i="10"/>
  <c r="M618" i="10"/>
  <c r="H617" i="10"/>
  <c r="L613" i="10"/>
  <c r="G612" i="10"/>
  <c r="J611" i="10"/>
  <c r="M610" i="10"/>
  <c r="H609" i="10"/>
  <c r="L736" i="10"/>
  <c r="M733" i="10"/>
  <c r="G726" i="10"/>
  <c r="J719" i="10"/>
  <c r="G718" i="10"/>
  <c r="H717" i="10"/>
  <c r="H715" i="10"/>
  <c r="J714" i="10"/>
  <c r="L713" i="10"/>
  <c r="M712" i="10"/>
  <c r="G711" i="10"/>
  <c r="J710" i="10"/>
  <c r="G707" i="10"/>
  <c r="L705" i="10"/>
  <c r="H703" i="10"/>
  <c r="M701" i="10"/>
  <c r="H699" i="10"/>
  <c r="J698" i="10"/>
  <c r="M697" i="10"/>
  <c r="L694" i="10"/>
  <c r="H692" i="10"/>
  <c r="G688" i="10"/>
  <c r="J687" i="10"/>
  <c r="M686" i="10"/>
  <c r="L682" i="10"/>
  <c r="G681" i="10"/>
  <c r="J680" i="10"/>
  <c r="M679" i="10"/>
  <c r="H678" i="10"/>
  <c r="L674" i="10"/>
  <c r="G673" i="10"/>
  <c r="J672" i="10"/>
  <c r="M671" i="10"/>
  <c r="H670" i="10"/>
  <c r="L666" i="10"/>
  <c r="G665" i="10"/>
  <c r="J664" i="10"/>
  <c r="M663" i="10"/>
  <c r="H662" i="10"/>
  <c r="L658" i="10"/>
  <c r="G657" i="10"/>
  <c r="J656" i="10"/>
  <c r="M655" i="10"/>
  <c r="H654" i="10"/>
  <c r="L650" i="10"/>
  <c r="G649" i="10"/>
  <c r="J648" i="10"/>
  <c r="M647" i="10"/>
  <c r="H646" i="10"/>
  <c r="L642" i="10"/>
  <c r="G641" i="10"/>
  <c r="J640" i="10"/>
  <c r="M639" i="10"/>
  <c r="H638" i="10"/>
  <c r="L634" i="10"/>
  <c r="G633" i="10"/>
  <c r="J632" i="10"/>
  <c r="M631" i="10"/>
  <c r="H630" i="10"/>
  <c r="L626" i="10"/>
  <c r="G625" i="10"/>
  <c r="J624" i="10"/>
  <c r="M623" i="10"/>
  <c r="H622" i="10"/>
  <c r="L618" i="10"/>
  <c r="G617" i="10"/>
  <c r="J616" i="10"/>
  <c r="M615" i="10"/>
  <c r="H614" i="10"/>
  <c r="L610" i="10"/>
  <c r="G609" i="10"/>
  <c r="J608" i="10"/>
  <c r="M607" i="10"/>
  <c r="H606" i="10"/>
  <c r="L727" i="10"/>
  <c r="H723" i="10"/>
  <c r="G719" i="10"/>
  <c r="H716" i="10"/>
  <c r="G715" i="10"/>
  <c r="J713" i="10"/>
  <c r="L712" i="10"/>
  <c r="H710" i="10"/>
  <c r="J709" i="10"/>
  <c r="M708" i="10"/>
  <c r="H706" i="10"/>
  <c r="M704" i="10"/>
  <c r="G703" i="10"/>
  <c r="J702" i="10"/>
  <c r="G699" i="10"/>
  <c r="L697" i="10"/>
  <c r="H695" i="10"/>
  <c r="M693" i="10"/>
  <c r="H691" i="10"/>
  <c r="J690" i="10"/>
  <c r="M689" i="10"/>
  <c r="L686" i="10"/>
  <c r="H684" i="10"/>
  <c r="L679" i="10"/>
  <c r="G678" i="10"/>
  <c r="J677" i="10"/>
  <c r="M676" i="10"/>
  <c r="H675" i="10"/>
  <c r="L671" i="10"/>
  <c r="G670" i="10"/>
  <c r="J669" i="10"/>
  <c r="M668" i="10"/>
  <c r="H667" i="10"/>
  <c r="L663" i="10"/>
  <c r="G662" i="10"/>
  <c r="J661" i="10"/>
  <c r="M660" i="10"/>
  <c r="H659" i="10"/>
  <c r="L655" i="10"/>
  <c r="G654" i="10"/>
  <c r="J653" i="10"/>
  <c r="M652" i="10"/>
  <c r="H651" i="10"/>
  <c r="L647" i="10"/>
  <c r="G646" i="10"/>
  <c r="J645" i="10"/>
  <c r="M644" i="10"/>
  <c r="H643" i="10"/>
  <c r="L639" i="10"/>
  <c r="G638" i="10"/>
  <c r="J637" i="10"/>
  <c r="M636" i="10"/>
  <c r="H635" i="10"/>
  <c r="L631" i="10"/>
  <c r="G630" i="10"/>
  <c r="J629" i="10"/>
  <c r="M628" i="10"/>
  <c r="H627" i="10"/>
  <c r="L623" i="10"/>
  <c r="G622" i="10"/>
  <c r="J621" i="10"/>
  <c r="M620" i="10"/>
  <c r="H619" i="10"/>
  <c r="L615" i="10"/>
  <c r="G614" i="10"/>
  <c r="J613" i="10"/>
  <c r="M612" i="10"/>
  <c r="H611" i="10"/>
  <c r="L607" i="10"/>
  <c r="G606" i="10"/>
  <c r="J605" i="10"/>
  <c r="M604" i="10"/>
  <c r="H603" i="10"/>
  <c r="L599" i="10"/>
  <c r="J734" i="10"/>
  <c r="J727" i="10"/>
  <c r="G720" i="10"/>
  <c r="G714" i="10"/>
  <c r="J712" i="10"/>
  <c r="M711" i="10"/>
  <c r="G710" i="10"/>
  <c r="L708" i="10"/>
  <c r="G706" i="10"/>
  <c r="J705" i="10"/>
  <c r="L704" i="10"/>
  <c r="H702" i="10"/>
  <c r="J701" i="10"/>
  <c r="M700" i="10"/>
  <c r="H698" i="10"/>
  <c r="M696" i="10"/>
  <c r="G695" i="10"/>
  <c r="J694" i="10"/>
  <c r="G691" i="10"/>
  <c r="L689" i="10"/>
  <c r="H687" i="10"/>
  <c r="M685" i="10"/>
  <c r="H683" i="10"/>
  <c r="J682" i="10"/>
  <c r="M681" i="10"/>
  <c r="H680" i="10"/>
  <c r="L676" i="10"/>
  <c r="G675" i="10"/>
  <c r="J674" i="10"/>
  <c r="M673" i="10"/>
  <c r="H672" i="10"/>
  <c r="L668" i="10"/>
  <c r="G667" i="10"/>
  <c r="J666" i="10"/>
  <c r="M665" i="10"/>
  <c r="H664" i="10"/>
  <c r="L660" i="10"/>
  <c r="G659" i="10"/>
  <c r="J658" i="10"/>
  <c r="M657" i="10"/>
  <c r="H656" i="10"/>
  <c r="L652" i="10"/>
  <c r="G651" i="10"/>
  <c r="J650" i="10"/>
  <c r="M649" i="10"/>
  <c r="H648" i="10"/>
  <c r="L644" i="10"/>
  <c r="G643" i="10"/>
  <c r="J642" i="10"/>
  <c r="M641" i="10"/>
  <c r="H640" i="10"/>
  <c r="L636" i="10"/>
  <c r="G635" i="10"/>
  <c r="J634" i="10"/>
  <c r="M633" i="10"/>
  <c r="H632" i="10"/>
  <c r="L628" i="10"/>
  <c r="G627" i="10"/>
  <c r="J626" i="10"/>
  <c r="M625" i="10"/>
  <c r="H624" i="10"/>
  <c r="L620" i="10"/>
  <c r="G619" i="10"/>
  <c r="J618" i="10"/>
  <c r="M617" i="10"/>
  <c r="H616" i="10"/>
  <c r="L612" i="10"/>
  <c r="G611" i="10"/>
  <c r="J610" i="10"/>
  <c r="M609" i="10"/>
  <c r="H608" i="10"/>
  <c r="H734" i="10"/>
  <c r="M724" i="10"/>
  <c r="G713" i="10"/>
  <c r="L711" i="10"/>
  <c r="H709" i="10"/>
  <c r="M707" i="10"/>
  <c r="J704" i="10"/>
  <c r="M703" i="10"/>
  <c r="G702" i="10"/>
  <c r="L700" i="10"/>
  <c r="G698" i="10"/>
  <c r="J697" i="10"/>
  <c r="L696" i="10"/>
  <c r="H694" i="10"/>
  <c r="J693" i="10"/>
  <c r="M692" i="10"/>
  <c r="H690" i="10"/>
  <c r="M688" i="10"/>
  <c r="G687" i="10"/>
  <c r="J686" i="10"/>
  <c r="G683" i="10"/>
  <c r="L681" i="10"/>
  <c r="G680" i="10"/>
  <c r="J679" i="10"/>
  <c r="M678" i="10"/>
  <c r="H677" i="10"/>
  <c r="L673" i="10"/>
  <c r="G672" i="10"/>
  <c r="J671" i="10"/>
  <c r="M670" i="10"/>
  <c r="H669" i="10"/>
  <c r="L665" i="10"/>
  <c r="G664" i="10"/>
  <c r="J663" i="10"/>
  <c r="M662" i="10"/>
  <c r="H661" i="10"/>
  <c r="L657" i="10"/>
  <c r="G656" i="10"/>
  <c r="J655" i="10"/>
  <c r="M654" i="10"/>
  <c r="H653" i="10"/>
  <c r="L649" i="10"/>
  <c r="G648" i="10"/>
  <c r="J647" i="10"/>
  <c r="M646" i="10"/>
  <c r="H645" i="10"/>
  <c r="L641" i="10"/>
  <c r="G640" i="10"/>
  <c r="J639" i="10"/>
  <c r="M638" i="10"/>
  <c r="H637" i="10"/>
  <c r="L633" i="10"/>
  <c r="G632" i="10"/>
  <c r="J631" i="10"/>
  <c r="M630" i="10"/>
  <c r="H629" i="10"/>
  <c r="L625" i="10"/>
  <c r="G624" i="10"/>
  <c r="J623" i="10"/>
  <c r="M622" i="10"/>
  <c r="H621" i="10"/>
  <c r="L617" i="10"/>
  <c r="G616" i="10"/>
  <c r="J615" i="10"/>
  <c r="M614" i="10"/>
  <c r="H613" i="10"/>
  <c r="L609" i="10"/>
  <c r="G608" i="10"/>
  <c r="J607" i="10"/>
  <c r="M606" i="10"/>
  <c r="G728" i="10"/>
  <c r="L721" i="10"/>
  <c r="H712" i="10"/>
  <c r="G709" i="10"/>
  <c r="J708" i="10"/>
  <c r="L707" i="10"/>
  <c r="G705" i="10"/>
  <c r="L703" i="10"/>
  <c r="H701" i="10"/>
  <c r="M699" i="10"/>
  <c r="J696" i="10"/>
  <c r="M695" i="10"/>
  <c r="G694" i="10"/>
  <c r="L692" i="10"/>
  <c r="G690" i="10"/>
  <c r="J689" i="10"/>
  <c r="L688" i="10"/>
  <c r="H686" i="10"/>
  <c r="J685" i="10"/>
  <c r="M684" i="10"/>
  <c r="H682" i="10"/>
  <c r="L678" i="10"/>
  <c r="G677" i="10"/>
  <c r="J676" i="10"/>
  <c r="M675" i="10"/>
  <c r="H674" i="10"/>
  <c r="L670" i="10"/>
  <c r="G669" i="10"/>
  <c r="J668" i="10"/>
  <c r="M667" i="10"/>
  <c r="H666" i="10"/>
  <c r="L662" i="10"/>
  <c r="G661" i="10"/>
  <c r="J660" i="10"/>
  <c r="M659" i="10"/>
  <c r="H658" i="10"/>
  <c r="L654" i="10"/>
  <c r="G653" i="10"/>
  <c r="J652" i="10"/>
  <c r="M651" i="10"/>
  <c r="H650" i="10"/>
  <c r="L646" i="10"/>
  <c r="G645" i="10"/>
  <c r="J644" i="10"/>
  <c r="M643" i="10"/>
  <c r="H642" i="10"/>
  <c r="L638" i="10"/>
  <c r="G637" i="10"/>
  <c r="J636" i="10"/>
  <c r="M635" i="10"/>
  <c r="H634" i="10"/>
  <c r="L630" i="10"/>
  <c r="G629" i="10"/>
  <c r="J628" i="10"/>
  <c r="M627" i="10"/>
  <c r="H626" i="10"/>
  <c r="L622" i="10"/>
  <c r="G621" i="10"/>
  <c r="J620" i="10"/>
  <c r="M619" i="10"/>
  <c r="H618" i="10"/>
  <c r="L614" i="10"/>
  <c r="G613" i="10"/>
  <c r="J612" i="10"/>
  <c r="M611" i="10"/>
  <c r="H610" i="10"/>
  <c r="G601" i="10"/>
  <c r="G600" i="10"/>
  <c r="H598" i="10"/>
  <c r="J597" i="10"/>
  <c r="M596" i="10"/>
  <c r="G593" i="10"/>
  <c r="L591" i="10"/>
  <c r="H589" i="10"/>
  <c r="M587" i="10"/>
  <c r="H585" i="10"/>
  <c r="J584" i="10"/>
  <c r="M583" i="10"/>
  <c r="L580" i="10"/>
  <c r="H578" i="10"/>
  <c r="G574" i="10"/>
  <c r="J573" i="10"/>
  <c r="M572" i="10"/>
  <c r="L568" i="10"/>
  <c r="H566" i="10"/>
  <c r="G563" i="10"/>
  <c r="J562" i="10"/>
  <c r="L561" i="10"/>
  <c r="G559" i="10"/>
  <c r="L557" i="10"/>
  <c r="G556" i="10"/>
  <c r="J555" i="10"/>
  <c r="M554" i="10"/>
  <c r="H553" i="10"/>
  <c r="L549" i="10"/>
  <c r="G548" i="10"/>
  <c r="J547" i="10"/>
  <c r="M546" i="10"/>
  <c r="H545" i="10"/>
  <c r="L541" i="10"/>
  <c r="G540" i="10"/>
  <c r="J539" i="10"/>
  <c r="M538" i="10"/>
  <c r="H537" i="10"/>
  <c r="L533" i="10"/>
  <c r="G532" i="10"/>
  <c r="J531" i="10"/>
  <c r="M530" i="10"/>
  <c r="H529" i="10"/>
  <c r="L525" i="10"/>
  <c r="G524" i="10"/>
  <c r="J523" i="10"/>
  <c r="M522" i="10"/>
  <c r="H521" i="10"/>
  <c r="L517" i="10"/>
  <c r="G516" i="10"/>
  <c r="J515" i="10"/>
  <c r="M514" i="10"/>
  <c r="H513" i="10"/>
  <c r="L509" i="10"/>
  <c r="G508" i="10"/>
  <c r="J507" i="10"/>
  <c r="M506" i="10"/>
  <c r="H505" i="10"/>
  <c r="L501" i="10"/>
  <c r="G598" i="10"/>
  <c r="L596" i="10"/>
  <c r="M595" i="10"/>
  <c r="H592" i="10"/>
  <c r="M590" i="10"/>
  <c r="G589" i="10"/>
  <c r="J588" i="10"/>
  <c r="G585" i="10"/>
  <c r="L583" i="10"/>
  <c r="H581" i="10"/>
  <c r="M579" i="10"/>
  <c r="H577" i="10"/>
  <c r="J576" i="10"/>
  <c r="M575" i="10"/>
  <c r="L572" i="10"/>
  <c r="H570" i="10"/>
  <c r="G566" i="10"/>
  <c r="J565" i="10"/>
  <c r="M564" i="10"/>
  <c r="L560" i="10"/>
  <c r="H558" i="10"/>
  <c r="L554" i="10"/>
  <c r="G553" i="10"/>
  <c r="J552" i="10"/>
  <c r="M551" i="10"/>
  <c r="H550" i="10"/>
  <c r="L546" i="10"/>
  <c r="G545" i="10"/>
  <c r="J544" i="10"/>
  <c r="M543" i="10"/>
  <c r="H542" i="10"/>
  <c r="L538" i="10"/>
  <c r="G537" i="10"/>
  <c r="J536" i="10"/>
  <c r="M535" i="10"/>
  <c r="H534" i="10"/>
  <c r="L530" i="10"/>
  <c r="G529" i="10"/>
  <c r="J528" i="10"/>
  <c r="M527" i="10"/>
  <c r="H526" i="10"/>
  <c r="L522" i="10"/>
  <c r="G521" i="10"/>
  <c r="J520" i="10"/>
  <c r="M519" i="10"/>
  <c r="H518" i="10"/>
  <c r="H597" i="10"/>
  <c r="J595" i="10"/>
  <c r="M594" i="10"/>
  <c r="G592" i="10"/>
  <c r="J591" i="10"/>
  <c r="L590" i="10"/>
  <c r="H588" i="10"/>
  <c r="J587" i="10"/>
  <c r="M586" i="10"/>
  <c r="H584" i="10"/>
  <c r="M582" i="10"/>
  <c r="G581" i="10"/>
  <c r="J580" i="10"/>
  <c r="G577" i="10"/>
  <c r="L575" i="10"/>
  <c r="H573" i="10"/>
  <c r="M571" i="10"/>
  <c r="H569" i="10"/>
  <c r="J568" i="10"/>
  <c r="M567" i="10"/>
  <c r="L564" i="10"/>
  <c r="H562" i="10"/>
  <c r="G558" i="10"/>
  <c r="J557" i="10"/>
  <c r="M556" i="10"/>
  <c r="H555" i="10"/>
  <c r="L551" i="10"/>
  <c r="G550" i="10"/>
  <c r="J549" i="10"/>
  <c r="M548" i="10"/>
  <c r="H547" i="10"/>
  <c r="L543" i="10"/>
  <c r="G542" i="10"/>
  <c r="J541" i="10"/>
  <c r="M540" i="10"/>
  <c r="H539" i="10"/>
  <c r="L535" i="10"/>
  <c r="G534" i="10"/>
  <c r="J533" i="10"/>
  <c r="M532" i="10"/>
  <c r="H531" i="10"/>
  <c r="L527" i="10"/>
  <c r="G526" i="10"/>
  <c r="J525" i="10"/>
  <c r="M524" i="10"/>
  <c r="H523" i="10"/>
  <c r="L519" i="10"/>
  <c r="G518" i="10"/>
  <c r="J517" i="10"/>
  <c r="M516" i="10"/>
  <c r="H515" i="10"/>
  <c r="L511" i="10"/>
  <c r="G510" i="10"/>
  <c r="J509" i="10"/>
  <c r="M508" i="10"/>
  <c r="H507" i="10"/>
  <c r="L503" i="10"/>
  <c r="G502" i="10"/>
  <c r="J501" i="10"/>
  <c r="M500" i="10"/>
  <c r="H499" i="10"/>
  <c r="L605" i="10"/>
  <c r="L604" i="10"/>
  <c r="M603" i="10"/>
  <c r="M602" i="10"/>
  <c r="G597" i="10"/>
  <c r="J596" i="10"/>
  <c r="L594" i="10"/>
  <c r="J590" i="10"/>
  <c r="M589" i="10"/>
  <c r="G588" i="10"/>
  <c r="L586" i="10"/>
  <c r="G584" i="10"/>
  <c r="J583" i="10"/>
  <c r="L582" i="10"/>
  <c r="H580" i="10"/>
  <c r="J579" i="10"/>
  <c r="M578" i="10"/>
  <c r="H576" i="10"/>
  <c r="M574" i="10"/>
  <c r="G573" i="10"/>
  <c r="J572" i="10"/>
  <c r="G569" i="10"/>
  <c r="L567" i="10"/>
  <c r="H565" i="10"/>
  <c r="M563" i="10"/>
  <c r="H561" i="10"/>
  <c r="J560" i="10"/>
  <c r="M559" i="10"/>
  <c r="L556" i="10"/>
  <c r="G555" i="10"/>
  <c r="J554" i="10"/>
  <c r="M553" i="10"/>
  <c r="H552" i="10"/>
  <c r="L548" i="10"/>
  <c r="G547" i="10"/>
  <c r="J546" i="10"/>
  <c r="M545" i="10"/>
  <c r="H544" i="10"/>
  <c r="L540" i="10"/>
  <c r="G539" i="10"/>
  <c r="J538" i="10"/>
  <c r="M537" i="10"/>
  <c r="H536" i="10"/>
  <c r="L532" i="10"/>
  <c r="G531" i="10"/>
  <c r="J530" i="10"/>
  <c r="M529" i="10"/>
  <c r="H528" i="10"/>
  <c r="L524" i="10"/>
  <c r="G523" i="10"/>
  <c r="J522" i="10"/>
  <c r="M521" i="10"/>
  <c r="H520" i="10"/>
  <c r="L516" i="10"/>
  <c r="G515" i="10"/>
  <c r="J514" i="10"/>
  <c r="M513" i="10"/>
  <c r="H512" i="10"/>
  <c r="L508" i="10"/>
  <c r="G507" i="10"/>
  <c r="J506" i="10"/>
  <c r="M505" i="10"/>
  <c r="H504" i="10"/>
  <c r="J603" i="10"/>
  <c r="L602" i="10"/>
  <c r="M601" i="10"/>
  <c r="G596" i="10"/>
  <c r="H595" i="10"/>
  <c r="M593" i="10"/>
  <c r="G591" i="10"/>
  <c r="L589" i="10"/>
  <c r="H587" i="10"/>
  <c r="M585" i="10"/>
  <c r="J582" i="10"/>
  <c r="M581" i="10"/>
  <c r="G580" i="10"/>
  <c r="L578" i="10"/>
  <c r="G576" i="10"/>
  <c r="J575" i="10"/>
  <c r="L574" i="10"/>
  <c r="H572" i="10"/>
  <c r="J571" i="10"/>
  <c r="M570" i="10"/>
  <c r="H568" i="10"/>
  <c r="M566" i="10"/>
  <c r="G565" i="10"/>
  <c r="J564" i="10"/>
  <c r="G561" i="10"/>
  <c r="L559" i="10"/>
  <c r="H557" i="10"/>
  <c r="L553" i="10"/>
  <c r="G552" i="10"/>
  <c r="J551" i="10"/>
  <c r="M550" i="10"/>
  <c r="H549" i="10"/>
  <c r="L545" i="10"/>
  <c r="G544" i="10"/>
  <c r="J543" i="10"/>
  <c r="M542" i="10"/>
  <c r="H541" i="10"/>
  <c r="L537" i="10"/>
  <c r="G536" i="10"/>
  <c r="J535" i="10"/>
  <c r="M534" i="10"/>
  <c r="H533" i="10"/>
  <c r="L529" i="10"/>
  <c r="G528" i="10"/>
  <c r="J527" i="10"/>
  <c r="M526" i="10"/>
  <c r="H525" i="10"/>
  <c r="L521" i="10"/>
  <c r="G520" i="10"/>
  <c r="J519" i="10"/>
  <c r="M518" i="10"/>
  <c r="H517" i="10"/>
  <c r="L606" i="10"/>
  <c r="H605" i="10"/>
  <c r="J604" i="10"/>
  <c r="J602" i="10"/>
  <c r="L601" i="10"/>
  <c r="M599" i="10"/>
  <c r="M598" i="10"/>
  <c r="G595" i="10"/>
  <c r="J594" i="10"/>
  <c r="L593" i="10"/>
  <c r="L592" i="10"/>
  <c r="H590" i="10"/>
  <c r="G587" i="10"/>
  <c r="J586" i="10"/>
  <c r="L585" i="10"/>
  <c r="G583" i="10"/>
  <c r="L581" i="10"/>
  <c r="H579" i="10"/>
  <c r="M577" i="10"/>
  <c r="J574" i="10"/>
  <c r="M573" i="10"/>
  <c r="G572" i="10"/>
  <c r="L570" i="10"/>
  <c r="G568" i="10"/>
  <c r="J567" i="10"/>
  <c r="L566" i="10"/>
  <c r="H564" i="10"/>
  <c r="J563" i="10"/>
  <c r="M562" i="10"/>
  <c r="H560" i="10"/>
  <c r="M558" i="10"/>
  <c r="G557" i="10"/>
  <c r="J556" i="10"/>
  <c r="M555" i="10"/>
  <c r="H554" i="10"/>
  <c r="L550" i="10"/>
  <c r="G549" i="10"/>
  <c r="J548" i="10"/>
  <c r="M547" i="10"/>
  <c r="H546" i="10"/>
  <c r="L542" i="10"/>
  <c r="G541" i="10"/>
  <c r="J540" i="10"/>
  <c r="M539" i="10"/>
  <c r="H538" i="10"/>
  <c r="L534" i="10"/>
  <c r="G533" i="10"/>
  <c r="J532" i="10"/>
  <c r="M531" i="10"/>
  <c r="H530" i="10"/>
  <c r="L526" i="10"/>
  <c r="G525" i="10"/>
  <c r="J524" i="10"/>
  <c r="M523" i="10"/>
  <c r="H522" i="10"/>
  <c r="G605" i="10"/>
  <c r="G604" i="10"/>
  <c r="G603" i="10"/>
  <c r="J600" i="10"/>
  <c r="L598" i="10"/>
  <c r="L597" i="10"/>
  <c r="G590" i="10"/>
  <c r="J589" i="10"/>
  <c r="M588" i="10"/>
  <c r="L584" i="10"/>
  <c r="H582" i="10"/>
  <c r="G579" i="10"/>
  <c r="J578" i="10"/>
  <c r="L577" i="10"/>
  <c r="G575" i="10"/>
  <c r="L573" i="10"/>
  <c r="H571" i="10"/>
  <c r="M569" i="10"/>
  <c r="J566" i="10"/>
  <c r="M565" i="10"/>
  <c r="G564" i="10"/>
  <c r="L562" i="10"/>
  <c r="G560" i="10"/>
  <c r="J559" i="10"/>
  <c r="L558" i="10"/>
  <c r="L555" i="10"/>
  <c r="G554" i="10"/>
  <c r="J553" i="10"/>
  <c r="M552" i="10"/>
  <c r="H551" i="10"/>
  <c r="L547" i="10"/>
  <c r="G546" i="10"/>
  <c r="J545" i="10"/>
  <c r="M544" i="10"/>
  <c r="H543" i="10"/>
  <c r="L539" i="10"/>
  <c r="G538" i="10"/>
  <c r="J537" i="10"/>
  <c r="M536" i="10"/>
  <c r="H535" i="10"/>
  <c r="L531" i="10"/>
  <c r="G530" i="10"/>
  <c r="J529" i="10"/>
  <c r="M528" i="10"/>
  <c r="H527" i="10"/>
  <c r="L523" i="10"/>
  <c r="H602" i="10"/>
  <c r="H601" i="10"/>
  <c r="H600" i="10"/>
  <c r="J599" i="10"/>
  <c r="H594" i="10"/>
  <c r="H593" i="10"/>
  <c r="J592" i="10"/>
  <c r="M591" i="10"/>
  <c r="L588" i="10"/>
  <c r="H586" i="10"/>
  <c r="G582" i="10"/>
  <c r="J581" i="10"/>
  <c r="M580" i="10"/>
  <c r="L576" i="10"/>
  <c r="H574" i="10"/>
  <c r="G571" i="10"/>
  <c r="J570" i="10"/>
  <c r="L569" i="10"/>
  <c r="G567" i="10"/>
  <c r="L565" i="10"/>
  <c r="H563" i="10"/>
  <c r="M561" i="10"/>
  <c r="J558" i="10"/>
  <c r="M557" i="10"/>
  <c r="H556" i="10"/>
  <c r="L552" i="10"/>
  <c r="G551" i="10"/>
  <c r="J550" i="10"/>
  <c r="M549" i="10"/>
  <c r="H548" i="10"/>
  <c r="L544" i="10"/>
  <c r="G543" i="10"/>
  <c r="J542" i="10"/>
  <c r="M541" i="10"/>
  <c r="H540" i="10"/>
  <c r="L536" i="10"/>
  <c r="G535" i="10"/>
  <c r="J534" i="10"/>
  <c r="M533" i="10"/>
  <c r="H532" i="10"/>
  <c r="L528" i="10"/>
  <c r="G527" i="10"/>
  <c r="J526" i="10"/>
  <c r="M525" i="10"/>
  <c r="H524" i="10"/>
  <c r="L520" i="10"/>
  <c r="G519" i="10"/>
  <c r="J518" i="10"/>
  <c r="M517" i="10"/>
  <c r="H516" i="10"/>
  <c r="L512" i="10"/>
  <c r="G511" i="10"/>
  <c r="J510" i="10"/>
  <c r="M509" i="10"/>
  <c r="H508" i="10"/>
  <c r="L504" i="10"/>
  <c r="G503" i="10"/>
  <c r="J502" i="10"/>
  <c r="M501" i="10"/>
  <c r="H500" i="10"/>
  <c r="L496" i="10"/>
  <c r="G495" i="10"/>
  <c r="J494" i="10"/>
  <c r="M493" i="10"/>
  <c r="H492" i="10"/>
  <c r="L488" i="10"/>
  <c r="G487" i="10"/>
  <c r="J486" i="10"/>
  <c r="M485" i="10"/>
  <c r="H484" i="10"/>
  <c r="L480" i="10"/>
  <c r="G479" i="10"/>
  <c r="J478" i="10"/>
  <c r="M477" i="10"/>
  <c r="H476" i="10"/>
  <c r="M511" i="10"/>
  <c r="M510" i="10"/>
  <c r="J508" i="10"/>
  <c r="G506" i="10"/>
  <c r="G505" i="10"/>
  <c r="G500" i="10"/>
  <c r="J498" i="10"/>
  <c r="M497" i="10"/>
  <c r="L493" i="10"/>
  <c r="H491" i="10"/>
  <c r="G488" i="10"/>
  <c r="J487" i="10"/>
  <c r="L486" i="10"/>
  <c r="G484" i="10"/>
  <c r="L482" i="10"/>
  <c r="H480" i="10"/>
  <c r="M478" i="10"/>
  <c r="J475" i="10"/>
  <c r="M474" i="10"/>
  <c r="H473" i="10"/>
  <c r="L469" i="10"/>
  <c r="G468" i="10"/>
  <c r="J467" i="10"/>
  <c r="M466" i="10"/>
  <c r="H465" i="10"/>
  <c r="L461" i="10"/>
  <c r="G460" i="10"/>
  <c r="J459" i="10"/>
  <c r="M458" i="10"/>
  <c r="H457" i="10"/>
  <c r="L453" i="10"/>
  <c r="G452" i="10"/>
  <c r="J451" i="10"/>
  <c r="M450" i="10"/>
  <c r="H449" i="10"/>
  <c r="L445" i="10"/>
  <c r="G444" i="10"/>
  <c r="J443" i="10"/>
  <c r="M442" i="10"/>
  <c r="H441" i="10"/>
  <c r="L437" i="10"/>
  <c r="G436" i="10"/>
  <c r="J435" i="10"/>
  <c r="M434" i="10"/>
  <c r="H433" i="10"/>
  <c r="L429" i="10"/>
  <c r="G428" i="10"/>
  <c r="J427" i="10"/>
  <c r="M426" i="10"/>
  <c r="H425" i="10"/>
  <c r="L421" i="10"/>
  <c r="G420" i="10"/>
  <c r="J419" i="10"/>
  <c r="M418" i="10"/>
  <c r="H417" i="10"/>
  <c r="L413" i="10"/>
  <c r="G412" i="10"/>
  <c r="J411" i="10"/>
  <c r="M410" i="10"/>
  <c r="H409" i="10"/>
  <c r="L405" i="10"/>
  <c r="G404" i="10"/>
  <c r="J403" i="10"/>
  <c r="M402" i="10"/>
  <c r="H401" i="10"/>
  <c r="L397" i="10"/>
  <c r="G396" i="10"/>
  <c r="J395" i="10"/>
  <c r="M394" i="10"/>
  <c r="H393" i="10"/>
  <c r="L389" i="10"/>
  <c r="G388" i="10"/>
  <c r="J387" i="10"/>
  <c r="M386" i="10"/>
  <c r="H385" i="10"/>
  <c r="J521" i="10"/>
  <c r="L518" i="10"/>
  <c r="L514" i="10"/>
  <c r="L513" i="10"/>
  <c r="M512" i="10"/>
  <c r="J511" i="10"/>
  <c r="L510" i="10"/>
  <c r="H509" i="10"/>
  <c r="G499" i="10"/>
  <c r="L497" i="10"/>
  <c r="H495" i="10"/>
  <c r="G491" i="10"/>
  <c r="J490" i="10"/>
  <c r="M489" i="10"/>
  <c r="L485" i="10"/>
  <c r="H483" i="10"/>
  <c r="G480" i="10"/>
  <c r="J479" i="10"/>
  <c r="L478" i="10"/>
  <c r="G476" i="10"/>
  <c r="L474" i="10"/>
  <c r="G473" i="10"/>
  <c r="J472" i="10"/>
  <c r="M471" i="10"/>
  <c r="H470" i="10"/>
  <c r="L466" i="10"/>
  <c r="G465" i="10"/>
  <c r="J464" i="10"/>
  <c r="M463" i="10"/>
  <c r="H462" i="10"/>
  <c r="L458" i="10"/>
  <c r="G457" i="10"/>
  <c r="J456" i="10"/>
  <c r="M455" i="10"/>
  <c r="H454" i="10"/>
  <c r="L450" i="10"/>
  <c r="G449" i="10"/>
  <c r="J448" i="10"/>
  <c r="M447" i="10"/>
  <c r="H446" i="10"/>
  <c r="L442" i="10"/>
  <c r="G441" i="10"/>
  <c r="J440" i="10"/>
  <c r="M439" i="10"/>
  <c r="H438" i="10"/>
  <c r="L434" i="10"/>
  <c r="G433" i="10"/>
  <c r="J432" i="10"/>
  <c r="M431" i="10"/>
  <c r="H430" i="10"/>
  <c r="L426" i="10"/>
  <c r="G425" i="10"/>
  <c r="J424" i="10"/>
  <c r="M423" i="10"/>
  <c r="H422" i="10"/>
  <c r="L418" i="10"/>
  <c r="G417" i="10"/>
  <c r="J416" i="10"/>
  <c r="M415" i="10"/>
  <c r="H414" i="10"/>
  <c r="L410" i="10"/>
  <c r="G409" i="10"/>
  <c r="J408" i="10"/>
  <c r="M407" i="10"/>
  <c r="H406" i="10"/>
  <c r="L402" i="10"/>
  <c r="G401" i="10"/>
  <c r="J400" i="10"/>
  <c r="M399" i="10"/>
  <c r="H398" i="10"/>
  <c r="L394" i="10"/>
  <c r="G393" i="10"/>
  <c r="J392" i="10"/>
  <c r="M391" i="10"/>
  <c r="H390" i="10"/>
  <c r="L386" i="10"/>
  <c r="G385" i="10"/>
  <c r="J384" i="10"/>
  <c r="M383" i="10"/>
  <c r="H382" i="10"/>
  <c r="M515" i="10"/>
  <c r="J512" i="10"/>
  <c r="G509" i="10"/>
  <c r="H498" i="10"/>
  <c r="M496" i="10"/>
  <c r="H494" i="10"/>
  <c r="J493" i="10"/>
  <c r="M492" i="10"/>
  <c r="L489" i="10"/>
  <c r="H487" i="10"/>
  <c r="G483" i="10"/>
  <c r="J482" i="10"/>
  <c r="M481" i="10"/>
  <c r="L477" i="10"/>
  <c r="H475" i="10"/>
  <c r="L471" i="10"/>
  <c r="G470" i="10"/>
  <c r="J469" i="10"/>
  <c r="M468" i="10"/>
  <c r="H467" i="10"/>
  <c r="L463" i="10"/>
  <c r="G462" i="10"/>
  <c r="J461" i="10"/>
  <c r="M460" i="10"/>
  <c r="H459" i="10"/>
  <c r="L455" i="10"/>
  <c r="G454" i="10"/>
  <c r="J453" i="10"/>
  <c r="M452" i="10"/>
  <c r="H451" i="10"/>
  <c r="L447" i="10"/>
  <c r="G446" i="10"/>
  <c r="J445" i="10"/>
  <c r="M444" i="10"/>
  <c r="H443" i="10"/>
  <c r="L439" i="10"/>
  <c r="G438" i="10"/>
  <c r="J437" i="10"/>
  <c r="M436" i="10"/>
  <c r="H435" i="10"/>
  <c r="L431" i="10"/>
  <c r="G430" i="10"/>
  <c r="J429" i="10"/>
  <c r="M428" i="10"/>
  <c r="H427" i="10"/>
  <c r="L423" i="10"/>
  <c r="G422" i="10"/>
  <c r="J421" i="10"/>
  <c r="M420" i="10"/>
  <c r="H419" i="10"/>
  <c r="L415" i="10"/>
  <c r="G414" i="10"/>
  <c r="J413" i="10"/>
  <c r="M412" i="10"/>
  <c r="H411" i="10"/>
  <c r="L407" i="10"/>
  <c r="G406" i="10"/>
  <c r="J405" i="10"/>
  <c r="M404" i="10"/>
  <c r="H403" i="10"/>
  <c r="L399" i="10"/>
  <c r="G398" i="10"/>
  <c r="J397" i="10"/>
  <c r="M396" i="10"/>
  <c r="H395" i="10"/>
  <c r="L515" i="10"/>
  <c r="H514" i="10"/>
  <c r="J513" i="10"/>
  <c r="G512" i="10"/>
  <c r="H511" i="10"/>
  <c r="H510" i="10"/>
  <c r="G498" i="10"/>
  <c r="J497" i="10"/>
  <c r="G494" i="10"/>
  <c r="L492" i="10"/>
  <c r="H490" i="10"/>
  <c r="M488" i="10"/>
  <c r="H486" i="10"/>
  <c r="J485" i="10"/>
  <c r="M484" i="10"/>
  <c r="L481" i="10"/>
  <c r="H479" i="10"/>
  <c r="G475" i="10"/>
  <c r="J474" i="10"/>
  <c r="M473" i="10"/>
  <c r="H472" i="10"/>
  <c r="L468" i="10"/>
  <c r="G467" i="10"/>
  <c r="J466" i="10"/>
  <c r="M465" i="10"/>
  <c r="H464" i="10"/>
  <c r="L460" i="10"/>
  <c r="G459" i="10"/>
  <c r="J458" i="10"/>
  <c r="M457" i="10"/>
  <c r="H456" i="10"/>
  <c r="L452" i="10"/>
  <c r="G451" i="10"/>
  <c r="J450" i="10"/>
  <c r="M449" i="10"/>
  <c r="H448" i="10"/>
  <c r="L444" i="10"/>
  <c r="G443" i="10"/>
  <c r="J442" i="10"/>
  <c r="M441" i="10"/>
  <c r="H440" i="10"/>
  <c r="L436" i="10"/>
  <c r="G435" i="10"/>
  <c r="J434" i="10"/>
  <c r="M433" i="10"/>
  <c r="H432" i="10"/>
  <c r="L428" i="10"/>
  <c r="G427" i="10"/>
  <c r="J426" i="10"/>
  <c r="M425" i="10"/>
  <c r="H424" i="10"/>
  <c r="L420" i="10"/>
  <c r="G419" i="10"/>
  <c r="J418" i="10"/>
  <c r="M417" i="10"/>
  <c r="H416" i="10"/>
  <c r="L412" i="10"/>
  <c r="G411" i="10"/>
  <c r="J410" i="10"/>
  <c r="M409" i="10"/>
  <c r="H408" i="10"/>
  <c r="L404" i="10"/>
  <c r="G403" i="10"/>
  <c r="J402" i="10"/>
  <c r="M401" i="10"/>
  <c r="H400" i="10"/>
  <c r="L396" i="10"/>
  <c r="G395" i="10"/>
  <c r="J394" i="10"/>
  <c r="M393" i="10"/>
  <c r="H392" i="10"/>
  <c r="L388" i="10"/>
  <c r="G387" i="10"/>
  <c r="J386" i="10"/>
  <c r="M385" i="10"/>
  <c r="H384" i="10"/>
  <c r="L380" i="10"/>
  <c r="G379" i="10"/>
  <c r="J378" i="10"/>
  <c r="M377" i="10"/>
  <c r="L376" i="10"/>
  <c r="J374" i="10"/>
  <c r="H372" i="10"/>
  <c r="G371" i="10"/>
  <c r="M369" i="10"/>
  <c r="L368" i="10"/>
  <c r="J366" i="10"/>
  <c r="H364" i="10"/>
  <c r="G363" i="10"/>
  <c r="M361" i="10"/>
  <c r="L360" i="10"/>
  <c r="J358" i="10"/>
  <c r="H356" i="10"/>
  <c r="G355" i="10"/>
  <c r="M353" i="10"/>
  <c r="L352" i="10"/>
  <c r="J350" i="10"/>
  <c r="H348" i="10"/>
  <c r="G347" i="10"/>
  <c r="M345" i="10"/>
  <c r="L344" i="10"/>
  <c r="J342" i="10"/>
  <c r="H340" i="10"/>
  <c r="G339" i="10"/>
  <c r="M337" i="10"/>
  <c r="L336" i="10"/>
  <c r="J334" i="10"/>
  <c r="G522" i="10"/>
  <c r="H519" i="10"/>
  <c r="J516" i="10"/>
  <c r="G514" i="10"/>
  <c r="G513" i="10"/>
  <c r="M503" i="10"/>
  <c r="M502" i="10"/>
  <c r="L500" i="10"/>
  <c r="H497" i="10"/>
  <c r="J496" i="10"/>
  <c r="M495" i="10"/>
  <c r="H493" i="10"/>
  <c r="M491" i="10"/>
  <c r="G490" i="10"/>
  <c r="J489" i="10"/>
  <c r="G486" i="10"/>
  <c r="L484" i="10"/>
  <c r="H482" i="10"/>
  <c r="M480" i="10"/>
  <c r="H478" i="10"/>
  <c r="J477" i="10"/>
  <c r="M476" i="10"/>
  <c r="L473" i="10"/>
  <c r="G472" i="10"/>
  <c r="J471" i="10"/>
  <c r="M470" i="10"/>
  <c r="H469" i="10"/>
  <c r="L465" i="10"/>
  <c r="G464" i="10"/>
  <c r="J463" i="10"/>
  <c r="M462" i="10"/>
  <c r="H461" i="10"/>
  <c r="L457" i="10"/>
  <c r="G456" i="10"/>
  <c r="J455" i="10"/>
  <c r="M454" i="10"/>
  <c r="H453" i="10"/>
  <c r="L449" i="10"/>
  <c r="G448" i="10"/>
  <c r="J447" i="10"/>
  <c r="M446" i="10"/>
  <c r="H445" i="10"/>
  <c r="L441" i="10"/>
  <c r="G440" i="10"/>
  <c r="J439" i="10"/>
  <c r="M438" i="10"/>
  <c r="H437" i="10"/>
  <c r="L433" i="10"/>
  <c r="G432" i="10"/>
  <c r="J431" i="10"/>
  <c r="M430" i="10"/>
  <c r="H429" i="10"/>
  <c r="L425" i="10"/>
  <c r="G424" i="10"/>
  <c r="J423" i="10"/>
  <c r="M422" i="10"/>
  <c r="H421" i="10"/>
  <c r="L417" i="10"/>
  <c r="G416" i="10"/>
  <c r="J415" i="10"/>
  <c r="M414" i="10"/>
  <c r="H413" i="10"/>
  <c r="L409" i="10"/>
  <c r="G408" i="10"/>
  <c r="J407" i="10"/>
  <c r="M406" i="10"/>
  <c r="H405" i="10"/>
  <c r="L506" i="10"/>
  <c r="L505" i="10"/>
  <c r="M504" i="10"/>
  <c r="J503" i="10"/>
  <c r="L502" i="10"/>
  <c r="M499" i="10"/>
  <c r="G497" i="10"/>
  <c r="L495" i="10"/>
  <c r="G493" i="10"/>
  <c r="J492" i="10"/>
  <c r="L491" i="10"/>
  <c r="H489" i="10"/>
  <c r="J488" i="10"/>
  <c r="M487" i="10"/>
  <c r="H485" i="10"/>
  <c r="M483" i="10"/>
  <c r="G482" i="10"/>
  <c r="J481" i="10"/>
  <c r="G478" i="10"/>
  <c r="L476" i="10"/>
  <c r="H474" i="10"/>
  <c r="L470" i="10"/>
  <c r="G469" i="10"/>
  <c r="J468" i="10"/>
  <c r="M467" i="10"/>
  <c r="H466" i="10"/>
  <c r="L462" i="10"/>
  <c r="G461" i="10"/>
  <c r="J460" i="10"/>
  <c r="M459" i="10"/>
  <c r="H458" i="10"/>
  <c r="L454" i="10"/>
  <c r="G453" i="10"/>
  <c r="J452" i="10"/>
  <c r="M451" i="10"/>
  <c r="H450" i="10"/>
  <c r="L446" i="10"/>
  <c r="G445" i="10"/>
  <c r="J444" i="10"/>
  <c r="M443" i="10"/>
  <c r="H442" i="10"/>
  <c r="L438" i="10"/>
  <c r="G437" i="10"/>
  <c r="J436" i="10"/>
  <c r="M435" i="10"/>
  <c r="H434" i="10"/>
  <c r="L430" i="10"/>
  <c r="G429" i="10"/>
  <c r="J428" i="10"/>
  <c r="M427" i="10"/>
  <c r="H426" i="10"/>
  <c r="L422" i="10"/>
  <c r="G421" i="10"/>
  <c r="J420" i="10"/>
  <c r="M419" i="10"/>
  <c r="H418" i="10"/>
  <c r="L414" i="10"/>
  <c r="G413" i="10"/>
  <c r="J412" i="10"/>
  <c r="M411" i="10"/>
  <c r="H410" i="10"/>
  <c r="L406" i="10"/>
  <c r="G405" i="10"/>
  <c r="J404" i="10"/>
  <c r="M403" i="10"/>
  <c r="H402" i="10"/>
  <c r="L398" i="10"/>
  <c r="G397" i="10"/>
  <c r="J396" i="10"/>
  <c r="M395" i="10"/>
  <c r="H394" i="10"/>
  <c r="L390" i="10"/>
  <c r="G389" i="10"/>
  <c r="J388" i="10"/>
  <c r="M387" i="10"/>
  <c r="H386" i="10"/>
  <c r="M520" i="10"/>
  <c r="M507" i="10"/>
  <c r="J504" i="10"/>
  <c r="H501" i="10"/>
  <c r="J500" i="10"/>
  <c r="L499" i="10"/>
  <c r="M498" i="10"/>
  <c r="H496" i="10"/>
  <c r="M494" i="10"/>
  <c r="J491" i="10"/>
  <c r="M490" i="10"/>
  <c r="G489" i="10"/>
  <c r="L487" i="10"/>
  <c r="G485" i="10"/>
  <c r="J484" i="10"/>
  <c r="L483" i="10"/>
  <c r="H481" i="10"/>
  <c r="J480" i="10"/>
  <c r="M479" i="10"/>
  <c r="H477" i="10"/>
  <c r="M475" i="10"/>
  <c r="G474" i="10"/>
  <c r="J473" i="10"/>
  <c r="M472" i="10"/>
  <c r="H471" i="10"/>
  <c r="L467" i="10"/>
  <c r="G466" i="10"/>
  <c r="J465" i="10"/>
  <c r="M464" i="10"/>
  <c r="H463" i="10"/>
  <c r="L459" i="10"/>
  <c r="G458" i="10"/>
  <c r="J457" i="10"/>
  <c r="M456" i="10"/>
  <c r="H455" i="10"/>
  <c r="L451" i="10"/>
  <c r="G450" i="10"/>
  <c r="J449" i="10"/>
  <c r="M448" i="10"/>
  <c r="H447" i="10"/>
  <c r="L443" i="10"/>
  <c r="G442" i="10"/>
  <c r="J441" i="10"/>
  <c r="M440" i="10"/>
  <c r="H439" i="10"/>
  <c r="L435" i="10"/>
  <c r="G434" i="10"/>
  <c r="J433" i="10"/>
  <c r="M432" i="10"/>
  <c r="H431" i="10"/>
  <c r="L427" i="10"/>
  <c r="G426" i="10"/>
  <c r="J425" i="10"/>
  <c r="M424" i="10"/>
  <c r="H423" i="10"/>
  <c r="L419" i="10"/>
  <c r="G418" i="10"/>
  <c r="J417" i="10"/>
  <c r="M416" i="10"/>
  <c r="H415" i="10"/>
  <c r="L411" i="10"/>
  <c r="G410" i="10"/>
  <c r="J409" i="10"/>
  <c r="M408" i="10"/>
  <c r="H407" i="10"/>
  <c r="L403" i="10"/>
  <c r="G402" i="10"/>
  <c r="J401" i="10"/>
  <c r="M400" i="10"/>
  <c r="H399" i="10"/>
  <c r="L395" i="10"/>
  <c r="G394" i="10"/>
  <c r="J393" i="10"/>
  <c r="M392" i="10"/>
  <c r="H391" i="10"/>
  <c r="L387" i="10"/>
  <c r="G386" i="10"/>
  <c r="J385" i="10"/>
  <c r="M384" i="10"/>
  <c r="H383" i="10"/>
  <c r="G517" i="10"/>
  <c r="L507" i="10"/>
  <c r="H506" i="10"/>
  <c r="J505" i="10"/>
  <c r="G504" i="10"/>
  <c r="H503" i="10"/>
  <c r="H502" i="10"/>
  <c r="G501" i="10"/>
  <c r="J499" i="10"/>
  <c r="L498" i="10"/>
  <c r="G496" i="10"/>
  <c r="J495" i="10"/>
  <c r="L494" i="10"/>
  <c r="G492" i="10"/>
  <c r="L490" i="10"/>
  <c r="H488" i="10"/>
  <c r="M486" i="10"/>
  <c r="J483" i="10"/>
  <c r="M482" i="10"/>
  <c r="G481" i="10"/>
  <c r="L479" i="10"/>
  <c r="G477" i="10"/>
  <c r="J476" i="10"/>
  <c r="L475" i="10"/>
  <c r="L472" i="10"/>
  <c r="G471" i="10"/>
  <c r="J470" i="10"/>
  <c r="M469" i="10"/>
  <c r="H468" i="10"/>
  <c r="L464" i="10"/>
  <c r="G463" i="10"/>
  <c r="J462" i="10"/>
  <c r="M461" i="10"/>
  <c r="H460" i="10"/>
  <c r="L456" i="10"/>
  <c r="G455" i="10"/>
  <c r="J454" i="10"/>
  <c r="M453" i="10"/>
  <c r="H452" i="10"/>
  <c r="L448" i="10"/>
  <c r="G447" i="10"/>
  <c r="J446" i="10"/>
  <c r="M445" i="10"/>
  <c r="H444" i="10"/>
  <c r="L440" i="10"/>
  <c r="G439" i="10"/>
  <c r="J438" i="10"/>
  <c r="M437" i="10"/>
  <c r="H436" i="10"/>
  <c r="L432" i="10"/>
  <c r="G431" i="10"/>
  <c r="J430" i="10"/>
  <c r="M429" i="10"/>
  <c r="H428" i="10"/>
  <c r="L424" i="10"/>
  <c r="G423" i="10"/>
  <c r="J422" i="10"/>
  <c r="M421" i="10"/>
  <c r="H420" i="10"/>
  <c r="L416" i="10"/>
  <c r="G415" i="10"/>
  <c r="J414" i="10"/>
  <c r="M413" i="10"/>
  <c r="H412" i="10"/>
  <c r="L408" i="10"/>
  <c r="G407" i="10"/>
  <c r="J406" i="10"/>
  <c r="M405" i="10"/>
  <c r="H404" i="10"/>
  <c r="L400" i="10"/>
  <c r="G399" i="10"/>
  <c r="J398" i="10"/>
  <c r="M397" i="10"/>
  <c r="H396" i="10"/>
  <c r="L392" i="10"/>
  <c r="G391" i="10"/>
  <c r="J390" i="10"/>
  <c r="M389" i="10"/>
  <c r="H388" i="10"/>
  <c r="L384" i="10"/>
  <c r="G383" i="10"/>
  <c r="J382" i="10"/>
  <c r="M381" i="10"/>
  <c r="H380" i="10"/>
  <c r="H376" i="10"/>
  <c r="G375" i="10"/>
  <c r="M373" i="10"/>
  <c r="L372" i="10"/>
  <c r="J370" i="10"/>
  <c r="H368" i="10"/>
  <c r="G367" i="10"/>
  <c r="M365" i="10"/>
  <c r="L364" i="10"/>
  <c r="J362" i="10"/>
  <c r="H360" i="10"/>
  <c r="G359" i="10"/>
  <c r="M357" i="10"/>
  <c r="L356" i="10"/>
  <c r="J354" i="10"/>
  <c r="H352" i="10"/>
  <c r="G351" i="10"/>
  <c r="M349" i="10"/>
  <c r="L348" i="10"/>
  <c r="J346" i="10"/>
  <c r="H344" i="10"/>
  <c r="G343" i="10"/>
  <c r="M341" i="10"/>
  <c r="L340" i="10"/>
  <c r="J338" i="10"/>
  <c r="H336" i="10"/>
  <c r="G335" i="10"/>
  <c r="G392" i="10"/>
  <c r="L385" i="10"/>
  <c r="H378" i="10"/>
  <c r="J377" i="10"/>
  <c r="M375" i="10"/>
  <c r="M372" i="10"/>
  <c r="L369" i="10"/>
  <c r="L366" i="10"/>
  <c r="H365" i="10"/>
  <c r="L363" i="10"/>
  <c r="H362" i="10"/>
  <c r="H359" i="10"/>
  <c r="G356" i="10"/>
  <c r="G353" i="10"/>
  <c r="J351" i="10"/>
  <c r="G350" i="10"/>
  <c r="J348" i="10"/>
  <c r="M346" i="10"/>
  <c r="J345" i="10"/>
  <c r="M343" i="10"/>
  <c r="M340" i="10"/>
  <c r="L337" i="10"/>
  <c r="L334" i="10"/>
  <c r="J333" i="10"/>
  <c r="H331" i="10"/>
  <c r="G330" i="10"/>
  <c r="M328" i="10"/>
  <c r="L327" i="10"/>
  <c r="J325" i="10"/>
  <c r="H323" i="10"/>
  <c r="G322" i="10"/>
  <c r="M320" i="10"/>
  <c r="L319" i="10"/>
  <c r="J317" i="10"/>
  <c r="H315" i="10"/>
  <c r="G314" i="10"/>
  <c r="M312" i="10"/>
  <c r="L311" i="10"/>
  <c r="J309" i="10"/>
  <c r="H307" i="10"/>
  <c r="G306" i="10"/>
  <c r="M304" i="10"/>
  <c r="L303" i="10"/>
  <c r="J301" i="10"/>
  <c r="H299" i="10"/>
  <c r="G298" i="10"/>
  <c r="M296" i="10"/>
  <c r="L295" i="10"/>
  <c r="J293" i="10"/>
  <c r="H291" i="10"/>
  <c r="G290" i="10"/>
  <c r="M288" i="10"/>
  <c r="L287" i="10"/>
  <c r="J285" i="10"/>
  <c r="H283" i="10"/>
  <c r="G282" i="10"/>
  <c r="M280" i="10"/>
  <c r="L279" i="10"/>
  <c r="J277" i="10"/>
  <c r="H275" i="10"/>
  <c r="G274" i="10"/>
  <c r="M272" i="10"/>
  <c r="L271" i="10"/>
  <c r="J269" i="10"/>
  <c r="H267" i="10"/>
  <c r="G266" i="10"/>
  <c r="M264" i="10"/>
  <c r="L263" i="10"/>
  <c r="J261" i="10"/>
  <c r="H259" i="10"/>
  <c r="G258" i="10"/>
  <c r="M256" i="10"/>
  <c r="L255" i="10"/>
  <c r="J253" i="10"/>
  <c r="H251" i="10"/>
  <c r="G250" i="10"/>
  <c r="M248" i="10"/>
  <c r="L247" i="10"/>
  <c r="J245" i="10"/>
  <c r="H243" i="10"/>
  <c r="G242" i="10"/>
  <c r="M240" i="10"/>
  <c r="L239" i="10"/>
  <c r="J237" i="10"/>
  <c r="H235" i="10"/>
  <c r="M398" i="10"/>
  <c r="J389" i="10"/>
  <c r="G378" i="10"/>
  <c r="H377" i="10"/>
  <c r="L375" i="10"/>
  <c r="H374" i="10"/>
  <c r="H371" i="10"/>
  <c r="G368" i="10"/>
  <c r="G365" i="10"/>
  <c r="J363" i="10"/>
  <c r="G362" i="10"/>
  <c r="J360" i="10"/>
  <c r="M358" i="10"/>
  <c r="J357" i="10"/>
  <c r="M355" i="10"/>
  <c r="M352" i="10"/>
  <c r="L349" i="10"/>
  <c r="L346" i="10"/>
  <c r="H345" i="10"/>
  <c r="L343" i="10"/>
  <c r="H342" i="10"/>
  <c r="H339" i="10"/>
  <c r="G336" i="10"/>
  <c r="H332" i="10"/>
  <c r="G331" i="10"/>
  <c r="M329" i="10"/>
  <c r="L328" i="10"/>
  <c r="J326" i="10"/>
  <c r="H324" i="10"/>
  <c r="G323" i="10"/>
  <c r="M321" i="10"/>
  <c r="L320" i="10"/>
  <c r="J318" i="10"/>
  <c r="H316" i="10"/>
  <c r="G315" i="10"/>
  <c r="M313" i="10"/>
  <c r="L312" i="10"/>
  <c r="J310" i="10"/>
  <c r="H308" i="10"/>
  <c r="G307" i="10"/>
  <c r="M305" i="10"/>
  <c r="L304" i="10"/>
  <c r="J302" i="10"/>
  <c r="H300" i="10"/>
  <c r="G299" i="10"/>
  <c r="M297" i="10"/>
  <c r="L296" i="10"/>
  <c r="J294" i="10"/>
  <c r="H292" i="10"/>
  <c r="G291" i="10"/>
  <c r="M289" i="10"/>
  <c r="L288" i="10"/>
  <c r="J286" i="10"/>
  <c r="H284" i="10"/>
  <c r="G283" i="10"/>
  <c r="M281" i="10"/>
  <c r="L280" i="10"/>
  <c r="J278" i="10"/>
  <c r="H276" i="10"/>
  <c r="G275" i="10"/>
  <c r="M273" i="10"/>
  <c r="L272" i="10"/>
  <c r="J270" i="10"/>
  <c r="H268" i="10"/>
  <c r="G267" i="10"/>
  <c r="M265" i="10"/>
  <c r="L264" i="10"/>
  <c r="J262" i="10"/>
  <c r="H260" i="10"/>
  <c r="G259" i="10"/>
  <c r="M257" i="10"/>
  <c r="L256" i="10"/>
  <c r="J254" i="10"/>
  <c r="H252" i="10"/>
  <c r="G251" i="10"/>
  <c r="M249" i="10"/>
  <c r="L248" i="10"/>
  <c r="J246" i="10"/>
  <c r="H244" i="10"/>
  <c r="L401" i="10"/>
  <c r="L393" i="10"/>
  <c r="H389" i="10"/>
  <c r="M382" i="10"/>
  <c r="L381" i="10"/>
  <c r="M380" i="10"/>
  <c r="G377" i="10"/>
  <c r="J375" i="10"/>
  <c r="G374" i="10"/>
  <c r="J372" i="10"/>
  <c r="M370" i="10"/>
  <c r="J369" i="10"/>
  <c r="M367" i="10"/>
  <c r="M364" i="10"/>
  <c r="L361" i="10"/>
  <c r="L358" i="10"/>
  <c r="H357" i="10"/>
  <c r="L355" i="10"/>
  <c r="H354" i="10"/>
  <c r="H351" i="10"/>
  <c r="G348" i="10"/>
  <c r="G345" i="10"/>
  <c r="J343" i="10"/>
  <c r="G342" i="10"/>
  <c r="J340" i="10"/>
  <c r="M338" i="10"/>
  <c r="J337" i="10"/>
  <c r="M335" i="10"/>
  <c r="H333" i="10"/>
  <c r="G332" i="10"/>
  <c r="M330" i="10"/>
  <c r="L329" i="10"/>
  <c r="J327" i="10"/>
  <c r="H325" i="10"/>
  <c r="G324" i="10"/>
  <c r="M322" i="10"/>
  <c r="L321" i="10"/>
  <c r="J319" i="10"/>
  <c r="H317" i="10"/>
  <c r="G316" i="10"/>
  <c r="M314" i="10"/>
  <c r="L313" i="10"/>
  <c r="J311" i="10"/>
  <c r="H309" i="10"/>
  <c r="G308" i="10"/>
  <c r="M306" i="10"/>
  <c r="L305" i="10"/>
  <c r="J303" i="10"/>
  <c r="H301" i="10"/>
  <c r="G300" i="10"/>
  <c r="M298" i="10"/>
  <c r="L297" i="10"/>
  <c r="J295" i="10"/>
  <c r="H293" i="10"/>
  <c r="G292" i="10"/>
  <c r="M290" i="10"/>
  <c r="L289" i="10"/>
  <c r="J287" i="10"/>
  <c r="H285" i="10"/>
  <c r="G284" i="10"/>
  <c r="M282" i="10"/>
  <c r="L281" i="10"/>
  <c r="J279" i="10"/>
  <c r="H277" i="10"/>
  <c r="G276" i="10"/>
  <c r="M274" i="10"/>
  <c r="L273" i="10"/>
  <c r="J271" i="10"/>
  <c r="H269" i="10"/>
  <c r="G268" i="10"/>
  <c r="M266" i="10"/>
  <c r="L265" i="10"/>
  <c r="J263" i="10"/>
  <c r="H261" i="10"/>
  <c r="G260" i="10"/>
  <c r="M258" i="10"/>
  <c r="L257" i="10"/>
  <c r="J255" i="10"/>
  <c r="M390" i="10"/>
  <c r="L383" i="10"/>
  <c r="L382" i="10"/>
  <c r="J381" i="10"/>
  <c r="M379" i="10"/>
  <c r="M376" i="10"/>
  <c r="L373" i="10"/>
  <c r="L370" i="10"/>
  <c r="H369" i="10"/>
  <c r="L367" i="10"/>
  <c r="H366" i="10"/>
  <c r="H363" i="10"/>
  <c r="G360" i="10"/>
  <c r="G357" i="10"/>
  <c r="J355" i="10"/>
  <c r="G354" i="10"/>
  <c r="J352" i="10"/>
  <c r="M350" i="10"/>
  <c r="J349" i="10"/>
  <c r="M347" i="10"/>
  <c r="M344" i="10"/>
  <c r="L341" i="10"/>
  <c r="L338" i="10"/>
  <c r="H337" i="10"/>
  <c r="L335" i="10"/>
  <c r="H334" i="10"/>
  <c r="G333" i="10"/>
  <c r="M331" i="10"/>
  <c r="L330" i="10"/>
  <c r="J328" i="10"/>
  <c r="H326" i="10"/>
  <c r="G325" i="10"/>
  <c r="M323" i="10"/>
  <c r="L322" i="10"/>
  <c r="J320" i="10"/>
  <c r="H318" i="10"/>
  <c r="G317" i="10"/>
  <c r="M315" i="10"/>
  <c r="L314" i="10"/>
  <c r="J312" i="10"/>
  <c r="H310" i="10"/>
  <c r="G309" i="10"/>
  <c r="M307" i="10"/>
  <c r="L306" i="10"/>
  <c r="J304" i="10"/>
  <c r="H302" i="10"/>
  <c r="G301" i="10"/>
  <c r="M299" i="10"/>
  <c r="L298" i="10"/>
  <c r="J296" i="10"/>
  <c r="H294" i="10"/>
  <c r="G293" i="10"/>
  <c r="M291" i="10"/>
  <c r="L290" i="10"/>
  <c r="J288" i="10"/>
  <c r="H286" i="10"/>
  <c r="G285" i="10"/>
  <c r="M283" i="10"/>
  <c r="L282" i="10"/>
  <c r="J280" i="10"/>
  <c r="H278" i="10"/>
  <c r="G277" i="10"/>
  <c r="M275" i="10"/>
  <c r="L274" i="10"/>
  <c r="J272" i="10"/>
  <c r="H270" i="10"/>
  <c r="G269" i="10"/>
  <c r="M267" i="10"/>
  <c r="L266" i="10"/>
  <c r="J264" i="10"/>
  <c r="H262" i="10"/>
  <c r="G261" i="10"/>
  <c r="M259" i="10"/>
  <c r="L258" i="10"/>
  <c r="J256" i="10"/>
  <c r="H254" i="10"/>
  <c r="G253" i="10"/>
  <c r="M251" i="10"/>
  <c r="L250" i="10"/>
  <c r="J248" i="10"/>
  <c r="J399" i="10"/>
  <c r="G390" i="10"/>
  <c r="J383" i="10"/>
  <c r="H381" i="10"/>
  <c r="J380" i="10"/>
  <c r="L379" i="10"/>
  <c r="M378" i="10"/>
  <c r="H375" i="10"/>
  <c r="G372" i="10"/>
  <c r="G369" i="10"/>
  <c r="J367" i="10"/>
  <c r="G366" i="10"/>
  <c r="J364" i="10"/>
  <c r="M362" i="10"/>
  <c r="J361" i="10"/>
  <c r="M359" i="10"/>
  <c r="M356" i="10"/>
  <c r="L353" i="10"/>
  <c r="L350" i="10"/>
  <c r="H349" i="10"/>
  <c r="L347" i="10"/>
  <c r="H346" i="10"/>
  <c r="H343" i="10"/>
  <c r="G340" i="10"/>
  <c r="G337" i="10"/>
  <c r="J335" i="10"/>
  <c r="G334" i="10"/>
  <c r="M332" i="10"/>
  <c r="L331" i="10"/>
  <c r="J329" i="10"/>
  <c r="H327" i="10"/>
  <c r="G326" i="10"/>
  <c r="M324" i="10"/>
  <c r="L323" i="10"/>
  <c r="J321" i="10"/>
  <c r="H319" i="10"/>
  <c r="G318" i="10"/>
  <c r="M316" i="10"/>
  <c r="L315" i="10"/>
  <c r="J313" i="10"/>
  <c r="H311" i="10"/>
  <c r="G310" i="10"/>
  <c r="M308" i="10"/>
  <c r="L307" i="10"/>
  <c r="J305" i="10"/>
  <c r="H303" i="10"/>
  <c r="G302" i="10"/>
  <c r="M300" i="10"/>
  <c r="L299" i="10"/>
  <c r="J297" i="10"/>
  <c r="H295" i="10"/>
  <c r="G294" i="10"/>
  <c r="M292" i="10"/>
  <c r="L291" i="10"/>
  <c r="J289" i="10"/>
  <c r="H287" i="10"/>
  <c r="G286" i="10"/>
  <c r="M284" i="10"/>
  <c r="L283" i="10"/>
  <c r="J281" i="10"/>
  <c r="H279" i="10"/>
  <c r="G278" i="10"/>
  <c r="M276" i="10"/>
  <c r="L275" i="10"/>
  <c r="J273" i="10"/>
  <c r="H271" i="10"/>
  <c r="G270" i="10"/>
  <c r="M268" i="10"/>
  <c r="L267" i="10"/>
  <c r="J265" i="10"/>
  <c r="H263" i="10"/>
  <c r="G262" i="10"/>
  <c r="M260" i="10"/>
  <c r="L259" i="10"/>
  <c r="J257" i="10"/>
  <c r="H255" i="10"/>
  <c r="G254" i="10"/>
  <c r="M252" i="10"/>
  <c r="L251" i="10"/>
  <c r="J249" i="10"/>
  <c r="H247" i="10"/>
  <c r="G246" i="10"/>
  <c r="M244" i="10"/>
  <c r="L243" i="10"/>
  <c r="J241" i="10"/>
  <c r="H239" i="10"/>
  <c r="G238" i="10"/>
  <c r="M236" i="10"/>
  <c r="L235" i="10"/>
  <c r="L391" i="10"/>
  <c r="H387" i="10"/>
  <c r="G382" i="10"/>
  <c r="G381" i="10"/>
  <c r="J379" i="10"/>
  <c r="L378" i="10"/>
  <c r="J376" i="10"/>
  <c r="M374" i="10"/>
  <c r="J373" i="10"/>
  <c r="M371" i="10"/>
  <c r="M368" i="10"/>
  <c r="L365" i="10"/>
  <c r="L362" i="10"/>
  <c r="H361" i="10"/>
  <c r="L359" i="10"/>
  <c r="H358" i="10"/>
  <c r="H355" i="10"/>
  <c r="G352" i="10"/>
  <c r="G349" i="10"/>
  <c r="J347" i="10"/>
  <c r="G346" i="10"/>
  <c r="J344" i="10"/>
  <c r="M342" i="10"/>
  <c r="J341" i="10"/>
  <c r="M339" i="10"/>
  <c r="M336" i="10"/>
  <c r="M333" i="10"/>
  <c r="L332" i="10"/>
  <c r="J330" i="10"/>
  <c r="H328" i="10"/>
  <c r="G327" i="10"/>
  <c r="M325" i="10"/>
  <c r="L324" i="10"/>
  <c r="J322" i="10"/>
  <c r="H320" i="10"/>
  <c r="G319" i="10"/>
  <c r="M317" i="10"/>
  <c r="L316" i="10"/>
  <c r="J314" i="10"/>
  <c r="H312" i="10"/>
  <c r="G311" i="10"/>
  <c r="M309" i="10"/>
  <c r="L308" i="10"/>
  <c r="J306" i="10"/>
  <c r="H304" i="10"/>
  <c r="G303" i="10"/>
  <c r="M301" i="10"/>
  <c r="L300" i="10"/>
  <c r="J298" i="10"/>
  <c r="H296" i="10"/>
  <c r="G295" i="10"/>
  <c r="M293" i="10"/>
  <c r="L292" i="10"/>
  <c r="J290" i="10"/>
  <c r="H288" i="10"/>
  <c r="G287" i="10"/>
  <c r="M285" i="10"/>
  <c r="L284" i="10"/>
  <c r="J282" i="10"/>
  <c r="H280" i="10"/>
  <c r="G279" i="10"/>
  <c r="M277" i="10"/>
  <c r="L276" i="10"/>
  <c r="J274" i="10"/>
  <c r="H272" i="10"/>
  <c r="G271" i="10"/>
  <c r="M269" i="10"/>
  <c r="L268" i="10"/>
  <c r="J266" i="10"/>
  <c r="H264" i="10"/>
  <c r="G263" i="10"/>
  <c r="M261" i="10"/>
  <c r="L260" i="10"/>
  <c r="J258" i="10"/>
  <c r="H256" i="10"/>
  <c r="G255" i="10"/>
  <c r="H397" i="10"/>
  <c r="J391" i="10"/>
  <c r="G384" i="10"/>
  <c r="G380" i="10"/>
  <c r="L377" i="10"/>
  <c r="L374" i="10"/>
  <c r="H373" i="10"/>
  <c r="L371" i="10"/>
  <c r="H370" i="10"/>
  <c r="H367" i="10"/>
  <c r="G364" i="10"/>
  <c r="G361" i="10"/>
  <c r="J359" i="10"/>
  <c r="G358" i="10"/>
  <c r="J356" i="10"/>
  <c r="M354" i="10"/>
  <c r="J353" i="10"/>
  <c r="M351" i="10"/>
  <c r="M348" i="10"/>
  <c r="L345" i="10"/>
  <c r="L342" i="10"/>
  <c r="H341" i="10"/>
  <c r="L339" i="10"/>
  <c r="H338" i="10"/>
  <c r="H335" i="10"/>
  <c r="L333" i="10"/>
  <c r="J331" i="10"/>
  <c r="H329" i="10"/>
  <c r="G328" i="10"/>
  <c r="M326" i="10"/>
  <c r="L325" i="10"/>
  <c r="J323" i="10"/>
  <c r="H321" i="10"/>
  <c r="G320" i="10"/>
  <c r="M318" i="10"/>
  <c r="L317" i="10"/>
  <c r="J315" i="10"/>
  <c r="H313" i="10"/>
  <c r="G312" i="10"/>
  <c r="M310" i="10"/>
  <c r="L309" i="10"/>
  <c r="J307" i="10"/>
  <c r="H305" i="10"/>
  <c r="G304" i="10"/>
  <c r="M302" i="10"/>
  <c r="L301" i="10"/>
  <c r="J299" i="10"/>
  <c r="H297" i="10"/>
  <c r="G296" i="10"/>
  <c r="M294" i="10"/>
  <c r="L293" i="10"/>
  <c r="J291" i="10"/>
  <c r="H289" i="10"/>
  <c r="G288" i="10"/>
  <c r="M286" i="10"/>
  <c r="L285" i="10"/>
  <c r="J283" i="10"/>
  <c r="H281" i="10"/>
  <c r="G280" i="10"/>
  <c r="M278" i="10"/>
  <c r="L277" i="10"/>
  <c r="J275" i="10"/>
  <c r="H273" i="10"/>
  <c r="G272" i="10"/>
  <c r="M270" i="10"/>
  <c r="L269" i="10"/>
  <c r="J267" i="10"/>
  <c r="H265" i="10"/>
  <c r="G264" i="10"/>
  <c r="M262" i="10"/>
  <c r="L261" i="10"/>
  <c r="J259" i="10"/>
  <c r="H257" i="10"/>
  <c r="G256" i="10"/>
  <c r="M254" i="10"/>
  <c r="L253" i="10"/>
  <c r="J251" i="10"/>
  <c r="H249" i="10"/>
  <c r="G248" i="10"/>
  <c r="M246" i="10"/>
  <c r="L245" i="10"/>
  <c r="G400" i="10"/>
  <c r="M388" i="10"/>
  <c r="H379" i="10"/>
  <c r="G376" i="10"/>
  <c r="G373" i="10"/>
  <c r="J371" i="10"/>
  <c r="G370" i="10"/>
  <c r="J368" i="10"/>
  <c r="M366" i="10"/>
  <c r="J365" i="10"/>
  <c r="M363" i="10"/>
  <c r="M360" i="10"/>
  <c r="L357" i="10"/>
  <c r="L354" i="10"/>
  <c r="H353" i="10"/>
  <c r="L351" i="10"/>
  <c r="H350" i="10"/>
  <c r="H347" i="10"/>
  <c r="G344" i="10"/>
  <c r="G341" i="10"/>
  <c r="J339" i="10"/>
  <c r="G338" i="10"/>
  <c r="J336" i="10"/>
  <c r="M334" i="10"/>
  <c r="J332" i="10"/>
  <c r="H330" i="10"/>
  <c r="G329" i="10"/>
  <c r="M327" i="10"/>
  <c r="L326" i="10"/>
  <c r="J324" i="10"/>
  <c r="H322" i="10"/>
  <c r="G321" i="10"/>
  <c r="M319" i="10"/>
  <c r="L318" i="10"/>
  <c r="J316" i="10"/>
  <c r="H314" i="10"/>
  <c r="G313" i="10"/>
  <c r="M311" i="10"/>
  <c r="L310" i="10"/>
  <c r="J308" i="10"/>
  <c r="H306" i="10"/>
  <c r="G305" i="10"/>
  <c r="M303" i="10"/>
  <c r="L302" i="10"/>
  <c r="J300" i="10"/>
  <c r="H298" i="10"/>
  <c r="G297" i="10"/>
  <c r="M295" i="10"/>
  <c r="L294" i="10"/>
  <c r="J292" i="10"/>
  <c r="H290" i="10"/>
  <c r="G289" i="10"/>
  <c r="M287" i="10"/>
  <c r="L286" i="10"/>
  <c r="J284" i="10"/>
  <c r="H282" i="10"/>
  <c r="G281" i="10"/>
  <c r="M279" i="10"/>
  <c r="L278" i="10"/>
  <c r="J276" i="10"/>
  <c r="H274" i="10"/>
  <c r="G273" i="10"/>
  <c r="M271" i="10"/>
  <c r="L270" i="10"/>
  <c r="J268" i="10"/>
  <c r="H266" i="10"/>
  <c r="G265" i="10"/>
  <c r="M263" i="10"/>
  <c r="L262" i="10"/>
  <c r="J260" i="10"/>
  <c r="H258" i="10"/>
  <c r="G257" i="10"/>
  <c r="M255" i="10"/>
  <c r="L254" i="10"/>
  <c r="J252" i="10"/>
  <c r="H250" i="10"/>
  <c r="G249" i="10"/>
  <c r="M247" i="10"/>
  <c r="L246" i="10"/>
  <c r="J244" i="10"/>
  <c r="H242" i="10"/>
  <c r="G241" i="10"/>
  <c r="M239" i="10"/>
  <c r="L238" i="10"/>
  <c r="J236" i="10"/>
  <c r="H234" i="10"/>
  <c r="G233" i="10"/>
  <c r="M231" i="10"/>
  <c r="L230" i="10"/>
  <c r="J228" i="10"/>
  <c r="H226" i="10"/>
  <c r="G225" i="10"/>
  <c r="M223" i="10"/>
  <c r="M253" i="10"/>
  <c r="H245" i="10"/>
  <c r="G243" i="10"/>
  <c r="J239" i="10"/>
  <c r="L237" i="10"/>
  <c r="M235" i="10"/>
  <c r="M232" i="10"/>
  <c r="G229" i="10"/>
  <c r="L227" i="10"/>
  <c r="J226" i="10"/>
  <c r="H225" i="10"/>
  <c r="L223" i="10"/>
  <c r="J221" i="10"/>
  <c r="H219" i="10"/>
  <c r="G218" i="10"/>
  <c r="M216" i="10"/>
  <c r="L215" i="10"/>
  <c r="J213" i="10"/>
  <c r="H211" i="10"/>
  <c r="G210" i="10"/>
  <c r="M208" i="10"/>
  <c r="L207" i="10"/>
  <c r="J205" i="10"/>
  <c r="H203" i="10"/>
  <c r="G202" i="10"/>
  <c r="M200" i="10"/>
  <c r="L199" i="10"/>
  <c r="J197" i="10"/>
  <c r="H195" i="10"/>
  <c r="G194" i="10"/>
  <c r="M192" i="10"/>
  <c r="L191" i="10"/>
  <c r="J189" i="10"/>
  <c r="H187" i="10"/>
  <c r="G186" i="10"/>
  <c r="M184" i="10"/>
  <c r="L183" i="10"/>
  <c r="J181" i="10"/>
  <c r="H179" i="10"/>
  <c r="G178" i="10"/>
  <c r="M176" i="10"/>
  <c r="L175" i="10"/>
  <c r="J173" i="10"/>
  <c r="H171" i="10"/>
  <c r="G170" i="10"/>
  <c r="M168" i="10"/>
  <c r="L167" i="10"/>
  <c r="J165" i="10"/>
  <c r="H163" i="10"/>
  <c r="G162" i="10"/>
  <c r="M160" i="10"/>
  <c r="L159" i="10"/>
  <c r="J157" i="10"/>
  <c r="H155" i="10"/>
  <c r="G154" i="10"/>
  <c r="M152" i="10"/>
  <c r="L151" i="10"/>
  <c r="J149" i="10"/>
  <c r="H147" i="10"/>
  <c r="G146" i="10"/>
  <c r="M144" i="10"/>
  <c r="L143" i="10"/>
  <c r="J141" i="10"/>
  <c r="H139" i="10"/>
  <c r="G138" i="10"/>
  <c r="M136" i="10"/>
  <c r="L135" i="10"/>
  <c r="J133" i="10"/>
  <c r="H131" i="10"/>
  <c r="G130" i="10"/>
  <c r="M128" i="10"/>
  <c r="L127" i="10"/>
  <c r="J125" i="10"/>
  <c r="H123" i="10"/>
  <c r="G122" i="10"/>
  <c r="M120" i="10"/>
  <c r="L119" i="10"/>
  <c r="J117" i="10"/>
  <c r="H115" i="10"/>
  <c r="G114" i="10"/>
  <c r="M112" i="10"/>
  <c r="L111" i="10"/>
  <c r="J109" i="10"/>
  <c r="H107" i="10"/>
  <c r="G106" i="10"/>
  <c r="M104" i="10"/>
  <c r="L103" i="10"/>
  <c r="J101" i="10"/>
  <c r="H99" i="10"/>
  <c r="G98" i="10"/>
  <c r="M96" i="10"/>
  <c r="L95" i="10"/>
  <c r="J93" i="10"/>
  <c r="H91" i="10"/>
  <c r="G90" i="10"/>
  <c r="M88" i="10"/>
  <c r="L87" i="10"/>
  <c r="J85" i="10"/>
  <c r="H83" i="10"/>
  <c r="G82" i="10"/>
  <c r="M80" i="10"/>
  <c r="L79" i="10"/>
  <c r="J77" i="10"/>
  <c r="H75" i="10"/>
  <c r="G74" i="10"/>
  <c r="M72" i="10"/>
  <c r="L71" i="10"/>
  <c r="J69" i="10"/>
  <c r="H67" i="10"/>
  <c r="G66" i="10"/>
  <c r="M64" i="10"/>
  <c r="L63" i="10"/>
  <c r="J61" i="10"/>
  <c r="H59" i="10"/>
  <c r="G58" i="10"/>
  <c r="M56" i="10"/>
  <c r="L55" i="10"/>
  <c r="J53" i="10"/>
  <c r="H51" i="10"/>
  <c r="H253" i="10"/>
  <c r="G245" i="10"/>
  <c r="M242" i="10"/>
  <c r="H241" i="10"/>
  <c r="G234" i="10"/>
  <c r="L232" i="10"/>
  <c r="J231" i="10"/>
  <c r="H230" i="10"/>
  <c r="M228" i="10"/>
  <c r="M224" i="10"/>
  <c r="J222" i="10"/>
  <c r="H220" i="10"/>
  <c r="G219" i="10"/>
  <c r="M217" i="10"/>
  <c r="L216" i="10"/>
  <c r="J214" i="10"/>
  <c r="H212" i="10"/>
  <c r="G211" i="10"/>
  <c r="M209" i="10"/>
  <c r="L208" i="10"/>
  <c r="J206" i="10"/>
  <c r="H204" i="10"/>
  <c r="G203" i="10"/>
  <c r="M201" i="10"/>
  <c r="L200" i="10"/>
  <c r="J198" i="10"/>
  <c r="H196" i="10"/>
  <c r="G195" i="10"/>
  <c r="M193" i="10"/>
  <c r="L192" i="10"/>
  <c r="J190" i="10"/>
  <c r="H188" i="10"/>
  <c r="G187" i="10"/>
  <c r="M185" i="10"/>
  <c r="L184" i="10"/>
  <c r="J182" i="10"/>
  <c r="H180" i="10"/>
  <c r="G179" i="10"/>
  <c r="M177" i="10"/>
  <c r="L176" i="10"/>
  <c r="J174" i="10"/>
  <c r="H172" i="10"/>
  <c r="G171" i="10"/>
  <c r="M169" i="10"/>
  <c r="L168" i="10"/>
  <c r="J166" i="10"/>
  <c r="H164" i="10"/>
  <c r="G163" i="10"/>
  <c r="M161" i="10"/>
  <c r="L160" i="10"/>
  <c r="J158" i="10"/>
  <c r="H156" i="10"/>
  <c r="G155" i="10"/>
  <c r="M153" i="10"/>
  <c r="L152" i="10"/>
  <c r="J150" i="10"/>
  <c r="H148" i="10"/>
  <c r="G147" i="10"/>
  <c r="M145" i="10"/>
  <c r="L144" i="10"/>
  <c r="J142" i="10"/>
  <c r="H140" i="10"/>
  <c r="G139" i="10"/>
  <c r="M137" i="10"/>
  <c r="L136" i="10"/>
  <c r="J134" i="10"/>
  <c r="H132" i="10"/>
  <c r="G131" i="10"/>
  <c r="M129" i="10"/>
  <c r="L128" i="10"/>
  <c r="J126" i="10"/>
  <c r="H124" i="10"/>
  <c r="G123" i="10"/>
  <c r="M121" i="10"/>
  <c r="L120" i="10"/>
  <c r="J118" i="10"/>
  <c r="H116" i="10"/>
  <c r="G115" i="10"/>
  <c r="M113" i="10"/>
  <c r="L112" i="10"/>
  <c r="J110" i="10"/>
  <c r="H108" i="10"/>
  <c r="G107" i="10"/>
  <c r="M105" i="10"/>
  <c r="L104" i="10"/>
  <c r="J102" i="10"/>
  <c r="H100" i="10"/>
  <c r="G99" i="10"/>
  <c r="M97" i="10"/>
  <c r="L96" i="10"/>
  <c r="J94" i="10"/>
  <c r="H92" i="10"/>
  <c r="G91" i="10"/>
  <c r="M89" i="10"/>
  <c r="L88" i="10"/>
  <c r="J86" i="10"/>
  <c r="H84" i="10"/>
  <c r="G83" i="10"/>
  <c r="L252" i="10"/>
  <c r="H248" i="10"/>
  <c r="L244" i="10"/>
  <c r="L242" i="10"/>
  <c r="L240" i="10"/>
  <c r="G239" i="10"/>
  <c r="H237" i="10"/>
  <c r="J235" i="10"/>
  <c r="M233" i="10"/>
  <c r="G230" i="10"/>
  <c r="L228" i="10"/>
  <c r="J227" i="10"/>
  <c r="G226" i="10"/>
  <c r="L224" i="10"/>
  <c r="J223" i="10"/>
  <c r="H221" i="10"/>
  <c r="G220" i="10"/>
  <c r="M218" i="10"/>
  <c r="L217" i="10"/>
  <c r="J215" i="10"/>
  <c r="H213" i="10"/>
  <c r="G212" i="10"/>
  <c r="M210" i="10"/>
  <c r="L209" i="10"/>
  <c r="J207" i="10"/>
  <c r="H205" i="10"/>
  <c r="G204" i="10"/>
  <c r="M202" i="10"/>
  <c r="L201" i="10"/>
  <c r="J199" i="10"/>
  <c r="H197" i="10"/>
  <c r="G196" i="10"/>
  <c r="M194" i="10"/>
  <c r="L193" i="10"/>
  <c r="J191" i="10"/>
  <c r="H189" i="10"/>
  <c r="G188" i="10"/>
  <c r="M186" i="10"/>
  <c r="L185" i="10"/>
  <c r="J183" i="10"/>
  <c r="H181" i="10"/>
  <c r="G180" i="10"/>
  <c r="M178" i="10"/>
  <c r="L177" i="10"/>
  <c r="J175" i="10"/>
  <c r="H173" i="10"/>
  <c r="G172" i="10"/>
  <c r="M170" i="10"/>
  <c r="L169" i="10"/>
  <c r="J167" i="10"/>
  <c r="H165" i="10"/>
  <c r="G164" i="10"/>
  <c r="M162" i="10"/>
  <c r="L161" i="10"/>
  <c r="J159" i="10"/>
  <c r="H157" i="10"/>
  <c r="G156" i="10"/>
  <c r="M154" i="10"/>
  <c r="L153" i="10"/>
  <c r="J151" i="10"/>
  <c r="H149" i="10"/>
  <c r="G148" i="10"/>
  <c r="M146" i="10"/>
  <c r="L145" i="10"/>
  <c r="J143" i="10"/>
  <c r="H141" i="10"/>
  <c r="G140" i="10"/>
  <c r="M138" i="10"/>
  <c r="L137" i="10"/>
  <c r="J135" i="10"/>
  <c r="H133" i="10"/>
  <c r="G132" i="10"/>
  <c r="M130" i="10"/>
  <c r="L129" i="10"/>
  <c r="J127" i="10"/>
  <c r="H125" i="10"/>
  <c r="G124" i="10"/>
  <c r="M122" i="10"/>
  <c r="L121" i="10"/>
  <c r="J119" i="10"/>
  <c r="H117" i="10"/>
  <c r="G116" i="10"/>
  <c r="M114" i="10"/>
  <c r="L113" i="10"/>
  <c r="G252" i="10"/>
  <c r="J247" i="10"/>
  <c r="J242" i="10"/>
  <c r="M238" i="10"/>
  <c r="G237" i="10"/>
  <c r="G235" i="10"/>
  <c r="L233" i="10"/>
  <c r="J232" i="10"/>
  <c r="H231" i="10"/>
  <c r="M229" i="10"/>
  <c r="H227" i="10"/>
  <c r="M225" i="10"/>
  <c r="H222" i="10"/>
  <c r="G221" i="10"/>
  <c r="M219" i="10"/>
  <c r="L218" i="10"/>
  <c r="J216" i="10"/>
  <c r="H214" i="10"/>
  <c r="G213" i="10"/>
  <c r="M211" i="10"/>
  <c r="L210" i="10"/>
  <c r="J208" i="10"/>
  <c r="H206" i="10"/>
  <c r="G205" i="10"/>
  <c r="M203" i="10"/>
  <c r="L202" i="10"/>
  <c r="J200" i="10"/>
  <c r="H198" i="10"/>
  <c r="G197" i="10"/>
  <c r="M195" i="10"/>
  <c r="L194" i="10"/>
  <c r="J192" i="10"/>
  <c r="H190" i="10"/>
  <c r="G189" i="10"/>
  <c r="M187" i="10"/>
  <c r="L186" i="10"/>
  <c r="J184" i="10"/>
  <c r="H182" i="10"/>
  <c r="G181" i="10"/>
  <c r="M179" i="10"/>
  <c r="L178" i="10"/>
  <c r="J176" i="10"/>
  <c r="H174" i="10"/>
  <c r="G173" i="10"/>
  <c r="M171" i="10"/>
  <c r="L170" i="10"/>
  <c r="J168" i="10"/>
  <c r="H166" i="10"/>
  <c r="G165" i="10"/>
  <c r="M163" i="10"/>
  <c r="L162" i="10"/>
  <c r="J160" i="10"/>
  <c r="H158" i="10"/>
  <c r="G157" i="10"/>
  <c r="M155" i="10"/>
  <c r="L154" i="10"/>
  <c r="J152" i="10"/>
  <c r="H150" i="10"/>
  <c r="G149" i="10"/>
  <c r="M147" i="10"/>
  <c r="L146" i="10"/>
  <c r="J144" i="10"/>
  <c r="H142" i="10"/>
  <c r="G141" i="10"/>
  <c r="M139" i="10"/>
  <c r="L138" i="10"/>
  <c r="J136" i="10"/>
  <c r="H134" i="10"/>
  <c r="G133" i="10"/>
  <c r="M131" i="10"/>
  <c r="L130" i="10"/>
  <c r="J128" i="10"/>
  <c r="H126" i="10"/>
  <c r="G125" i="10"/>
  <c r="M123" i="10"/>
  <c r="L122" i="10"/>
  <c r="J120" i="10"/>
  <c r="H118" i="10"/>
  <c r="G117" i="10"/>
  <c r="M115" i="10"/>
  <c r="L114" i="10"/>
  <c r="J112" i="10"/>
  <c r="H110" i="10"/>
  <c r="G109" i="10"/>
  <c r="M107" i="10"/>
  <c r="L106" i="10"/>
  <c r="J104" i="10"/>
  <c r="H102" i="10"/>
  <c r="G101" i="10"/>
  <c r="M99" i="10"/>
  <c r="L98" i="10"/>
  <c r="J96" i="10"/>
  <c r="H94" i="10"/>
  <c r="G93" i="10"/>
  <c r="M91" i="10"/>
  <c r="L90" i="10"/>
  <c r="J88" i="10"/>
  <c r="H86" i="10"/>
  <c r="G85" i="10"/>
  <c r="M83" i="10"/>
  <c r="L82" i="10"/>
  <c r="G247" i="10"/>
  <c r="G244" i="10"/>
  <c r="J240" i="10"/>
  <c r="J238" i="10"/>
  <c r="L236" i="10"/>
  <c r="M234" i="10"/>
  <c r="G231" i="10"/>
  <c r="L229" i="10"/>
  <c r="G227" i="10"/>
  <c r="L225" i="10"/>
  <c r="J224" i="10"/>
  <c r="H223" i="10"/>
  <c r="G222" i="10"/>
  <c r="M220" i="10"/>
  <c r="L219" i="10"/>
  <c r="J217" i="10"/>
  <c r="H215" i="10"/>
  <c r="G214" i="10"/>
  <c r="M212" i="10"/>
  <c r="L211" i="10"/>
  <c r="J209" i="10"/>
  <c r="H207" i="10"/>
  <c r="G206" i="10"/>
  <c r="M204" i="10"/>
  <c r="L203" i="10"/>
  <c r="J201" i="10"/>
  <c r="H199" i="10"/>
  <c r="G198" i="10"/>
  <c r="M196" i="10"/>
  <c r="L195" i="10"/>
  <c r="J193" i="10"/>
  <c r="H191" i="10"/>
  <c r="G190" i="10"/>
  <c r="M188" i="10"/>
  <c r="L187" i="10"/>
  <c r="J185" i="10"/>
  <c r="H183" i="10"/>
  <c r="G182" i="10"/>
  <c r="M180" i="10"/>
  <c r="L179" i="10"/>
  <c r="J177" i="10"/>
  <c r="H175" i="10"/>
  <c r="G174" i="10"/>
  <c r="M172" i="10"/>
  <c r="L171" i="10"/>
  <c r="J169" i="10"/>
  <c r="H167" i="10"/>
  <c r="G166" i="10"/>
  <c r="M164" i="10"/>
  <c r="L163" i="10"/>
  <c r="J161" i="10"/>
  <c r="H159" i="10"/>
  <c r="G158" i="10"/>
  <c r="M156" i="10"/>
  <c r="L155" i="10"/>
  <c r="J153" i="10"/>
  <c r="H151" i="10"/>
  <c r="G150" i="10"/>
  <c r="M148" i="10"/>
  <c r="L147" i="10"/>
  <c r="J145" i="10"/>
  <c r="H143" i="10"/>
  <c r="G142" i="10"/>
  <c r="M140" i="10"/>
  <c r="L139" i="10"/>
  <c r="J137" i="10"/>
  <c r="H135" i="10"/>
  <c r="G134" i="10"/>
  <c r="M132" i="10"/>
  <c r="L131" i="10"/>
  <c r="J129" i="10"/>
  <c r="H127" i="10"/>
  <c r="G126" i="10"/>
  <c r="M124" i="10"/>
  <c r="L123" i="10"/>
  <c r="J121" i="10"/>
  <c r="H119" i="10"/>
  <c r="G118" i="10"/>
  <c r="M116" i="10"/>
  <c r="L115" i="10"/>
  <c r="J113" i="10"/>
  <c r="H111" i="10"/>
  <c r="G110" i="10"/>
  <c r="M108" i="10"/>
  <c r="L107" i="10"/>
  <c r="J105" i="10"/>
  <c r="H103" i="10"/>
  <c r="G102" i="10"/>
  <c r="M100" i="10"/>
  <c r="L99" i="10"/>
  <c r="J97" i="10"/>
  <c r="H95" i="10"/>
  <c r="G94" i="10"/>
  <c r="M92" i="10"/>
  <c r="L91" i="10"/>
  <c r="J89" i="10"/>
  <c r="H87" i="10"/>
  <c r="G86" i="10"/>
  <c r="M84" i="10"/>
  <c r="L83" i="10"/>
  <c r="J81" i="10"/>
  <c r="H79" i="10"/>
  <c r="G78" i="10"/>
  <c r="M76" i="10"/>
  <c r="L75" i="10"/>
  <c r="J73" i="10"/>
  <c r="H71" i="10"/>
  <c r="G70" i="10"/>
  <c r="M68" i="10"/>
  <c r="L67" i="10"/>
  <c r="J65" i="10"/>
  <c r="H63" i="10"/>
  <c r="M250" i="10"/>
  <c r="M243" i="10"/>
  <c r="M241" i="10"/>
  <c r="H240" i="10"/>
  <c r="L234" i="10"/>
  <c r="J233" i="10"/>
  <c r="H232" i="10"/>
  <c r="M230" i="10"/>
  <c r="J229" i="10"/>
  <c r="H228" i="10"/>
  <c r="M226" i="10"/>
  <c r="G223" i="10"/>
  <c r="M221" i="10"/>
  <c r="L220" i="10"/>
  <c r="J218" i="10"/>
  <c r="H216" i="10"/>
  <c r="G215" i="10"/>
  <c r="M213" i="10"/>
  <c r="L212" i="10"/>
  <c r="J210" i="10"/>
  <c r="H208" i="10"/>
  <c r="G207" i="10"/>
  <c r="M205" i="10"/>
  <c r="L204" i="10"/>
  <c r="J202" i="10"/>
  <c r="H200" i="10"/>
  <c r="G199" i="10"/>
  <c r="M197" i="10"/>
  <c r="L196" i="10"/>
  <c r="J194" i="10"/>
  <c r="H192" i="10"/>
  <c r="G191" i="10"/>
  <c r="M189" i="10"/>
  <c r="L188" i="10"/>
  <c r="J186" i="10"/>
  <c r="H184" i="10"/>
  <c r="G183" i="10"/>
  <c r="M181" i="10"/>
  <c r="L180" i="10"/>
  <c r="J178" i="10"/>
  <c r="H176" i="10"/>
  <c r="G175" i="10"/>
  <c r="M173" i="10"/>
  <c r="L172" i="10"/>
  <c r="J170" i="10"/>
  <c r="H168" i="10"/>
  <c r="G167" i="10"/>
  <c r="M165" i="10"/>
  <c r="L164" i="10"/>
  <c r="J162" i="10"/>
  <c r="H160" i="10"/>
  <c r="G159" i="10"/>
  <c r="M157" i="10"/>
  <c r="L156" i="10"/>
  <c r="J154" i="10"/>
  <c r="H152" i="10"/>
  <c r="G151" i="10"/>
  <c r="M149" i="10"/>
  <c r="L148" i="10"/>
  <c r="J146" i="10"/>
  <c r="H144" i="10"/>
  <c r="G143" i="10"/>
  <c r="M141" i="10"/>
  <c r="L140" i="10"/>
  <c r="J138" i="10"/>
  <c r="H136" i="10"/>
  <c r="G135" i="10"/>
  <c r="M133" i="10"/>
  <c r="L132" i="10"/>
  <c r="J130" i="10"/>
  <c r="H128" i="10"/>
  <c r="G127" i="10"/>
  <c r="M125" i="10"/>
  <c r="L124" i="10"/>
  <c r="J122" i="10"/>
  <c r="H120" i="10"/>
  <c r="G119" i="10"/>
  <c r="M117" i="10"/>
  <c r="L116" i="10"/>
  <c r="J114" i="10"/>
  <c r="H112" i="10"/>
  <c r="G111" i="10"/>
  <c r="M109" i="10"/>
  <c r="L108" i="10"/>
  <c r="J106" i="10"/>
  <c r="H104" i="10"/>
  <c r="G103" i="10"/>
  <c r="M101" i="10"/>
  <c r="L100" i="10"/>
  <c r="J98" i="10"/>
  <c r="H96" i="10"/>
  <c r="G95" i="10"/>
  <c r="M93" i="10"/>
  <c r="L92" i="10"/>
  <c r="J90" i="10"/>
  <c r="H88" i="10"/>
  <c r="G87" i="10"/>
  <c r="M85" i="10"/>
  <c r="L84" i="10"/>
  <c r="J250" i="10"/>
  <c r="H246" i="10"/>
  <c r="L241" i="10"/>
  <c r="G240" i="10"/>
  <c r="H238" i="10"/>
  <c r="H236" i="10"/>
  <c r="G232" i="10"/>
  <c r="G228" i="10"/>
  <c r="L226" i="10"/>
  <c r="J225" i="10"/>
  <c r="H224" i="10"/>
  <c r="M222" i="10"/>
  <c r="L221" i="10"/>
  <c r="J219" i="10"/>
  <c r="H217" i="10"/>
  <c r="G216" i="10"/>
  <c r="M214" i="10"/>
  <c r="L213" i="10"/>
  <c r="J211" i="10"/>
  <c r="H209" i="10"/>
  <c r="G208" i="10"/>
  <c r="M206" i="10"/>
  <c r="L205" i="10"/>
  <c r="J203" i="10"/>
  <c r="H201" i="10"/>
  <c r="G200" i="10"/>
  <c r="M198" i="10"/>
  <c r="L197" i="10"/>
  <c r="J195" i="10"/>
  <c r="H193" i="10"/>
  <c r="G192" i="10"/>
  <c r="M190" i="10"/>
  <c r="L189" i="10"/>
  <c r="J187" i="10"/>
  <c r="H185" i="10"/>
  <c r="G184" i="10"/>
  <c r="M182" i="10"/>
  <c r="L181" i="10"/>
  <c r="J179" i="10"/>
  <c r="H177" i="10"/>
  <c r="G176" i="10"/>
  <c r="M174" i="10"/>
  <c r="L173" i="10"/>
  <c r="J171" i="10"/>
  <c r="H169" i="10"/>
  <c r="G168" i="10"/>
  <c r="M166" i="10"/>
  <c r="L165" i="10"/>
  <c r="J163" i="10"/>
  <c r="H161" i="10"/>
  <c r="G160" i="10"/>
  <c r="M158" i="10"/>
  <c r="L157" i="10"/>
  <c r="J155" i="10"/>
  <c r="H153" i="10"/>
  <c r="G152" i="10"/>
  <c r="M150" i="10"/>
  <c r="L149" i="10"/>
  <c r="J147" i="10"/>
  <c r="H145" i="10"/>
  <c r="G144" i="10"/>
  <c r="M142" i="10"/>
  <c r="L141" i="10"/>
  <c r="J139" i="10"/>
  <c r="H137" i="10"/>
  <c r="G136" i="10"/>
  <c r="M134" i="10"/>
  <c r="L133" i="10"/>
  <c r="J131" i="10"/>
  <c r="H129" i="10"/>
  <c r="G128" i="10"/>
  <c r="M126" i="10"/>
  <c r="L125" i="10"/>
  <c r="J123" i="10"/>
  <c r="H121" i="10"/>
  <c r="G120" i="10"/>
  <c r="M118" i="10"/>
  <c r="L117" i="10"/>
  <c r="J115" i="10"/>
  <c r="H113" i="10"/>
  <c r="G112" i="10"/>
  <c r="M110" i="10"/>
  <c r="L109" i="10"/>
  <c r="J107" i="10"/>
  <c r="H105" i="10"/>
  <c r="G104" i="10"/>
  <c r="M102" i="10"/>
  <c r="L101" i="10"/>
  <c r="J99" i="10"/>
  <c r="H97" i="10"/>
  <c r="G96" i="10"/>
  <c r="M94" i="10"/>
  <c r="L93" i="10"/>
  <c r="J91" i="10"/>
  <c r="H89" i="10"/>
  <c r="G88" i="10"/>
  <c r="L249" i="10"/>
  <c r="M245" i="10"/>
  <c r="J243" i="10"/>
  <c r="M237" i="10"/>
  <c r="G236" i="10"/>
  <c r="J234" i="10"/>
  <c r="H233" i="10"/>
  <c r="L231" i="10"/>
  <c r="J230" i="10"/>
  <c r="H229" i="10"/>
  <c r="M227" i="10"/>
  <c r="G224" i="10"/>
  <c r="L222" i="10"/>
  <c r="J220" i="10"/>
  <c r="H218" i="10"/>
  <c r="G217" i="10"/>
  <c r="M215" i="10"/>
  <c r="L214" i="10"/>
  <c r="J212" i="10"/>
  <c r="H210" i="10"/>
  <c r="G209" i="10"/>
  <c r="M207" i="10"/>
  <c r="L206" i="10"/>
  <c r="J204" i="10"/>
  <c r="H202" i="10"/>
  <c r="G201" i="10"/>
  <c r="M199" i="10"/>
  <c r="L198" i="10"/>
  <c r="J196" i="10"/>
  <c r="H194" i="10"/>
  <c r="G193" i="10"/>
  <c r="M191" i="10"/>
  <c r="L190" i="10"/>
  <c r="J188" i="10"/>
  <c r="H186" i="10"/>
  <c r="G185" i="10"/>
  <c r="M183" i="10"/>
  <c r="L182" i="10"/>
  <c r="J180" i="10"/>
  <c r="H178" i="10"/>
  <c r="G177" i="10"/>
  <c r="M175" i="10"/>
  <c r="L174" i="10"/>
  <c r="J172" i="10"/>
  <c r="H170" i="10"/>
  <c r="G169" i="10"/>
  <c r="M167" i="10"/>
  <c r="L166" i="10"/>
  <c r="J164" i="10"/>
  <c r="H162" i="10"/>
  <c r="G161" i="10"/>
  <c r="M159" i="10"/>
  <c r="L158" i="10"/>
  <c r="J156" i="10"/>
  <c r="H154" i="10"/>
  <c r="G153" i="10"/>
  <c r="M151" i="10"/>
  <c r="L150" i="10"/>
  <c r="J148" i="10"/>
  <c r="H146" i="10"/>
  <c r="G145" i="10"/>
  <c r="M143" i="10"/>
  <c r="L142" i="10"/>
  <c r="J140" i="10"/>
  <c r="H138" i="10"/>
  <c r="G137" i="10"/>
  <c r="M135" i="10"/>
  <c r="L134" i="10"/>
  <c r="J132" i="10"/>
  <c r="H130" i="10"/>
  <c r="G129" i="10"/>
  <c r="M127" i="10"/>
  <c r="L126" i="10"/>
  <c r="J124" i="10"/>
  <c r="H122" i="10"/>
  <c r="G121" i="10"/>
  <c r="M119" i="10"/>
  <c r="L118" i="10"/>
  <c r="J116" i="10"/>
  <c r="H114" i="10"/>
  <c r="G113" i="10"/>
  <c r="M111" i="10"/>
  <c r="L110" i="10"/>
  <c r="J108" i="10"/>
  <c r="H106" i="10"/>
  <c r="G105" i="10"/>
  <c r="M103" i="10"/>
  <c r="L102" i="10"/>
  <c r="J100" i="10"/>
  <c r="H98" i="10"/>
  <c r="G97" i="10"/>
  <c r="M95" i="10"/>
  <c r="L94" i="10"/>
  <c r="J92" i="10"/>
  <c r="H90" i="10"/>
  <c r="G89" i="10"/>
  <c r="M87" i="10"/>
  <c r="L86" i="10"/>
  <c r="J84" i="10"/>
  <c r="J103" i="10"/>
  <c r="J82" i="10"/>
  <c r="L80" i="10"/>
  <c r="L77" i="10"/>
  <c r="H76" i="10"/>
  <c r="L74" i="10"/>
  <c r="H73" i="10"/>
  <c r="H70" i="10"/>
  <c r="G67" i="10"/>
  <c r="G64" i="10"/>
  <c r="J62" i="10"/>
  <c r="H61" i="10"/>
  <c r="M59" i="10"/>
  <c r="G56" i="10"/>
  <c r="L54" i="10"/>
  <c r="G52" i="10"/>
  <c r="L50" i="10"/>
  <c r="J48" i="10"/>
  <c r="H46" i="10"/>
  <c r="G45" i="10"/>
  <c r="M43" i="10"/>
  <c r="L42" i="10"/>
  <c r="J40" i="10"/>
  <c r="H38" i="10"/>
  <c r="G37" i="10"/>
  <c r="M35" i="10"/>
  <c r="L34" i="10"/>
  <c r="J32" i="10"/>
  <c r="H30" i="10"/>
  <c r="G29" i="10"/>
  <c r="M27" i="10"/>
  <c r="L26" i="10"/>
  <c r="J24" i="10"/>
  <c r="H22" i="10"/>
  <c r="G21" i="10"/>
  <c r="M19" i="10"/>
  <c r="L18" i="10"/>
  <c r="J16" i="10"/>
  <c r="H14" i="10"/>
  <c r="G13" i="10"/>
  <c r="M11" i="10"/>
  <c r="L10" i="10"/>
  <c r="J8" i="10"/>
  <c r="H6" i="10"/>
  <c r="G5" i="10"/>
  <c r="M3" i="10"/>
  <c r="L2" i="10"/>
  <c r="W152" i="1"/>
  <c r="I150" i="1"/>
  <c r="G149" i="1"/>
  <c r="W147" i="1"/>
  <c r="I145" i="1"/>
  <c r="W143" i="1"/>
  <c r="G140" i="1"/>
  <c r="W138" i="1"/>
  <c r="I135" i="1"/>
  <c r="G134" i="1"/>
  <c r="U132" i="1"/>
  <c r="I130" i="1"/>
  <c r="W128" i="1"/>
  <c r="I126" i="1"/>
  <c r="W124" i="1"/>
  <c r="I122" i="1"/>
  <c r="G121" i="1"/>
  <c r="W119" i="1"/>
  <c r="G116" i="1"/>
  <c r="U114" i="1"/>
  <c r="I112" i="1"/>
  <c r="U109" i="1"/>
  <c r="G107" i="1"/>
  <c r="W105" i="1"/>
  <c r="G102" i="1"/>
  <c r="W100" i="1"/>
  <c r="U99" i="1"/>
  <c r="I97" i="1"/>
  <c r="W95" i="1"/>
  <c r="U94" i="1"/>
  <c r="I92" i="1"/>
  <c r="G91" i="1"/>
  <c r="W89" i="1"/>
  <c r="G86" i="1"/>
  <c r="W84" i="1"/>
  <c r="G81" i="1"/>
  <c r="W79" i="1"/>
  <c r="U78" i="1"/>
  <c r="I76" i="1"/>
  <c r="G75" i="1"/>
  <c r="W73" i="1"/>
  <c r="I70" i="1"/>
  <c r="W67" i="1"/>
  <c r="I64" i="1"/>
  <c r="W61" i="1"/>
  <c r="G58" i="1"/>
  <c r="W56" i="1"/>
  <c r="U55" i="1"/>
  <c r="I53" i="1"/>
  <c r="U50" i="1"/>
  <c r="I48" i="1"/>
  <c r="G47" i="1"/>
  <c r="W45" i="1"/>
  <c r="U44" i="1"/>
  <c r="I42" i="1"/>
  <c r="U39" i="1"/>
  <c r="I37" i="1"/>
  <c r="G36" i="1"/>
  <c r="W34" i="1"/>
  <c r="U33" i="1"/>
  <c r="I31" i="1"/>
  <c r="G30" i="1"/>
  <c r="W28" i="1"/>
  <c r="G25" i="1"/>
  <c r="W23" i="1"/>
  <c r="U22" i="1"/>
  <c r="I20" i="1"/>
  <c r="W17" i="1"/>
  <c r="I14" i="1"/>
  <c r="W11" i="1"/>
  <c r="I7" i="1"/>
  <c r="I6" i="1"/>
  <c r="I5" i="1"/>
  <c r="G4" i="1"/>
  <c r="G3" i="1"/>
  <c r="G2" i="1"/>
  <c r="U11" i="1"/>
  <c r="I9" i="1"/>
  <c r="I8" i="1"/>
  <c r="G6" i="1"/>
  <c r="G5" i="1"/>
  <c r="C2" i="1"/>
  <c r="U115" i="1"/>
  <c r="I93" i="1"/>
  <c r="G87" i="1"/>
  <c r="U74" i="1"/>
  <c r="W69" i="1"/>
  <c r="G15" i="1"/>
  <c r="J111" i="10"/>
  <c r="H93" i="10"/>
  <c r="L85" i="10"/>
  <c r="G79" i="10"/>
  <c r="G76" i="10"/>
  <c r="J74" i="10"/>
  <c r="G73" i="10"/>
  <c r="J71" i="10"/>
  <c r="M69" i="10"/>
  <c r="J68" i="10"/>
  <c r="M66" i="10"/>
  <c r="M63" i="10"/>
  <c r="G61" i="10"/>
  <c r="L59" i="10"/>
  <c r="J58" i="10"/>
  <c r="H57" i="10"/>
  <c r="M55" i="10"/>
  <c r="J54" i="10"/>
  <c r="H53" i="10"/>
  <c r="M51" i="10"/>
  <c r="J49" i="10"/>
  <c r="H47" i="10"/>
  <c r="G46" i="10"/>
  <c r="M44" i="10"/>
  <c r="L43" i="10"/>
  <c r="J41" i="10"/>
  <c r="H39" i="10"/>
  <c r="G38" i="10"/>
  <c r="M36" i="10"/>
  <c r="L35" i="10"/>
  <c r="J33" i="10"/>
  <c r="H31" i="10"/>
  <c r="G30" i="10"/>
  <c r="M28" i="10"/>
  <c r="L27" i="10"/>
  <c r="J25" i="10"/>
  <c r="H23" i="10"/>
  <c r="G22" i="10"/>
  <c r="M20" i="10"/>
  <c r="L19" i="10"/>
  <c r="J17" i="10"/>
  <c r="H15" i="10"/>
  <c r="G14" i="10"/>
  <c r="M12" i="10"/>
  <c r="L11" i="10"/>
  <c r="J9" i="10"/>
  <c r="H7" i="10"/>
  <c r="G6" i="10"/>
  <c r="M4" i="10"/>
  <c r="L3" i="10"/>
  <c r="U152" i="1"/>
  <c r="G150" i="1"/>
  <c r="U147" i="1"/>
  <c r="G145" i="1"/>
  <c r="U143" i="1"/>
  <c r="I141" i="1"/>
  <c r="U138" i="1"/>
  <c r="I136" i="1"/>
  <c r="G135" i="1"/>
  <c r="W133" i="1"/>
  <c r="I131" i="1"/>
  <c r="G130" i="1"/>
  <c r="U128" i="1"/>
  <c r="G126" i="1"/>
  <c r="U124" i="1"/>
  <c r="G122" i="1"/>
  <c r="W120" i="1"/>
  <c r="U119" i="1"/>
  <c r="I117" i="1"/>
  <c r="W115" i="1"/>
  <c r="I113" i="1"/>
  <c r="G112" i="1"/>
  <c r="W110" i="1"/>
  <c r="I108" i="1"/>
  <c r="W106" i="1"/>
  <c r="U105" i="1"/>
  <c r="I103" i="1"/>
  <c r="U100" i="1"/>
  <c r="I98" i="1"/>
  <c r="G97" i="1"/>
  <c r="U95" i="1"/>
  <c r="G92" i="1"/>
  <c r="W90" i="1"/>
  <c r="U89" i="1"/>
  <c r="I87" i="1"/>
  <c r="U84" i="1"/>
  <c r="I82" i="1"/>
  <c r="U79" i="1"/>
  <c r="I77" i="1"/>
  <c r="G76" i="1"/>
  <c r="W74" i="1"/>
  <c r="U73" i="1"/>
  <c r="I71" i="1"/>
  <c r="G70" i="1"/>
  <c r="W68" i="1"/>
  <c r="U67" i="1"/>
  <c r="I65" i="1"/>
  <c r="G64" i="1"/>
  <c r="W62" i="1"/>
  <c r="U61" i="1"/>
  <c r="I59" i="1"/>
  <c r="U56" i="1"/>
  <c r="I54" i="1"/>
  <c r="G53" i="1"/>
  <c r="W51" i="1"/>
  <c r="G48" i="1"/>
  <c r="W46" i="1"/>
  <c r="U45" i="1"/>
  <c r="I43" i="1"/>
  <c r="G42" i="1"/>
  <c r="W40" i="1"/>
  <c r="G37" i="1"/>
  <c r="W35" i="1"/>
  <c r="U34" i="1"/>
  <c r="I32" i="1"/>
  <c r="G31" i="1"/>
  <c r="W29" i="1"/>
  <c r="U28" i="1"/>
  <c r="I26" i="1"/>
  <c r="U23" i="1"/>
  <c r="I21" i="1"/>
  <c r="G20" i="1"/>
  <c r="W18" i="1"/>
  <c r="U17" i="1"/>
  <c r="I15" i="1"/>
  <c r="G14" i="1"/>
  <c r="W12" i="1"/>
  <c r="G7" i="1"/>
  <c r="W148" i="1"/>
  <c r="W139" i="1"/>
  <c r="I137" i="1"/>
  <c r="G136" i="1"/>
  <c r="U133" i="1"/>
  <c r="W129" i="1"/>
  <c r="I127" i="1"/>
  <c r="I123" i="1"/>
  <c r="U110" i="1"/>
  <c r="I104" i="1"/>
  <c r="G98" i="1"/>
  <c r="G82" i="1"/>
  <c r="G59" i="1"/>
  <c r="U51" i="1"/>
  <c r="U40" i="1"/>
  <c r="I38" i="1"/>
  <c r="U35" i="1"/>
  <c r="W24" i="1"/>
  <c r="U18" i="1"/>
  <c r="I16" i="1"/>
  <c r="H101" i="10"/>
  <c r="G92" i="10"/>
  <c r="H85" i="10"/>
  <c r="H82" i="10"/>
  <c r="J80" i="10"/>
  <c r="M78" i="10"/>
  <c r="M75" i="10"/>
  <c r="L72" i="10"/>
  <c r="L69" i="10"/>
  <c r="H68" i="10"/>
  <c r="L66" i="10"/>
  <c r="H65" i="10"/>
  <c r="H62" i="10"/>
  <c r="M60" i="10"/>
  <c r="G57" i="10"/>
  <c r="G53" i="10"/>
  <c r="L51" i="10"/>
  <c r="J50" i="10"/>
  <c r="H48" i="10"/>
  <c r="G47" i="10"/>
  <c r="M45" i="10"/>
  <c r="L44" i="10"/>
  <c r="J42" i="10"/>
  <c r="H40" i="10"/>
  <c r="G39" i="10"/>
  <c r="M37" i="10"/>
  <c r="L36" i="10"/>
  <c r="J34" i="10"/>
  <c r="H32" i="10"/>
  <c r="G31" i="10"/>
  <c r="M29" i="10"/>
  <c r="L28" i="10"/>
  <c r="J26" i="10"/>
  <c r="H24" i="10"/>
  <c r="G23" i="10"/>
  <c r="M21" i="10"/>
  <c r="L20" i="10"/>
  <c r="J18" i="10"/>
  <c r="H16" i="10"/>
  <c r="G15" i="10"/>
  <c r="M13" i="10"/>
  <c r="L12" i="10"/>
  <c r="J10" i="10"/>
  <c r="H8" i="10"/>
  <c r="G7" i="10"/>
  <c r="M5" i="10"/>
  <c r="L4" i="10"/>
  <c r="J2" i="10"/>
  <c r="I151" i="1"/>
  <c r="H109" i="10"/>
  <c r="G100" i="10"/>
  <c r="M90" i="10"/>
  <c r="M81" i="10"/>
  <c r="H80" i="10"/>
  <c r="L78" i="10"/>
  <c r="H77" i="10"/>
  <c r="H74" i="10"/>
  <c r="G71" i="10"/>
  <c r="G68" i="10"/>
  <c r="J66" i="10"/>
  <c r="G65" i="10"/>
  <c r="J63" i="10"/>
  <c r="G62" i="10"/>
  <c r="L60" i="10"/>
  <c r="J59" i="10"/>
  <c r="H58" i="10"/>
  <c r="L56" i="10"/>
  <c r="J55" i="10"/>
  <c r="H54" i="10"/>
  <c r="M52" i="10"/>
  <c r="H49" i="10"/>
  <c r="G48" i="10"/>
  <c r="M46" i="10"/>
  <c r="L45" i="10"/>
  <c r="J43" i="10"/>
  <c r="H41" i="10"/>
  <c r="G40" i="10"/>
  <c r="M38" i="10"/>
  <c r="L37" i="10"/>
  <c r="J35" i="10"/>
  <c r="H33" i="10"/>
  <c r="G32" i="10"/>
  <c r="M30" i="10"/>
  <c r="L29" i="10"/>
  <c r="J27" i="10"/>
  <c r="H25" i="10"/>
  <c r="G24" i="10"/>
  <c r="M22" i="10"/>
  <c r="L21" i="10"/>
  <c r="J19" i="10"/>
  <c r="H17" i="10"/>
  <c r="G16" i="10"/>
  <c r="M14" i="10"/>
  <c r="L13" i="10"/>
  <c r="J11" i="10"/>
  <c r="H9" i="10"/>
  <c r="G8" i="10"/>
  <c r="M6" i="10"/>
  <c r="L5" i="10"/>
  <c r="J3" i="10"/>
  <c r="G151" i="1"/>
  <c r="W149" i="1"/>
  <c r="U148" i="1"/>
  <c r="G146" i="1"/>
  <c r="U144" i="1"/>
  <c r="G142" i="1"/>
  <c r="W140" i="1"/>
  <c r="U139" i="1"/>
  <c r="G137" i="1"/>
  <c r="W134" i="1"/>
  <c r="I132" i="1"/>
  <c r="U129" i="1"/>
  <c r="G127" i="1"/>
  <c r="U125" i="1"/>
  <c r="G123" i="1"/>
  <c r="W121" i="1"/>
  <c r="G118" i="1"/>
  <c r="W116" i="1"/>
  <c r="I114" i="1"/>
  <c r="U111" i="1"/>
  <c r="I109" i="1"/>
  <c r="W107" i="1"/>
  <c r="G104" i="1"/>
  <c r="W102" i="1"/>
  <c r="U101" i="1"/>
  <c r="I99" i="1"/>
  <c r="U96" i="1"/>
  <c r="I94" i="1"/>
  <c r="G93" i="1"/>
  <c r="W91" i="1"/>
  <c r="G88" i="1"/>
  <c r="W86" i="1"/>
  <c r="U85" i="1"/>
  <c r="G83" i="1"/>
  <c r="W81" i="1"/>
  <c r="U80" i="1"/>
  <c r="I78" i="1"/>
  <c r="W75" i="1"/>
  <c r="G72" i="1"/>
  <c r="U69" i="1"/>
  <c r="G66" i="1"/>
  <c r="U63" i="1"/>
  <c r="G60" i="1"/>
  <c r="W58" i="1"/>
  <c r="U57" i="1"/>
  <c r="I55" i="1"/>
  <c r="U52" i="1"/>
  <c r="I50" i="1"/>
  <c r="G49" i="1"/>
  <c r="W47" i="1"/>
  <c r="I44" i="1"/>
  <c r="U41" i="1"/>
  <c r="I39" i="1"/>
  <c r="G38" i="1"/>
  <c r="W36" i="1"/>
  <c r="I33" i="1"/>
  <c r="W30" i="1"/>
  <c r="G27" i="1"/>
  <c r="W25" i="1"/>
  <c r="U24" i="1"/>
  <c r="I22" i="1"/>
  <c r="U19" i="1"/>
  <c r="G16" i="1"/>
  <c r="U13" i="1"/>
  <c r="G10" i="1"/>
  <c r="C8" i="1"/>
  <c r="C7" i="1"/>
  <c r="C6" i="1"/>
  <c r="W4" i="1"/>
  <c r="W3" i="1"/>
  <c r="W2" i="1"/>
  <c r="G131" i="1"/>
  <c r="G117" i="1"/>
  <c r="W111" i="1"/>
  <c r="G108" i="1"/>
  <c r="G103" i="1"/>
  <c r="U90" i="1"/>
  <c r="W80" i="1"/>
  <c r="U62" i="1"/>
  <c r="U46" i="1"/>
  <c r="G43" i="1"/>
  <c r="I27" i="1"/>
  <c r="W19" i="1"/>
  <c r="U12" i="1"/>
  <c r="G8" i="1"/>
  <c r="C4" i="1"/>
  <c r="G108" i="10"/>
  <c r="M98" i="10"/>
  <c r="L89" i="10"/>
  <c r="G84" i="10"/>
  <c r="L81" i="10"/>
  <c r="G80" i="10"/>
  <c r="J78" i="10"/>
  <c r="G77" i="10"/>
  <c r="J75" i="10"/>
  <c r="M73" i="10"/>
  <c r="J72" i="10"/>
  <c r="M70" i="10"/>
  <c r="M67" i="10"/>
  <c r="L64" i="10"/>
  <c r="M61" i="10"/>
  <c r="M57" i="10"/>
  <c r="G54" i="10"/>
  <c r="L52" i="10"/>
  <c r="J51" i="10"/>
  <c r="H50" i="10"/>
  <c r="G49" i="10"/>
  <c r="M47" i="10"/>
  <c r="L46" i="10"/>
  <c r="J44" i="10"/>
  <c r="H42" i="10"/>
  <c r="G41" i="10"/>
  <c r="M39" i="10"/>
  <c r="L38" i="10"/>
  <c r="J36" i="10"/>
  <c r="H34" i="10"/>
  <c r="G33" i="10"/>
  <c r="M31" i="10"/>
  <c r="L30" i="10"/>
  <c r="J28" i="10"/>
  <c r="H26" i="10"/>
  <c r="G25" i="10"/>
  <c r="M23" i="10"/>
  <c r="L22" i="10"/>
  <c r="J20" i="10"/>
  <c r="H18" i="10"/>
  <c r="G17" i="10"/>
  <c r="M15" i="10"/>
  <c r="L14" i="10"/>
  <c r="J12" i="10"/>
  <c r="H10" i="10"/>
  <c r="G9" i="10"/>
  <c r="M7" i="10"/>
  <c r="L6" i="10"/>
  <c r="J4" i="10"/>
  <c r="H2" i="10"/>
  <c r="I152" i="1"/>
  <c r="W150" i="1"/>
  <c r="U149" i="1"/>
  <c r="I147" i="1"/>
  <c r="W145" i="1"/>
  <c r="I143" i="1"/>
  <c r="U140" i="1"/>
  <c r="I138" i="1"/>
  <c r="W135" i="1"/>
  <c r="U134" i="1"/>
  <c r="G132" i="1"/>
  <c r="W130" i="1"/>
  <c r="I128" i="1"/>
  <c r="W126" i="1"/>
  <c r="I124" i="1"/>
  <c r="W122" i="1"/>
  <c r="U121" i="1"/>
  <c r="I119" i="1"/>
  <c r="U116" i="1"/>
  <c r="G114" i="1"/>
  <c r="W112" i="1"/>
  <c r="G109" i="1"/>
  <c r="U107" i="1"/>
  <c r="I105" i="1"/>
  <c r="U102" i="1"/>
  <c r="I100" i="1"/>
  <c r="G99" i="1"/>
  <c r="W97" i="1"/>
  <c r="I95" i="1"/>
  <c r="G94" i="1"/>
  <c r="W92" i="1"/>
  <c r="U91" i="1"/>
  <c r="I89" i="1"/>
  <c r="U86" i="1"/>
  <c r="I84" i="1"/>
  <c r="U81" i="1"/>
  <c r="I79" i="1"/>
  <c r="G78" i="1"/>
  <c r="W76" i="1"/>
  <c r="U75" i="1"/>
  <c r="I73" i="1"/>
  <c r="W70" i="1"/>
  <c r="I67" i="1"/>
  <c r="W64" i="1"/>
  <c r="I61" i="1"/>
  <c r="U58" i="1"/>
  <c r="I56" i="1"/>
  <c r="G55" i="1"/>
  <c r="W53" i="1"/>
  <c r="G50" i="1"/>
  <c r="W48" i="1"/>
  <c r="U47" i="1"/>
  <c r="I45" i="1"/>
  <c r="G44" i="1"/>
  <c r="W42" i="1"/>
  <c r="G39" i="1"/>
  <c r="W37" i="1"/>
  <c r="U36" i="1"/>
  <c r="I34" i="1"/>
  <c r="G33" i="1"/>
  <c r="W31" i="1"/>
  <c r="U30" i="1"/>
  <c r="I28" i="1"/>
  <c r="U25" i="1"/>
  <c r="I23" i="1"/>
  <c r="G22" i="1"/>
  <c r="W20" i="1"/>
  <c r="I17" i="1"/>
  <c r="W14" i="1"/>
  <c r="I11" i="1"/>
  <c r="C9" i="1"/>
  <c r="W7" i="1"/>
  <c r="W6" i="1"/>
  <c r="W5" i="1"/>
  <c r="U4" i="1"/>
  <c r="U3" i="1"/>
  <c r="U2" i="1"/>
  <c r="U20" i="1"/>
  <c r="I18" i="1"/>
  <c r="W15" i="1"/>
  <c r="U14" i="1"/>
  <c r="I12" i="1"/>
  <c r="G11" i="1"/>
  <c r="W9" i="1"/>
  <c r="W8" i="1"/>
  <c r="U6" i="1"/>
  <c r="U5" i="1"/>
  <c r="I3" i="1"/>
  <c r="I142" i="1"/>
  <c r="I118" i="1"/>
  <c r="W96" i="1"/>
  <c r="I88" i="1"/>
  <c r="I83" i="1"/>
  <c r="G77" i="1"/>
  <c r="I72" i="1"/>
  <c r="I66" i="1"/>
  <c r="I60" i="1"/>
  <c r="W57" i="1"/>
  <c r="M106" i="10"/>
  <c r="L97" i="10"/>
  <c r="M79" i="10"/>
  <c r="L76" i="10"/>
  <c r="L73" i="10"/>
  <c r="H72" i="10"/>
  <c r="L70" i="10"/>
  <c r="H69" i="10"/>
  <c r="H66" i="10"/>
  <c r="G63" i="10"/>
  <c r="L61" i="10"/>
  <c r="J60" i="10"/>
  <c r="G59" i="10"/>
  <c r="L57" i="10"/>
  <c r="J56" i="10"/>
  <c r="H55" i="10"/>
  <c r="M53" i="10"/>
  <c r="G50" i="10"/>
  <c r="M48" i="10"/>
  <c r="L47" i="10"/>
  <c r="J45" i="10"/>
  <c r="H43" i="10"/>
  <c r="G42" i="10"/>
  <c r="M40" i="10"/>
  <c r="L39" i="10"/>
  <c r="J37" i="10"/>
  <c r="H35" i="10"/>
  <c r="G34" i="10"/>
  <c r="M32" i="10"/>
  <c r="L31" i="10"/>
  <c r="J29" i="10"/>
  <c r="H27" i="10"/>
  <c r="G26" i="10"/>
  <c r="M24" i="10"/>
  <c r="L23" i="10"/>
  <c r="J21" i="10"/>
  <c r="H19" i="10"/>
  <c r="G18" i="10"/>
  <c r="M16" i="10"/>
  <c r="L15" i="10"/>
  <c r="J13" i="10"/>
  <c r="H11" i="10"/>
  <c r="G10" i="10"/>
  <c r="M8" i="10"/>
  <c r="L7" i="10"/>
  <c r="J5" i="10"/>
  <c r="H3" i="10"/>
  <c r="G2" i="10"/>
  <c r="G152" i="1"/>
  <c r="U150" i="1"/>
  <c r="G147" i="1"/>
  <c r="U145" i="1"/>
  <c r="G143" i="1"/>
  <c r="W141" i="1"/>
  <c r="G138" i="1"/>
  <c r="W136" i="1"/>
  <c r="U135" i="1"/>
  <c r="I133" i="1"/>
  <c r="W131" i="1"/>
  <c r="U130" i="1"/>
  <c r="G128" i="1"/>
  <c r="U126" i="1"/>
  <c r="G124" i="1"/>
  <c r="U122" i="1"/>
  <c r="I120" i="1"/>
  <c r="G119" i="1"/>
  <c r="W117" i="1"/>
  <c r="I115" i="1"/>
  <c r="W113" i="1"/>
  <c r="U112" i="1"/>
  <c r="I110" i="1"/>
  <c r="W108" i="1"/>
  <c r="I106" i="1"/>
  <c r="G105" i="1"/>
  <c r="W103" i="1"/>
  <c r="G100" i="1"/>
  <c r="W98" i="1"/>
  <c r="U97" i="1"/>
  <c r="G95" i="1"/>
  <c r="U92" i="1"/>
  <c r="I90" i="1"/>
  <c r="G89" i="1"/>
  <c r="W87" i="1"/>
  <c r="G84" i="1"/>
  <c r="W82" i="1"/>
  <c r="G79" i="1"/>
  <c r="W77" i="1"/>
  <c r="U76" i="1"/>
  <c r="I74" i="1"/>
  <c r="G73" i="1"/>
  <c r="W71" i="1"/>
  <c r="U70" i="1"/>
  <c r="I68" i="1"/>
  <c r="G67" i="1"/>
  <c r="W65" i="1"/>
  <c r="U64" i="1"/>
  <c r="I62" i="1"/>
  <c r="G61" i="1"/>
  <c r="W59" i="1"/>
  <c r="G56" i="1"/>
  <c r="W54" i="1"/>
  <c r="U53" i="1"/>
  <c r="I51" i="1"/>
  <c r="U48" i="1"/>
  <c r="I46" i="1"/>
  <c r="G45" i="1"/>
  <c r="W43" i="1"/>
  <c r="U42" i="1"/>
  <c r="I40" i="1"/>
  <c r="U37" i="1"/>
  <c r="I35" i="1"/>
  <c r="G34" i="1"/>
  <c r="W32" i="1"/>
  <c r="U31" i="1"/>
  <c r="I29" i="1"/>
  <c r="G28" i="1"/>
  <c r="W26" i="1"/>
  <c r="G23" i="1"/>
  <c r="W21" i="1"/>
  <c r="G17" i="1"/>
  <c r="U7" i="1"/>
  <c r="I4" i="1"/>
  <c r="I146" i="1"/>
  <c r="U68" i="1"/>
  <c r="W52" i="1"/>
  <c r="W41" i="1"/>
  <c r="I10" i="1"/>
  <c r="L105" i="10"/>
  <c r="J87" i="10"/>
  <c r="J83" i="10"/>
  <c r="H81" i="10"/>
  <c r="H78" i="10"/>
  <c r="G75" i="10"/>
  <c r="G72" i="10"/>
  <c r="J70" i="10"/>
  <c r="G69" i="10"/>
  <c r="J67" i="10"/>
  <c r="M65" i="10"/>
  <c r="J64" i="10"/>
  <c r="M62" i="10"/>
  <c r="H60" i="10"/>
  <c r="M58" i="10"/>
  <c r="G55" i="10"/>
  <c r="L53" i="10"/>
  <c r="J52" i="10"/>
  <c r="G51" i="10"/>
  <c r="M49" i="10"/>
  <c r="L48" i="10"/>
  <c r="J46" i="10"/>
  <c r="H44" i="10"/>
  <c r="G43" i="10"/>
  <c r="M41" i="10"/>
  <c r="L40" i="10"/>
  <c r="J38" i="10"/>
  <c r="H36" i="10"/>
  <c r="G35" i="10"/>
  <c r="M33" i="10"/>
  <c r="L32" i="10"/>
  <c r="J30" i="10"/>
  <c r="H28" i="10"/>
  <c r="G27" i="10"/>
  <c r="M25" i="10"/>
  <c r="L24" i="10"/>
  <c r="J22" i="10"/>
  <c r="H20" i="10"/>
  <c r="G19" i="10"/>
  <c r="M17" i="10"/>
  <c r="L16" i="10"/>
  <c r="J14" i="10"/>
  <c r="H12" i="10"/>
  <c r="G11" i="10"/>
  <c r="M9" i="10"/>
  <c r="L8" i="10"/>
  <c r="J6" i="10"/>
  <c r="H4" i="10"/>
  <c r="G3" i="10"/>
  <c r="W151" i="1"/>
  <c r="I148" i="1"/>
  <c r="W146" i="1"/>
  <c r="I144" i="1"/>
  <c r="W142" i="1"/>
  <c r="U141" i="1"/>
  <c r="I139" i="1"/>
  <c r="W137" i="1"/>
  <c r="U136" i="1"/>
  <c r="G133" i="1"/>
  <c r="U131" i="1"/>
  <c r="I129" i="1"/>
  <c r="W127" i="1"/>
  <c r="I125" i="1"/>
  <c r="W123" i="1"/>
  <c r="G120" i="1"/>
  <c r="W118" i="1"/>
  <c r="U117" i="1"/>
  <c r="G115" i="1"/>
  <c r="U113" i="1"/>
  <c r="I111" i="1"/>
  <c r="G110" i="1"/>
  <c r="U108" i="1"/>
  <c r="G106" i="1"/>
  <c r="W104" i="1"/>
  <c r="U103" i="1"/>
  <c r="I101" i="1"/>
  <c r="U98" i="1"/>
  <c r="I96" i="1"/>
  <c r="W93" i="1"/>
  <c r="G90" i="1"/>
  <c r="W88" i="1"/>
  <c r="U87" i="1"/>
  <c r="I85" i="1"/>
  <c r="W83" i="1"/>
  <c r="U82" i="1"/>
  <c r="I80" i="1"/>
  <c r="U77" i="1"/>
  <c r="G74" i="1"/>
  <c r="W72" i="1"/>
  <c r="U71" i="1"/>
  <c r="I69" i="1"/>
  <c r="G68" i="1"/>
  <c r="W66" i="1"/>
  <c r="U65" i="1"/>
  <c r="I63" i="1"/>
  <c r="G62" i="1"/>
  <c r="W60" i="1"/>
  <c r="U59" i="1"/>
  <c r="I57" i="1"/>
  <c r="U54" i="1"/>
  <c r="I52" i="1"/>
  <c r="G51" i="1"/>
  <c r="W49" i="1"/>
  <c r="G46" i="1"/>
  <c r="U43" i="1"/>
  <c r="I41" i="1"/>
  <c r="G40" i="1"/>
  <c r="W38" i="1"/>
  <c r="G35" i="1"/>
  <c r="U32" i="1"/>
  <c r="G29" i="1"/>
  <c r="W27" i="1"/>
  <c r="U26" i="1"/>
  <c r="I24" i="1"/>
  <c r="U21" i="1"/>
  <c r="I19" i="1"/>
  <c r="G18" i="1"/>
  <c r="W16" i="1"/>
  <c r="U15" i="1"/>
  <c r="I13" i="1"/>
  <c r="G12" i="1"/>
  <c r="W10" i="1"/>
  <c r="U9" i="1"/>
  <c r="U8" i="1"/>
  <c r="U27" i="1"/>
  <c r="G19" i="1"/>
  <c r="U16" i="1"/>
  <c r="G13" i="1"/>
  <c r="G141" i="1"/>
  <c r="W125" i="1"/>
  <c r="G71" i="1"/>
  <c r="G65" i="1"/>
  <c r="G54" i="1"/>
  <c r="I49" i="1"/>
  <c r="G32" i="1"/>
  <c r="G26" i="1"/>
  <c r="G9" i="1"/>
  <c r="C5" i="1"/>
  <c r="C3" i="1"/>
  <c r="J95" i="10"/>
  <c r="M86" i="10"/>
  <c r="M82" i="10"/>
  <c r="G81" i="10"/>
  <c r="J79" i="10"/>
  <c r="M77" i="10"/>
  <c r="J76" i="10"/>
  <c r="M74" i="10"/>
  <c r="M71" i="10"/>
  <c r="L68" i="10"/>
  <c r="L65" i="10"/>
  <c r="H64" i="10"/>
  <c r="L62" i="10"/>
  <c r="G60" i="10"/>
  <c r="L58" i="10"/>
  <c r="J57" i="10"/>
  <c r="H56" i="10"/>
  <c r="M54" i="10"/>
  <c r="H52" i="10"/>
  <c r="M50" i="10"/>
  <c r="L49" i="10"/>
  <c r="J47" i="10"/>
  <c r="H45" i="10"/>
  <c r="G44" i="10"/>
  <c r="M42" i="10"/>
  <c r="L41" i="10"/>
  <c r="J39" i="10"/>
  <c r="H37" i="10"/>
  <c r="G36" i="10"/>
  <c r="M34" i="10"/>
  <c r="L33" i="10"/>
  <c r="J31" i="10"/>
  <c r="H29" i="10"/>
  <c r="G28" i="10"/>
  <c r="M26" i="10"/>
  <c r="L25" i="10"/>
  <c r="J23" i="10"/>
  <c r="H21" i="10"/>
  <c r="G20" i="10"/>
  <c r="M18" i="10"/>
  <c r="L17" i="10"/>
  <c r="J15" i="10"/>
  <c r="H13" i="10"/>
  <c r="G12" i="10"/>
  <c r="M10" i="10"/>
  <c r="L9" i="10"/>
  <c r="J7" i="10"/>
  <c r="H5" i="10"/>
  <c r="G4" i="10"/>
  <c r="M2" i="10"/>
  <c r="U151" i="1"/>
  <c r="I149" i="1"/>
  <c r="G148" i="1"/>
  <c r="U146" i="1"/>
  <c r="G144" i="1"/>
  <c r="U142" i="1"/>
  <c r="I140" i="1"/>
  <c r="G139" i="1"/>
  <c r="U137" i="1"/>
  <c r="I134" i="1"/>
  <c r="W132" i="1"/>
  <c r="G129" i="1"/>
  <c r="U127" i="1"/>
  <c r="G125" i="1"/>
  <c r="U123" i="1"/>
  <c r="I121" i="1"/>
  <c r="U118" i="1"/>
  <c r="I116" i="1"/>
  <c r="W114" i="1"/>
  <c r="G111" i="1"/>
  <c r="W109" i="1"/>
  <c r="I107" i="1"/>
  <c r="U104" i="1"/>
  <c r="I102" i="1"/>
  <c r="G101" i="1"/>
  <c r="W99" i="1"/>
  <c r="G96" i="1"/>
  <c r="W94" i="1"/>
  <c r="U93" i="1"/>
  <c r="I91" i="1"/>
  <c r="U88" i="1"/>
  <c r="I86" i="1"/>
  <c r="G85" i="1"/>
  <c r="U83" i="1"/>
  <c r="I81" i="1"/>
  <c r="G80" i="1"/>
  <c r="W78" i="1"/>
  <c r="I75" i="1"/>
  <c r="U72" i="1"/>
  <c r="G69" i="1"/>
  <c r="U66" i="1"/>
  <c r="G63" i="1"/>
  <c r="U60" i="1"/>
  <c r="I58" i="1"/>
  <c r="G57" i="1"/>
  <c r="W55" i="1"/>
  <c r="G52" i="1"/>
  <c r="W50" i="1"/>
  <c r="U49" i="1"/>
  <c r="I47" i="1"/>
  <c r="W44" i="1"/>
  <c r="G41" i="1"/>
  <c r="W39" i="1"/>
  <c r="U38" i="1"/>
  <c r="I36" i="1"/>
  <c r="W33" i="1"/>
  <c r="I30" i="1"/>
  <c r="I25" i="1"/>
  <c r="G24" i="1"/>
  <c r="W22" i="1"/>
  <c r="U10" i="1"/>
  <c r="I2" i="1"/>
  <c r="W144" i="1"/>
  <c r="U120" i="1"/>
  <c r="G113" i="1"/>
  <c r="U106" i="1"/>
  <c r="W101" i="1"/>
  <c r="W85" i="1"/>
  <c r="W63" i="1"/>
  <c r="U29" i="1"/>
  <c r="G21" i="1"/>
  <c r="W13" i="1"/>
  <c r="I4" i="10" l="1"/>
  <c r="K5" i="10"/>
  <c r="I12" i="10"/>
  <c r="K13" i="10"/>
  <c r="I20" i="10"/>
  <c r="K21" i="10"/>
  <c r="I28" i="10"/>
  <c r="K29" i="10"/>
  <c r="I36" i="10"/>
  <c r="K37" i="10"/>
  <c r="I44" i="10"/>
  <c r="K45" i="10"/>
  <c r="K52" i="10"/>
  <c r="K56" i="10"/>
  <c r="I60" i="10"/>
  <c r="K64" i="10"/>
  <c r="I81" i="10"/>
  <c r="I3" i="10"/>
  <c r="K4" i="10"/>
  <c r="I11" i="10"/>
  <c r="K12" i="10"/>
  <c r="I19" i="10"/>
  <c r="K20" i="10"/>
  <c r="I27" i="10"/>
  <c r="K28" i="10"/>
  <c r="I35" i="10"/>
  <c r="K36" i="10"/>
  <c r="I43" i="10"/>
  <c r="K44" i="10"/>
  <c r="I51" i="10"/>
  <c r="I55" i="10"/>
  <c r="K60" i="10"/>
  <c r="I69" i="10"/>
  <c r="I72" i="10"/>
  <c r="I75" i="10"/>
  <c r="K78" i="10"/>
  <c r="K81" i="10"/>
  <c r="I2" i="10"/>
  <c r="K3" i="10"/>
  <c r="I10" i="10"/>
  <c r="K11" i="10"/>
  <c r="I18" i="10"/>
  <c r="K19" i="10"/>
  <c r="I26" i="10"/>
  <c r="K27" i="10"/>
  <c r="I34" i="10"/>
  <c r="K35" i="10"/>
  <c r="I42" i="10"/>
  <c r="K43" i="10"/>
  <c r="I50" i="10"/>
  <c r="K55" i="10"/>
  <c r="I59" i="10"/>
  <c r="I63" i="10"/>
  <c r="K66" i="10"/>
  <c r="K69" i="10"/>
  <c r="K72" i="10"/>
  <c r="K2" i="10"/>
  <c r="I9" i="10"/>
  <c r="K10" i="10"/>
  <c r="I17" i="10"/>
  <c r="K18" i="10"/>
  <c r="I25" i="10"/>
  <c r="K26" i="10"/>
  <c r="I33" i="10"/>
  <c r="K34" i="10"/>
  <c r="I41" i="10"/>
  <c r="K42" i="10"/>
  <c r="I49" i="10"/>
  <c r="K50" i="10"/>
  <c r="I54" i="10"/>
  <c r="I77" i="10"/>
  <c r="I80" i="10"/>
  <c r="I84" i="10"/>
  <c r="I108" i="10"/>
  <c r="I8" i="10"/>
  <c r="K9" i="10"/>
  <c r="I16" i="10"/>
  <c r="K17" i="10"/>
  <c r="I24" i="10"/>
  <c r="K25" i="10"/>
  <c r="I32" i="10"/>
  <c r="K33" i="10"/>
  <c r="I40" i="10"/>
  <c r="K41" i="10"/>
  <c r="I48" i="10"/>
  <c r="K49" i="10"/>
  <c r="K54" i="10"/>
  <c r="K58" i="10"/>
  <c r="I62" i="10"/>
  <c r="I65" i="10"/>
  <c r="I68" i="10"/>
  <c r="I71" i="10"/>
  <c r="K74" i="10"/>
  <c r="K77" i="10"/>
  <c r="K80" i="10"/>
  <c r="I100" i="10"/>
  <c r="K109" i="10"/>
  <c r="I7" i="10"/>
  <c r="K8" i="10"/>
  <c r="I15" i="10"/>
  <c r="K16" i="10"/>
  <c r="I23" i="10"/>
  <c r="K24" i="10"/>
  <c r="I31" i="10"/>
  <c r="K32" i="10"/>
  <c r="I39" i="10"/>
  <c r="K40" i="10"/>
  <c r="I47" i="10"/>
  <c r="K48" i="10"/>
  <c r="I53" i="10"/>
  <c r="I57" i="10"/>
  <c r="K62" i="10"/>
  <c r="K65" i="10"/>
  <c r="K68" i="10"/>
  <c r="K82" i="10"/>
  <c r="K85" i="10"/>
  <c r="I92" i="10"/>
  <c r="K101" i="10"/>
  <c r="I6" i="10"/>
  <c r="K7" i="10"/>
  <c r="I14" i="10"/>
  <c r="K15" i="10"/>
  <c r="I22" i="10"/>
  <c r="K23" i="10"/>
  <c r="I30" i="10"/>
  <c r="K31" i="10"/>
  <c r="I38" i="10"/>
  <c r="K39" i="10"/>
  <c r="I46" i="10"/>
  <c r="K47" i="10"/>
  <c r="K53" i="10"/>
  <c r="K57" i="10"/>
  <c r="I61" i="10"/>
  <c r="I73" i="10"/>
  <c r="I76" i="10"/>
  <c r="I79" i="10"/>
  <c r="K93" i="10"/>
  <c r="I5" i="10"/>
  <c r="K6" i="10"/>
  <c r="I13" i="10"/>
  <c r="K14" i="10"/>
  <c r="I21" i="10"/>
  <c r="K22" i="10"/>
  <c r="I29" i="10"/>
  <c r="K30" i="10"/>
  <c r="I37" i="10"/>
  <c r="K38" i="10"/>
  <c r="I45" i="10"/>
  <c r="K46" i="10"/>
  <c r="I52" i="10"/>
  <c r="I56" i="10"/>
  <c r="K61" i="10"/>
  <c r="I64" i="10"/>
  <c r="I67" i="10"/>
  <c r="K70" i="10"/>
  <c r="K73" i="10"/>
  <c r="K76" i="10"/>
  <c r="I89" i="10"/>
  <c r="K90" i="10"/>
  <c r="I97" i="10"/>
  <c r="K98" i="10"/>
  <c r="I105" i="10"/>
  <c r="K106" i="10"/>
  <c r="I113" i="10"/>
  <c r="K114" i="10"/>
  <c r="I121" i="10"/>
  <c r="K122" i="10"/>
  <c r="I129" i="10"/>
  <c r="K130" i="10"/>
  <c r="I137" i="10"/>
  <c r="K138" i="10"/>
  <c r="I145" i="10"/>
  <c r="K146" i="10"/>
  <c r="I153" i="10"/>
  <c r="K154" i="10"/>
  <c r="I161" i="10"/>
  <c r="K162" i="10"/>
  <c r="I169" i="10"/>
  <c r="K170" i="10"/>
  <c r="I177" i="10"/>
  <c r="K178" i="10"/>
  <c r="I185" i="10"/>
  <c r="K186" i="10"/>
  <c r="I193" i="10"/>
  <c r="K194" i="10"/>
  <c r="I201" i="10"/>
  <c r="K202" i="10"/>
  <c r="I209" i="10"/>
  <c r="K210" i="10"/>
  <c r="I217" i="10"/>
  <c r="K218" i="10"/>
  <c r="I224" i="10"/>
  <c r="K229" i="10"/>
  <c r="K233" i="10"/>
  <c r="I236" i="10"/>
  <c r="I88" i="10"/>
  <c r="K89" i="10"/>
  <c r="I96" i="10"/>
  <c r="K97" i="10"/>
  <c r="I104" i="10"/>
  <c r="K105" i="10"/>
  <c r="I112" i="10"/>
  <c r="K113" i="10"/>
  <c r="I120" i="10"/>
  <c r="K121" i="10"/>
  <c r="I128" i="10"/>
  <c r="K129" i="10"/>
  <c r="I136" i="10"/>
  <c r="K137" i="10"/>
  <c r="I144" i="10"/>
  <c r="K145" i="10"/>
  <c r="I152" i="10"/>
  <c r="K153" i="10"/>
  <c r="I160" i="10"/>
  <c r="K161" i="10"/>
  <c r="I168" i="10"/>
  <c r="K169" i="10"/>
  <c r="I176" i="10"/>
  <c r="K177" i="10"/>
  <c r="I184" i="10"/>
  <c r="K185" i="10"/>
  <c r="I192" i="10"/>
  <c r="K193" i="10"/>
  <c r="I200" i="10"/>
  <c r="K201" i="10"/>
  <c r="I208" i="10"/>
  <c r="K209" i="10"/>
  <c r="I216" i="10"/>
  <c r="K217" i="10"/>
  <c r="K224" i="10"/>
  <c r="I228" i="10"/>
  <c r="I232" i="10"/>
  <c r="K236" i="10"/>
  <c r="K238" i="10"/>
  <c r="I240" i="10"/>
  <c r="K246" i="10"/>
  <c r="I87" i="10"/>
  <c r="K88" i="10"/>
  <c r="I95" i="10"/>
  <c r="K96" i="10"/>
  <c r="I103" i="10"/>
  <c r="K104" i="10"/>
  <c r="I111" i="10"/>
  <c r="K112" i="10"/>
  <c r="I119" i="10"/>
  <c r="K120" i="10"/>
  <c r="I127" i="10"/>
  <c r="K128" i="10"/>
  <c r="I135" i="10"/>
  <c r="K136" i="10"/>
  <c r="I143" i="10"/>
  <c r="K144" i="10"/>
  <c r="I151" i="10"/>
  <c r="K152" i="10"/>
  <c r="I159" i="10"/>
  <c r="K160" i="10"/>
  <c r="I167" i="10"/>
  <c r="K168" i="10"/>
  <c r="I175" i="10"/>
  <c r="K176" i="10"/>
  <c r="I183" i="10"/>
  <c r="K184" i="10"/>
  <c r="I191" i="10"/>
  <c r="K192" i="10"/>
  <c r="I199" i="10"/>
  <c r="K200" i="10"/>
  <c r="I207" i="10"/>
  <c r="K208" i="10"/>
  <c r="I215" i="10"/>
  <c r="K216" i="10"/>
  <c r="I223" i="10"/>
  <c r="K228" i="10"/>
  <c r="K232" i="10"/>
  <c r="K240" i="10"/>
  <c r="K63" i="10"/>
  <c r="I70" i="10"/>
  <c r="K71" i="10"/>
  <c r="I78" i="10"/>
  <c r="K79" i="10"/>
  <c r="I86" i="10"/>
  <c r="K87" i="10"/>
  <c r="I94" i="10"/>
  <c r="K95" i="10"/>
  <c r="I102" i="10"/>
  <c r="K103" i="10"/>
  <c r="I110" i="10"/>
  <c r="K111" i="10"/>
  <c r="I118" i="10"/>
  <c r="K119" i="10"/>
  <c r="I126" i="10"/>
  <c r="K127" i="10"/>
  <c r="I134" i="10"/>
  <c r="K135" i="10"/>
  <c r="I142" i="10"/>
  <c r="K143" i="10"/>
  <c r="I150" i="10"/>
  <c r="K151" i="10"/>
  <c r="I158" i="10"/>
  <c r="K159" i="10"/>
  <c r="I166" i="10"/>
  <c r="K167" i="10"/>
  <c r="I174" i="10"/>
  <c r="K175" i="10"/>
  <c r="I182" i="10"/>
  <c r="K183" i="10"/>
  <c r="I190" i="10"/>
  <c r="K191" i="10"/>
  <c r="I198" i="10"/>
  <c r="K199" i="10"/>
  <c r="I206" i="10"/>
  <c r="K207" i="10"/>
  <c r="I214" i="10"/>
  <c r="K215" i="10"/>
  <c r="I222" i="10"/>
  <c r="K223" i="10"/>
  <c r="I227" i="10"/>
  <c r="I231" i="10"/>
  <c r="I244" i="10"/>
  <c r="I247" i="10"/>
  <c r="I85" i="10"/>
  <c r="K86" i="10"/>
  <c r="I93" i="10"/>
  <c r="K94" i="10"/>
  <c r="I101" i="10"/>
  <c r="K102" i="10"/>
  <c r="I109" i="10"/>
  <c r="K110" i="10"/>
  <c r="I117" i="10"/>
  <c r="K118" i="10"/>
  <c r="I125" i="10"/>
  <c r="K126" i="10"/>
  <c r="I133" i="10"/>
  <c r="K134" i="10"/>
  <c r="I141" i="10"/>
  <c r="K142" i="10"/>
  <c r="I149" i="10"/>
  <c r="K150" i="10"/>
  <c r="I157" i="10"/>
  <c r="K158" i="10"/>
  <c r="I165" i="10"/>
  <c r="K166" i="10"/>
  <c r="I173" i="10"/>
  <c r="K174" i="10"/>
  <c r="I181" i="10"/>
  <c r="K182" i="10"/>
  <c r="I189" i="10"/>
  <c r="K190" i="10"/>
  <c r="I197" i="10"/>
  <c r="K198" i="10"/>
  <c r="I205" i="10"/>
  <c r="K206" i="10"/>
  <c r="I213" i="10"/>
  <c r="K214" i="10"/>
  <c r="I221" i="10"/>
  <c r="K222" i="10"/>
  <c r="K227" i="10"/>
  <c r="K231" i="10"/>
  <c r="I235" i="10"/>
  <c r="I237" i="10"/>
  <c r="I252" i="10"/>
  <c r="I116" i="10"/>
  <c r="K117" i="10"/>
  <c r="I124" i="10"/>
  <c r="K125" i="10"/>
  <c r="I132" i="10"/>
  <c r="K133" i="10"/>
  <c r="I140" i="10"/>
  <c r="K141" i="10"/>
  <c r="I148" i="10"/>
  <c r="K149" i="10"/>
  <c r="I156" i="10"/>
  <c r="K157" i="10"/>
  <c r="I164" i="10"/>
  <c r="K165" i="10"/>
  <c r="I172" i="10"/>
  <c r="K173" i="10"/>
  <c r="I180" i="10"/>
  <c r="K181" i="10"/>
  <c r="I188" i="10"/>
  <c r="K189" i="10"/>
  <c r="I196" i="10"/>
  <c r="K197" i="10"/>
  <c r="I204" i="10"/>
  <c r="K205" i="10"/>
  <c r="I212" i="10"/>
  <c r="K213" i="10"/>
  <c r="I220" i="10"/>
  <c r="K221" i="10"/>
  <c r="I226" i="10"/>
  <c r="I230" i="10"/>
  <c r="K237" i="10"/>
  <c r="I239" i="10"/>
  <c r="K248" i="10"/>
  <c r="I83" i="10"/>
  <c r="K84" i="10"/>
  <c r="I91" i="10"/>
  <c r="K92" i="10"/>
  <c r="I99" i="10"/>
  <c r="K100" i="10"/>
  <c r="I107" i="10"/>
  <c r="K108" i="10"/>
  <c r="I115" i="10"/>
  <c r="K116" i="10"/>
  <c r="I123" i="10"/>
  <c r="K124" i="10"/>
  <c r="I131" i="10"/>
  <c r="K132" i="10"/>
  <c r="I139" i="10"/>
  <c r="K140" i="10"/>
  <c r="I147" i="10"/>
  <c r="K148" i="10"/>
  <c r="I155" i="10"/>
  <c r="K156" i="10"/>
  <c r="I163" i="10"/>
  <c r="K164" i="10"/>
  <c r="I171" i="10"/>
  <c r="K172" i="10"/>
  <c r="I179" i="10"/>
  <c r="K180" i="10"/>
  <c r="I187" i="10"/>
  <c r="K188" i="10"/>
  <c r="I195" i="10"/>
  <c r="K196" i="10"/>
  <c r="I203" i="10"/>
  <c r="K204" i="10"/>
  <c r="I211" i="10"/>
  <c r="K212" i="10"/>
  <c r="I219" i="10"/>
  <c r="K220" i="10"/>
  <c r="K230" i="10"/>
  <c r="I234" i="10"/>
  <c r="K241" i="10"/>
  <c r="I245" i="10"/>
  <c r="K253" i="10"/>
  <c r="K51" i="10"/>
  <c r="I58" i="10"/>
  <c r="K59" i="10"/>
  <c r="I66" i="10"/>
  <c r="K67" i="10"/>
  <c r="I74" i="10"/>
  <c r="K75" i="10"/>
  <c r="I82" i="10"/>
  <c r="K83" i="10"/>
  <c r="I90" i="10"/>
  <c r="K91" i="10"/>
  <c r="I98" i="10"/>
  <c r="K99" i="10"/>
  <c r="I106" i="10"/>
  <c r="K107" i="10"/>
  <c r="I114" i="10"/>
  <c r="K115" i="10"/>
  <c r="I122" i="10"/>
  <c r="K123" i="10"/>
  <c r="I130" i="10"/>
  <c r="K131" i="10"/>
  <c r="I138" i="10"/>
  <c r="K139" i="10"/>
  <c r="I146" i="10"/>
  <c r="K147" i="10"/>
  <c r="I154" i="10"/>
  <c r="K155" i="10"/>
  <c r="I162" i="10"/>
  <c r="K163" i="10"/>
  <c r="I170" i="10"/>
  <c r="K171" i="10"/>
  <c r="I178" i="10"/>
  <c r="K179" i="10"/>
  <c r="I186" i="10"/>
  <c r="K187" i="10"/>
  <c r="I194" i="10"/>
  <c r="K195" i="10"/>
  <c r="I202" i="10"/>
  <c r="K203" i="10"/>
  <c r="I210" i="10"/>
  <c r="K211" i="10"/>
  <c r="I218" i="10"/>
  <c r="K219" i="10"/>
  <c r="K225" i="10"/>
  <c r="I229" i="10"/>
  <c r="I243" i="10"/>
  <c r="K245" i="10"/>
  <c r="I225" i="10"/>
  <c r="K226" i="10"/>
  <c r="I233" i="10"/>
  <c r="K234" i="10"/>
  <c r="I241" i="10"/>
  <c r="K242" i="10"/>
  <c r="I249" i="10"/>
  <c r="K250" i="10"/>
  <c r="I257" i="10"/>
  <c r="K258" i="10"/>
  <c r="I265" i="10"/>
  <c r="K266" i="10"/>
  <c r="I273" i="10"/>
  <c r="K274" i="10"/>
  <c r="I281" i="10"/>
  <c r="K282" i="10"/>
  <c r="I289" i="10"/>
  <c r="K290" i="10"/>
  <c r="I297" i="10"/>
  <c r="K298" i="10"/>
  <c r="I305" i="10"/>
  <c r="K306" i="10"/>
  <c r="I313" i="10"/>
  <c r="K314" i="10"/>
  <c r="I321" i="10"/>
  <c r="K322" i="10"/>
  <c r="I329" i="10"/>
  <c r="K330" i="10"/>
  <c r="I338" i="10"/>
  <c r="I341" i="10"/>
  <c r="I344" i="10"/>
  <c r="K347" i="10"/>
  <c r="K350" i="10"/>
  <c r="K353" i="10"/>
  <c r="I370" i="10"/>
  <c r="I373" i="10"/>
  <c r="I376" i="10"/>
  <c r="I400" i="10"/>
  <c r="I248" i="10"/>
  <c r="K249" i="10"/>
  <c r="I256" i="10"/>
  <c r="K257" i="10"/>
  <c r="I264" i="10"/>
  <c r="K265" i="10"/>
  <c r="I272" i="10"/>
  <c r="K273" i="10"/>
  <c r="I280" i="10"/>
  <c r="K281" i="10"/>
  <c r="I288" i="10"/>
  <c r="K289" i="10"/>
  <c r="I296" i="10"/>
  <c r="K297" i="10"/>
  <c r="I304" i="10"/>
  <c r="K305" i="10"/>
  <c r="I312" i="10"/>
  <c r="K313" i="10"/>
  <c r="I320" i="10"/>
  <c r="K321" i="10"/>
  <c r="I328" i="10"/>
  <c r="K329" i="10"/>
  <c r="K335" i="10"/>
  <c r="K338" i="10"/>
  <c r="K341" i="10"/>
  <c r="I358" i="10"/>
  <c r="I361" i="10"/>
  <c r="I364" i="10"/>
  <c r="K367" i="10"/>
  <c r="K370" i="10"/>
  <c r="K373" i="10"/>
  <c r="I380" i="10"/>
  <c r="I384" i="10"/>
  <c r="I255" i="10"/>
  <c r="K256" i="10"/>
  <c r="I263" i="10"/>
  <c r="K264" i="10"/>
  <c r="I271" i="10"/>
  <c r="K272" i="10"/>
  <c r="I279" i="10"/>
  <c r="K280" i="10"/>
  <c r="I287" i="10"/>
  <c r="K288" i="10"/>
  <c r="I295" i="10"/>
  <c r="K296" i="10"/>
  <c r="I303" i="10"/>
  <c r="K304" i="10"/>
  <c r="I311" i="10"/>
  <c r="K312" i="10"/>
  <c r="I319" i="10"/>
  <c r="K320" i="10"/>
  <c r="I327" i="10"/>
  <c r="K328" i="10"/>
  <c r="I346" i="10"/>
  <c r="I349" i="10"/>
  <c r="I352" i="10"/>
  <c r="K355" i="10"/>
  <c r="K358" i="10"/>
  <c r="K361" i="10"/>
  <c r="I381" i="10"/>
  <c r="I382" i="10"/>
  <c r="I238" i="10"/>
  <c r="K239" i="10"/>
  <c r="I246" i="10"/>
  <c r="K247" i="10"/>
  <c r="I254" i="10"/>
  <c r="K255" i="10"/>
  <c r="I262" i="10"/>
  <c r="K263" i="10"/>
  <c r="I270" i="10"/>
  <c r="K271" i="10"/>
  <c r="I278" i="10"/>
  <c r="K279" i="10"/>
  <c r="I286" i="10"/>
  <c r="K287" i="10"/>
  <c r="I294" i="10"/>
  <c r="K295" i="10"/>
  <c r="I302" i="10"/>
  <c r="K303" i="10"/>
  <c r="I310" i="10"/>
  <c r="K311" i="10"/>
  <c r="I318" i="10"/>
  <c r="K319" i="10"/>
  <c r="I326" i="10"/>
  <c r="K327" i="10"/>
  <c r="I334" i="10"/>
  <c r="I337" i="10"/>
  <c r="I340" i="10"/>
  <c r="K343" i="10"/>
  <c r="K346" i="10"/>
  <c r="K349" i="10"/>
  <c r="I366" i="10"/>
  <c r="I369" i="10"/>
  <c r="I372" i="10"/>
  <c r="K375" i="10"/>
  <c r="I390" i="10"/>
  <c r="I253" i="10"/>
  <c r="K254" i="10"/>
  <c r="I261" i="10"/>
  <c r="K262" i="10"/>
  <c r="I269" i="10"/>
  <c r="K270" i="10"/>
  <c r="I277" i="10"/>
  <c r="K278" i="10"/>
  <c r="I285" i="10"/>
  <c r="K286" i="10"/>
  <c r="I293" i="10"/>
  <c r="K294" i="10"/>
  <c r="I301" i="10"/>
  <c r="K302" i="10"/>
  <c r="I309" i="10"/>
  <c r="K310" i="10"/>
  <c r="I317" i="10"/>
  <c r="K318" i="10"/>
  <c r="I325" i="10"/>
  <c r="K326" i="10"/>
  <c r="I333" i="10"/>
  <c r="K334" i="10"/>
  <c r="K337" i="10"/>
  <c r="I354" i="10"/>
  <c r="I357" i="10"/>
  <c r="I360" i="10"/>
  <c r="K363" i="10"/>
  <c r="K366" i="10"/>
  <c r="K369" i="10"/>
  <c r="I260" i="10"/>
  <c r="K261" i="10"/>
  <c r="I268" i="10"/>
  <c r="K269" i="10"/>
  <c r="I276" i="10"/>
  <c r="K277" i="10"/>
  <c r="I284" i="10"/>
  <c r="K285" i="10"/>
  <c r="I292" i="10"/>
  <c r="K293" i="10"/>
  <c r="I300" i="10"/>
  <c r="K301" i="10"/>
  <c r="I308" i="10"/>
  <c r="K309" i="10"/>
  <c r="I316" i="10"/>
  <c r="K317" i="10"/>
  <c r="I324" i="10"/>
  <c r="K325" i="10"/>
  <c r="I332" i="10"/>
  <c r="K333" i="10"/>
  <c r="I342" i="10"/>
  <c r="I345" i="10"/>
  <c r="I348" i="10"/>
  <c r="K351" i="10"/>
  <c r="K354" i="10"/>
  <c r="K357" i="10"/>
  <c r="I374" i="10"/>
  <c r="I377" i="10"/>
  <c r="K244" i="10"/>
  <c r="I251" i="10"/>
  <c r="K252" i="10"/>
  <c r="I259" i="10"/>
  <c r="K260" i="10"/>
  <c r="I267" i="10"/>
  <c r="K268" i="10"/>
  <c r="I275" i="10"/>
  <c r="K276" i="10"/>
  <c r="I283" i="10"/>
  <c r="K284" i="10"/>
  <c r="I291" i="10"/>
  <c r="K292" i="10"/>
  <c r="I299" i="10"/>
  <c r="K300" i="10"/>
  <c r="I307" i="10"/>
  <c r="K308" i="10"/>
  <c r="I315" i="10"/>
  <c r="K316" i="10"/>
  <c r="I323" i="10"/>
  <c r="K324" i="10"/>
  <c r="I331" i="10"/>
  <c r="K332" i="10"/>
  <c r="I336" i="10"/>
  <c r="K339" i="10"/>
  <c r="K342" i="10"/>
  <c r="K345" i="10"/>
  <c r="I362" i="10"/>
  <c r="I365" i="10"/>
  <c r="I368" i="10"/>
  <c r="K371" i="10"/>
  <c r="K374" i="10"/>
  <c r="K377" i="10"/>
  <c r="I378" i="10"/>
  <c r="K235" i="10"/>
  <c r="I242" i="10"/>
  <c r="K243" i="10"/>
  <c r="I250" i="10"/>
  <c r="K251" i="10"/>
  <c r="I258" i="10"/>
  <c r="K259" i="10"/>
  <c r="I266" i="10"/>
  <c r="K267" i="10"/>
  <c r="I274" i="10"/>
  <c r="K275" i="10"/>
  <c r="I282" i="10"/>
  <c r="K283" i="10"/>
  <c r="I290" i="10"/>
  <c r="K291" i="10"/>
  <c r="I298" i="10"/>
  <c r="K299" i="10"/>
  <c r="I306" i="10"/>
  <c r="K307" i="10"/>
  <c r="I314" i="10"/>
  <c r="K315" i="10"/>
  <c r="I322" i="10"/>
  <c r="K323" i="10"/>
  <c r="I330" i="10"/>
  <c r="K331" i="10"/>
  <c r="I350" i="10"/>
  <c r="I353" i="10"/>
  <c r="I356" i="10"/>
  <c r="K359" i="10"/>
  <c r="K362" i="10"/>
  <c r="K365" i="10"/>
  <c r="K378" i="10"/>
  <c r="I392" i="10"/>
  <c r="I335" i="10"/>
  <c r="K336" i="10"/>
  <c r="I343" i="10"/>
  <c r="K344" i="10"/>
  <c r="I351" i="10"/>
  <c r="K352" i="10"/>
  <c r="I359" i="10"/>
  <c r="K360" i="10"/>
  <c r="I367" i="10"/>
  <c r="K368" i="10"/>
  <c r="I375" i="10"/>
  <c r="K376" i="10"/>
  <c r="K380" i="10"/>
  <c r="I383" i="10"/>
  <c r="K388" i="10"/>
  <c r="I391" i="10"/>
  <c r="K396" i="10"/>
  <c r="I399" i="10"/>
  <c r="K404" i="10"/>
  <c r="I407" i="10"/>
  <c r="K412" i="10"/>
  <c r="I415" i="10"/>
  <c r="K420" i="10"/>
  <c r="I423" i="10"/>
  <c r="K428" i="10"/>
  <c r="I431" i="10"/>
  <c r="K436" i="10"/>
  <c r="I439" i="10"/>
  <c r="K444" i="10"/>
  <c r="I447" i="10"/>
  <c r="K452" i="10"/>
  <c r="I455" i="10"/>
  <c r="I463" i="10"/>
  <c r="I471" i="10"/>
  <c r="I477" i="10"/>
  <c r="I481" i="10"/>
  <c r="I492" i="10"/>
  <c r="I496" i="10"/>
  <c r="I501" i="10"/>
  <c r="K502" i="10"/>
  <c r="I504" i="10"/>
  <c r="K506" i="10"/>
  <c r="I517" i="10"/>
  <c r="I386" i="10"/>
  <c r="I394" i="10"/>
  <c r="I402" i="10"/>
  <c r="I410" i="10"/>
  <c r="I418" i="10"/>
  <c r="I426" i="10"/>
  <c r="I434" i="10"/>
  <c r="I442" i="10"/>
  <c r="I450" i="10"/>
  <c r="I458" i="10"/>
  <c r="I466" i="10"/>
  <c r="I474" i="10"/>
  <c r="I485" i="10"/>
  <c r="I489" i="10"/>
  <c r="K386" i="10"/>
  <c r="I389" i="10"/>
  <c r="K394" i="10"/>
  <c r="I397" i="10"/>
  <c r="K402" i="10"/>
  <c r="I405" i="10"/>
  <c r="K410" i="10"/>
  <c r="I413" i="10"/>
  <c r="K418" i="10"/>
  <c r="I421" i="10"/>
  <c r="K426" i="10"/>
  <c r="I429" i="10"/>
  <c r="K434" i="10"/>
  <c r="I437" i="10"/>
  <c r="K442" i="10"/>
  <c r="I445" i="10"/>
  <c r="K450" i="10"/>
  <c r="I453" i="10"/>
  <c r="K458" i="10"/>
  <c r="I461" i="10"/>
  <c r="K466" i="10"/>
  <c r="I469" i="10"/>
  <c r="K474" i="10"/>
  <c r="I478" i="10"/>
  <c r="I482" i="10"/>
  <c r="K485" i="10"/>
  <c r="I493" i="10"/>
  <c r="I497" i="10"/>
  <c r="I408" i="10"/>
  <c r="I416" i="10"/>
  <c r="I424" i="10"/>
  <c r="I432" i="10"/>
  <c r="I440" i="10"/>
  <c r="I448" i="10"/>
  <c r="I456" i="10"/>
  <c r="K461" i="10"/>
  <c r="I464" i="10"/>
  <c r="K469" i="10"/>
  <c r="I472" i="10"/>
  <c r="K478" i="10"/>
  <c r="K482" i="10"/>
  <c r="I486" i="10"/>
  <c r="I490" i="10"/>
  <c r="K497" i="10"/>
  <c r="I513" i="10"/>
  <c r="I514" i="10"/>
  <c r="K519" i="10"/>
  <c r="I522" i="10"/>
  <c r="I339" i="10"/>
  <c r="K340" i="10"/>
  <c r="I347" i="10"/>
  <c r="K348" i="10"/>
  <c r="I355" i="10"/>
  <c r="K356" i="10"/>
  <c r="I363" i="10"/>
  <c r="K364" i="10"/>
  <c r="I371" i="10"/>
  <c r="K372" i="10"/>
  <c r="I379" i="10"/>
  <c r="K384" i="10"/>
  <c r="I387" i="10"/>
  <c r="K392" i="10"/>
  <c r="I395" i="10"/>
  <c r="K400" i="10"/>
  <c r="I403" i="10"/>
  <c r="K408" i="10"/>
  <c r="I411" i="10"/>
  <c r="K416" i="10"/>
  <c r="I419" i="10"/>
  <c r="K424" i="10"/>
  <c r="I427" i="10"/>
  <c r="K432" i="10"/>
  <c r="I435" i="10"/>
  <c r="K440" i="10"/>
  <c r="I443" i="10"/>
  <c r="K448" i="10"/>
  <c r="I451" i="10"/>
  <c r="K456" i="10"/>
  <c r="I459" i="10"/>
  <c r="I467" i="10"/>
  <c r="I475" i="10"/>
  <c r="K486" i="10"/>
  <c r="K490" i="10"/>
  <c r="I494" i="10"/>
  <c r="I498" i="10"/>
  <c r="K510" i="10"/>
  <c r="I512" i="10"/>
  <c r="K514" i="10"/>
  <c r="I398" i="10"/>
  <c r="I406" i="10"/>
  <c r="I414" i="10"/>
  <c r="I422" i="10"/>
  <c r="I430" i="10"/>
  <c r="I438" i="10"/>
  <c r="I446" i="10"/>
  <c r="I454" i="10"/>
  <c r="I462" i="10"/>
  <c r="I470" i="10"/>
  <c r="I483" i="10"/>
  <c r="K487" i="10"/>
  <c r="K498" i="10"/>
  <c r="I509" i="10"/>
  <c r="K382" i="10"/>
  <c r="I385" i="10"/>
  <c r="K390" i="10"/>
  <c r="I393" i="10"/>
  <c r="K398" i="10"/>
  <c r="I401" i="10"/>
  <c r="K406" i="10"/>
  <c r="I409" i="10"/>
  <c r="K414" i="10"/>
  <c r="I417" i="10"/>
  <c r="K422" i="10"/>
  <c r="I425" i="10"/>
  <c r="K430" i="10"/>
  <c r="I433" i="10"/>
  <c r="K438" i="10"/>
  <c r="I441" i="10"/>
  <c r="K446" i="10"/>
  <c r="I449" i="10"/>
  <c r="K454" i="10"/>
  <c r="I457" i="10"/>
  <c r="K462" i="10"/>
  <c r="I465" i="10"/>
  <c r="K470" i="10"/>
  <c r="I473" i="10"/>
  <c r="I476" i="10"/>
  <c r="I480" i="10"/>
  <c r="I491" i="10"/>
  <c r="I499" i="10"/>
  <c r="K509" i="10"/>
  <c r="I388" i="10"/>
  <c r="I396" i="10"/>
  <c r="I404" i="10"/>
  <c r="I412" i="10"/>
  <c r="I420" i="10"/>
  <c r="I428" i="10"/>
  <c r="I436" i="10"/>
  <c r="I444" i="10"/>
  <c r="I452" i="10"/>
  <c r="I460" i="10"/>
  <c r="I468" i="10"/>
  <c r="I484" i="10"/>
  <c r="I488" i="10"/>
  <c r="I500" i="10"/>
  <c r="I505" i="10"/>
  <c r="I506" i="10"/>
  <c r="I479" i="10"/>
  <c r="I487" i="10"/>
  <c r="I495" i="10"/>
  <c r="K500" i="10"/>
  <c r="I503" i="10"/>
  <c r="I511" i="10"/>
  <c r="I519" i="10"/>
  <c r="K524" i="10"/>
  <c r="I527" i="10"/>
  <c r="I535" i="10"/>
  <c r="I543" i="10"/>
  <c r="I551" i="10"/>
  <c r="I567" i="10"/>
  <c r="I571" i="10"/>
  <c r="I582" i="10"/>
  <c r="K586" i="10"/>
  <c r="K593" i="10"/>
  <c r="K594" i="10"/>
  <c r="K600" i="10"/>
  <c r="K601" i="10"/>
  <c r="K602" i="10"/>
  <c r="I530" i="10"/>
  <c r="I538" i="10"/>
  <c r="K543" i="10"/>
  <c r="I546" i="10"/>
  <c r="K551" i="10"/>
  <c r="I554" i="10"/>
  <c r="I560" i="10"/>
  <c r="I564" i="10"/>
  <c r="K571" i="10"/>
  <c r="I575" i="10"/>
  <c r="I579" i="10"/>
  <c r="I590" i="10"/>
  <c r="I603" i="10"/>
  <c r="I604" i="10"/>
  <c r="I605" i="10"/>
  <c r="K522" i="10"/>
  <c r="I525" i="10"/>
  <c r="I533" i="10"/>
  <c r="I541" i="10"/>
  <c r="I549" i="10"/>
  <c r="I557" i="10"/>
  <c r="K564" i="10"/>
  <c r="I568" i="10"/>
  <c r="I572" i="10"/>
  <c r="I583" i="10"/>
  <c r="I587" i="10"/>
  <c r="I595" i="10"/>
  <c r="K605" i="10"/>
  <c r="I520" i="10"/>
  <c r="I528" i="10"/>
  <c r="I536" i="10"/>
  <c r="I544" i="10"/>
  <c r="I552" i="10"/>
  <c r="K557" i="10"/>
  <c r="I561" i="10"/>
  <c r="I565" i="10"/>
  <c r="I576" i="10"/>
  <c r="I580" i="10"/>
  <c r="I591" i="10"/>
  <c r="I596" i="10"/>
  <c r="I507" i="10"/>
  <c r="I515" i="10"/>
  <c r="I523" i="10"/>
  <c r="I531" i="10"/>
  <c r="I539" i="10"/>
  <c r="I547" i="10"/>
  <c r="I555" i="10"/>
  <c r="K565" i="10"/>
  <c r="I569" i="10"/>
  <c r="I573" i="10"/>
  <c r="I584" i="10"/>
  <c r="I588" i="10"/>
  <c r="I597" i="10"/>
  <c r="I502" i="10"/>
  <c r="I510" i="10"/>
  <c r="I518" i="10"/>
  <c r="I526" i="10"/>
  <c r="I534" i="10"/>
  <c r="I542" i="10"/>
  <c r="I550" i="10"/>
  <c r="I558" i="10"/>
  <c r="K573" i="10"/>
  <c r="I577" i="10"/>
  <c r="I581" i="10"/>
  <c r="I592" i="10"/>
  <c r="K597" i="10"/>
  <c r="K518" i="10"/>
  <c r="I521" i="10"/>
  <c r="K526" i="10"/>
  <c r="I529" i="10"/>
  <c r="K534" i="10"/>
  <c r="I537" i="10"/>
  <c r="K542" i="10"/>
  <c r="I545" i="10"/>
  <c r="K550" i="10"/>
  <c r="I553" i="10"/>
  <c r="I566" i="10"/>
  <c r="K570" i="10"/>
  <c r="K581" i="10"/>
  <c r="I585" i="10"/>
  <c r="I589" i="10"/>
  <c r="K592" i="10"/>
  <c r="I598" i="10"/>
  <c r="K505" i="10"/>
  <c r="I508" i="10"/>
  <c r="K513" i="10"/>
  <c r="I516" i="10"/>
  <c r="K521" i="10"/>
  <c r="I524" i="10"/>
  <c r="K529" i="10"/>
  <c r="I532" i="10"/>
  <c r="K537" i="10"/>
  <c r="I540" i="10"/>
  <c r="K545" i="10"/>
  <c r="I548" i="10"/>
  <c r="K553" i="10"/>
  <c r="I556" i="10"/>
  <c r="I559" i="10"/>
  <c r="I563" i="10"/>
  <c r="I574" i="10"/>
  <c r="K578" i="10"/>
  <c r="K585" i="10"/>
  <c r="K589" i="10"/>
  <c r="I593" i="10"/>
  <c r="I600" i="10"/>
  <c r="I601" i="10"/>
  <c r="K610" i="10"/>
  <c r="I613" i="10"/>
  <c r="K618" i="10"/>
  <c r="I621" i="10"/>
  <c r="K626" i="10"/>
  <c r="I629" i="10"/>
  <c r="I637" i="10"/>
  <c r="I645" i="10"/>
  <c r="I653" i="10"/>
  <c r="I661" i="10"/>
  <c r="I669" i="10"/>
  <c r="I677" i="10"/>
  <c r="K686" i="10"/>
  <c r="I690" i="10"/>
  <c r="I694" i="10"/>
  <c r="I705" i="10"/>
  <c r="I709" i="10"/>
  <c r="I728" i="10"/>
  <c r="I608" i="10"/>
  <c r="K613" i="10"/>
  <c r="I616" i="10"/>
  <c r="K621" i="10"/>
  <c r="I624" i="10"/>
  <c r="K629" i="10"/>
  <c r="I632" i="10"/>
  <c r="K637" i="10"/>
  <c r="I640" i="10"/>
  <c r="K645" i="10"/>
  <c r="I648" i="10"/>
  <c r="K653" i="10"/>
  <c r="I656" i="10"/>
  <c r="K661" i="10"/>
  <c r="I664" i="10"/>
  <c r="K669" i="10"/>
  <c r="I672" i="10"/>
  <c r="K677" i="10"/>
  <c r="I680" i="10"/>
  <c r="I683" i="10"/>
  <c r="I687" i="10"/>
  <c r="K690" i="10"/>
  <c r="K694" i="10"/>
  <c r="I698" i="10"/>
  <c r="I702" i="10"/>
  <c r="K709" i="10"/>
  <c r="I713" i="10"/>
  <c r="K734" i="10"/>
  <c r="I611" i="10"/>
  <c r="I619" i="10"/>
  <c r="I627" i="10"/>
  <c r="I635" i="10"/>
  <c r="I643" i="10"/>
  <c r="I651" i="10"/>
  <c r="I659" i="10"/>
  <c r="I667" i="10"/>
  <c r="I675" i="10"/>
  <c r="K687" i="10"/>
  <c r="I691" i="10"/>
  <c r="I695" i="10"/>
  <c r="I706" i="10"/>
  <c r="I710" i="10"/>
  <c r="I714" i="10"/>
  <c r="I720" i="10"/>
  <c r="I606" i="10"/>
  <c r="I614" i="10"/>
  <c r="I622" i="10"/>
  <c r="I630" i="10"/>
  <c r="I638" i="10"/>
  <c r="I646" i="10"/>
  <c r="I654" i="10"/>
  <c r="I662" i="10"/>
  <c r="I670" i="10"/>
  <c r="I678" i="10"/>
  <c r="K695" i="10"/>
  <c r="I699" i="10"/>
  <c r="I703" i="10"/>
  <c r="I715" i="10"/>
  <c r="K716" i="10"/>
  <c r="I719" i="10"/>
  <c r="I609" i="10"/>
  <c r="I617" i="10"/>
  <c r="I625" i="10"/>
  <c r="I633" i="10"/>
  <c r="I641" i="10"/>
  <c r="I649" i="10"/>
  <c r="I657" i="10"/>
  <c r="I665" i="10"/>
  <c r="I673" i="10"/>
  <c r="I681" i="10"/>
  <c r="I688" i="10"/>
  <c r="K703" i="10"/>
  <c r="I707" i="10"/>
  <c r="I711" i="10"/>
  <c r="I718" i="10"/>
  <c r="I726" i="10"/>
  <c r="K609" i="10"/>
  <c r="I612" i="10"/>
  <c r="K617" i="10"/>
  <c r="I620" i="10"/>
  <c r="K625" i="10"/>
  <c r="I628" i="10"/>
  <c r="K633" i="10"/>
  <c r="I636" i="10"/>
  <c r="K641" i="10"/>
  <c r="I644" i="10"/>
  <c r="K649" i="10"/>
  <c r="I652" i="10"/>
  <c r="K657" i="10"/>
  <c r="I660" i="10"/>
  <c r="K665" i="10"/>
  <c r="I668" i="10"/>
  <c r="K673" i="10"/>
  <c r="I676" i="10"/>
  <c r="K681" i="10"/>
  <c r="I685" i="10"/>
  <c r="I696" i="10"/>
  <c r="K700" i="10"/>
  <c r="K711" i="10"/>
  <c r="I599" i="10"/>
  <c r="K604" i="10"/>
  <c r="I607" i="10"/>
  <c r="I615" i="10"/>
  <c r="I623" i="10"/>
  <c r="I631" i="10"/>
  <c r="I639" i="10"/>
  <c r="I647" i="10"/>
  <c r="I655" i="10"/>
  <c r="I663" i="10"/>
  <c r="I671" i="10"/>
  <c r="I679" i="10"/>
  <c r="I689" i="10"/>
  <c r="I693" i="10"/>
  <c r="I704" i="10"/>
  <c r="K708" i="10"/>
  <c r="K559" i="10"/>
  <c r="I562" i="10"/>
  <c r="K567" i="10"/>
  <c r="I570" i="10"/>
  <c r="K575" i="10"/>
  <c r="I578" i="10"/>
  <c r="I586" i="10"/>
  <c r="I594" i="10"/>
  <c r="K599" i="10"/>
  <c r="I602" i="10"/>
  <c r="I610" i="10"/>
  <c r="I618" i="10"/>
  <c r="I626" i="10"/>
  <c r="I634" i="10"/>
  <c r="I642" i="10"/>
  <c r="I650" i="10"/>
  <c r="I658" i="10"/>
  <c r="I666" i="10"/>
  <c r="I674" i="10"/>
  <c r="I682" i="10"/>
  <c r="I686" i="10"/>
  <c r="I697" i="10"/>
  <c r="I701" i="10"/>
  <c r="I712" i="10"/>
  <c r="I735" i="10"/>
  <c r="I738" i="10"/>
  <c r="K724" i="10"/>
  <c r="I727" i="10"/>
  <c r="I733" i="10"/>
  <c r="K740" i="10"/>
  <c r="I744" i="10"/>
  <c r="I748" i="10"/>
  <c r="I759" i="10"/>
  <c r="K763" i="10"/>
  <c r="K780" i="10"/>
  <c r="I782" i="10"/>
  <c r="I784" i="10"/>
  <c r="K719" i="10"/>
  <c r="I722" i="10"/>
  <c r="K727" i="10"/>
  <c r="I730" i="10"/>
  <c r="K733" i="10"/>
  <c r="I737" i="10"/>
  <c r="I741" i="10"/>
  <c r="K748" i="10"/>
  <c r="I752" i="10"/>
  <c r="I756" i="10"/>
  <c r="I767" i="10"/>
  <c r="K771" i="10"/>
  <c r="K782" i="10"/>
  <c r="I783" i="10"/>
  <c r="I717" i="10"/>
  <c r="K722" i="10"/>
  <c r="I725" i="10"/>
  <c r="K730" i="10"/>
  <c r="I734" i="10"/>
  <c r="K737" i="10"/>
  <c r="K741" i="10"/>
  <c r="I745" i="10"/>
  <c r="I749" i="10"/>
  <c r="K756" i="10"/>
  <c r="I760" i="10"/>
  <c r="I764" i="10"/>
  <c r="I772" i="10"/>
  <c r="I742" i="10"/>
  <c r="K749" i="10"/>
  <c r="I753" i="10"/>
  <c r="I757" i="10"/>
  <c r="I768" i="10"/>
  <c r="K772" i="10"/>
  <c r="I773" i="10"/>
  <c r="I792" i="10"/>
  <c r="I723" i="10"/>
  <c r="K738" i="10"/>
  <c r="K742" i="10"/>
  <c r="I746" i="10"/>
  <c r="I750" i="10"/>
  <c r="I761" i="10"/>
  <c r="I765" i="10"/>
  <c r="K773" i="10"/>
  <c r="K789" i="10"/>
  <c r="K750" i="10"/>
  <c r="I754" i="10"/>
  <c r="I758" i="10"/>
  <c r="I769" i="10"/>
  <c r="I774" i="10"/>
  <c r="I721" i="10"/>
  <c r="I729" i="10"/>
  <c r="I732" i="10"/>
  <c r="I743" i="10"/>
  <c r="K758" i="10"/>
  <c r="I762" i="10"/>
  <c r="I766" i="10"/>
  <c r="K774" i="10"/>
  <c r="I775" i="10"/>
  <c r="I776" i="10"/>
  <c r="I684" i="10"/>
  <c r="K689" i="10"/>
  <c r="I692" i="10"/>
  <c r="K697" i="10"/>
  <c r="I700" i="10"/>
  <c r="K705" i="10"/>
  <c r="I708" i="10"/>
  <c r="I716" i="10"/>
  <c r="I724" i="10"/>
  <c r="I736" i="10"/>
  <c r="I740" i="10"/>
  <c r="I751" i="10"/>
  <c r="K766" i="10"/>
  <c r="I770" i="10"/>
  <c r="I777" i="10"/>
  <c r="K779" i="10"/>
  <c r="I780" i="10"/>
  <c r="K781" i="10"/>
  <c r="I785" i="10"/>
  <c r="K790" i="10"/>
  <c r="I793" i="10"/>
  <c r="K798" i="10"/>
  <c r="I801" i="10"/>
  <c r="K806" i="10"/>
  <c r="I809" i="10"/>
  <c r="K814" i="10"/>
  <c r="I817" i="10"/>
  <c r="I828" i="10"/>
  <c r="K832" i="10"/>
  <c r="K839" i="10"/>
  <c r="K843" i="10"/>
  <c r="I847" i="10"/>
  <c r="I852" i="10"/>
  <c r="I788" i="10"/>
  <c r="I796" i="10"/>
  <c r="I804" i="10"/>
  <c r="I812" i="10"/>
  <c r="I821" i="10"/>
  <c r="I825" i="10"/>
  <c r="I836" i="10"/>
  <c r="K847" i="10"/>
  <c r="I863" i="10"/>
  <c r="K788" i="10"/>
  <c r="I791" i="10"/>
  <c r="K796" i="10"/>
  <c r="I799" i="10"/>
  <c r="K804" i="10"/>
  <c r="I807" i="10"/>
  <c r="K812" i="10"/>
  <c r="I815" i="10"/>
  <c r="I818" i="10"/>
  <c r="I829" i="10"/>
  <c r="I833" i="10"/>
  <c r="I844" i="10"/>
  <c r="I854" i="10"/>
  <c r="I862" i="10"/>
  <c r="I778" i="10"/>
  <c r="I786" i="10"/>
  <c r="I794" i="10"/>
  <c r="I802" i="10"/>
  <c r="I810" i="10"/>
  <c r="K818" i="10"/>
  <c r="I822" i="10"/>
  <c r="I826" i="10"/>
  <c r="I837" i="10"/>
  <c r="I841" i="10"/>
  <c r="I855" i="10"/>
  <c r="I781" i="10"/>
  <c r="I789" i="10"/>
  <c r="I797" i="10"/>
  <c r="I805" i="10"/>
  <c r="I813" i="10"/>
  <c r="I819" i="10"/>
  <c r="I830" i="10"/>
  <c r="I834" i="10"/>
  <c r="I845" i="10"/>
  <c r="I849" i="10"/>
  <c r="K855" i="10"/>
  <c r="K856" i="10"/>
  <c r="I860" i="10"/>
  <c r="K797" i="10"/>
  <c r="I800" i="10"/>
  <c r="K805" i="10"/>
  <c r="I808" i="10"/>
  <c r="K813" i="10"/>
  <c r="I816" i="10"/>
  <c r="K819" i="10"/>
  <c r="I823" i="10"/>
  <c r="I827" i="10"/>
  <c r="I838" i="10"/>
  <c r="I842" i="10"/>
  <c r="I850" i="10"/>
  <c r="K859" i="10"/>
  <c r="I731" i="10"/>
  <c r="I739" i="10"/>
  <c r="K744" i="10"/>
  <c r="I747" i="10"/>
  <c r="I755" i="10"/>
  <c r="K760" i="10"/>
  <c r="I763" i="10"/>
  <c r="K768" i="10"/>
  <c r="I771" i="10"/>
  <c r="K776" i="10"/>
  <c r="I779" i="10"/>
  <c r="K784" i="10"/>
  <c r="I787" i="10"/>
  <c r="K792" i="10"/>
  <c r="I795" i="10"/>
  <c r="K800" i="10"/>
  <c r="I803" i="10"/>
  <c r="K808" i="10"/>
  <c r="I811" i="10"/>
  <c r="K816" i="10"/>
  <c r="K823" i="10"/>
  <c r="K827" i="10"/>
  <c r="I831" i="10"/>
  <c r="I835" i="10"/>
  <c r="K838" i="10"/>
  <c r="K842" i="10"/>
  <c r="I846" i="10"/>
  <c r="I851" i="10"/>
  <c r="I857" i="10"/>
  <c r="I858" i="10"/>
  <c r="I790" i="10"/>
  <c r="I798" i="10"/>
  <c r="I806" i="10"/>
  <c r="I814" i="10"/>
  <c r="I820" i="10"/>
  <c r="K824" i="10"/>
  <c r="K835" i="10"/>
  <c r="I839" i="10"/>
  <c r="I843" i="10"/>
  <c r="K851" i="10"/>
  <c r="I868" i="10"/>
  <c r="I876" i="10"/>
  <c r="I884" i="10"/>
  <c r="I892" i="10"/>
  <c r="I900" i="10"/>
  <c r="I908" i="10"/>
  <c r="I916" i="10"/>
  <c r="I924" i="10"/>
  <c r="I932" i="10"/>
  <c r="I940" i="10"/>
  <c r="I871" i="10"/>
  <c r="I879" i="10"/>
  <c r="I887" i="10"/>
  <c r="I895" i="10"/>
  <c r="I903" i="10"/>
  <c r="I911" i="10"/>
  <c r="I919" i="10"/>
  <c r="I927" i="10"/>
  <c r="I935" i="10"/>
  <c r="I943" i="10"/>
  <c r="I866" i="10"/>
  <c r="I874" i="10"/>
  <c r="I882" i="10"/>
  <c r="I890" i="10"/>
  <c r="I898" i="10"/>
  <c r="I906" i="10"/>
  <c r="I914" i="10"/>
  <c r="I922" i="10"/>
  <c r="I930" i="10"/>
  <c r="I938" i="10"/>
  <c r="I853" i="10"/>
  <c r="I861" i="10"/>
  <c r="I869" i="10"/>
  <c r="I877" i="10"/>
  <c r="I885" i="10"/>
  <c r="I893" i="10"/>
  <c r="I901" i="10"/>
  <c r="I909" i="10"/>
  <c r="I917" i="10"/>
  <c r="I925" i="10"/>
  <c r="I933" i="10"/>
  <c r="I941" i="10"/>
  <c r="I824" i="10"/>
  <c r="I832" i="10"/>
  <c r="I840" i="10"/>
  <c r="I848" i="10"/>
  <c r="I856" i="10"/>
  <c r="K861" i="10"/>
  <c r="I864" i="10"/>
  <c r="K869" i="10"/>
  <c r="I872" i="10"/>
  <c r="K877" i="10"/>
  <c r="I880" i="10"/>
  <c r="I888" i="10"/>
  <c r="I896" i="10"/>
  <c r="I904" i="10"/>
  <c r="I912" i="10"/>
  <c r="I920" i="10"/>
  <c r="I928" i="10"/>
  <c r="I936" i="10"/>
  <c r="I859" i="10"/>
  <c r="K864" i="10"/>
  <c r="I867" i="10"/>
  <c r="K872" i="10"/>
  <c r="I875" i="10"/>
  <c r="K880" i="10"/>
  <c r="I883" i="10"/>
  <c r="K888" i="10"/>
  <c r="I891" i="10"/>
  <c r="K896" i="10"/>
  <c r="I899" i="10"/>
  <c r="K904" i="10"/>
  <c r="I907" i="10"/>
  <c r="K912" i="10"/>
  <c r="I915" i="10"/>
  <c r="K920" i="10"/>
  <c r="I923" i="10"/>
  <c r="I931" i="10"/>
  <c r="I939" i="10"/>
  <c r="K867" i="10"/>
  <c r="I870" i="10"/>
  <c r="K875" i="10"/>
  <c r="I878" i="10"/>
  <c r="K883" i="10"/>
  <c r="I886" i="10"/>
  <c r="K891" i="10"/>
  <c r="I894" i="10"/>
  <c r="K899" i="10"/>
  <c r="I902" i="10"/>
  <c r="K907" i="10"/>
  <c r="I910" i="10"/>
  <c r="K915" i="10"/>
  <c r="I918" i="10"/>
  <c r="K923" i="10"/>
  <c r="I926" i="10"/>
  <c r="K931" i="10"/>
  <c r="I934" i="10"/>
  <c r="K939" i="10"/>
  <c r="I942" i="10"/>
  <c r="I865" i="10"/>
  <c r="I873" i="10"/>
  <c r="I881" i="10"/>
  <c r="I889" i="10"/>
  <c r="I897" i="10"/>
  <c r="I905" i="10"/>
  <c r="I913" i="10"/>
  <c r="K918" i="10"/>
  <c r="I921" i="10"/>
  <c r="K926" i="10"/>
  <c r="I929" i="10"/>
  <c r="K934" i="10"/>
  <c r="I937" i="10"/>
  <c r="K942" i="10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K391" i="10"/>
  <c r="K397" i="10"/>
  <c r="K381" i="10"/>
  <c r="K383" i="10"/>
  <c r="K387" i="10"/>
  <c r="K399" i="10"/>
  <c r="K460" i="10"/>
  <c r="K464" i="10"/>
  <c r="K468" i="10"/>
  <c r="K472" i="10"/>
  <c r="K476" i="10"/>
  <c r="K480" i="10"/>
  <c r="K484" i="10"/>
  <c r="K488" i="10"/>
  <c r="K492" i="10"/>
  <c r="K494" i="10"/>
  <c r="K496" i="10"/>
  <c r="K508" i="10"/>
  <c r="K389" i="10"/>
  <c r="K393" i="10"/>
  <c r="K401" i="10"/>
  <c r="K385" i="10"/>
  <c r="K403" i="10"/>
  <c r="K379" i="10"/>
  <c r="K395" i="10"/>
  <c r="K405" i="10"/>
  <c r="K407" i="10"/>
  <c r="K409" i="10"/>
  <c r="K411" i="10"/>
  <c r="K413" i="10"/>
  <c r="K415" i="10"/>
  <c r="K417" i="10"/>
  <c r="K419" i="10"/>
  <c r="K421" i="10"/>
  <c r="K423" i="10"/>
  <c r="K425" i="10"/>
  <c r="K427" i="10"/>
  <c r="K429" i="10"/>
  <c r="K431" i="10"/>
  <c r="K433" i="10"/>
  <c r="K435" i="10"/>
  <c r="K437" i="10"/>
  <c r="K439" i="10"/>
  <c r="K441" i="10"/>
  <c r="K443" i="10"/>
  <c r="K445" i="10"/>
  <c r="K447" i="10"/>
  <c r="K449" i="10"/>
  <c r="K451" i="10"/>
  <c r="K453" i="10"/>
  <c r="K455" i="10"/>
  <c r="K457" i="10"/>
  <c r="K459" i="10"/>
  <c r="K463" i="10"/>
  <c r="K465" i="10"/>
  <c r="K467" i="10"/>
  <c r="K471" i="10"/>
  <c r="K473" i="10"/>
  <c r="K477" i="10"/>
  <c r="K479" i="10"/>
  <c r="K481" i="10"/>
  <c r="K489" i="10"/>
  <c r="K493" i="10"/>
  <c r="K495" i="10"/>
  <c r="K501" i="10"/>
  <c r="K520" i="10"/>
  <c r="K516" i="10"/>
  <c r="K515" i="10"/>
  <c r="K475" i="10"/>
  <c r="K511" i="10"/>
  <c r="K512" i="10"/>
  <c r="K528" i="10"/>
  <c r="K530" i="10"/>
  <c r="K532" i="10"/>
  <c r="K536" i="10"/>
  <c r="K538" i="10"/>
  <c r="K540" i="10"/>
  <c r="K544" i="10"/>
  <c r="K546" i="10"/>
  <c r="K548" i="10"/>
  <c r="K552" i="10"/>
  <c r="K554" i="10"/>
  <c r="K556" i="10"/>
  <c r="K560" i="10"/>
  <c r="K562" i="10"/>
  <c r="K568" i="10"/>
  <c r="K572" i="10"/>
  <c r="K576" i="10"/>
  <c r="K580" i="10"/>
  <c r="K584" i="10"/>
  <c r="K588" i="10"/>
  <c r="K596" i="10"/>
  <c r="K483" i="10"/>
  <c r="K491" i="10"/>
  <c r="K499" i="10"/>
  <c r="K507" i="10"/>
  <c r="K503" i="10"/>
  <c r="K504" i="10"/>
  <c r="K517" i="10"/>
  <c r="K523" i="10"/>
  <c r="K525" i="10"/>
  <c r="K527" i="10"/>
  <c r="K531" i="10"/>
  <c r="K533" i="10"/>
  <c r="K535" i="10"/>
  <c r="K539" i="10"/>
  <c r="K541" i="10"/>
  <c r="K547" i="10"/>
  <c r="K549" i="10"/>
  <c r="K555" i="10"/>
  <c r="K561" i="10"/>
  <c r="K563" i="10"/>
  <c r="K569" i="10"/>
  <c r="K577" i="10"/>
  <c r="K579" i="10"/>
  <c r="K583" i="10"/>
  <c r="K587" i="10"/>
  <c r="K591" i="10"/>
  <c r="K590" i="10"/>
  <c r="K603" i="10"/>
  <c r="K606" i="10"/>
  <c r="K595" i="10"/>
  <c r="K608" i="10"/>
  <c r="K612" i="10"/>
  <c r="K614" i="10"/>
  <c r="K616" i="10"/>
  <c r="K620" i="10"/>
  <c r="K622" i="10"/>
  <c r="K624" i="10"/>
  <c r="K628" i="10"/>
  <c r="K630" i="10"/>
  <c r="K632" i="10"/>
  <c r="K634" i="10"/>
  <c r="K636" i="10"/>
  <c r="K638" i="10"/>
  <c r="K640" i="10"/>
  <c r="K642" i="10"/>
  <c r="K644" i="10"/>
  <c r="K646" i="10"/>
  <c r="K648" i="10"/>
  <c r="K650" i="10"/>
  <c r="K652" i="10"/>
  <c r="K654" i="10"/>
  <c r="K656" i="10"/>
  <c r="K658" i="10"/>
  <c r="K660" i="10"/>
  <c r="K662" i="10"/>
  <c r="K664" i="10"/>
  <c r="K666" i="10"/>
  <c r="K668" i="10"/>
  <c r="K670" i="10"/>
  <c r="K672" i="10"/>
  <c r="K674" i="10"/>
  <c r="K676" i="10"/>
  <c r="K678" i="10"/>
  <c r="K680" i="10"/>
  <c r="K682" i="10"/>
  <c r="K684" i="10"/>
  <c r="K692" i="10"/>
  <c r="K698" i="10"/>
  <c r="K702" i="10"/>
  <c r="K706" i="10"/>
  <c r="K710" i="10"/>
  <c r="K714" i="10"/>
  <c r="K558" i="10"/>
  <c r="K566" i="10"/>
  <c r="K598" i="10"/>
  <c r="K574" i="10"/>
  <c r="K607" i="10"/>
  <c r="K582" i="10"/>
  <c r="K611" i="10"/>
  <c r="K615" i="10"/>
  <c r="K619" i="10"/>
  <c r="K623" i="10"/>
  <c r="K627" i="10"/>
  <c r="K631" i="10"/>
  <c r="K635" i="10"/>
  <c r="K639" i="10"/>
  <c r="K643" i="10"/>
  <c r="K647" i="10"/>
  <c r="K651" i="10"/>
  <c r="K655" i="10"/>
  <c r="K659" i="10"/>
  <c r="K663" i="10"/>
  <c r="K667" i="10"/>
  <c r="K671" i="10"/>
  <c r="K675" i="10"/>
  <c r="K679" i="10"/>
  <c r="K683" i="10"/>
  <c r="K685" i="10"/>
  <c r="K691" i="10"/>
  <c r="K693" i="10"/>
  <c r="K699" i="10"/>
  <c r="K701" i="10"/>
  <c r="K707" i="10"/>
  <c r="K715" i="10"/>
  <c r="K713" i="10"/>
  <c r="K731" i="10"/>
  <c r="K720" i="10"/>
  <c r="K723" i="10"/>
  <c r="K688" i="10"/>
  <c r="K717" i="10"/>
  <c r="K718" i="10"/>
  <c r="K726" i="10"/>
  <c r="K736" i="10"/>
  <c r="K746" i="10"/>
  <c r="K752" i="10"/>
  <c r="K754" i="10"/>
  <c r="K762" i="10"/>
  <c r="K764" i="10"/>
  <c r="K770" i="10"/>
  <c r="K778" i="10"/>
  <c r="K696" i="10"/>
  <c r="K739" i="10"/>
  <c r="K704" i="10"/>
  <c r="K725" i="10"/>
  <c r="K729" i="10"/>
  <c r="K732" i="10"/>
  <c r="K712" i="10"/>
  <c r="K721" i="10"/>
  <c r="K728" i="10"/>
  <c r="K743" i="10"/>
  <c r="K745" i="10"/>
  <c r="K747" i="10"/>
  <c r="K753" i="10"/>
  <c r="K755" i="10"/>
  <c r="K757" i="10"/>
  <c r="K761" i="10"/>
  <c r="K765" i="10"/>
  <c r="K769" i="10"/>
  <c r="K767" i="10"/>
  <c r="K783" i="10"/>
  <c r="K787" i="10"/>
  <c r="K794" i="10"/>
  <c r="K802" i="10"/>
  <c r="K810" i="10"/>
  <c r="K822" i="10"/>
  <c r="K826" i="10"/>
  <c r="K830" i="10"/>
  <c r="K834" i="10"/>
  <c r="K840" i="10"/>
  <c r="K846" i="10"/>
  <c r="K848" i="10"/>
  <c r="K850" i="10"/>
  <c r="K854" i="10"/>
  <c r="K858" i="10"/>
  <c r="K735" i="10"/>
  <c r="K775" i="10"/>
  <c r="K786" i="10"/>
  <c r="K791" i="10"/>
  <c r="K751" i="10"/>
  <c r="K777" i="10"/>
  <c r="K785" i="10"/>
  <c r="K759" i="10"/>
  <c r="K793" i="10"/>
  <c r="K795" i="10"/>
  <c r="K799" i="10"/>
  <c r="K801" i="10"/>
  <c r="K803" i="10"/>
  <c r="K807" i="10"/>
  <c r="K809" i="10"/>
  <c r="K811" i="10"/>
  <c r="K815" i="10"/>
  <c r="K817" i="10"/>
  <c r="K821" i="10"/>
  <c r="K825" i="10"/>
  <c r="K829" i="10"/>
  <c r="K831" i="10"/>
  <c r="K833" i="10"/>
  <c r="K837" i="10"/>
  <c r="K841" i="10"/>
  <c r="K845" i="10"/>
  <c r="K853" i="10"/>
  <c r="K836" i="10"/>
  <c r="K863" i="10"/>
  <c r="K844" i="10"/>
  <c r="K862" i="10"/>
  <c r="K849" i="10"/>
  <c r="K860" i="10"/>
  <c r="K866" i="10"/>
  <c r="K868" i="10"/>
  <c r="K870" i="10"/>
  <c r="K874" i="10"/>
  <c r="K876" i="10"/>
  <c r="K878" i="10"/>
  <c r="K882" i="10"/>
  <c r="K884" i="10"/>
  <c r="K886" i="10"/>
  <c r="K890" i="10"/>
  <c r="K892" i="10"/>
  <c r="K894" i="10"/>
  <c r="K898" i="10"/>
  <c r="K900" i="10"/>
  <c r="K902" i="10"/>
  <c r="K906" i="10"/>
  <c r="K908" i="10"/>
  <c r="K910" i="10"/>
  <c r="K914" i="10"/>
  <c r="K916" i="10"/>
  <c r="K922" i="10"/>
  <c r="K924" i="10"/>
  <c r="K928" i="10"/>
  <c r="K930" i="10"/>
  <c r="K932" i="10"/>
  <c r="K936" i="10"/>
  <c r="K938" i="10"/>
  <c r="K940" i="10"/>
  <c r="K857" i="10"/>
  <c r="K865" i="10"/>
  <c r="K820" i="10"/>
  <c r="K828" i="10"/>
  <c r="K852" i="10"/>
  <c r="K871" i="10"/>
  <c r="K873" i="10"/>
  <c r="K879" i="10"/>
  <c r="K881" i="10"/>
  <c r="K885" i="10"/>
  <c r="K887" i="10"/>
  <c r="K889" i="10"/>
  <c r="K893" i="10"/>
  <c r="K895" i="10"/>
  <c r="K897" i="10"/>
  <c r="K901" i="10"/>
  <c r="K903" i="10"/>
  <c r="K905" i="10"/>
  <c r="K909" i="10"/>
  <c r="K911" i="10"/>
  <c r="K913" i="10"/>
  <c r="K917" i="10"/>
  <c r="K919" i="10"/>
  <c r="K921" i="10"/>
  <c r="K925" i="10"/>
  <c r="K927" i="10"/>
  <c r="K929" i="10"/>
  <c r="K933" i="10"/>
  <c r="K935" i="10"/>
  <c r="K937" i="10"/>
  <c r="K941" i="10"/>
  <c r="K943" i="10"/>
</calcChain>
</file>

<file path=xl/sharedStrings.xml><?xml version="1.0" encoding="utf-8"?>
<sst xmlns="http://schemas.openxmlformats.org/spreadsheetml/2006/main" count="4624" uniqueCount="714">
  <si>
    <t>Pokemon level</t>
  </si>
  <si>
    <t>Stardust</t>
  </si>
  <si>
    <t>Candies</t>
  </si>
  <si>
    <t>Stardust to this level</t>
  </si>
  <si>
    <t>#</t>
  </si>
  <si>
    <t>Candies to this level</t>
  </si>
  <si>
    <t>TotalCpMultiplier</t>
  </si>
  <si>
    <t>Pokémon</t>
  </si>
  <si>
    <t>Stamina</t>
  </si>
  <si>
    <t>Ndex</t>
  </si>
  <si>
    <t>TotalCpMultiplier^2</t>
  </si>
  <si>
    <t>Delta(TCpM^2)</t>
  </si>
  <si>
    <t>Trainer level</t>
  </si>
  <si>
    <t>Notes</t>
  </si>
  <si>
    <t>Min CP/Lvl</t>
  </si>
  <si>
    <t>Avg CP/Lvl</t>
  </si>
  <si>
    <t>Max CP/Lvl</t>
  </si>
  <si>
    <t>CP Multiplier/Evo</t>
  </si>
  <si>
    <t>Attack</t>
  </si>
  <si>
    <t>Defense</t>
  </si>
  <si>
    <t>HP Base Stat</t>
  </si>
  <si>
    <t>Max Total CP</t>
  </si>
  <si>
    <t>Max Total HP</t>
  </si>
  <si>
    <t>Bulbasaur</t>
  </si>
  <si>
    <t>~CP/PU combined</t>
  </si>
  <si>
    <t>CP Formula Error</t>
  </si>
  <si>
    <t>Ivysaur</t>
  </si>
  <si>
    <t>COMPUTATION-&gt;</t>
  </si>
  <si>
    <t>Venusaur</t>
  </si>
  <si>
    <t>Charmander</t>
  </si>
  <si>
    <t>~ CP/power up</t>
  </si>
  <si>
    <t>Charmeleon</t>
  </si>
  <si>
    <t>~CP multiplier/evolve</t>
  </si>
  <si>
    <t>Charizard</t>
  </si>
  <si>
    <t>Squirtle</t>
  </si>
  <si>
    <t>Wartortle</t>
  </si>
  <si>
    <t>CP/PU guess</t>
  </si>
  <si>
    <t>Blastoise</t>
  </si>
  <si>
    <t>Caterpie</t>
  </si>
  <si>
    <t>Metapod</t>
  </si>
  <si>
    <t>Butterfree</t>
  </si>
  <si>
    <t>Weedle</t>
  </si>
  <si>
    <t>SUM(~CP/power up) (PU data)</t>
  </si>
  <si>
    <t>SUM(~CP/power up) (How much)</t>
  </si>
  <si>
    <t>Kakuna</t>
  </si>
  <si>
    <t>COUNT(~CP/power up) (PU data)</t>
  </si>
  <si>
    <t>COUNT(~CP / power up) (How much)</t>
  </si>
  <si>
    <t>CP/EVO min/max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</si>
  <si>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</si>
  <si>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</si>
  <si>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</si>
  <si>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</si>
  <si>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</si>
  <si>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</si>
  <si>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</si>
  <si>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</si>
  <si>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</si>
  <si>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</si>
  <si>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</si>
  <si>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</si>
  <si>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</si>
  <si>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</si>
  <si>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♀</t>
  </si>
  <si>
    <t>Nidorina</t>
  </si>
  <si>
    <t>Nidoqueen</t>
  </si>
  <si>
    <t>Nidoran 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</si>
  <si>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</si>
  <si>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</si>
  <si>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</si>
  <si>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</si>
  <si>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</si>
  <si>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</si>
  <si>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</si>
  <si>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</si>
  <si>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</si>
  <si>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</si>
  <si>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</si>
  <si>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</si>
  <si>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</si>
  <si>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</si>
  <si>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</si>
  <si>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</si>
  <si>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</si>
  <si>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</si>
  <si>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</si>
  <si>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</si>
  <si>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</si>
  <si>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</si>
  <si>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</si>
  <si>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</si>
  <si>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</si>
  <si>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</si>
  <si>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</si>
  <si>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</si>
  <si>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</si>
  <si>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</si>
  <si>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</si>
  <si>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</si>
  <si>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</si>
  <si>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</si>
  <si>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</si>
  <si>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</si>
  <si>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</si>
  <si>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</si>
  <si>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</si>
  <si>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</si>
  <si>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</si>
  <si>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</si>
  <si>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</si>
  <si>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</si>
  <si>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</si>
  <si>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</si>
  <si>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</si>
  <si>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</si>
  <si>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</si>
  <si>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</si>
  <si>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</si>
  <si>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</si>
  <si>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</si>
  <si>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</si>
  <si>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</si>
  <si>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</si>
  <si>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</si>
  <si>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</si>
  <si>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</si>
  <si>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</si>
  <si>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</si>
  <si>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</si>
  <si>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</si>
  <si>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</si>
  <si>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</si>
  <si>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</si>
  <si>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</si>
  <si>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</si>
  <si>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</si>
  <si>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</si>
  <si>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</si>
  <si>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</si>
  <si>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</si>
  <si>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</si>
  <si>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</si>
  <si>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</si>
  <si>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</si>
  <si>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</si>
  <si>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</si>
  <si>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</si>
  <si>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</si>
  <si>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</si>
  <si>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</si>
  <si>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</si>
  <si>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</si>
  <si>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</si>
  <si>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</si>
  <si>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</si>
  <si>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</si>
  <si>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</si>
  <si>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</si>
  <si>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</si>
  <si>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</si>
  <si>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</si>
  <si>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</si>
  <si>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</si>
  <si>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</si>
  <si>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</si>
  <si>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</si>
  <si>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</si>
  <si>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</si>
  <si>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</si>
  <si>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</si>
  <si>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</si>
  <si>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</si>
  <si>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</si>
  <si>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</si>
  <si>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</si>
  <si>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</si>
  <si>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</si>
  <si>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</si>
  <si>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</si>
  <si>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</si>
  <si>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</si>
  <si>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</si>
  <si>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</si>
  <si>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</si>
  <si>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</si>
  <si>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</si>
  <si>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Max egg</t>
  </si>
  <si>
    <t>Max encounter</t>
  </si>
  <si>
    <t>TCPM^2/level halved</t>
  </si>
  <si>
    <t>Max level</t>
  </si>
  <si>
    <t>Attacking\Defending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</si>
  <si>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</si>
  <si>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</si>
  <si>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</si>
  <si>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</si>
  <si>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</si>
  <si>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</si>
  <si>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</si>
  <si>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</si>
  <si>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</si>
  <si>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</si>
  <si>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</si>
  <si>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</si>
  <si>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</si>
  <si>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</si>
  <si>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</si>
  <si>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</si>
  <si>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</si>
  <si>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</si>
  <si>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Pokemon</t>
  </si>
  <si>
    <t>Basic</t>
  </si>
  <si>
    <t>Special</t>
  </si>
  <si>
    <t>Vine Whip, Tackle</t>
  </si>
  <si>
    <t>Sludge Bomb, Seed Bomb, Power Whip</t>
  </si>
  <si>
    <t>Razor Leaf, Vine Whip</t>
  </si>
  <si>
    <t>Sludge Bomb, Solar Beam, Power Whip</t>
  </si>
  <si>
    <t>Sludge Bomb, Petal Blizzard, Solar Beam</t>
  </si>
  <si>
    <t>Ember, Scratch</t>
  </si>
  <si>
    <t>Flame Charge, Flame Burst, Flamethrower</t>
  </si>
  <si>
    <t>Fire Punch, Flame Burst, Flamethrower</t>
  </si>
  <si>
    <t>Ember, Wing Attack</t>
  </si>
  <si>
    <t>Fire Blast, Dragon Claw, Flamethrower</t>
  </si>
  <si>
    <t>Bubble, Tackle</t>
  </si>
  <si>
    <t>Aqua Jet, Aqua Tail, Water Pulse</t>
  </si>
  <si>
    <t>Water Gun, Bite</t>
  </si>
  <si>
    <t>Aqua Jet, Ice Beam, Hydro Pump</t>
  </si>
  <si>
    <t>Flash Cannon, Ice Beam, Hydro Pump</t>
  </si>
  <si>
    <t>Bug Bite, Tackle</t>
  </si>
  <si>
    <t>Struggle</t>
  </si>
  <si>
    <t>Bug Bite, Confusion</t>
  </si>
  <si>
    <t>Bug Buzz, Psychic, Signal Beam</t>
  </si>
  <si>
    <t>Bug Bite, Poison Sting</t>
  </si>
  <si>
    <t>Bug Bite, Poison Jab</t>
  </si>
  <si>
    <t>Sludge Bomb, Aerial Ace, X Scissor</t>
  </si>
  <si>
    <t>Quick Attack, Tackle</t>
  </si>
  <si>
    <t>Twister, Aerial Ace, Air Cutter</t>
  </si>
  <si>
    <t>Wing Attack, Steel Wing</t>
  </si>
  <si>
    <t>Hurricane, Aerial Ace, Air Cutter</t>
  </si>
  <si>
    <t>Tackle, Quick Attack</t>
  </si>
  <si>
    <t>Dig, Hyper Fang, Body Slam</t>
  </si>
  <si>
    <t>Bite, Quick Attack</t>
  </si>
  <si>
    <t>Dig, Hyper Fang, Hyper Beam</t>
  </si>
  <si>
    <t>Peck, Quick Attack</t>
  </si>
  <si>
    <t>Aerial Ace, Drill Peck, Twister</t>
  </si>
  <si>
    <t>Peck, Steel Wing</t>
  </si>
  <si>
    <t>Aerial Ace, Drill Run, Twister</t>
  </si>
  <si>
    <t>Poison Sting, Acid</t>
  </si>
  <si>
    <t>Wrap, Sludge Bomb, Gunk Shot</t>
  </si>
  <si>
    <t>Bite, Acid</t>
  </si>
  <si>
    <t>Dark Pulse, Sludge Wave, Gunk Shot</t>
  </si>
  <si>
    <t>Thunder Shock, Quick Attack</t>
  </si>
  <si>
    <t>Discharge, Thunderbolt, Thunder</t>
  </si>
  <si>
    <t>Thunder Shock, Spark</t>
  </si>
  <si>
    <t>Brick Break, Thunder Punch, Thunder</t>
  </si>
  <si>
    <t>Scratch, Mud Shot</t>
  </si>
  <si>
    <t>Dig, Rock Slide, Rock Tomb</t>
  </si>
  <si>
    <t>Metal Claw, Mud Shot</t>
  </si>
  <si>
    <t>Earthquake, Rock Tomb, Bulldoze</t>
  </si>
  <si>
    <t>Nidoran</t>
  </si>
  <si>
    <t>Bite, Poison Sting</t>
  </si>
  <si>
    <t>Poison Fang, Body Slam, Sludge Bomb</t>
  </si>
  <si>
    <t>Poison Fang, Dig, Sludge Bomb</t>
  </si>
  <si>
    <t>Poison Jab, Bite</t>
  </si>
  <si>
    <t>Earthquake, Sludge Wave, Stone Edge</t>
  </si>
  <si>
    <t>Peck, Poison Sting</t>
  </si>
  <si>
    <t>Horn Attack, Body Slam, Sludge Bomb</t>
  </si>
  <si>
    <t>Poison Jab, Poison Sting</t>
  </si>
  <si>
    <t>Horn Attack, Dig, Sludge Bomb</t>
  </si>
  <si>
    <t>Poison Jab, Fury Cutter</t>
  </si>
  <si>
    <t>Earthquake, Sludge Wave, Megahorn</t>
  </si>
  <si>
    <t>Pound, Zen Headbutt</t>
  </si>
  <si>
    <t>Disarming Voice, Body Slam, Moonblast</t>
  </si>
  <si>
    <t>Dazzling Gleam, Psychic, Moonblast</t>
  </si>
  <si>
    <t>Quick Attack, Ember</t>
  </si>
  <si>
    <t>Body Slam, Flamethrower, Flame Charge</t>
  </si>
  <si>
    <t>Feint Attack, Ember</t>
  </si>
  <si>
    <t>Heat Wave, Flamethrower, Fire Blast</t>
  </si>
  <si>
    <t>Pound, Feint Attack</t>
  </si>
  <si>
    <t>Disarming Voice, Body Slam, Play Rough</t>
  </si>
  <si>
    <t>Dazzling Gleam, Hyper Beam, Play Rough</t>
  </si>
  <si>
    <t>Quick Attack, Bite</t>
  </si>
  <si>
    <t>Poison Fang, Air Cutter, Sludge Bomb</t>
  </si>
  <si>
    <t>Wing Attack, Bite</t>
  </si>
  <si>
    <t>Poison Fang, Air Cutter, Ominous Wind</t>
  </si>
  <si>
    <t>Razor Leaf, Acid</t>
  </si>
  <si>
    <t>Seed Bomb, Sludge Bomb, Moonblast</t>
  </si>
  <si>
    <t>Petal Blizzard, Sludge Bomb, Moonblast</t>
  </si>
  <si>
    <t>Petal Blizzard, Solar Beam, Moonblast</t>
  </si>
  <si>
    <t>Scratch, Bug Bite</t>
  </si>
  <si>
    <t>Cross Poison, X Scissor, Seed Bomb</t>
  </si>
  <si>
    <t>Bug Bite, Fury Cutter</t>
  </si>
  <si>
    <t>Cross Poison, X Scissor, Solar Beam</t>
  </si>
  <si>
    <t>Psybeam, Dazzling Gleam, Shadow Ball</t>
  </si>
  <si>
    <t>Poison Fang, Psychic, Bug Buzz</t>
  </si>
  <si>
    <t>Mud Shot, Scratch</t>
  </si>
  <si>
    <t>Dig, Mud Bomb, Rock Tomb</t>
  </si>
  <si>
    <t>Sucker Punch, Mud Shot</t>
  </si>
  <si>
    <t>Earthquake, Mud Bomb, Stone Edge</t>
  </si>
  <si>
    <t>Scratch, Bite</t>
  </si>
  <si>
    <t>Night Slash, Dark Pulse, Body Slam</t>
  </si>
  <si>
    <t>Scratch, Feint Attack</t>
  </si>
  <si>
    <t>Night Slash, Power Gem, Play Rough</t>
  </si>
  <si>
    <t>Water Gun, Zen Headbutt</t>
  </si>
  <si>
    <t>Psybeam, Aqua Tail, Cross Chop</t>
  </si>
  <si>
    <t>Water Gun, Confusion</t>
  </si>
  <si>
    <t>Psychic, Hydro Pump, Ice Beam</t>
  </si>
  <si>
    <t>Karate Chop, Scratch</t>
  </si>
  <si>
    <t>Cross Chop, Low Sweep, Brick Break</t>
  </si>
  <si>
    <t>Low Kick, Karate Chop</t>
  </si>
  <si>
    <t>Cross Chop, Low Sweep, Night Slash</t>
  </si>
  <si>
    <t>Ember, Bite</t>
  </si>
  <si>
    <t>Flame Wheel, Body Slam, Flamethrower</t>
  </si>
  <si>
    <t>Fire Fang, Bite</t>
  </si>
  <si>
    <t>Fire Blast, Flamethrower, Bulldoze</t>
  </si>
  <si>
    <t>Bubble, Mud Shot</t>
  </si>
  <si>
    <t>Bubble Beam, Mud Bomb, Body Slam</t>
  </si>
  <si>
    <t>Scald, Mud Bomb, Bubble Beam</t>
  </si>
  <si>
    <t>Hydro Pump, Submission, Ice Punch</t>
  </si>
  <si>
    <t>Zen Headbutt</t>
  </si>
  <si>
    <t>Psyshock, Signal Beam, Shadow Ball</t>
  </si>
  <si>
    <t>Psycho Cut, Confusion</t>
  </si>
  <si>
    <t>Psychic, Dazzling Gleam, Shadow Ball</t>
  </si>
  <si>
    <t>Low Sweep, Brick Break, Cross Chop</t>
  </si>
  <si>
    <t>Submission, Brick Break, Cross Chop</t>
  </si>
  <si>
    <t>Bullet Punch, Karate Chop</t>
  </si>
  <si>
    <t>Stone Edge, Submission, Cross Chop</t>
  </si>
  <si>
    <t>Vine Whip, Acid</t>
  </si>
  <si>
    <t>Power Whip, Sludge Bomb, Wrap</t>
  </si>
  <si>
    <t>Power Whip, Sludge Bomb, Seed Bomb</t>
  </si>
  <si>
    <t>Leaf Blade, Sludge Bomb, Solar Beam</t>
  </si>
  <si>
    <t>Bubble, Poison Sting</t>
  </si>
  <si>
    <t>Bubble Beam, Water Pulse, Wrap</t>
  </si>
  <si>
    <t>Acid, Poison Jab</t>
  </si>
  <si>
    <t>Hydro Pump, Sludge Wave, Blizzard</t>
  </si>
  <si>
    <t>Rock Throw, Tackle</t>
  </si>
  <si>
    <t>Rock Slide, Rock Tomb, Dig</t>
  </si>
  <si>
    <t>Rock Throw, Mud Shot</t>
  </si>
  <si>
    <t>Dig, Stone Edge, Rock Slide</t>
  </si>
  <si>
    <t>Stone Edge, Ancient Power, Earthquake</t>
  </si>
  <si>
    <t>Tackle, Ember</t>
  </si>
  <si>
    <t>Flame Charge, Flame Wheel, Fire Blast</t>
  </si>
  <si>
    <t>Reddit link</t>
  </si>
  <si>
    <t>Low Kick, Ember</t>
  </si>
  <si>
    <t>Fire Blast, Drill Run, Heat Wave</t>
  </si>
  <si>
    <t>Spreadsheet/Direct Link</t>
  </si>
  <si>
    <t>Information</t>
  </si>
  <si>
    <t>Credit</t>
  </si>
  <si>
    <t>Water Pulse, Psyshock, Psychic</t>
  </si>
  <si>
    <t>https://www.reddit.com/r/TheSilphRoad/comments/4takc1/guide_to_figuring_out_your_pokemons_level_from_cp/</t>
  </si>
  <si>
    <t>Water Pulse, Psychic, Ice Beam</t>
  </si>
  <si>
    <t>Spark, Thunder Shock</t>
  </si>
  <si>
    <t>Discharge, Magnet Bomb, Thunderbolt</t>
  </si>
  <si>
    <t>Discharge, Magnet Bomb, Flash Cannon</t>
  </si>
  <si>
    <t>Farfetchd</t>
  </si>
  <si>
    <t>Cut, Fury Cutter</t>
  </si>
  <si>
    <t>Aerial Ace, Air Cutter, Leaf Blade</t>
  </si>
  <si>
    <t>Drill Peck, Aerial Ace, Swift</t>
  </si>
  <si>
    <t>Feint Attack, Steel Wing</t>
  </si>
  <si>
    <t>Drill Peck, Aerial Ace, Air Cutter</t>
  </si>
  <si>
    <t>Ice Shard, Water Gun</t>
  </si>
  <si>
    <t>Aqua Jet, Icy Wind, Aqua Tail</t>
  </si>
  <si>
    <t>Frost Breath, Ice Shard</t>
  </si>
  <si>
    <t>Icy Wind, Aqua Jet, Blizzard</t>
  </si>
  <si>
    <t>Acid, Mud Slap</t>
  </si>
  <si>
    <t>Sludge, Mud Bomb, Sludge Bomb</t>
  </si>
  <si>
    <t>Dark Pulse, Gunk Shot, Sludge Wave</t>
  </si>
  <si>
    <t>Ice Shard, Tackle</t>
  </si>
  <si>
    <t>Bubble Beam, Water Pulse, Icy Wind</t>
  </si>
  <si>
    <t>Icy Wind, Hydro Pump, Blizzard</t>
  </si>
  <si>
    <t>Lick, Sucker Punch</t>
  </si>
  <si>
    <t>Ominous Wind, Dark Pulse, Sludge Bomb</t>
  </si>
  <si>
    <t>Shadow Claw, Lick</t>
  </si>
  <si>
    <t>Shadow Ball, Dark Pulse, Sludge Bomb</t>
  </si>
  <si>
    <t>https://docs.google.com/spreadsheets/d/19iql4aABmZ5oZ6YDE3LmZ8qcth3UoH52954WhjuiJow/edit#gid=1488557536</t>
  </si>
  <si>
    <t>Sucker Punch, Shadow Claw</t>
  </si>
  <si>
    <t>Shadow Ball, Dark Pulse, Sludge Wave</t>
  </si>
  <si>
    <t>Rock Slide, Stone Edge, Iron Head</t>
  </si>
  <si>
    <t>CP / HP ranges</t>
  </si>
  <si>
    <t>/u/__isitin__</t>
  </si>
  <si>
    <t>Pound, Confusion</t>
  </si>
  <si>
    <t>Psybeam, Psyshock, Psychic</t>
  </si>
  <si>
    <t>https://www.reddit.com/r/TheSilphRoad/comments/4se870/pokemon_cp_tier_list/</t>
  </si>
  <si>
    <t>Zen Headbutt, Confusion</t>
  </si>
  <si>
    <t>Psyshock, Psychic, Shadow Ball</t>
  </si>
  <si>
    <t>This</t>
  </si>
  <si>
    <t>Cp Tier list</t>
  </si>
  <si>
    <t>Vice Grip, Bubble Beam, Water Pulse</t>
  </si>
  <si>
    <t>/u/zehipp0</t>
  </si>
  <si>
    <t>Vice Grip, X Scissor, Water Pulse</t>
  </si>
  <si>
    <t>https://www.reddit.com/r/TheSilphRoad/comments/4t02rh/pokemon_hp_tier_list_and_formula/</t>
  </si>
  <si>
    <t>Spark, Tackle</t>
  </si>
  <si>
    <t>Discharge, Thunderbolt, Signal Beam</t>
  </si>
  <si>
    <t>Hp Tier list</t>
  </si>
  <si>
    <t>Discharge, Thunderbolt, Hyper Beam</t>
  </si>
  <si>
    <t>https://www.reddit.com/r/TheSilphRoad/comments/4t8hy8/the_best_of_all_max_evolved_pokemon_with_a_lot/</t>
  </si>
  <si>
    <t>Confusion</t>
  </si>
  <si>
    <t>Seed Bomb, Psychic, Ancient Power</t>
  </si>
  <si>
    <t>Confusion, Zen Headbutt</t>
  </si>
  <si>
    <t>https://docs.google.com/spreadsheets/d/1vj1nsbsIE7FVPFWE-ZRFNgoszfgfDJ1MiT81d8XbPug/htmlview?sle=true#</t>
  </si>
  <si>
    <t>Seed Bomb, Psychic, Solar Beam</t>
  </si>
  <si>
    <t>Mud Slap, Rock Smash</t>
  </si>
  <si>
    <t>Bone Club, Dig, Bulldoze</t>
  </si>
  <si>
    <t>Best Max Evolved Pokemon</t>
  </si>
  <si>
    <t>/u/Hamudra</t>
  </si>
  <si>
    <t>Bone Club, Dig, Earthquake</t>
  </si>
  <si>
    <t>https://www.reddit.com/r/TheSilphRoad/comments/4tbp3r/find_your_hidden_iv_scores_determine_which_ones/</t>
  </si>
  <si>
    <t>Low Kick, Rock Smash</t>
  </si>
  <si>
    <t>Stomp, Low Sweep, Stone Edge</t>
  </si>
  <si>
    <t>https://docs.google.com/spreadsheets/d/1QwBneWOabPdRPfWfoIMgCQFxzJqxbXddq7B_6xJbLdo/copy</t>
  </si>
  <si>
    <t>Bullet Punch, Rock Smash</t>
  </si>
  <si>
    <t>IV Calculator (direct link to make copy)</t>
  </si>
  <si>
    <t>Fire Punch, Ice Punch, Thunder Punch, Brick Break</t>
  </si>
  <si>
    <t>/u/RichiePantsBeGone</t>
  </si>
  <si>
    <t>Lick, Zen Headbutt</t>
  </si>
  <si>
    <t>https://www.reddit.com/r/TheSilphRoad/comments/4tkk75/updated_iv_calculator_automatically_calculate_ivs/</t>
  </si>
  <si>
    <t>Hyper Beam, Stomp, Power Whip</t>
  </si>
  <si>
    <t>Acid, Tackle</t>
  </si>
  <si>
    <t>Sludge, Sludge Bomb, Dark Pulse</t>
  </si>
  <si>
    <t>https://docs.google.com/spreadsheets/d/1wbtIc33K45iU1ScUnkB0PlslJ-eLaJlSZY47sPME2Uk/copy</t>
  </si>
  <si>
    <t>Auto IV Calculator (direct link to make copy)</t>
  </si>
  <si>
    <t>/u/aggixx</t>
  </si>
  <si>
    <t>https://www.reddit.com/r/TheSilphRoad/comments/4t0xo6/how_hpmaxstamina_is_calculated/</t>
  </si>
  <si>
    <t>Sludge Bomb, Shadow Ball, Dark Pulse</t>
  </si>
  <si>
    <t>N/A</t>
  </si>
  <si>
    <t>Exact Hp Formula</t>
  </si>
  <si>
    <t>Bulldoze, Horn Attack, Stomp</t>
  </si>
  <si>
    <t>Megahorn, Earthquake, Stone Edge</t>
  </si>
  <si>
    <t>https://www.reddit.com/r/TheSilphRoad/comments/4t7r4d/exact_pokemon_cp_formula/</t>
  </si>
  <si>
    <t>Psychic, Psybeam, Dazzling Gleam</t>
  </si>
  <si>
    <t>Exact Cp Formula</t>
  </si>
  <si>
    <t>Vine Whip</t>
  </si>
  <si>
    <t>/u/CpMultiplier</t>
  </si>
  <si>
    <t>Power Whip, Sludge Bomb, Solar Beam</t>
  </si>
  <si>
    <t>https://www.reddit.com/r/TheSilphRoad/comments/4s1cpq/xp_requirements_for_levels_so_far_125/</t>
  </si>
  <si>
    <t>Mud Slap, Low Kick</t>
  </si>
  <si>
    <t>Brick Break, Earthquake, Stomp</t>
  </si>
  <si>
    <t>XP Requirements</t>
  </si>
  <si>
    <t>Water Gun, Bubble</t>
  </si>
  <si>
    <t>/u/virodoran</t>
  </si>
  <si>
    <t>Bubble Beam, Dragon Pulse, Flash Cannon</t>
  </si>
  <si>
    <t>https://www.reddit.com/r/pokemongodev/comments/4t59t1/decoded_game_master_protobuf_file_v01_all_pokemon/</t>
  </si>
  <si>
    <t>Water Gun, Dragon Breath</t>
  </si>
  <si>
    <t>Blizzard, Dragon Pulse, Hydro Pump</t>
  </si>
  <si>
    <t>Peck, Mud Shot</t>
  </si>
  <si>
    <t>https://gist.github.com/anonymous/077d6dea82d58b8febde54ae9729b1bf</t>
  </si>
  <si>
    <t>Water Pulse, Horn Attack, Aqua Tail</t>
  </si>
  <si>
    <t>Peck, Poison Jab</t>
  </si>
  <si>
    <t>Decoded Settings Dump</t>
  </si>
  <si>
    <t>Icy Wind, Drill Run, Megahorn</t>
  </si>
  <si>
    <t>Quick Attack, Water Gun</t>
  </si>
  <si>
    <t>https://gist.github.com/anonymous/540700108cf0f051e11f70273e9e2590</t>
  </si>
  <si>
    <t>Swift, Bubble Beam, Power Gem</t>
  </si>
  <si>
    <t>Decoded Pokemon chart</t>
  </si>
  <si>
    <t>Hydro Pump, Power Gem, Psybeam</t>
  </si>
  <si>
    <t>Mime</t>
  </si>
  <si>
    <t>https://jsfiddle.net/cwkfga1w/embedded/result/</t>
  </si>
  <si>
    <t>Psybeam, Psychic, Shadow Ball</t>
  </si>
  <si>
    <t>Fury Cutter, Steel Wing</t>
  </si>
  <si>
    <t>All Pokemon's possible moves</t>
  </si>
  <si>
    <t>Night Slash, X Scissor, Bug Buzz</t>
  </si>
  <si>
    <t>Frost Breath, Pound</t>
  </si>
  <si>
    <t>Draining Kiss, Ice Punch, Psyshock</t>
  </si>
  <si>
    <t>https://www.reddit.com/r/TheSilphRoad/comments/4t0xo6/how_hpmaxstamina_is_calculated/d5e2jsv</t>
  </si>
  <si>
    <t>Thunder Shock, Low Kick</t>
  </si>
  <si>
    <t>Thunder Punch, Thunderbolt, Thunder</t>
  </si>
  <si>
    <t>Ember, Karate Chop</t>
  </si>
  <si>
    <t>IVs for hatched/lured mons &gt; captured</t>
  </si>
  <si>
    <t>Fire Blast, Fire Punch, Flamethrower</t>
  </si>
  <si>
    <t>From the dump</t>
  </si>
  <si>
    <t>Rock Smash, Fury Cutter</t>
  </si>
  <si>
    <t>STAB is 1.25x</t>
  </si>
  <si>
    <t>Vice Grip, X Scissor, Submission</t>
  </si>
  <si>
    <t>Tackle, Zen Headbutt</t>
  </si>
  <si>
    <t>Allowed upgrades above level = 2</t>
  </si>
  <si>
    <t>Horn Attack, Iron Head, Earthquake</t>
  </si>
  <si>
    <t>https://www.reddit.com/r/TheSilphRoad/comments/4tqd5j/pokemon_in_gyms_have_twice_their_usual_hp/</t>
  </si>
  <si>
    <t>Splash</t>
  </si>
  <si>
    <t>Dragon Breath, Bite</t>
  </si>
  <si>
    <t>Hydro Pump, Twister, Dragon Pulse</t>
  </si>
  <si>
    <t>Gym defenders have 2x HP</t>
  </si>
  <si>
    <t>https://www.reddit.com/r/TheSilphRoad/comments/4t5x0n/psa_incense_spawns_1_pok%C3%A9mon_every_5_min_while/</t>
  </si>
  <si>
    <t>Dragon Pulse, Ice Beam, Blizzard</t>
  </si>
  <si>
    <t>Pound</t>
  </si>
  <si>
    <t>https://i.redd.it/zmeceekybn9x.png</t>
  </si>
  <si>
    <t>Dig, Swift, Body Slam</t>
  </si>
  <si>
    <t>Incense Spawn - 1/5 min or 1 min/200 meters</t>
  </si>
  <si>
    <t>Water Gun</t>
  </si>
  <si>
    <t>/u/omnialord</t>
  </si>
  <si>
    <t>Water Pulse, Hydro Pump, Aqua Tail</t>
  </si>
  <si>
    <t>Thunder Shock</t>
  </si>
  <si>
    <t>https://www.reddit.com/r/TheSilphRoad/comments/4sryif/i_studied_pokemon_spawn_and_despawn_times_to_find/</t>
  </si>
  <si>
    <t>Ember</t>
  </si>
  <si>
    <t>Despawn time ~= 15 minutes</t>
  </si>
  <si>
    <t>Fire Blast, Flamethrower, Heat Wave</t>
  </si>
  <si>
    <t>/u/StorMPunK</t>
  </si>
  <si>
    <t>https://www.reddit.com/r/TheSilphRoad/comments/4tkize/resistance_stacking_works_as_expected/</t>
  </si>
  <si>
    <t>Psybeam, Signal Beam, Discharge</t>
  </si>
  <si>
    <t>Water Gun, Mud Shot</t>
  </si>
  <si>
    <t>Ancient Power, Brine, Rock Tomb</t>
  </si>
  <si>
    <t>Resistances/weaknesses stack</t>
  </si>
  <si>
    <t>/u/xyceres</t>
  </si>
  <si>
    <t>Rock Throw, Water Gun</t>
  </si>
  <si>
    <t>Ancient Power, Hydro Pump, Rock Slide</t>
  </si>
  <si>
    <t>Ancient Power, Aqua Jet, Rock Tomb</t>
  </si>
  <si>
    <t>Mud Shot, Fury Cutter</t>
  </si>
  <si>
    <t>Ancient Power, Water Pulse, Stone Edge</t>
  </si>
  <si>
    <t>Steel Wing, Bite</t>
  </si>
  <si>
    <t>Ancient Power, Iron Head, Hyper Beam</t>
  </si>
  <si>
    <t>Zen Headbutt, Lick</t>
  </si>
  <si>
    <t>Body Slam, Hyper Beam, Earthquake</t>
  </si>
  <si>
    <t>Frost Breath</t>
  </si>
  <si>
    <t>Ice Beam, Icy Wind, Blizzard</t>
  </si>
  <si>
    <t>Fire Blast, Heat Wave, Flamethrower</t>
  </si>
  <si>
    <t>Dragon Breath</t>
  </si>
  <si>
    <t>Wrap, Twister, Aqua Tail</t>
  </si>
  <si>
    <t>Wrap, Aqua Tail, Dragon Pulse</t>
  </si>
  <si>
    <t>Dragon Breath, Steel Wing</t>
  </si>
  <si>
    <t>Dragon Pulse, Hyper Beam, Dragon Claw</t>
  </si>
  <si>
    <t>Psychic, Shadow Ball, Hyper Beam</t>
  </si>
  <si>
    <t>Hurricane, Earthquake, Psychic, Dragon Pulse, Thunder, Moonblast, Fire Blast, Solar Beam, Hyper Beam</t>
  </si>
  <si>
    <t>Timestamp</t>
  </si>
  <si>
    <t>Did you evolve or power up?</t>
  </si>
  <si>
    <t>Pokemon after evolution</t>
  </si>
  <si>
    <t>CP before</t>
  </si>
  <si>
    <t>CP after</t>
  </si>
  <si>
    <t xml:space="preserve">Pokemon </t>
  </si>
  <si>
    <t>CP gain (after - before)</t>
  </si>
  <si>
    <t>HP gain (after - before)</t>
  </si>
  <si>
    <t/>
  </si>
  <si>
    <t>CP gained power up (not evolve)</t>
  </si>
  <si>
    <t>Power up</t>
  </si>
  <si>
    <t>Trainer Level</t>
  </si>
  <si>
    <t>CP before power up</t>
  </si>
  <si>
    <t>pidgeotto</t>
  </si>
  <si>
    <t>Evolve</t>
  </si>
  <si>
    <t>Evolve - VOID</t>
  </si>
  <si>
    <t>Power up - VOID</t>
  </si>
  <si>
    <t>HP</t>
  </si>
  <si>
    <t>CP</t>
  </si>
  <si>
    <t>Stardust for next power up</t>
  </si>
  <si>
    <t>Power up - OUTLIER</t>
  </si>
  <si>
    <t>Weight</t>
  </si>
  <si>
    <t>Height</t>
  </si>
  <si>
    <t>PU Cost</t>
  </si>
  <si>
    <t>Level (from CP)</t>
  </si>
  <si>
    <t>Calculated PU Cost</t>
  </si>
  <si>
    <t>Sqrt(Level)</t>
  </si>
  <si>
    <t>HP/Base stat</t>
  </si>
  <si>
    <t>HP/level</t>
  </si>
  <si>
    <t>HP/level/base stat</t>
  </si>
  <si>
    <t>HP/level from games</t>
  </si>
  <si>
    <t>Min/Max</t>
  </si>
  <si>
    <t>Average</t>
  </si>
  <si>
    <t>BULBASAUR</t>
  </si>
  <si>
    <t>CHARMANDER</t>
  </si>
  <si>
    <t>99999999999999999999999999999999999999999999999999999999999999</t>
  </si>
  <si>
    <t>99999999999999999999999999999999999999999999999999999999</t>
  </si>
  <si>
    <t>SQUIRTLE</t>
  </si>
  <si>
    <t>CATERPIE</t>
  </si>
  <si>
    <t>Sp. Attack</t>
  </si>
  <si>
    <t>Sp. Defense</t>
  </si>
  <si>
    <t>Speed</t>
  </si>
  <si>
    <t>Total</t>
  </si>
  <si>
    <t>003M</t>
  </si>
  <si>
    <t>Venusaur (Mega Venusaur)</t>
  </si>
  <si>
    <t>006MX</t>
  </si>
  <si>
    <t>Charizard (Mega Charizard X)</t>
  </si>
  <si>
    <t>006MY</t>
  </si>
  <si>
    <t>Charizard (Mega Charizard Y)</t>
  </si>
  <si>
    <t>009M</t>
  </si>
  <si>
    <t>Blastoise (Mega Blastoise)</t>
  </si>
  <si>
    <t>015M</t>
  </si>
  <si>
    <t>Beedrill (Mega Beedrill)</t>
  </si>
  <si>
    <t>018M</t>
  </si>
  <si>
    <t>Pidgeot (Mega Pidgeot)</t>
  </si>
  <si>
    <t>065M</t>
  </si>
  <si>
    <t>Alakazam (Mega Alakazam)</t>
  </si>
  <si>
    <t>080M</t>
  </si>
  <si>
    <t>Slowbro (Mega Slowbro)</t>
  </si>
  <si>
    <t>094M</t>
  </si>
  <si>
    <t>Gengar (Mega Gengar)</t>
  </si>
  <si>
    <t>115M</t>
  </si>
  <si>
    <t>Kangaskhan (Mega Kangaskhan)</t>
  </si>
  <si>
    <t>127M</t>
  </si>
  <si>
    <t>Pinsir (Mega Pinsir)</t>
  </si>
  <si>
    <t>130M</t>
  </si>
  <si>
    <t>Gyarados (Mega Gyarados)</t>
  </si>
  <si>
    <t>142M</t>
  </si>
  <si>
    <t>Aerodactyl (Mega Aerodactyl)</t>
  </si>
  <si>
    <t>METAPOD</t>
  </si>
  <si>
    <t>BUTTERFREE</t>
  </si>
  <si>
    <t>WEEDLE</t>
  </si>
  <si>
    <t>KAKUNA</t>
  </si>
  <si>
    <t>BEEDRILL</t>
  </si>
  <si>
    <t>PIDGEY</t>
  </si>
  <si>
    <t>2,85</t>
  </si>
  <si>
    <t>PIDGEOTTO</t>
  </si>
  <si>
    <t>PIDGEOT</t>
  </si>
  <si>
    <t>RATTATA</t>
  </si>
  <si>
    <t>RATICATE</t>
  </si>
  <si>
    <t>SPEAROW</t>
  </si>
  <si>
    <t>FEAROW</t>
  </si>
  <si>
    <t>PIKACHU</t>
  </si>
  <si>
    <t>SANDSHREW</t>
  </si>
  <si>
    <t>NIDORINA</t>
  </si>
  <si>
    <t>NIDORINO</t>
  </si>
  <si>
    <t>NIDOKING</t>
  </si>
  <si>
    <t>CLEFAIRY</t>
  </si>
  <si>
    <t>CLEFABLE</t>
  </si>
  <si>
    <t>VULPIX</t>
  </si>
  <si>
    <t>JIGGLYPUFF</t>
  </si>
  <si>
    <t>ZUBAT</t>
  </si>
  <si>
    <t>GOLBAT</t>
  </si>
  <si>
    <t>ODDISH</t>
  </si>
  <si>
    <t>GLOOM</t>
  </si>
  <si>
    <t>VILEPLUME</t>
  </si>
  <si>
    <t>PARAS</t>
  </si>
  <si>
    <t>VENONAT</t>
  </si>
  <si>
    <t>VENOMOTH</t>
  </si>
  <si>
    <t>MEOWTH</t>
  </si>
  <si>
    <t>PERSIAN</t>
  </si>
  <si>
    <t>PSYDUCK</t>
  </si>
  <si>
    <t>GROWLITHE</t>
  </si>
  <si>
    <t>POLIWAG</t>
  </si>
  <si>
    <t>POLIWHIRL</t>
  </si>
  <si>
    <t>ABRA</t>
  </si>
  <si>
    <t>MACHOP</t>
  </si>
  <si>
    <t>MACHOKE</t>
  </si>
  <si>
    <t>BELLSPROUT</t>
  </si>
  <si>
    <t>WEEPINBELL</t>
  </si>
  <si>
    <t>TENTACOOL</t>
  </si>
  <si>
    <t>GRAVELER</t>
  </si>
  <si>
    <t>MAGNEMITE</t>
  </si>
  <si>
    <t>DODUO</t>
  </si>
  <si>
    <t>SEEL</t>
  </si>
  <si>
    <t>SHELLDER</t>
  </si>
  <si>
    <t>GASTLY</t>
  </si>
  <si>
    <t>DROWZEE</t>
  </si>
  <si>
    <t>HYPNO</t>
  </si>
  <si>
    <t>KRABBY</t>
  </si>
  <si>
    <t>EXEGGCUTE</t>
  </si>
  <si>
    <t>LICKITUNG</t>
  </si>
  <si>
    <t>RHYHORN</t>
  </si>
  <si>
    <t>RHYDON</t>
  </si>
  <si>
    <t>HORSEA</t>
  </si>
  <si>
    <t>SEADRA</t>
  </si>
  <si>
    <t>GOLDEEN</t>
  </si>
  <si>
    <t>SEAKING</t>
  </si>
  <si>
    <t>STARYU</t>
  </si>
  <si>
    <t>ELECTABUZZ</t>
  </si>
  <si>
    <t>PINSIR</t>
  </si>
  <si>
    <t>TAUROS</t>
  </si>
  <si>
    <t>MAGIKARP</t>
  </si>
  <si>
    <t>EEVEE</t>
  </si>
  <si>
    <t>VAPOREON</t>
  </si>
  <si>
    <t>JOLTEON</t>
  </si>
  <si>
    <t>FLAREON</t>
  </si>
  <si>
    <t>DRATINI</t>
  </si>
  <si>
    <t>DRAGONITE</t>
  </si>
  <si>
    <t>2/2</t>
  </si>
  <si>
    <t>/</t>
  </si>
  <si>
    <t>1.61/2.61</t>
  </si>
  <si>
    <t>1.56/1.63</t>
  </si>
  <si>
    <t>1.66/1.72</t>
  </si>
  <si>
    <t>1.05/1.08</t>
  </si>
  <si>
    <t>3.89/3.89</t>
  </si>
  <si>
    <t>1.09/1.09</t>
  </si>
  <si>
    <t>1.02/3.36</t>
  </si>
  <si>
    <t>1.39/3.46</t>
  </si>
  <si>
    <t>1.74/1.96</t>
  </si>
  <si>
    <t>1.7/6.35</t>
  </si>
  <si>
    <t>2.56/2.56</t>
  </si>
  <si>
    <t>2.5/5.85</t>
  </si>
  <si>
    <t>2.61/2.69</t>
  </si>
  <si>
    <t>1.5/2.33</t>
  </si>
  <si>
    <t>2.35/2.35</t>
  </si>
  <si>
    <t>2.29/2.29</t>
  </si>
  <si>
    <t>1.63/1.63</t>
  </si>
  <si>
    <t>1.63/1.67</t>
  </si>
  <si>
    <t>1.44/1.68</t>
  </si>
  <si>
    <t>1.37/1.37</t>
  </si>
  <si>
    <t>3.04/3.23</t>
  </si>
  <si>
    <t>1.5/1.5</t>
  </si>
  <si>
    <t>1.51/1.51</t>
  </si>
  <si>
    <t>1.49/1.49</t>
  </si>
  <si>
    <t>1.94/1.97</t>
  </si>
  <si>
    <t>1.86/1.87</t>
  </si>
  <si>
    <t>1.63/2.97</t>
  </si>
  <si>
    <t>2.25/2.66</t>
  </si>
  <si>
    <t>2.17/2.17</t>
  </si>
  <si>
    <t>2.32/2.32</t>
  </si>
  <si>
    <t>1.47/10</t>
  </si>
  <si>
    <t>1.75/1.75</t>
  </si>
  <si>
    <t>1.9/1.9</t>
  </si>
  <si>
    <t>1.65/1.65</t>
  </si>
  <si>
    <t>1.59/1.59</t>
  </si>
  <si>
    <t>2.63/2.63</t>
  </si>
  <si>
    <t>2.02/2.02</t>
  </si>
  <si>
    <t>1.73/1.73</t>
  </si>
  <si>
    <t>1.47/1.47</t>
  </si>
  <si>
    <t>1.67/2.2</t>
  </si>
  <si>
    <t>2.05/2.05</t>
  </si>
  <si>
    <t>1.03/2.1</t>
  </si>
  <si>
    <t>2.39/2.39</t>
  </si>
  <si>
    <t>2.69/2.75</t>
  </si>
  <si>
    <t>1.67/1.67</t>
  </si>
  <si>
    <t>1.92/1.92</t>
  </si>
  <si>
    <t>2.16/2.16</t>
  </si>
  <si>
    <t>1.02/12.05</t>
  </si>
  <si>
    <t>2.66/2.9</t>
  </si>
  <si>
    <t>1.09/2.87</t>
  </si>
  <si>
    <t>1/2.55</t>
  </si>
  <si>
    <t>2.29/6.64</t>
  </si>
  <si>
    <t>2.6/2.6</t>
  </si>
  <si>
    <t>0.0295/0.06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</si>
</sst>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000"/>
    <numFmt numFmtId="165" formatCode="0.0000000"/>
    <numFmt numFmtId="166" formatCode="m/d/yyyy\ h:mm:ss"/>
    <numFmt numFmtId="167" formatCode="m\-d"/>
  </numFmts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3" fillId="0" borderId="0" xfId="0" applyFont="1" applyAlignment="1"/>
    <xf numFmtId="3" fontId="2" fillId="0" borderId="0" xfId="0" applyNumberFormat="1" applyFont="1" applyAlignment="1"/>
    <xf numFmtId="0" fontId="4" fillId="0" borderId="0" xfId="0" applyFont="1" applyAlignment="1"/>
    <xf numFmtId="164" fontId="2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0" fontId="1" fillId="0" borderId="0" xfId="0" applyNumberFormat="1" applyFont="1" applyAlignment="1"/>
    <xf numFmtId="165" fontId="1" fillId="0" borderId="0" xfId="0" applyNumberFormat="1" applyFont="1"/>
    <xf numFmtId="0" fontId="3" fillId="0" borderId="0" xfId="0" applyFont="1" applyAlignment="1"/>
    <xf numFmtId="3" fontId="7" fillId="0" borderId="0" xfId="0" applyNumberFormat="1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/>
    <xf numFmtId="3" fontId="1" fillId="0" borderId="0" xfId="0" applyNumberFormat="1" applyFont="1"/>
    <xf numFmtId="3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7" fillId="2" borderId="0" xfId="0" applyNumberFormat="1" applyFont="1" applyFill="1" applyAlignment="1">
      <alignment horizontal="right"/>
    </xf>
    <xf numFmtId="0" fontId="0" fillId="2" borderId="0" xfId="0" applyFont="1" applyFill="1" applyAlignment="1"/>
    <xf numFmtId="0" fontId="2" fillId="0" borderId="0" xfId="0" applyFont="1" applyAlignment="1">
      <alignment horizontal="center"/>
    </xf>
    <xf numFmtId="10" fontId="1" fillId="0" borderId="0" xfId="0" applyNumberFormat="1" applyFont="1"/>
    <xf numFmtId="0" fontId="0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3" fontId="2" fillId="0" borderId="0" xfId="0" applyNumberFormat="1" applyFont="1"/>
    <xf numFmtId="164" fontId="1" fillId="0" borderId="0" xfId="0" applyNumberFormat="1" applyFont="1"/>
    <xf numFmtId="0" fontId="5" fillId="0" borderId="0" xfId="0" applyFont="1"/>
    <xf numFmtId="0" fontId="8" fillId="0" borderId="0" xfId="0" applyFont="1" applyAlignment="1"/>
    <xf numFmtId="166" fontId="1" fillId="0" borderId="0" xfId="0" applyNumberFormat="1" applyFont="1" applyAlignment="1"/>
    <xf numFmtId="0" fontId="1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Level (from CP)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'Pokemon Science 2.0 data'!$L$1</c:f>
              <c:strCache>
                <c:ptCount val="1"/>
                <c:pt idx="0">
                  <c:v>HP/level/base stat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strRef>
              <c:f>'Pokemon Science 2.0 data'!$G$2:$G$1000</c:f>
              <c:strCache>
                <c:ptCount val="942"/>
                <c:pt idx="0">
                  <c:v>21</c:v>
                </c:pt>
                <c:pt idx="1">
                  <c:v>21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15</c:v>
                </c:pt>
                <c:pt idx="16">
                  <c:v>13</c:v>
                </c:pt>
                <c:pt idx="17">
                  <c:v>11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21</c:v>
                </c:pt>
                <c:pt idx="23">
                  <c:v>18</c:v>
                </c:pt>
                <c:pt idx="24">
                  <c:v>19</c:v>
                </c:pt>
                <c:pt idx="25">
                  <c:v>6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27</c:v>
                </c:pt>
                <c:pt idx="30">
                  <c:v>24</c:v>
                </c:pt>
                <c:pt idx="31">
                  <c:v>22</c:v>
                </c:pt>
                <c:pt idx="32">
                  <c:v>22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28</c:v>
                </c:pt>
                <c:pt idx="71">
                  <c:v>20</c:v>
                </c:pt>
                <c:pt idx="72">
                  <c:v>16</c:v>
                </c:pt>
                <c:pt idx="73">
                  <c:v>15</c:v>
                </c:pt>
                <c:pt idx="74">
                  <c:v>6</c:v>
                </c:pt>
                <c:pt idx="75">
                  <c:v>31</c:v>
                </c:pt>
                <c:pt idx="76">
                  <c:v>7</c:v>
                </c:pt>
                <c:pt idx="77">
                  <c:v>35</c:v>
                </c:pt>
                <c:pt idx="78">
                  <c:v>24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23</c:v>
                </c:pt>
                <c:pt idx="142">
                  <c:v>23</c:v>
                </c:pt>
                <c:pt idx="143">
                  <c:v>20</c:v>
                </c:pt>
                <c:pt idx="144">
                  <c:v>18</c:v>
                </c:pt>
                <c:pt idx="145">
                  <c:v>17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30</c:v>
                </c:pt>
                <c:pt idx="150">
                  <c:v>27</c:v>
                </c:pt>
                <c:pt idx="151">
                  <c:v>11</c:v>
                </c:pt>
                <c:pt idx="152">
                  <c:v>22</c:v>
                </c:pt>
                <c:pt idx="153">
                  <c:v>19</c:v>
                </c:pt>
                <c:pt idx="154">
                  <c:v>18</c:v>
                </c:pt>
                <c:pt idx="155">
                  <c:v>18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12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27</c:v>
                </c:pt>
                <c:pt idx="177">
                  <c:v>25</c:v>
                </c:pt>
                <c:pt idx="178">
                  <c:v>23</c:v>
                </c:pt>
                <c:pt idx="179">
                  <c:v>22</c:v>
                </c:pt>
                <c:pt idx="180">
                  <c:v>17</c:v>
                </c:pt>
                <c:pt idx="181">
                  <c:v>15</c:v>
                </c:pt>
                <c:pt idx="182">
                  <c:v>32</c:v>
                </c:pt>
                <c:pt idx="183">
                  <c:v>27</c:v>
                </c:pt>
                <c:pt idx="184">
                  <c:v>24</c:v>
                </c:pt>
                <c:pt idx="185">
                  <c:v>20</c:v>
                </c:pt>
                <c:pt idx="186">
                  <c:v>9</c:v>
                </c:pt>
                <c:pt idx="187">
                  <c:v>3</c:v>
                </c:pt>
                <c:pt idx="188">
                  <c:v>29</c:v>
                </c:pt>
                <c:pt idx="189">
                  <c:v>19</c:v>
                </c:pt>
                <c:pt idx="190">
                  <c:v>12</c:v>
                </c:pt>
                <c:pt idx="191">
                  <c:v>7</c:v>
                </c:pt>
                <c:pt idx="192">
                  <c:v>28</c:v>
                </c:pt>
                <c:pt idx="193">
                  <c:v>26</c:v>
                </c:pt>
                <c:pt idx="194">
                  <c:v>18</c:v>
                </c:pt>
                <c:pt idx="195">
                  <c:v>17</c:v>
                </c:pt>
                <c:pt idx="196">
                  <c:v>17</c:v>
                </c:pt>
                <c:pt idx="197">
                  <c:v>15</c:v>
                </c:pt>
                <c:pt idx="198">
                  <c:v>17</c:v>
                </c:pt>
                <c:pt idx="199">
                  <c:v>21</c:v>
                </c:pt>
                <c:pt idx="200">
                  <c:v>18</c:v>
                </c:pt>
                <c:pt idx="201">
                  <c:v>18</c:v>
                </c:pt>
                <c:pt idx="202">
                  <c:v>14</c:v>
                </c:pt>
                <c:pt idx="203">
                  <c:v>10</c:v>
                </c:pt>
                <c:pt idx="204">
                  <c:v>1</c:v>
                </c:pt>
                <c:pt idx="205">
                  <c:v>21</c:v>
                </c:pt>
                <c:pt idx="206">
                  <c:v>15</c:v>
                </c:pt>
                <c:pt idx="207">
                  <c:v>19</c:v>
                </c:pt>
                <c:pt idx="208">
                  <c:v>26</c:v>
                </c:pt>
                <c:pt idx="209">
                  <c:v>25</c:v>
                </c:pt>
                <c:pt idx="210">
                  <c:v>24</c:v>
                </c:pt>
                <c:pt idx="211">
                  <c:v>24</c:v>
                </c:pt>
                <c:pt idx="212">
                  <c:v>22</c:v>
                </c:pt>
                <c:pt idx="213">
                  <c:v>21</c:v>
                </c:pt>
                <c:pt idx="214">
                  <c:v>19</c:v>
                </c:pt>
                <c:pt idx="215">
                  <c:v>7</c:v>
                </c:pt>
                <c:pt idx="216">
                  <c:v>31</c:v>
                </c:pt>
                <c:pt idx="217">
                  <c:v>23</c:v>
                </c:pt>
                <c:pt idx="218">
                  <c:v>5</c:v>
                </c:pt>
                <c:pt idx="219">
                  <c:v>26</c:v>
                </c:pt>
                <c:pt idx="220">
                  <c:v>18</c:v>
                </c:pt>
                <c:pt idx="221">
                  <c:v>13</c:v>
                </c:pt>
                <c:pt idx="222">
                  <c:v>9</c:v>
                </c:pt>
                <c:pt idx="223">
                  <c:v>7</c:v>
                </c:pt>
                <c:pt idx="224">
                  <c:v>28</c:v>
                </c:pt>
                <c:pt idx="225">
                  <c:v>20</c:v>
                </c:pt>
                <c:pt idx="226">
                  <c:v>19</c:v>
                </c:pt>
                <c:pt idx="227">
                  <c:v>19</c:v>
                </c:pt>
                <c:pt idx="228">
                  <c:v>15</c:v>
                </c:pt>
                <c:pt idx="229">
                  <c:v>12</c:v>
                </c:pt>
                <c:pt idx="230">
                  <c:v>11</c:v>
                </c:pt>
                <c:pt idx="231">
                  <c:v>1</c:v>
                </c:pt>
                <c:pt idx="232">
                  <c:v>16</c:v>
                </c:pt>
                <c:pt idx="233">
                  <c:v>13</c:v>
                </c:pt>
                <c:pt idx="234">
                  <c:v>34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16</c:v>
                </c:pt>
                <c:pt idx="239">
                  <c:v>13</c:v>
                </c:pt>
                <c:pt idx="240">
                  <c:v>10</c:v>
                </c:pt>
                <c:pt idx="241">
                  <c:v>10</c:v>
                </c:pt>
                <c:pt idx="242">
                  <c:v>23</c:v>
                </c:pt>
                <c:pt idx="243">
                  <c:v>15</c:v>
                </c:pt>
                <c:pt idx="244">
                  <c:v>11</c:v>
                </c:pt>
                <c:pt idx="245">
                  <c:v>26</c:v>
                </c:pt>
                <c:pt idx="246">
                  <c:v>21</c:v>
                </c:pt>
                <c:pt idx="247">
                  <c:v>20</c:v>
                </c:pt>
                <c:pt idx="248">
                  <c:v>31</c:v>
                </c:pt>
                <c:pt idx="249">
                  <c:v>30</c:v>
                </c:pt>
                <c:pt idx="250">
                  <c:v>26</c:v>
                </c:pt>
                <c:pt idx="251">
                  <c:v>17</c:v>
                </c:pt>
                <c:pt idx="252">
                  <c:v>14</c:v>
                </c:pt>
                <c:pt idx="253">
                  <c:v>13</c:v>
                </c:pt>
                <c:pt idx="254">
                  <c:v>13</c:v>
                </c:pt>
                <c:pt idx="255">
                  <c:v>11</c:v>
                </c:pt>
                <c:pt idx="256">
                  <c:v>17</c:v>
                </c:pt>
                <c:pt idx="257">
                  <c:v>21</c:v>
                </c:pt>
                <c:pt idx="258">
                  <c:v>9</c:v>
                </c:pt>
                <c:pt idx="259">
                  <c:v>9</c:v>
                </c:pt>
                <c:pt idx="260">
                  <c:v>30</c:v>
                </c:pt>
                <c:pt idx="261">
                  <c:v>20</c:v>
                </c:pt>
                <c:pt idx="262">
                  <c:v>20</c:v>
                </c:pt>
                <c:pt idx="263">
                  <c:v>1</c:v>
                </c:pt>
                <c:pt idx="264">
                  <c:v>13</c:v>
                </c:pt>
                <c:pt idx="265">
                  <c:v>5</c:v>
                </c:pt>
                <c:pt idx="266">
                  <c:v>5</c:v>
                </c:pt>
                <c:pt idx="267">
                  <c:v>21</c:v>
                </c:pt>
                <c:pt idx="268">
                  <c:v>32</c:v>
                </c:pt>
                <c:pt idx="269">
                  <c:v>19</c:v>
                </c:pt>
                <c:pt idx="270">
                  <c:v>14</c:v>
                </c:pt>
                <c:pt idx="271">
                  <c:v>18</c:v>
                </c:pt>
                <c:pt idx="272">
                  <c:v>15</c:v>
                </c:pt>
                <c:pt idx="273">
                  <c:v>10</c:v>
                </c:pt>
                <c:pt idx="274">
                  <c:v>3</c:v>
                </c:pt>
                <c:pt idx="275">
                  <c:v>26</c:v>
                </c:pt>
                <c:pt idx="276">
                  <c:v>34</c:v>
                </c:pt>
                <c:pt idx="277">
                  <c:v>18</c:v>
                </c:pt>
                <c:pt idx="278">
                  <c:v>18</c:v>
                </c:pt>
                <c:pt idx="279">
                  <c:v>15</c:v>
                </c:pt>
                <c:pt idx="280">
                  <c:v>11</c:v>
                </c:pt>
                <c:pt idx="281">
                  <c:v>11</c:v>
                </c:pt>
                <c:pt idx="282">
                  <c:v>8</c:v>
                </c:pt>
                <c:pt idx="283">
                  <c:v>6</c:v>
                </c:pt>
                <c:pt idx="284">
                  <c:v>5</c:v>
                </c:pt>
                <c:pt idx="285">
                  <c:v>21</c:v>
                </c:pt>
                <c:pt idx="286">
                  <c:v>6</c:v>
                </c:pt>
                <c:pt idx="287">
                  <c:v>26</c:v>
                </c:pt>
                <c:pt idx="288">
                  <c:v>9</c:v>
                </c:pt>
                <c:pt idx="289">
                  <c:v>2</c:v>
                </c:pt>
                <c:pt idx="290">
                  <c:v>14</c:v>
                </c:pt>
                <c:pt idx="291">
                  <c:v>23</c:v>
                </c:pt>
                <c:pt idx="292">
                  <c:v>9</c:v>
                </c:pt>
                <c:pt idx="293">
                  <c:v>6</c:v>
                </c:pt>
                <c:pt idx="294">
                  <c:v>19</c:v>
                </c:pt>
                <c:pt idx="295">
                  <c:v>10</c:v>
                </c:pt>
                <c:pt idx="296">
                  <c:v>1</c:v>
                </c:pt>
                <c:pt idx="297">
                  <c:v>18</c:v>
                </c:pt>
                <c:pt idx="298">
                  <c:v>15</c:v>
                </c:pt>
                <c:pt idx="299">
                  <c:v>29</c:v>
                </c:pt>
                <c:pt idx="300">
                  <c:v>29</c:v>
                </c:pt>
                <c:pt idx="301">
                  <c:v>21</c:v>
                </c:pt>
                <c:pt idx="302">
                  <c:v>19</c:v>
                </c:pt>
                <c:pt idx="303">
                  <c:v>18</c:v>
                </c:pt>
                <c:pt idx="304">
                  <c:v>18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9</c:v>
                </c:pt>
                <c:pt idx="312">
                  <c:v>7</c:v>
                </c:pt>
                <c:pt idx="313">
                  <c:v>5</c:v>
                </c:pt>
                <c:pt idx="314">
                  <c:v>3</c:v>
                </c:pt>
                <c:pt idx="315">
                  <c:v>24</c:v>
                </c:pt>
                <c:pt idx="316">
                  <c:v>9</c:v>
                </c:pt>
                <c:pt idx="317">
                  <c:v>5</c:v>
                </c:pt>
                <c:pt idx="318">
                  <c:v>26</c:v>
                </c:pt>
                <c:pt idx="319">
                  <c:v>14</c:v>
                </c:pt>
                <c:pt idx="320">
                  <c:v>18</c:v>
                </c:pt>
                <c:pt idx="321">
                  <c:v>3</c:v>
                </c:pt>
                <c:pt idx="322">
                  <c:v>24</c:v>
                </c:pt>
                <c:pt idx="323">
                  <c:v>11</c:v>
                </c:pt>
                <c:pt idx="324">
                  <c:v>15</c:v>
                </c:pt>
                <c:pt idx="325">
                  <c:v>17</c:v>
                </c:pt>
                <c:pt idx="326">
                  <c:v>7</c:v>
                </c:pt>
                <c:pt idx="327">
                  <c:v>6</c:v>
                </c:pt>
                <c:pt idx="328">
                  <c:v>15</c:v>
                </c:pt>
                <c:pt idx="329">
                  <c:v>9</c:v>
                </c:pt>
                <c:pt idx="330">
                  <c:v>17</c:v>
                </c:pt>
                <c:pt idx="331">
                  <c:v>12</c:v>
                </c:pt>
                <c:pt idx="332">
                  <c:v>11</c:v>
                </c:pt>
                <c:pt idx="333">
                  <c:v>7</c:v>
                </c:pt>
                <c:pt idx="334">
                  <c:v>28</c:v>
                </c:pt>
                <c:pt idx="335">
                  <c:v>14</c:v>
                </c:pt>
                <c:pt idx="336">
                  <c:v>9</c:v>
                </c:pt>
                <c:pt idx="337">
                  <c:v>5</c:v>
                </c:pt>
                <c:pt idx="338">
                  <c:v>36</c:v>
                </c:pt>
                <c:pt idx="339">
                  <c:v>16</c:v>
                </c:pt>
                <c:pt idx="340">
                  <c:v>13</c:v>
                </c:pt>
                <c:pt idx="341">
                  <c:v>29</c:v>
                </c:pt>
                <c:pt idx="342">
                  <c:v>29</c:v>
                </c:pt>
                <c:pt idx="343">
                  <c:v>23</c:v>
                </c:pt>
                <c:pt idx="344">
                  <c:v>21</c:v>
                </c:pt>
                <c:pt idx="345">
                  <c:v>21</c:v>
                </c:pt>
                <c:pt idx="346">
                  <c:v>19</c:v>
                </c:pt>
                <c:pt idx="347">
                  <c:v>19</c:v>
                </c:pt>
                <c:pt idx="348">
                  <c:v>15</c:v>
                </c:pt>
                <c:pt idx="349">
                  <c:v>13</c:v>
                </c:pt>
                <c:pt idx="350">
                  <c:v>13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7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26</c:v>
                </c:pt>
                <c:pt idx="368">
                  <c:v>26</c:v>
                </c:pt>
                <c:pt idx="369">
                  <c:v>33</c:v>
                </c:pt>
                <c:pt idx="370">
                  <c:v>21</c:v>
                </c:pt>
                <c:pt idx="371">
                  <c:v>17</c:v>
                </c:pt>
                <c:pt idx="372">
                  <c:v>27</c:v>
                </c:pt>
                <c:pt idx="373">
                  <c:v>34</c:v>
                </c:pt>
                <c:pt idx="374">
                  <c:v>43</c:v>
                </c:pt>
                <c:pt idx="375">
                  <c:v>22</c:v>
                </c:pt>
                <c:pt idx="376">
                  <c:v>18</c:v>
                </c:pt>
                <c:pt idx="377">
                  <c:v>31</c:v>
                </c:pt>
                <c:pt idx="378">
                  <c:v>1</c:v>
                </c:pt>
                <c:pt idx="379">
                  <c:v>3</c:v>
                </c:pt>
                <c:pt idx="380">
                  <c:v>11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3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5</c:v>
                </c:pt>
                <c:pt idx="390">
                  <c:v>3</c:v>
                </c:pt>
                <c:pt idx="391">
                  <c:v>5</c:v>
                </c:pt>
                <c:pt idx="392">
                  <c:v>7</c:v>
                </c:pt>
                <c:pt idx="393">
                  <c:v>5</c:v>
                </c:pt>
                <c:pt idx="394">
                  <c:v>9</c:v>
                </c:pt>
                <c:pt idx="395">
                  <c:v>8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1</c:v>
                </c:pt>
                <c:pt idx="400">
                  <c:v>11</c:v>
                </c:pt>
                <c:pt idx="401">
                  <c:v>9</c:v>
                </c:pt>
                <c:pt idx="402">
                  <c:v>5</c:v>
                </c:pt>
                <c:pt idx="403">
                  <c:v>3</c:v>
                </c:pt>
                <c:pt idx="404">
                  <c:v>1</c:v>
                </c:pt>
                <c:pt idx="405">
                  <c:v>6</c:v>
                </c:pt>
                <c:pt idx="406">
                  <c:v>5</c:v>
                </c:pt>
                <c:pt idx="407">
                  <c:v>3</c:v>
                </c:pt>
                <c:pt idx="408">
                  <c:v>8</c:v>
                </c:pt>
                <c:pt idx="409">
                  <c:v>5</c:v>
                </c:pt>
                <c:pt idx="410">
                  <c:v>2</c:v>
                </c:pt>
                <c:pt idx="411">
                  <c:v>3</c:v>
                </c:pt>
                <c:pt idx="412">
                  <c:v>7</c:v>
                </c:pt>
                <c:pt idx="413">
                  <c:v>3</c:v>
                </c:pt>
                <c:pt idx="414">
                  <c:v>1</c:v>
                </c:pt>
                <c:pt idx="415">
                  <c:v>25</c:v>
                </c:pt>
                <c:pt idx="416">
                  <c:v>26</c:v>
                </c:pt>
                <c:pt idx="417">
                  <c:v>7</c:v>
                </c:pt>
                <c:pt idx="418">
                  <c:v>24</c:v>
                </c:pt>
                <c:pt idx="419">
                  <c:v>19</c:v>
                </c:pt>
                <c:pt idx="420">
                  <c:v>13</c:v>
                </c:pt>
                <c:pt idx="421">
                  <c:v>10</c:v>
                </c:pt>
                <c:pt idx="422">
                  <c:v>26</c:v>
                </c:pt>
                <c:pt idx="423">
                  <c:v>20</c:v>
                </c:pt>
                <c:pt idx="424">
                  <c:v>15</c:v>
                </c:pt>
                <c:pt idx="425">
                  <c:v>19</c:v>
                </c:pt>
                <c:pt idx="426">
                  <c:v>19</c:v>
                </c:pt>
                <c:pt idx="427">
                  <c:v>23</c:v>
                </c:pt>
                <c:pt idx="428">
                  <c:v>20</c:v>
                </c:pt>
                <c:pt idx="429">
                  <c:v>24</c:v>
                </c:pt>
                <c:pt idx="430">
                  <c:v>16</c:v>
                </c:pt>
                <c:pt idx="431">
                  <c:v>15</c:v>
                </c:pt>
                <c:pt idx="432">
                  <c:v>23</c:v>
                </c:pt>
                <c:pt idx="433">
                  <c:v>26</c:v>
                </c:pt>
                <c:pt idx="434">
                  <c:v>19</c:v>
                </c:pt>
                <c:pt idx="435">
                  <c:v>21</c:v>
                </c:pt>
                <c:pt idx="436">
                  <c:v>45</c:v>
                </c:pt>
                <c:pt idx="437">
                  <c:v>40</c:v>
                </c:pt>
                <c:pt idx="438">
                  <c:v>49</c:v>
                </c:pt>
                <c:pt idx="439">
                  <c:v>39</c:v>
                </c:pt>
                <c:pt idx="440">
                  <c:v>42</c:v>
                </c:pt>
                <c:pt idx="441">
                  <c:v>37</c:v>
                </c:pt>
                <c:pt idx="442">
                  <c:v>44</c:v>
                </c:pt>
                <c:pt idx="443">
                  <c:v>44</c:v>
                </c:pt>
                <c:pt idx="444">
                  <c:v>39</c:v>
                </c:pt>
                <c:pt idx="445">
                  <c:v>3</c:v>
                </c:pt>
                <c:pt idx="446">
                  <c:v>#DIV/0!</c:v>
                </c:pt>
                <c:pt idx="447">
                  <c:v>#DIV/0!</c:v>
                </c:pt>
                <c:pt idx="448">
                  <c:v>#DIV/0!</c:v>
                </c:pt>
                <c:pt idx="449">
                  <c:v>#DIV/0!</c:v>
                </c:pt>
                <c:pt idx="450">
                  <c:v>#DIV/0!</c:v>
                </c:pt>
                <c:pt idx="451">
                  <c:v>#DIV/0!</c:v>
                </c:pt>
                <c:pt idx="452">
                  <c:v>#DIV/0!</c:v>
                </c:pt>
                <c:pt idx="453">
                  <c:v>#DIV/0!</c:v>
                </c:pt>
                <c:pt idx="454">
                  <c:v>#DIV/0!</c:v>
                </c:pt>
                <c:pt idx="455">
                  <c:v>#DIV/0!</c:v>
                </c:pt>
                <c:pt idx="456">
                  <c:v>#DIV/0!</c:v>
                </c:pt>
                <c:pt idx="457">
                  <c:v>#DIV/0!</c:v>
                </c:pt>
                <c:pt idx="458">
                  <c:v>#DIV/0!</c:v>
                </c:pt>
                <c:pt idx="459">
                  <c:v>#DIV/0!</c:v>
                </c:pt>
                <c:pt idx="460">
                  <c:v>#DIV/0!</c:v>
                </c:pt>
                <c:pt idx="461">
                  <c:v>#DIV/0!</c:v>
                </c:pt>
                <c:pt idx="462">
                  <c:v>#DIV/0!</c:v>
                </c:pt>
                <c:pt idx="463">
                  <c:v>#DIV/0!</c:v>
                </c:pt>
                <c:pt idx="464">
                  <c:v>#DIV/0!</c:v>
                </c:pt>
                <c:pt idx="465">
                  <c:v>#DIV/0!</c:v>
                </c:pt>
                <c:pt idx="466">
                  <c:v>#DIV/0!</c:v>
                </c:pt>
                <c:pt idx="467">
                  <c:v>#DIV/0!</c:v>
                </c:pt>
                <c:pt idx="468">
                  <c:v>#DIV/0!</c:v>
                </c:pt>
                <c:pt idx="469">
                  <c:v>#DIV/0!</c:v>
                </c:pt>
                <c:pt idx="470">
                  <c:v>#DIV/0!</c:v>
                </c:pt>
                <c:pt idx="471">
                  <c:v>#DIV/0!</c:v>
                </c:pt>
                <c:pt idx="472">
                  <c:v>#DIV/0!</c:v>
                </c:pt>
                <c:pt idx="473">
                  <c:v>#DIV/0!</c:v>
                </c:pt>
                <c:pt idx="474">
                  <c:v>#DIV/0!</c:v>
                </c:pt>
                <c:pt idx="475">
                  <c:v>#DIV/0!</c:v>
                </c:pt>
                <c:pt idx="476">
                  <c:v>#DIV/0!</c:v>
                </c:pt>
                <c:pt idx="477">
                  <c:v>#DIV/0!</c:v>
                </c:pt>
                <c:pt idx="478">
                  <c:v>#DIV/0!</c:v>
                </c:pt>
                <c:pt idx="479">
                  <c:v>#DIV/0!</c:v>
                </c:pt>
                <c:pt idx="480">
                  <c:v>#DIV/0!</c:v>
                </c:pt>
                <c:pt idx="481">
                  <c:v>#DIV/0!</c:v>
                </c:pt>
                <c:pt idx="482">
                  <c:v>#DIV/0!</c:v>
                </c:pt>
                <c:pt idx="483">
                  <c:v>#DIV/0!</c:v>
                </c:pt>
                <c:pt idx="484">
                  <c:v>#DIV/0!</c:v>
                </c:pt>
                <c:pt idx="485">
                  <c:v>#DIV/0!</c:v>
                </c:pt>
                <c:pt idx="486">
                  <c:v>#DIV/0!</c:v>
                </c:pt>
                <c:pt idx="487">
                  <c:v>#DIV/0!</c:v>
                </c:pt>
                <c:pt idx="488">
                  <c:v>#DIV/0!</c:v>
                </c:pt>
                <c:pt idx="489">
                  <c:v>#DIV/0!</c:v>
                </c:pt>
                <c:pt idx="490">
                  <c:v>#DIV/0!</c:v>
                </c:pt>
                <c:pt idx="491">
                  <c:v>#DIV/0!</c:v>
                </c:pt>
                <c:pt idx="492">
                  <c:v>#DIV/0!</c:v>
                </c:pt>
                <c:pt idx="493">
                  <c:v>#DIV/0!</c:v>
                </c:pt>
                <c:pt idx="494">
                  <c:v>#DIV/0!</c:v>
                </c:pt>
                <c:pt idx="495">
                  <c:v>#DIV/0!</c:v>
                </c:pt>
                <c:pt idx="496">
                  <c:v>#DIV/0!</c:v>
                </c:pt>
                <c:pt idx="497">
                  <c:v>#DIV/0!</c:v>
                </c:pt>
                <c:pt idx="498">
                  <c:v>#DIV/0!</c:v>
                </c:pt>
                <c:pt idx="499">
                  <c:v>#DIV/0!</c:v>
                </c:pt>
                <c:pt idx="500">
                  <c:v>#DIV/0!</c:v>
                </c:pt>
                <c:pt idx="501">
                  <c:v>#DIV/0!</c:v>
                </c:pt>
                <c:pt idx="502">
                  <c:v>#DIV/0!</c:v>
                </c:pt>
                <c:pt idx="503">
                  <c:v>#DIV/0!</c:v>
                </c:pt>
                <c:pt idx="504">
                  <c:v>#DIV/0!</c:v>
                </c:pt>
                <c:pt idx="505">
                  <c:v>#DIV/0!</c:v>
                </c:pt>
                <c:pt idx="506">
                  <c:v>#DIV/0!</c:v>
                </c:pt>
                <c:pt idx="507">
                  <c:v>#DIV/0!</c:v>
                </c:pt>
                <c:pt idx="508">
                  <c:v>#DIV/0!</c:v>
                </c:pt>
                <c:pt idx="509">
                  <c:v>#DIV/0!</c:v>
                </c:pt>
                <c:pt idx="510">
                  <c:v>#DIV/0!</c:v>
                </c:pt>
                <c:pt idx="511">
                  <c:v>#DIV/0!</c:v>
                </c:pt>
                <c:pt idx="512">
                  <c:v>#DIV/0!</c:v>
                </c:pt>
                <c:pt idx="513">
                  <c:v>#DIV/0!</c:v>
                </c:pt>
                <c:pt idx="514">
                  <c:v>#DIV/0!</c:v>
                </c:pt>
                <c:pt idx="515">
                  <c:v>#DIV/0!</c:v>
                </c:pt>
                <c:pt idx="516">
                  <c:v>#DIV/0!</c:v>
                </c:pt>
                <c:pt idx="517">
                  <c:v>#DIV/0!</c:v>
                </c:pt>
                <c:pt idx="518">
                  <c:v>#DIV/0!</c:v>
                </c:pt>
                <c:pt idx="519">
                  <c:v>#DIV/0!</c:v>
                </c:pt>
                <c:pt idx="520">
                  <c:v>#DIV/0!</c:v>
                </c:pt>
                <c:pt idx="521">
                  <c:v>#DIV/0!</c:v>
                </c:pt>
                <c:pt idx="522">
                  <c:v>#DIV/0!</c:v>
                </c:pt>
                <c:pt idx="523">
                  <c:v>#DIV/0!</c:v>
                </c:pt>
                <c:pt idx="524">
                  <c:v>#DIV/0!</c:v>
                </c:pt>
                <c:pt idx="525">
                  <c:v>#DIV/0!</c:v>
                </c:pt>
                <c:pt idx="526">
                  <c:v>#DIV/0!</c:v>
                </c:pt>
                <c:pt idx="527">
                  <c:v>#DIV/0!</c:v>
                </c:pt>
                <c:pt idx="528">
                  <c:v>#DIV/0!</c:v>
                </c:pt>
                <c:pt idx="529">
                  <c:v>#DIV/0!</c:v>
                </c:pt>
                <c:pt idx="530">
                  <c:v>#DIV/0!</c:v>
                </c:pt>
                <c:pt idx="531">
                  <c:v>#DIV/0!</c:v>
                </c:pt>
                <c:pt idx="532">
                  <c:v>#DIV/0!</c:v>
                </c:pt>
                <c:pt idx="533">
                  <c:v>#DIV/0!</c:v>
                </c:pt>
                <c:pt idx="534">
                  <c:v>#DIV/0!</c:v>
                </c:pt>
                <c:pt idx="535">
                  <c:v>#DIV/0!</c:v>
                </c:pt>
                <c:pt idx="536">
                  <c:v>#DIV/0!</c:v>
                </c:pt>
                <c:pt idx="537">
                  <c:v>#DIV/0!</c:v>
                </c:pt>
                <c:pt idx="538">
                  <c:v>#DIV/0!</c:v>
                </c:pt>
                <c:pt idx="539">
                  <c:v>#DIV/0!</c:v>
                </c:pt>
                <c:pt idx="540">
                  <c:v>#DIV/0!</c:v>
                </c:pt>
                <c:pt idx="541">
                  <c:v>#DIV/0!</c:v>
                </c:pt>
                <c:pt idx="542">
                  <c:v>#DIV/0!</c:v>
                </c:pt>
                <c:pt idx="543">
                  <c:v>#DIV/0!</c:v>
                </c:pt>
                <c:pt idx="544">
                  <c:v>#DIV/0!</c:v>
                </c:pt>
                <c:pt idx="545">
                  <c:v>#DIV/0!</c:v>
                </c:pt>
                <c:pt idx="546">
                  <c:v>#DIV/0!</c:v>
                </c:pt>
                <c:pt idx="547">
                  <c:v>#DIV/0!</c:v>
                </c:pt>
                <c:pt idx="548">
                  <c:v>#DIV/0!</c:v>
                </c:pt>
                <c:pt idx="549">
                  <c:v>#DIV/0!</c:v>
                </c:pt>
                <c:pt idx="550">
                  <c:v>#DIV/0!</c:v>
                </c:pt>
                <c:pt idx="551">
                  <c:v>#DIV/0!</c:v>
                </c:pt>
                <c:pt idx="552">
                  <c:v>#DIV/0!</c:v>
                </c:pt>
                <c:pt idx="553">
                  <c:v>#DIV/0!</c:v>
                </c:pt>
                <c:pt idx="554">
                  <c:v>#DIV/0!</c:v>
                </c:pt>
                <c:pt idx="555">
                  <c:v>#DIV/0!</c:v>
                </c:pt>
                <c:pt idx="556">
                  <c:v>#DIV/0!</c:v>
                </c:pt>
                <c:pt idx="557">
                  <c:v>#DIV/0!</c:v>
                </c:pt>
                <c:pt idx="558">
                  <c:v>#DIV/0!</c:v>
                </c:pt>
                <c:pt idx="559">
                  <c:v>#DIV/0!</c:v>
                </c:pt>
                <c:pt idx="560">
                  <c:v>#DIV/0!</c:v>
                </c:pt>
                <c:pt idx="561">
                  <c:v>#DIV/0!</c:v>
                </c:pt>
                <c:pt idx="562">
                  <c:v>#DIV/0!</c:v>
                </c:pt>
                <c:pt idx="563">
                  <c:v>#DIV/0!</c:v>
                </c:pt>
                <c:pt idx="564">
                  <c:v>#DIV/0!</c:v>
                </c:pt>
                <c:pt idx="565">
                  <c:v>#DIV/0!</c:v>
                </c:pt>
                <c:pt idx="566">
                  <c:v>#DIV/0!</c:v>
                </c:pt>
                <c:pt idx="567">
                  <c:v>#DIV/0!</c:v>
                </c:pt>
                <c:pt idx="568">
                  <c:v>#DIV/0!</c:v>
                </c:pt>
                <c:pt idx="569">
                  <c:v>#DIV/0!</c:v>
                </c:pt>
                <c:pt idx="570">
                  <c:v>#DIV/0!</c:v>
                </c:pt>
                <c:pt idx="571">
                  <c:v>#DIV/0!</c:v>
                </c:pt>
                <c:pt idx="572">
                  <c:v>#DIV/0!</c:v>
                </c:pt>
                <c:pt idx="573">
                  <c:v>#DIV/0!</c:v>
                </c:pt>
                <c:pt idx="574">
                  <c:v>#DIV/0!</c:v>
                </c:pt>
                <c:pt idx="575">
                  <c:v>#DIV/0!</c:v>
                </c:pt>
                <c:pt idx="576">
                  <c:v>#DIV/0!</c:v>
                </c:pt>
                <c:pt idx="577">
                  <c:v>#DIV/0!</c:v>
                </c:pt>
                <c:pt idx="578">
                  <c:v>#DIV/0!</c:v>
                </c:pt>
                <c:pt idx="579">
                  <c:v>#DIV/0!</c:v>
                </c:pt>
                <c:pt idx="580">
                  <c:v>#DIV/0!</c:v>
                </c:pt>
                <c:pt idx="581">
                  <c:v>#DIV/0!</c:v>
                </c:pt>
                <c:pt idx="582">
                  <c:v>#DIV/0!</c:v>
                </c:pt>
                <c:pt idx="583">
                  <c:v>#DIV/0!</c:v>
                </c:pt>
                <c:pt idx="584">
                  <c:v>#DIV/0!</c:v>
                </c:pt>
                <c:pt idx="585">
                  <c:v>#DIV/0!</c:v>
                </c:pt>
                <c:pt idx="586">
                  <c:v>#DIV/0!</c:v>
                </c:pt>
                <c:pt idx="587">
                  <c:v>#DIV/0!</c:v>
                </c:pt>
                <c:pt idx="588">
                  <c:v>#DIV/0!</c:v>
                </c:pt>
                <c:pt idx="589">
                  <c:v>#DIV/0!</c:v>
                </c:pt>
                <c:pt idx="590">
                  <c:v>#DIV/0!</c:v>
                </c:pt>
                <c:pt idx="591">
                  <c:v>#DIV/0!</c:v>
                </c:pt>
                <c:pt idx="592">
                  <c:v>#DIV/0!</c:v>
                </c:pt>
                <c:pt idx="593">
                  <c:v>#DIV/0!</c:v>
                </c:pt>
                <c:pt idx="594">
                  <c:v>#DIV/0!</c:v>
                </c:pt>
                <c:pt idx="595">
                  <c:v>#DIV/0!</c:v>
                </c:pt>
                <c:pt idx="596">
                  <c:v>#DIV/0!</c:v>
                </c:pt>
                <c:pt idx="597">
                  <c:v>#DIV/0!</c:v>
                </c:pt>
                <c:pt idx="598">
                  <c:v>#DIV/0!</c:v>
                </c:pt>
                <c:pt idx="599">
                  <c:v>#DIV/0!</c:v>
                </c:pt>
                <c:pt idx="600">
                  <c:v>#DIV/0!</c:v>
                </c:pt>
                <c:pt idx="601">
                  <c:v>#DIV/0!</c:v>
                </c:pt>
                <c:pt idx="602">
                  <c:v>#DIV/0!</c:v>
                </c:pt>
                <c:pt idx="603">
                  <c:v>#DIV/0!</c:v>
                </c:pt>
                <c:pt idx="604">
                  <c:v>#DIV/0!</c:v>
                </c:pt>
                <c:pt idx="605">
                  <c:v>#DIV/0!</c:v>
                </c:pt>
                <c:pt idx="606">
                  <c:v>#DIV/0!</c:v>
                </c:pt>
                <c:pt idx="607">
                  <c:v>#DIV/0!</c:v>
                </c:pt>
                <c:pt idx="608">
                  <c:v>#DIV/0!</c:v>
                </c:pt>
                <c:pt idx="609">
                  <c:v>#DIV/0!</c:v>
                </c:pt>
                <c:pt idx="610">
                  <c:v>#DIV/0!</c:v>
                </c:pt>
                <c:pt idx="611">
                  <c:v>#DIV/0!</c:v>
                </c:pt>
                <c:pt idx="612">
                  <c:v>#DIV/0!</c:v>
                </c:pt>
                <c:pt idx="613">
                  <c:v>#DIV/0!</c:v>
                </c:pt>
                <c:pt idx="614">
                  <c:v>#DIV/0!</c:v>
                </c:pt>
                <c:pt idx="615">
                  <c:v>#DIV/0!</c:v>
                </c:pt>
                <c:pt idx="616">
                  <c:v>#DIV/0!</c:v>
                </c:pt>
                <c:pt idx="617">
                  <c:v>#DIV/0!</c:v>
                </c:pt>
                <c:pt idx="618">
                  <c:v>#DIV/0!</c:v>
                </c:pt>
                <c:pt idx="619">
                  <c:v>#DIV/0!</c:v>
                </c:pt>
                <c:pt idx="620">
                  <c:v>#DIV/0!</c:v>
                </c:pt>
                <c:pt idx="621">
                  <c:v>#DIV/0!</c:v>
                </c:pt>
                <c:pt idx="622">
                  <c:v>#DIV/0!</c:v>
                </c:pt>
                <c:pt idx="623">
                  <c:v>#DIV/0!</c:v>
                </c:pt>
                <c:pt idx="624">
                  <c:v>#DIV/0!</c:v>
                </c:pt>
                <c:pt idx="625">
                  <c:v>#DIV/0!</c:v>
                </c:pt>
                <c:pt idx="626">
                  <c:v>#DIV/0!</c:v>
                </c:pt>
                <c:pt idx="627">
                  <c:v>#DIV/0!</c:v>
                </c:pt>
                <c:pt idx="628">
                  <c:v>#DIV/0!</c:v>
                </c:pt>
                <c:pt idx="629">
                  <c:v>#DIV/0!</c:v>
                </c:pt>
                <c:pt idx="630">
                  <c:v>#DIV/0!</c:v>
                </c:pt>
                <c:pt idx="631">
                  <c:v>#DIV/0!</c:v>
                </c:pt>
                <c:pt idx="632">
                  <c:v>#DIV/0!</c:v>
                </c:pt>
                <c:pt idx="633">
                  <c:v>#DIV/0!</c:v>
                </c:pt>
                <c:pt idx="634">
                  <c:v>#DIV/0!</c:v>
                </c:pt>
                <c:pt idx="635">
                  <c:v>#DIV/0!</c:v>
                </c:pt>
                <c:pt idx="636">
                  <c:v>#DIV/0!</c:v>
                </c:pt>
                <c:pt idx="637">
                  <c:v>#DIV/0!</c:v>
                </c:pt>
                <c:pt idx="638">
                  <c:v>#DIV/0!</c:v>
                </c:pt>
                <c:pt idx="639">
                  <c:v>#DIV/0!</c:v>
                </c:pt>
                <c:pt idx="640">
                  <c:v>#DIV/0!</c:v>
                </c:pt>
                <c:pt idx="641">
                  <c:v>#DIV/0!</c:v>
                </c:pt>
                <c:pt idx="642">
                  <c:v>#DIV/0!</c:v>
                </c:pt>
                <c:pt idx="643">
                  <c:v>#DIV/0!</c:v>
                </c:pt>
                <c:pt idx="644">
                  <c:v>#DIV/0!</c:v>
                </c:pt>
                <c:pt idx="645">
                  <c:v>#DIV/0!</c:v>
                </c:pt>
                <c:pt idx="646">
                  <c:v>#DIV/0!</c:v>
                </c:pt>
                <c:pt idx="647">
                  <c:v>#DIV/0!</c:v>
                </c:pt>
                <c:pt idx="648">
                  <c:v>#DIV/0!</c:v>
                </c:pt>
                <c:pt idx="649">
                  <c:v>#DIV/0!</c:v>
                </c:pt>
                <c:pt idx="650">
                  <c:v>#DIV/0!</c:v>
                </c:pt>
                <c:pt idx="651">
                  <c:v>#DIV/0!</c:v>
                </c:pt>
                <c:pt idx="652">
                  <c:v>#DIV/0!</c:v>
                </c:pt>
                <c:pt idx="653">
                  <c:v>#DIV/0!</c:v>
                </c:pt>
                <c:pt idx="654">
                  <c:v>#DIV/0!</c:v>
                </c:pt>
                <c:pt idx="655">
                  <c:v>#DIV/0!</c:v>
                </c:pt>
                <c:pt idx="656">
                  <c:v>#DIV/0!</c:v>
                </c:pt>
                <c:pt idx="657">
                  <c:v>#DIV/0!</c:v>
                </c:pt>
                <c:pt idx="658">
                  <c:v>#DIV/0!</c:v>
                </c:pt>
                <c:pt idx="659">
                  <c:v>#DIV/0!</c:v>
                </c:pt>
                <c:pt idx="660">
                  <c:v>#DIV/0!</c:v>
                </c:pt>
                <c:pt idx="661">
                  <c:v>#DIV/0!</c:v>
                </c:pt>
                <c:pt idx="662">
                  <c:v>#DIV/0!</c:v>
                </c:pt>
                <c:pt idx="663">
                  <c:v>#DIV/0!</c:v>
                </c:pt>
                <c:pt idx="664">
                  <c:v>#DIV/0!</c:v>
                </c:pt>
                <c:pt idx="665">
                  <c:v>#DIV/0!</c:v>
                </c:pt>
                <c:pt idx="666">
                  <c:v>#DIV/0!</c:v>
                </c:pt>
                <c:pt idx="667">
                  <c:v>#DIV/0!</c:v>
                </c:pt>
                <c:pt idx="668">
                  <c:v>#DIV/0!</c:v>
                </c:pt>
                <c:pt idx="669">
                  <c:v>#DIV/0!</c:v>
                </c:pt>
                <c:pt idx="670">
                  <c:v>#DIV/0!</c:v>
                </c:pt>
                <c:pt idx="671">
                  <c:v>#DIV/0!</c:v>
                </c:pt>
                <c:pt idx="672">
                  <c:v>#DIV/0!</c:v>
                </c:pt>
                <c:pt idx="673">
                  <c:v>#DIV/0!</c:v>
                </c:pt>
                <c:pt idx="674">
                  <c:v>#DIV/0!</c:v>
                </c:pt>
                <c:pt idx="675">
                  <c:v>#DIV/0!</c:v>
                </c:pt>
                <c:pt idx="676">
                  <c:v>#DIV/0!</c:v>
                </c:pt>
                <c:pt idx="677">
                  <c:v>#DIV/0!</c:v>
                </c:pt>
                <c:pt idx="678">
                  <c:v>#DIV/0!</c:v>
                </c:pt>
                <c:pt idx="679">
                  <c:v>#DIV/0!</c:v>
                </c:pt>
                <c:pt idx="680">
                  <c:v>#DIV/0!</c:v>
                </c:pt>
                <c:pt idx="681">
                  <c:v>#DIV/0!</c:v>
                </c:pt>
                <c:pt idx="682">
                  <c:v>#DIV/0!</c:v>
                </c:pt>
                <c:pt idx="683">
                  <c:v>#DIV/0!</c:v>
                </c:pt>
                <c:pt idx="684">
                  <c:v>#DIV/0!</c:v>
                </c:pt>
                <c:pt idx="685">
                  <c:v>#DIV/0!</c:v>
                </c:pt>
                <c:pt idx="686">
                  <c:v>#DIV/0!</c:v>
                </c:pt>
                <c:pt idx="687">
                  <c:v>#DIV/0!</c:v>
                </c:pt>
                <c:pt idx="688">
                  <c:v>#DIV/0!</c:v>
                </c:pt>
                <c:pt idx="689">
                  <c:v>#DIV/0!</c:v>
                </c:pt>
                <c:pt idx="690">
                  <c:v>#DIV/0!</c:v>
                </c:pt>
                <c:pt idx="691">
                  <c:v>#DIV/0!</c:v>
                </c:pt>
                <c:pt idx="692">
                  <c:v>#DIV/0!</c:v>
                </c:pt>
                <c:pt idx="693">
                  <c:v>#DIV/0!</c:v>
                </c:pt>
                <c:pt idx="694">
                  <c:v>#DIV/0!</c:v>
                </c:pt>
                <c:pt idx="695">
                  <c:v>#DIV/0!</c:v>
                </c:pt>
                <c:pt idx="696">
                  <c:v>#DIV/0!</c:v>
                </c:pt>
                <c:pt idx="697">
                  <c:v>#DIV/0!</c:v>
                </c:pt>
                <c:pt idx="698">
                  <c:v>#DIV/0!</c:v>
                </c:pt>
                <c:pt idx="699">
                  <c:v>#DIV/0!</c:v>
                </c:pt>
                <c:pt idx="700">
                  <c:v>#DIV/0!</c:v>
                </c:pt>
                <c:pt idx="701">
                  <c:v>#DIV/0!</c:v>
                </c:pt>
                <c:pt idx="702">
                  <c:v>#DIV/0!</c:v>
                </c:pt>
                <c:pt idx="703">
                  <c:v>#DIV/0!</c:v>
                </c:pt>
                <c:pt idx="704">
                  <c:v>#DIV/0!</c:v>
                </c:pt>
                <c:pt idx="705">
                  <c:v>#DIV/0!</c:v>
                </c:pt>
                <c:pt idx="706">
                  <c:v>#DIV/0!</c:v>
                </c:pt>
                <c:pt idx="707">
                  <c:v>#DIV/0!</c:v>
                </c:pt>
                <c:pt idx="708">
                  <c:v>#DIV/0!</c:v>
                </c:pt>
                <c:pt idx="709">
                  <c:v>#DIV/0!</c:v>
                </c:pt>
                <c:pt idx="710">
                  <c:v>#DIV/0!</c:v>
                </c:pt>
                <c:pt idx="711">
                  <c:v>#DIV/0!</c:v>
                </c:pt>
                <c:pt idx="712">
                  <c:v>#DIV/0!</c:v>
                </c:pt>
                <c:pt idx="713">
                  <c:v>#DIV/0!</c:v>
                </c:pt>
                <c:pt idx="714">
                  <c:v>#DIV/0!</c:v>
                </c:pt>
                <c:pt idx="715">
                  <c:v>#DIV/0!</c:v>
                </c:pt>
                <c:pt idx="716">
                  <c:v>#DIV/0!</c:v>
                </c:pt>
                <c:pt idx="717">
                  <c:v>#DIV/0!</c:v>
                </c:pt>
                <c:pt idx="718">
                  <c:v>#DIV/0!</c:v>
                </c:pt>
                <c:pt idx="719">
                  <c:v>#DIV/0!</c:v>
                </c:pt>
                <c:pt idx="720">
                  <c:v>#DIV/0!</c:v>
                </c:pt>
                <c:pt idx="721">
                  <c:v>#DIV/0!</c:v>
                </c:pt>
                <c:pt idx="722">
                  <c:v>#DIV/0!</c:v>
                </c:pt>
                <c:pt idx="723">
                  <c:v>#DIV/0!</c:v>
                </c:pt>
                <c:pt idx="724">
                  <c:v>#DIV/0!</c:v>
                </c:pt>
                <c:pt idx="725">
                  <c:v>#DIV/0!</c:v>
                </c:pt>
                <c:pt idx="726">
                  <c:v>#DIV/0!</c:v>
                </c:pt>
                <c:pt idx="727">
                  <c:v>#DIV/0!</c:v>
                </c:pt>
                <c:pt idx="728">
                  <c:v>#DIV/0!</c:v>
                </c:pt>
                <c:pt idx="729">
                  <c:v>#DIV/0!</c:v>
                </c:pt>
                <c:pt idx="730">
                  <c:v>#DIV/0!</c:v>
                </c:pt>
                <c:pt idx="731">
                  <c:v>#DIV/0!</c:v>
                </c:pt>
                <c:pt idx="732">
                  <c:v>#DIV/0!</c:v>
                </c:pt>
                <c:pt idx="733">
                  <c:v>#DIV/0!</c:v>
                </c:pt>
                <c:pt idx="734">
                  <c:v>#DIV/0!</c:v>
                </c:pt>
                <c:pt idx="735">
                  <c:v>#DIV/0!</c:v>
                </c:pt>
                <c:pt idx="736">
                  <c:v>#DIV/0!</c:v>
                </c:pt>
                <c:pt idx="737">
                  <c:v>#DIV/0!</c:v>
                </c:pt>
                <c:pt idx="738">
                  <c:v>#DIV/0!</c:v>
                </c:pt>
                <c:pt idx="739">
                  <c:v>#DIV/0!</c:v>
                </c:pt>
                <c:pt idx="740">
                  <c:v>#DIV/0!</c:v>
                </c:pt>
                <c:pt idx="741">
                  <c:v>#DIV/0!</c:v>
                </c:pt>
                <c:pt idx="742">
                  <c:v>#DIV/0!</c:v>
                </c:pt>
                <c:pt idx="743">
                  <c:v>#DIV/0!</c:v>
                </c:pt>
                <c:pt idx="744">
                  <c:v>#DIV/0!</c:v>
                </c:pt>
                <c:pt idx="745">
                  <c:v>#DIV/0!</c:v>
                </c:pt>
                <c:pt idx="746">
                  <c:v>#DIV/0!</c:v>
                </c:pt>
                <c:pt idx="747">
                  <c:v>#DIV/0!</c:v>
                </c:pt>
                <c:pt idx="748">
                  <c:v>#DIV/0!</c:v>
                </c:pt>
                <c:pt idx="749">
                  <c:v>#DIV/0!</c:v>
                </c:pt>
                <c:pt idx="750">
                  <c:v>#DIV/0!</c:v>
                </c:pt>
                <c:pt idx="751">
                  <c:v>#DIV/0!</c:v>
                </c:pt>
                <c:pt idx="752">
                  <c:v>#DIV/0!</c:v>
                </c:pt>
                <c:pt idx="753">
                  <c:v>#DIV/0!</c:v>
                </c:pt>
                <c:pt idx="754">
                  <c:v>#DIV/0!</c:v>
                </c:pt>
                <c:pt idx="755">
                  <c:v>#DIV/0!</c:v>
                </c:pt>
                <c:pt idx="756">
                  <c:v>#DIV/0!</c:v>
                </c:pt>
                <c:pt idx="757">
                  <c:v>#DIV/0!</c:v>
                </c:pt>
                <c:pt idx="758">
                  <c:v>#DIV/0!</c:v>
                </c:pt>
                <c:pt idx="759">
                  <c:v>#DIV/0!</c:v>
                </c:pt>
                <c:pt idx="760">
                  <c:v>#DIV/0!</c:v>
                </c:pt>
                <c:pt idx="761">
                  <c:v>#DIV/0!</c:v>
                </c:pt>
                <c:pt idx="762">
                  <c:v>#DIV/0!</c:v>
                </c:pt>
                <c:pt idx="763">
                  <c:v>#DIV/0!</c:v>
                </c:pt>
                <c:pt idx="764">
                  <c:v>#DIV/0!</c:v>
                </c:pt>
                <c:pt idx="765">
                  <c:v>#DIV/0!</c:v>
                </c:pt>
                <c:pt idx="766">
                  <c:v>#DIV/0!</c:v>
                </c:pt>
                <c:pt idx="767">
                  <c:v>#DIV/0!</c:v>
                </c:pt>
                <c:pt idx="768">
                  <c:v>#DIV/0!</c:v>
                </c:pt>
                <c:pt idx="769">
                  <c:v>#DIV/0!</c:v>
                </c:pt>
                <c:pt idx="770">
                  <c:v>#DIV/0!</c:v>
                </c:pt>
                <c:pt idx="771">
                  <c:v>#DIV/0!</c:v>
                </c:pt>
                <c:pt idx="772">
                  <c:v>#DIV/0!</c:v>
                </c:pt>
                <c:pt idx="773">
                  <c:v>#DIV/0!</c:v>
                </c:pt>
                <c:pt idx="774">
                  <c:v>#DIV/0!</c:v>
                </c:pt>
                <c:pt idx="775">
                  <c:v>#DIV/0!</c:v>
                </c:pt>
                <c:pt idx="776">
                  <c:v>#DIV/0!</c:v>
                </c:pt>
                <c:pt idx="777">
                  <c:v>#DIV/0!</c:v>
                </c:pt>
                <c:pt idx="778">
                  <c:v>#DIV/0!</c:v>
                </c:pt>
                <c:pt idx="779">
                  <c:v>#DIV/0!</c:v>
                </c:pt>
                <c:pt idx="780">
                  <c:v>#DIV/0!</c:v>
                </c:pt>
                <c:pt idx="781">
                  <c:v>#DIV/0!</c:v>
                </c:pt>
                <c:pt idx="782">
                  <c:v>#DIV/0!</c:v>
                </c:pt>
                <c:pt idx="783">
                  <c:v>#DIV/0!</c:v>
                </c:pt>
                <c:pt idx="784">
                  <c:v>#DIV/0!</c:v>
                </c:pt>
                <c:pt idx="785">
                  <c:v>#DIV/0!</c:v>
                </c:pt>
                <c:pt idx="786">
                  <c:v>#DIV/0!</c:v>
                </c:pt>
                <c:pt idx="787">
                  <c:v>#DIV/0!</c:v>
                </c:pt>
                <c:pt idx="788">
                  <c:v>#DIV/0!</c:v>
                </c:pt>
                <c:pt idx="789">
                  <c:v>#DIV/0!</c:v>
                </c:pt>
                <c:pt idx="790">
                  <c:v>#DIV/0!</c:v>
                </c:pt>
                <c:pt idx="791">
                  <c:v>#DIV/0!</c:v>
                </c:pt>
                <c:pt idx="792">
                  <c:v>#DIV/0!</c:v>
                </c:pt>
                <c:pt idx="793">
                  <c:v>#DIV/0!</c:v>
                </c:pt>
                <c:pt idx="794">
                  <c:v>#DIV/0!</c:v>
                </c:pt>
                <c:pt idx="795">
                  <c:v>#DIV/0!</c:v>
                </c:pt>
                <c:pt idx="796">
                  <c:v>#DIV/0!</c:v>
                </c:pt>
                <c:pt idx="797">
                  <c:v>#DIV/0!</c:v>
                </c:pt>
                <c:pt idx="798">
                  <c:v>#DIV/0!</c:v>
                </c:pt>
                <c:pt idx="799">
                  <c:v>#DIV/0!</c:v>
                </c:pt>
                <c:pt idx="800">
                  <c:v>#DIV/0!</c:v>
                </c:pt>
                <c:pt idx="801">
                  <c:v>#DIV/0!</c:v>
                </c:pt>
                <c:pt idx="802">
                  <c:v>#DIV/0!</c:v>
                </c:pt>
                <c:pt idx="803">
                  <c:v>#DIV/0!</c:v>
                </c:pt>
                <c:pt idx="804">
                  <c:v>#DIV/0!</c:v>
                </c:pt>
                <c:pt idx="805">
                  <c:v>#DIV/0!</c:v>
                </c:pt>
                <c:pt idx="806">
                  <c:v>#DIV/0!</c:v>
                </c:pt>
                <c:pt idx="807">
                  <c:v>#DIV/0!</c:v>
                </c:pt>
                <c:pt idx="808">
                  <c:v>#DIV/0!</c:v>
                </c:pt>
                <c:pt idx="809">
                  <c:v>#DIV/0!</c:v>
                </c:pt>
                <c:pt idx="810">
                  <c:v>#DIV/0!</c:v>
                </c:pt>
                <c:pt idx="811">
                  <c:v>#DIV/0!</c:v>
                </c:pt>
                <c:pt idx="812">
                  <c:v>#DIV/0!</c:v>
                </c:pt>
                <c:pt idx="813">
                  <c:v>#DIV/0!</c:v>
                </c:pt>
                <c:pt idx="814">
                  <c:v>#DIV/0!</c:v>
                </c:pt>
                <c:pt idx="815">
                  <c:v>#DIV/0!</c:v>
                </c:pt>
                <c:pt idx="816">
                  <c:v>#DIV/0!</c:v>
                </c:pt>
                <c:pt idx="817">
                  <c:v>#DIV/0!</c:v>
                </c:pt>
                <c:pt idx="818">
                  <c:v>#DIV/0!</c:v>
                </c:pt>
                <c:pt idx="819">
                  <c:v>#DIV/0!</c:v>
                </c:pt>
                <c:pt idx="820">
                  <c:v>#DIV/0!</c:v>
                </c:pt>
                <c:pt idx="821">
                  <c:v>#DIV/0!</c:v>
                </c:pt>
                <c:pt idx="822">
                  <c:v>#DIV/0!</c:v>
                </c:pt>
                <c:pt idx="823">
                  <c:v>#DIV/0!</c:v>
                </c:pt>
                <c:pt idx="824">
                  <c:v>#DIV/0!</c:v>
                </c:pt>
                <c:pt idx="825">
                  <c:v>#DIV/0!</c:v>
                </c:pt>
                <c:pt idx="826">
                  <c:v>#DIV/0!</c:v>
                </c:pt>
                <c:pt idx="827">
                  <c:v>#DIV/0!</c:v>
                </c:pt>
                <c:pt idx="828">
                  <c:v>#DIV/0!</c:v>
                </c:pt>
                <c:pt idx="829">
                  <c:v>#DIV/0!</c:v>
                </c:pt>
                <c:pt idx="830">
                  <c:v>#DIV/0!</c:v>
                </c:pt>
                <c:pt idx="831">
                  <c:v>#DIV/0!</c:v>
                </c:pt>
                <c:pt idx="832">
                  <c:v>#DIV/0!</c:v>
                </c:pt>
                <c:pt idx="833">
                  <c:v>#DIV/0!</c:v>
                </c:pt>
                <c:pt idx="834">
                  <c:v>#DIV/0!</c:v>
                </c:pt>
                <c:pt idx="835">
                  <c:v>#DIV/0!</c:v>
                </c:pt>
                <c:pt idx="836">
                  <c:v>#DIV/0!</c:v>
                </c:pt>
                <c:pt idx="837">
                  <c:v>#DIV/0!</c:v>
                </c:pt>
                <c:pt idx="838">
                  <c:v>#DIV/0!</c:v>
                </c:pt>
                <c:pt idx="839">
                  <c:v>#DIV/0!</c:v>
                </c:pt>
                <c:pt idx="840">
                  <c:v>#DIV/0!</c:v>
                </c:pt>
                <c:pt idx="841">
                  <c:v>#DIV/0!</c:v>
                </c:pt>
                <c:pt idx="842">
                  <c:v>#DIV/0!</c:v>
                </c:pt>
                <c:pt idx="843">
                  <c:v>#DIV/0!</c:v>
                </c:pt>
                <c:pt idx="844">
                  <c:v>#DIV/0!</c:v>
                </c:pt>
                <c:pt idx="845">
                  <c:v>#DIV/0!</c:v>
                </c:pt>
                <c:pt idx="846">
                  <c:v>#DIV/0!</c:v>
                </c:pt>
                <c:pt idx="847">
                  <c:v>#DIV/0!</c:v>
                </c:pt>
                <c:pt idx="848">
                  <c:v>#DIV/0!</c:v>
                </c:pt>
                <c:pt idx="849">
                  <c:v>#DIV/0!</c:v>
                </c:pt>
                <c:pt idx="850">
                  <c:v>#DIV/0!</c:v>
                </c:pt>
                <c:pt idx="851">
                  <c:v>#DIV/0!</c:v>
                </c:pt>
                <c:pt idx="852">
                  <c:v>#DIV/0!</c:v>
                </c:pt>
                <c:pt idx="853">
                  <c:v>#DIV/0!</c:v>
                </c:pt>
                <c:pt idx="854">
                  <c:v>#DIV/0!</c:v>
                </c:pt>
                <c:pt idx="855">
                  <c:v>#DIV/0!</c:v>
                </c:pt>
                <c:pt idx="856">
                  <c:v>#DIV/0!</c:v>
                </c:pt>
                <c:pt idx="857">
                  <c:v>#DIV/0!</c:v>
                </c:pt>
                <c:pt idx="858">
                  <c:v>#DIV/0!</c:v>
                </c:pt>
                <c:pt idx="859">
                  <c:v>#DIV/0!</c:v>
                </c:pt>
                <c:pt idx="860">
                  <c:v>#DIV/0!</c:v>
                </c:pt>
                <c:pt idx="861">
                  <c:v>#DIV/0!</c:v>
                </c:pt>
                <c:pt idx="862">
                  <c:v>#DIV/0!</c:v>
                </c:pt>
                <c:pt idx="863">
                  <c:v>#DIV/0!</c:v>
                </c:pt>
                <c:pt idx="864">
                  <c:v>#DIV/0!</c:v>
                </c:pt>
                <c:pt idx="865">
                  <c:v>#DIV/0!</c:v>
                </c:pt>
                <c:pt idx="866">
                  <c:v>#DIV/0!</c:v>
                </c:pt>
                <c:pt idx="867">
                  <c:v>#DIV/0!</c:v>
                </c:pt>
                <c:pt idx="868">
                  <c:v>#DIV/0!</c:v>
                </c:pt>
                <c:pt idx="869">
                  <c:v>#DIV/0!</c:v>
                </c:pt>
                <c:pt idx="870">
                  <c:v>#DIV/0!</c:v>
                </c:pt>
                <c:pt idx="871">
                  <c:v>#DIV/0!</c:v>
                </c:pt>
                <c:pt idx="872">
                  <c:v>#DIV/0!</c:v>
                </c:pt>
                <c:pt idx="873">
                  <c:v>#DIV/0!</c:v>
                </c:pt>
                <c:pt idx="874">
                  <c:v>#DIV/0!</c:v>
                </c:pt>
                <c:pt idx="875">
                  <c:v>#DIV/0!</c:v>
                </c:pt>
                <c:pt idx="876">
                  <c:v>#DIV/0!</c:v>
                </c:pt>
                <c:pt idx="877">
                  <c:v>#DIV/0!</c:v>
                </c:pt>
                <c:pt idx="878">
                  <c:v>#DIV/0!</c:v>
                </c:pt>
                <c:pt idx="879">
                  <c:v>#DIV/0!</c:v>
                </c:pt>
                <c:pt idx="880">
                  <c:v>#DIV/0!</c:v>
                </c:pt>
                <c:pt idx="881">
                  <c:v>#DIV/0!</c:v>
                </c:pt>
                <c:pt idx="882">
                  <c:v>#DIV/0!</c:v>
                </c:pt>
                <c:pt idx="883">
                  <c:v>#DIV/0!</c:v>
                </c:pt>
                <c:pt idx="884">
                  <c:v>#DIV/0!</c:v>
                </c:pt>
                <c:pt idx="885">
                  <c:v>#DIV/0!</c:v>
                </c:pt>
                <c:pt idx="886">
                  <c:v>#DIV/0!</c:v>
                </c:pt>
                <c:pt idx="887">
                  <c:v>#DIV/0!</c:v>
                </c:pt>
                <c:pt idx="888">
                  <c:v>#DIV/0!</c:v>
                </c:pt>
                <c:pt idx="889">
                  <c:v>#DIV/0!</c:v>
                </c:pt>
                <c:pt idx="890">
                  <c:v>#DIV/0!</c:v>
                </c:pt>
                <c:pt idx="891">
                  <c:v>#DIV/0!</c:v>
                </c:pt>
                <c:pt idx="892">
                  <c:v>#DIV/0!</c:v>
                </c:pt>
                <c:pt idx="893">
                  <c:v>#DIV/0!</c:v>
                </c:pt>
                <c:pt idx="894">
                  <c:v>#DIV/0!</c:v>
                </c:pt>
                <c:pt idx="895">
                  <c:v>#DIV/0!</c:v>
                </c:pt>
                <c:pt idx="896">
                  <c:v>#DIV/0!</c:v>
                </c:pt>
                <c:pt idx="897">
                  <c:v>#DIV/0!</c:v>
                </c:pt>
                <c:pt idx="898">
                  <c:v>#DIV/0!</c:v>
                </c:pt>
                <c:pt idx="899">
                  <c:v>#DIV/0!</c:v>
                </c:pt>
                <c:pt idx="900">
                  <c:v>#DIV/0!</c:v>
                </c:pt>
                <c:pt idx="901">
                  <c:v>#DIV/0!</c:v>
                </c:pt>
                <c:pt idx="902">
                  <c:v>#DIV/0!</c:v>
                </c:pt>
                <c:pt idx="903">
                  <c:v>#DIV/0!</c:v>
                </c:pt>
                <c:pt idx="904">
                  <c:v>#DIV/0!</c:v>
                </c:pt>
                <c:pt idx="905">
                  <c:v>#DIV/0!</c:v>
                </c:pt>
                <c:pt idx="906">
                  <c:v>#DIV/0!</c:v>
                </c:pt>
                <c:pt idx="907">
                  <c:v>#DIV/0!</c:v>
                </c:pt>
                <c:pt idx="908">
                  <c:v>#DIV/0!</c:v>
                </c:pt>
                <c:pt idx="909">
                  <c:v>#DIV/0!</c:v>
                </c:pt>
                <c:pt idx="910">
                  <c:v>#DIV/0!</c:v>
                </c:pt>
                <c:pt idx="911">
                  <c:v>#DIV/0!</c:v>
                </c:pt>
                <c:pt idx="912">
                  <c:v>#DIV/0!</c:v>
                </c:pt>
                <c:pt idx="913">
                  <c:v>#DIV/0!</c:v>
                </c:pt>
                <c:pt idx="914">
                  <c:v>#DIV/0!</c:v>
                </c:pt>
                <c:pt idx="915">
                  <c:v>#DIV/0!</c:v>
                </c:pt>
                <c:pt idx="916">
                  <c:v>#DIV/0!</c:v>
                </c:pt>
                <c:pt idx="917">
                  <c:v>#DIV/0!</c:v>
                </c:pt>
                <c:pt idx="918">
                  <c:v>#DIV/0!</c:v>
                </c:pt>
                <c:pt idx="919">
                  <c:v>#DIV/0!</c:v>
                </c:pt>
                <c:pt idx="920">
                  <c:v>#DIV/0!</c:v>
                </c:pt>
                <c:pt idx="921">
                  <c:v>#DIV/0!</c:v>
                </c:pt>
                <c:pt idx="922">
                  <c:v>#DIV/0!</c:v>
                </c:pt>
                <c:pt idx="923">
                  <c:v>#DIV/0!</c:v>
                </c:pt>
                <c:pt idx="924">
                  <c:v>#DIV/0!</c:v>
                </c:pt>
                <c:pt idx="925">
                  <c:v>#DIV/0!</c:v>
                </c:pt>
                <c:pt idx="926">
                  <c:v>#DIV/0!</c:v>
                </c:pt>
                <c:pt idx="927">
                  <c:v>#DIV/0!</c:v>
                </c:pt>
                <c:pt idx="928">
                  <c:v>#DIV/0!</c:v>
                </c:pt>
                <c:pt idx="929">
                  <c:v>#DIV/0!</c:v>
                </c:pt>
                <c:pt idx="930">
                  <c:v>#DIV/0!</c:v>
                </c:pt>
                <c:pt idx="931">
                  <c:v>#DIV/0!</c:v>
                </c:pt>
                <c:pt idx="932">
                  <c:v>#DIV/0!</c:v>
                </c:pt>
                <c:pt idx="933">
                  <c:v>#DIV/0!</c:v>
                </c:pt>
                <c:pt idx="934">
                  <c:v>#DIV/0!</c:v>
                </c:pt>
                <c:pt idx="935">
                  <c:v>#DIV/0!</c:v>
                </c:pt>
                <c:pt idx="936">
                  <c:v>#DIV/0!</c:v>
                </c:pt>
                <c:pt idx="937">
                  <c:v>#DIV/0!</c:v>
                </c:pt>
                <c:pt idx="938">
                  <c:v>#DIV/0!</c:v>
                </c:pt>
                <c:pt idx="939">
                  <c:v>#DIV/0!</c:v>
                </c:pt>
                <c:pt idx="940">
                  <c:v>#DIV/0!</c:v>
                </c:pt>
                <c:pt idx="941">
                  <c:v>#DIV/0!</c:v>
                </c:pt>
              </c:strCache>
            </c:strRef>
          </c:xVal>
          <c:yVal>
            <c:numRef>
              <c:f>'Pokemon Science 2.0 data'!$L$2:$L$1000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C-4DC4-99F4-B9ED2976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94070"/>
        <c:axId val="131163211"/>
      </c:scatterChart>
      <c:valAx>
        <c:axId val="3634940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1163211"/>
        <c:crosses val="autoZero"/>
        <c:crossBetween val="midCat"/>
      </c:valAx>
      <c:valAx>
        <c:axId val="131163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Level (from CP)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6349407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HP/Base stat by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'Pokemon Science 2.0 data'!$J$1</c:f>
              <c:strCache>
                <c:ptCount val="1"/>
                <c:pt idx="0">
                  <c:v>HP/Base stat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strRef>
              <c:f>'Pokemon Science 2.0 data'!$G$2:$G$1000</c:f>
              <c:strCache>
                <c:ptCount val="942"/>
                <c:pt idx="0">
                  <c:v>21</c:v>
                </c:pt>
                <c:pt idx="1">
                  <c:v>21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15</c:v>
                </c:pt>
                <c:pt idx="16">
                  <c:v>13</c:v>
                </c:pt>
                <c:pt idx="17">
                  <c:v>11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21</c:v>
                </c:pt>
                <c:pt idx="23">
                  <c:v>18</c:v>
                </c:pt>
                <c:pt idx="24">
                  <c:v>19</c:v>
                </c:pt>
                <c:pt idx="25">
                  <c:v>6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27</c:v>
                </c:pt>
                <c:pt idx="30">
                  <c:v>24</c:v>
                </c:pt>
                <c:pt idx="31">
                  <c:v>22</c:v>
                </c:pt>
                <c:pt idx="32">
                  <c:v>22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28</c:v>
                </c:pt>
                <c:pt idx="71">
                  <c:v>20</c:v>
                </c:pt>
                <c:pt idx="72">
                  <c:v>16</c:v>
                </c:pt>
                <c:pt idx="73">
                  <c:v>15</c:v>
                </c:pt>
                <c:pt idx="74">
                  <c:v>6</c:v>
                </c:pt>
                <c:pt idx="75">
                  <c:v>31</c:v>
                </c:pt>
                <c:pt idx="76">
                  <c:v>7</c:v>
                </c:pt>
                <c:pt idx="77">
                  <c:v>35</c:v>
                </c:pt>
                <c:pt idx="78">
                  <c:v>24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23</c:v>
                </c:pt>
                <c:pt idx="142">
                  <c:v>23</c:v>
                </c:pt>
                <c:pt idx="143">
                  <c:v>20</c:v>
                </c:pt>
                <c:pt idx="144">
                  <c:v>18</c:v>
                </c:pt>
                <c:pt idx="145">
                  <c:v>17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30</c:v>
                </c:pt>
                <c:pt idx="150">
                  <c:v>27</c:v>
                </c:pt>
                <c:pt idx="151">
                  <c:v>11</c:v>
                </c:pt>
                <c:pt idx="152">
                  <c:v>22</c:v>
                </c:pt>
                <c:pt idx="153">
                  <c:v>19</c:v>
                </c:pt>
                <c:pt idx="154">
                  <c:v>18</c:v>
                </c:pt>
                <c:pt idx="155">
                  <c:v>18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12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27</c:v>
                </c:pt>
                <c:pt idx="177">
                  <c:v>25</c:v>
                </c:pt>
                <c:pt idx="178">
                  <c:v>23</c:v>
                </c:pt>
                <c:pt idx="179">
                  <c:v>22</c:v>
                </c:pt>
                <c:pt idx="180">
                  <c:v>17</c:v>
                </c:pt>
                <c:pt idx="181">
                  <c:v>15</c:v>
                </c:pt>
                <c:pt idx="182">
                  <c:v>32</c:v>
                </c:pt>
                <c:pt idx="183">
                  <c:v>27</c:v>
                </c:pt>
                <c:pt idx="184">
                  <c:v>24</c:v>
                </c:pt>
                <c:pt idx="185">
                  <c:v>20</c:v>
                </c:pt>
                <c:pt idx="186">
                  <c:v>9</c:v>
                </c:pt>
                <c:pt idx="187">
                  <c:v>3</c:v>
                </c:pt>
                <c:pt idx="188">
                  <c:v>29</c:v>
                </c:pt>
                <c:pt idx="189">
                  <c:v>19</c:v>
                </c:pt>
                <c:pt idx="190">
                  <c:v>12</c:v>
                </c:pt>
                <c:pt idx="191">
                  <c:v>7</c:v>
                </c:pt>
                <c:pt idx="192">
                  <c:v>28</c:v>
                </c:pt>
                <c:pt idx="193">
                  <c:v>26</c:v>
                </c:pt>
                <c:pt idx="194">
                  <c:v>18</c:v>
                </c:pt>
                <c:pt idx="195">
                  <c:v>17</c:v>
                </c:pt>
                <c:pt idx="196">
                  <c:v>17</c:v>
                </c:pt>
                <c:pt idx="197">
                  <c:v>15</c:v>
                </c:pt>
                <c:pt idx="198">
                  <c:v>17</c:v>
                </c:pt>
                <c:pt idx="199">
                  <c:v>21</c:v>
                </c:pt>
                <c:pt idx="200">
                  <c:v>18</c:v>
                </c:pt>
                <c:pt idx="201">
                  <c:v>18</c:v>
                </c:pt>
                <c:pt idx="202">
                  <c:v>14</c:v>
                </c:pt>
                <c:pt idx="203">
                  <c:v>10</c:v>
                </c:pt>
                <c:pt idx="204">
                  <c:v>1</c:v>
                </c:pt>
                <c:pt idx="205">
                  <c:v>21</c:v>
                </c:pt>
                <c:pt idx="206">
                  <c:v>15</c:v>
                </c:pt>
                <c:pt idx="207">
                  <c:v>19</c:v>
                </c:pt>
                <c:pt idx="208">
                  <c:v>26</c:v>
                </c:pt>
                <c:pt idx="209">
                  <c:v>25</c:v>
                </c:pt>
                <c:pt idx="210">
                  <c:v>24</c:v>
                </c:pt>
                <c:pt idx="211">
                  <c:v>24</c:v>
                </c:pt>
                <c:pt idx="212">
                  <c:v>22</c:v>
                </c:pt>
                <c:pt idx="213">
                  <c:v>21</c:v>
                </c:pt>
                <c:pt idx="214">
                  <c:v>19</c:v>
                </c:pt>
                <c:pt idx="215">
                  <c:v>7</c:v>
                </c:pt>
                <c:pt idx="216">
                  <c:v>31</c:v>
                </c:pt>
                <c:pt idx="217">
                  <c:v>23</c:v>
                </c:pt>
                <c:pt idx="218">
                  <c:v>5</c:v>
                </c:pt>
                <c:pt idx="219">
                  <c:v>26</c:v>
                </c:pt>
                <c:pt idx="220">
                  <c:v>18</c:v>
                </c:pt>
                <c:pt idx="221">
                  <c:v>13</c:v>
                </c:pt>
                <c:pt idx="222">
                  <c:v>9</c:v>
                </c:pt>
                <c:pt idx="223">
                  <c:v>7</c:v>
                </c:pt>
                <c:pt idx="224">
                  <c:v>28</c:v>
                </c:pt>
                <c:pt idx="225">
                  <c:v>20</c:v>
                </c:pt>
                <c:pt idx="226">
                  <c:v>19</c:v>
                </c:pt>
                <c:pt idx="227">
                  <c:v>19</c:v>
                </c:pt>
                <c:pt idx="228">
                  <c:v>15</c:v>
                </c:pt>
                <c:pt idx="229">
                  <c:v>12</c:v>
                </c:pt>
                <c:pt idx="230">
                  <c:v>11</c:v>
                </c:pt>
                <c:pt idx="231">
                  <c:v>1</c:v>
                </c:pt>
                <c:pt idx="232">
                  <c:v>16</c:v>
                </c:pt>
                <c:pt idx="233">
                  <c:v>13</c:v>
                </c:pt>
                <c:pt idx="234">
                  <c:v>34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16</c:v>
                </c:pt>
                <c:pt idx="239">
                  <c:v>13</c:v>
                </c:pt>
                <c:pt idx="240">
                  <c:v>10</c:v>
                </c:pt>
                <c:pt idx="241">
                  <c:v>10</c:v>
                </c:pt>
                <c:pt idx="242">
                  <c:v>23</c:v>
                </c:pt>
                <c:pt idx="243">
                  <c:v>15</c:v>
                </c:pt>
                <c:pt idx="244">
                  <c:v>11</c:v>
                </c:pt>
                <c:pt idx="245">
                  <c:v>26</c:v>
                </c:pt>
                <c:pt idx="246">
                  <c:v>21</c:v>
                </c:pt>
                <c:pt idx="247">
                  <c:v>20</c:v>
                </c:pt>
                <c:pt idx="248">
                  <c:v>31</c:v>
                </c:pt>
                <c:pt idx="249">
                  <c:v>30</c:v>
                </c:pt>
                <c:pt idx="250">
                  <c:v>26</c:v>
                </c:pt>
                <c:pt idx="251">
                  <c:v>17</c:v>
                </c:pt>
                <c:pt idx="252">
                  <c:v>14</c:v>
                </c:pt>
                <c:pt idx="253">
                  <c:v>13</c:v>
                </c:pt>
                <c:pt idx="254">
                  <c:v>13</c:v>
                </c:pt>
                <c:pt idx="255">
                  <c:v>11</c:v>
                </c:pt>
                <c:pt idx="256">
                  <c:v>17</c:v>
                </c:pt>
                <c:pt idx="257">
                  <c:v>21</c:v>
                </c:pt>
                <c:pt idx="258">
                  <c:v>9</c:v>
                </c:pt>
                <c:pt idx="259">
                  <c:v>9</c:v>
                </c:pt>
                <c:pt idx="260">
                  <c:v>30</c:v>
                </c:pt>
                <c:pt idx="261">
                  <c:v>20</c:v>
                </c:pt>
                <c:pt idx="262">
                  <c:v>20</c:v>
                </c:pt>
                <c:pt idx="263">
                  <c:v>1</c:v>
                </c:pt>
                <c:pt idx="264">
                  <c:v>13</c:v>
                </c:pt>
                <c:pt idx="265">
                  <c:v>5</c:v>
                </c:pt>
                <c:pt idx="266">
                  <c:v>5</c:v>
                </c:pt>
                <c:pt idx="267">
                  <c:v>21</c:v>
                </c:pt>
                <c:pt idx="268">
                  <c:v>32</c:v>
                </c:pt>
                <c:pt idx="269">
                  <c:v>19</c:v>
                </c:pt>
                <c:pt idx="270">
                  <c:v>14</c:v>
                </c:pt>
                <c:pt idx="271">
                  <c:v>18</c:v>
                </c:pt>
                <c:pt idx="272">
                  <c:v>15</c:v>
                </c:pt>
                <c:pt idx="273">
                  <c:v>10</c:v>
                </c:pt>
                <c:pt idx="274">
                  <c:v>3</c:v>
                </c:pt>
                <c:pt idx="275">
                  <c:v>26</c:v>
                </c:pt>
                <c:pt idx="276">
                  <c:v>34</c:v>
                </c:pt>
                <c:pt idx="277">
                  <c:v>18</c:v>
                </c:pt>
                <c:pt idx="278">
                  <c:v>18</c:v>
                </c:pt>
                <c:pt idx="279">
                  <c:v>15</c:v>
                </c:pt>
                <c:pt idx="280">
                  <c:v>11</c:v>
                </c:pt>
                <c:pt idx="281">
                  <c:v>11</c:v>
                </c:pt>
                <c:pt idx="282">
                  <c:v>8</c:v>
                </c:pt>
                <c:pt idx="283">
                  <c:v>6</c:v>
                </c:pt>
                <c:pt idx="284">
                  <c:v>5</c:v>
                </c:pt>
                <c:pt idx="285">
                  <c:v>21</c:v>
                </c:pt>
                <c:pt idx="286">
                  <c:v>6</c:v>
                </c:pt>
                <c:pt idx="287">
                  <c:v>26</c:v>
                </c:pt>
                <c:pt idx="288">
                  <c:v>9</c:v>
                </c:pt>
                <c:pt idx="289">
                  <c:v>2</c:v>
                </c:pt>
                <c:pt idx="290">
                  <c:v>14</c:v>
                </c:pt>
                <c:pt idx="291">
                  <c:v>23</c:v>
                </c:pt>
                <c:pt idx="292">
                  <c:v>9</c:v>
                </c:pt>
                <c:pt idx="293">
                  <c:v>6</c:v>
                </c:pt>
                <c:pt idx="294">
                  <c:v>19</c:v>
                </c:pt>
                <c:pt idx="295">
                  <c:v>10</c:v>
                </c:pt>
                <c:pt idx="296">
                  <c:v>1</c:v>
                </c:pt>
                <c:pt idx="297">
                  <c:v>18</c:v>
                </c:pt>
                <c:pt idx="298">
                  <c:v>15</c:v>
                </c:pt>
                <c:pt idx="299">
                  <c:v>29</c:v>
                </c:pt>
                <c:pt idx="300">
                  <c:v>29</c:v>
                </c:pt>
                <c:pt idx="301">
                  <c:v>21</c:v>
                </c:pt>
                <c:pt idx="302">
                  <c:v>19</c:v>
                </c:pt>
                <c:pt idx="303">
                  <c:v>18</c:v>
                </c:pt>
                <c:pt idx="304">
                  <c:v>18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9</c:v>
                </c:pt>
                <c:pt idx="312">
                  <c:v>7</c:v>
                </c:pt>
                <c:pt idx="313">
                  <c:v>5</c:v>
                </c:pt>
                <c:pt idx="314">
                  <c:v>3</c:v>
                </c:pt>
                <c:pt idx="315">
                  <c:v>24</c:v>
                </c:pt>
                <c:pt idx="316">
                  <c:v>9</c:v>
                </c:pt>
                <c:pt idx="317">
                  <c:v>5</c:v>
                </c:pt>
                <c:pt idx="318">
                  <c:v>26</c:v>
                </c:pt>
                <c:pt idx="319">
                  <c:v>14</c:v>
                </c:pt>
                <c:pt idx="320">
                  <c:v>18</c:v>
                </c:pt>
                <c:pt idx="321">
                  <c:v>3</c:v>
                </c:pt>
                <c:pt idx="322">
                  <c:v>24</c:v>
                </c:pt>
                <c:pt idx="323">
                  <c:v>11</c:v>
                </c:pt>
                <c:pt idx="324">
                  <c:v>15</c:v>
                </c:pt>
                <c:pt idx="325">
                  <c:v>17</c:v>
                </c:pt>
                <c:pt idx="326">
                  <c:v>7</c:v>
                </c:pt>
                <c:pt idx="327">
                  <c:v>6</c:v>
                </c:pt>
                <c:pt idx="328">
                  <c:v>15</c:v>
                </c:pt>
                <c:pt idx="329">
                  <c:v>9</c:v>
                </c:pt>
                <c:pt idx="330">
                  <c:v>17</c:v>
                </c:pt>
                <c:pt idx="331">
                  <c:v>12</c:v>
                </c:pt>
                <c:pt idx="332">
                  <c:v>11</c:v>
                </c:pt>
                <c:pt idx="333">
                  <c:v>7</c:v>
                </c:pt>
                <c:pt idx="334">
                  <c:v>28</c:v>
                </c:pt>
                <c:pt idx="335">
                  <c:v>14</c:v>
                </c:pt>
                <c:pt idx="336">
                  <c:v>9</c:v>
                </c:pt>
                <c:pt idx="337">
                  <c:v>5</c:v>
                </c:pt>
                <c:pt idx="338">
                  <c:v>36</c:v>
                </c:pt>
                <c:pt idx="339">
                  <c:v>16</c:v>
                </c:pt>
                <c:pt idx="340">
                  <c:v>13</c:v>
                </c:pt>
                <c:pt idx="341">
                  <c:v>29</c:v>
                </c:pt>
                <c:pt idx="342">
                  <c:v>29</c:v>
                </c:pt>
                <c:pt idx="343">
                  <c:v>23</c:v>
                </c:pt>
                <c:pt idx="344">
                  <c:v>21</c:v>
                </c:pt>
                <c:pt idx="345">
                  <c:v>21</c:v>
                </c:pt>
                <c:pt idx="346">
                  <c:v>19</c:v>
                </c:pt>
                <c:pt idx="347">
                  <c:v>19</c:v>
                </c:pt>
                <c:pt idx="348">
                  <c:v>15</c:v>
                </c:pt>
                <c:pt idx="349">
                  <c:v>13</c:v>
                </c:pt>
                <c:pt idx="350">
                  <c:v>13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7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26</c:v>
                </c:pt>
                <c:pt idx="368">
                  <c:v>26</c:v>
                </c:pt>
                <c:pt idx="369">
                  <c:v>33</c:v>
                </c:pt>
                <c:pt idx="370">
                  <c:v>21</c:v>
                </c:pt>
                <c:pt idx="371">
                  <c:v>17</c:v>
                </c:pt>
                <c:pt idx="372">
                  <c:v>27</c:v>
                </c:pt>
                <c:pt idx="373">
                  <c:v>34</c:v>
                </c:pt>
                <c:pt idx="374">
                  <c:v>43</c:v>
                </c:pt>
                <c:pt idx="375">
                  <c:v>22</c:v>
                </c:pt>
                <c:pt idx="376">
                  <c:v>18</c:v>
                </c:pt>
                <c:pt idx="377">
                  <c:v>31</c:v>
                </c:pt>
                <c:pt idx="378">
                  <c:v>1</c:v>
                </c:pt>
                <c:pt idx="379">
                  <c:v>3</c:v>
                </c:pt>
                <c:pt idx="380">
                  <c:v>11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3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5</c:v>
                </c:pt>
                <c:pt idx="390">
                  <c:v>3</c:v>
                </c:pt>
                <c:pt idx="391">
                  <c:v>5</c:v>
                </c:pt>
                <c:pt idx="392">
                  <c:v>7</c:v>
                </c:pt>
                <c:pt idx="393">
                  <c:v>5</c:v>
                </c:pt>
                <c:pt idx="394">
                  <c:v>9</c:v>
                </c:pt>
                <c:pt idx="395">
                  <c:v>8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1</c:v>
                </c:pt>
                <c:pt idx="400">
                  <c:v>11</c:v>
                </c:pt>
                <c:pt idx="401">
                  <c:v>9</c:v>
                </c:pt>
                <c:pt idx="402">
                  <c:v>5</c:v>
                </c:pt>
                <c:pt idx="403">
                  <c:v>3</c:v>
                </c:pt>
                <c:pt idx="404">
                  <c:v>1</c:v>
                </c:pt>
                <c:pt idx="405">
                  <c:v>6</c:v>
                </c:pt>
                <c:pt idx="406">
                  <c:v>5</c:v>
                </c:pt>
                <c:pt idx="407">
                  <c:v>3</c:v>
                </c:pt>
                <c:pt idx="408">
                  <c:v>8</c:v>
                </c:pt>
                <c:pt idx="409">
                  <c:v>5</c:v>
                </c:pt>
                <c:pt idx="410">
                  <c:v>2</c:v>
                </c:pt>
                <c:pt idx="411">
                  <c:v>3</c:v>
                </c:pt>
                <c:pt idx="412">
                  <c:v>7</c:v>
                </c:pt>
                <c:pt idx="413">
                  <c:v>3</c:v>
                </c:pt>
                <c:pt idx="414">
                  <c:v>1</c:v>
                </c:pt>
                <c:pt idx="415">
                  <c:v>25</c:v>
                </c:pt>
                <c:pt idx="416">
                  <c:v>26</c:v>
                </c:pt>
                <c:pt idx="417">
                  <c:v>7</c:v>
                </c:pt>
                <c:pt idx="418">
                  <c:v>24</c:v>
                </c:pt>
                <c:pt idx="419">
                  <c:v>19</c:v>
                </c:pt>
                <c:pt idx="420">
                  <c:v>13</c:v>
                </c:pt>
                <c:pt idx="421">
                  <c:v>10</c:v>
                </c:pt>
                <c:pt idx="422">
                  <c:v>26</c:v>
                </c:pt>
                <c:pt idx="423">
                  <c:v>20</c:v>
                </c:pt>
                <c:pt idx="424">
                  <c:v>15</c:v>
                </c:pt>
                <c:pt idx="425">
                  <c:v>19</c:v>
                </c:pt>
                <c:pt idx="426">
                  <c:v>19</c:v>
                </c:pt>
                <c:pt idx="427">
                  <c:v>23</c:v>
                </c:pt>
                <c:pt idx="428">
                  <c:v>20</c:v>
                </c:pt>
                <c:pt idx="429">
                  <c:v>24</c:v>
                </c:pt>
                <c:pt idx="430">
                  <c:v>16</c:v>
                </c:pt>
                <c:pt idx="431">
                  <c:v>15</c:v>
                </c:pt>
                <c:pt idx="432">
                  <c:v>23</c:v>
                </c:pt>
                <c:pt idx="433">
                  <c:v>26</c:v>
                </c:pt>
                <c:pt idx="434">
                  <c:v>19</c:v>
                </c:pt>
                <c:pt idx="435">
                  <c:v>21</c:v>
                </c:pt>
                <c:pt idx="436">
                  <c:v>45</c:v>
                </c:pt>
                <c:pt idx="437">
                  <c:v>40</c:v>
                </c:pt>
                <c:pt idx="438">
                  <c:v>49</c:v>
                </c:pt>
                <c:pt idx="439">
                  <c:v>39</c:v>
                </c:pt>
                <c:pt idx="440">
                  <c:v>42</c:v>
                </c:pt>
                <c:pt idx="441">
                  <c:v>37</c:v>
                </c:pt>
                <c:pt idx="442">
                  <c:v>44</c:v>
                </c:pt>
                <c:pt idx="443">
                  <c:v>44</c:v>
                </c:pt>
                <c:pt idx="444">
                  <c:v>39</c:v>
                </c:pt>
                <c:pt idx="445">
                  <c:v>3</c:v>
                </c:pt>
                <c:pt idx="446">
                  <c:v>#DIV/0!</c:v>
                </c:pt>
                <c:pt idx="447">
                  <c:v>#DIV/0!</c:v>
                </c:pt>
                <c:pt idx="448">
                  <c:v>#DIV/0!</c:v>
                </c:pt>
                <c:pt idx="449">
                  <c:v>#DIV/0!</c:v>
                </c:pt>
                <c:pt idx="450">
                  <c:v>#DIV/0!</c:v>
                </c:pt>
                <c:pt idx="451">
                  <c:v>#DIV/0!</c:v>
                </c:pt>
                <c:pt idx="452">
                  <c:v>#DIV/0!</c:v>
                </c:pt>
                <c:pt idx="453">
                  <c:v>#DIV/0!</c:v>
                </c:pt>
                <c:pt idx="454">
                  <c:v>#DIV/0!</c:v>
                </c:pt>
                <c:pt idx="455">
                  <c:v>#DIV/0!</c:v>
                </c:pt>
                <c:pt idx="456">
                  <c:v>#DIV/0!</c:v>
                </c:pt>
                <c:pt idx="457">
                  <c:v>#DIV/0!</c:v>
                </c:pt>
                <c:pt idx="458">
                  <c:v>#DIV/0!</c:v>
                </c:pt>
                <c:pt idx="459">
                  <c:v>#DIV/0!</c:v>
                </c:pt>
                <c:pt idx="460">
                  <c:v>#DIV/0!</c:v>
                </c:pt>
                <c:pt idx="461">
                  <c:v>#DIV/0!</c:v>
                </c:pt>
                <c:pt idx="462">
                  <c:v>#DIV/0!</c:v>
                </c:pt>
                <c:pt idx="463">
                  <c:v>#DIV/0!</c:v>
                </c:pt>
                <c:pt idx="464">
                  <c:v>#DIV/0!</c:v>
                </c:pt>
                <c:pt idx="465">
                  <c:v>#DIV/0!</c:v>
                </c:pt>
                <c:pt idx="466">
                  <c:v>#DIV/0!</c:v>
                </c:pt>
                <c:pt idx="467">
                  <c:v>#DIV/0!</c:v>
                </c:pt>
                <c:pt idx="468">
                  <c:v>#DIV/0!</c:v>
                </c:pt>
                <c:pt idx="469">
                  <c:v>#DIV/0!</c:v>
                </c:pt>
                <c:pt idx="470">
                  <c:v>#DIV/0!</c:v>
                </c:pt>
                <c:pt idx="471">
                  <c:v>#DIV/0!</c:v>
                </c:pt>
                <c:pt idx="472">
                  <c:v>#DIV/0!</c:v>
                </c:pt>
                <c:pt idx="473">
                  <c:v>#DIV/0!</c:v>
                </c:pt>
                <c:pt idx="474">
                  <c:v>#DIV/0!</c:v>
                </c:pt>
                <c:pt idx="475">
                  <c:v>#DIV/0!</c:v>
                </c:pt>
                <c:pt idx="476">
                  <c:v>#DIV/0!</c:v>
                </c:pt>
                <c:pt idx="477">
                  <c:v>#DIV/0!</c:v>
                </c:pt>
                <c:pt idx="478">
                  <c:v>#DIV/0!</c:v>
                </c:pt>
                <c:pt idx="479">
                  <c:v>#DIV/0!</c:v>
                </c:pt>
                <c:pt idx="480">
                  <c:v>#DIV/0!</c:v>
                </c:pt>
                <c:pt idx="481">
                  <c:v>#DIV/0!</c:v>
                </c:pt>
                <c:pt idx="482">
                  <c:v>#DIV/0!</c:v>
                </c:pt>
                <c:pt idx="483">
                  <c:v>#DIV/0!</c:v>
                </c:pt>
                <c:pt idx="484">
                  <c:v>#DIV/0!</c:v>
                </c:pt>
                <c:pt idx="485">
                  <c:v>#DIV/0!</c:v>
                </c:pt>
                <c:pt idx="486">
                  <c:v>#DIV/0!</c:v>
                </c:pt>
                <c:pt idx="487">
                  <c:v>#DIV/0!</c:v>
                </c:pt>
                <c:pt idx="488">
                  <c:v>#DIV/0!</c:v>
                </c:pt>
                <c:pt idx="489">
                  <c:v>#DIV/0!</c:v>
                </c:pt>
                <c:pt idx="490">
                  <c:v>#DIV/0!</c:v>
                </c:pt>
                <c:pt idx="491">
                  <c:v>#DIV/0!</c:v>
                </c:pt>
                <c:pt idx="492">
                  <c:v>#DIV/0!</c:v>
                </c:pt>
                <c:pt idx="493">
                  <c:v>#DIV/0!</c:v>
                </c:pt>
                <c:pt idx="494">
                  <c:v>#DIV/0!</c:v>
                </c:pt>
                <c:pt idx="495">
                  <c:v>#DIV/0!</c:v>
                </c:pt>
                <c:pt idx="496">
                  <c:v>#DIV/0!</c:v>
                </c:pt>
                <c:pt idx="497">
                  <c:v>#DIV/0!</c:v>
                </c:pt>
                <c:pt idx="498">
                  <c:v>#DIV/0!</c:v>
                </c:pt>
                <c:pt idx="499">
                  <c:v>#DIV/0!</c:v>
                </c:pt>
                <c:pt idx="500">
                  <c:v>#DIV/0!</c:v>
                </c:pt>
                <c:pt idx="501">
                  <c:v>#DIV/0!</c:v>
                </c:pt>
                <c:pt idx="502">
                  <c:v>#DIV/0!</c:v>
                </c:pt>
                <c:pt idx="503">
                  <c:v>#DIV/0!</c:v>
                </c:pt>
                <c:pt idx="504">
                  <c:v>#DIV/0!</c:v>
                </c:pt>
                <c:pt idx="505">
                  <c:v>#DIV/0!</c:v>
                </c:pt>
                <c:pt idx="506">
                  <c:v>#DIV/0!</c:v>
                </c:pt>
                <c:pt idx="507">
                  <c:v>#DIV/0!</c:v>
                </c:pt>
                <c:pt idx="508">
                  <c:v>#DIV/0!</c:v>
                </c:pt>
                <c:pt idx="509">
                  <c:v>#DIV/0!</c:v>
                </c:pt>
                <c:pt idx="510">
                  <c:v>#DIV/0!</c:v>
                </c:pt>
                <c:pt idx="511">
                  <c:v>#DIV/0!</c:v>
                </c:pt>
                <c:pt idx="512">
                  <c:v>#DIV/0!</c:v>
                </c:pt>
                <c:pt idx="513">
                  <c:v>#DIV/0!</c:v>
                </c:pt>
                <c:pt idx="514">
                  <c:v>#DIV/0!</c:v>
                </c:pt>
                <c:pt idx="515">
                  <c:v>#DIV/0!</c:v>
                </c:pt>
                <c:pt idx="516">
                  <c:v>#DIV/0!</c:v>
                </c:pt>
                <c:pt idx="517">
                  <c:v>#DIV/0!</c:v>
                </c:pt>
                <c:pt idx="518">
                  <c:v>#DIV/0!</c:v>
                </c:pt>
                <c:pt idx="519">
                  <c:v>#DIV/0!</c:v>
                </c:pt>
                <c:pt idx="520">
                  <c:v>#DIV/0!</c:v>
                </c:pt>
                <c:pt idx="521">
                  <c:v>#DIV/0!</c:v>
                </c:pt>
                <c:pt idx="522">
                  <c:v>#DIV/0!</c:v>
                </c:pt>
                <c:pt idx="523">
                  <c:v>#DIV/0!</c:v>
                </c:pt>
                <c:pt idx="524">
                  <c:v>#DIV/0!</c:v>
                </c:pt>
                <c:pt idx="525">
                  <c:v>#DIV/0!</c:v>
                </c:pt>
                <c:pt idx="526">
                  <c:v>#DIV/0!</c:v>
                </c:pt>
                <c:pt idx="527">
                  <c:v>#DIV/0!</c:v>
                </c:pt>
                <c:pt idx="528">
                  <c:v>#DIV/0!</c:v>
                </c:pt>
                <c:pt idx="529">
                  <c:v>#DIV/0!</c:v>
                </c:pt>
                <c:pt idx="530">
                  <c:v>#DIV/0!</c:v>
                </c:pt>
                <c:pt idx="531">
                  <c:v>#DIV/0!</c:v>
                </c:pt>
                <c:pt idx="532">
                  <c:v>#DIV/0!</c:v>
                </c:pt>
                <c:pt idx="533">
                  <c:v>#DIV/0!</c:v>
                </c:pt>
                <c:pt idx="534">
                  <c:v>#DIV/0!</c:v>
                </c:pt>
                <c:pt idx="535">
                  <c:v>#DIV/0!</c:v>
                </c:pt>
                <c:pt idx="536">
                  <c:v>#DIV/0!</c:v>
                </c:pt>
                <c:pt idx="537">
                  <c:v>#DIV/0!</c:v>
                </c:pt>
                <c:pt idx="538">
                  <c:v>#DIV/0!</c:v>
                </c:pt>
                <c:pt idx="539">
                  <c:v>#DIV/0!</c:v>
                </c:pt>
                <c:pt idx="540">
                  <c:v>#DIV/0!</c:v>
                </c:pt>
                <c:pt idx="541">
                  <c:v>#DIV/0!</c:v>
                </c:pt>
                <c:pt idx="542">
                  <c:v>#DIV/0!</c:v>
                </c:pt>
                <c:pt idx="543">
                  <c:v>#DIV/0!</c:v>
                </c:pt>
                <c:pt idx="544">
                  <c:v>#DIV/0!</c:v>
                </c:pt>
                <c:pt idx="545">
                  <c:v>#DIV/0!</c:v>
                </c:pt>
                <c:pt idx="546">
                  <c:v>#DIV/0!</c:v>
                </c:pt>
                <c:pt idx="547">
                  <c:v>#DIV/0!</c:v>
                </c:pt>
                <c:pt idx="548">
                  <c:v>#DIV/0!</c:v>
                </c:pt>
                <c:pt idx="549">
                  <c:v>#DIV/0!</c:v>
                </c:pt>
                <c:pt idx="550">
                  <c:v>#DIV/0!</c:v>
                </c:pt>
                <c:pt idx="551">
                  <c:v>#DIV/0!</c:v>
                </c:pt>
                <c:pt idx="552">
                  <c:v>#DIV/0!</c:v>
                </c:pt>
                <c:pt idx="553">
                  <c:v>#DIV/0!</c:v>
                </c:pt>
                <c:pt idx="554">
                  <c:v>#DIV/0!</c:v>
                </c:pt>
                <c:pt idx="555">
                  <c:v>#DIV/0!</c:v>
                </c:pt>
                <c:pt idx="556">
                  <c:v>#DIV/0!</c:v>
                </c:pt>
                <c:pt idx="557">
                  <c:v>#DIV/0!</c:v>
                </c:pt>
                <c:pt idx="558">
                  <c:v>#DIV/0!</c:v>
                </c:pt>
                <c:pt idx="559">
                  <c:v>#DIV/0!</c:v>
                </c:pt>
                <c:pt idx="560">
                  <c:v>#DIV/0!</c:v>
                </c:pt>
                <c:pt idx="561">
                  <c:v>#DIV/0!</c:v>
                </c:pt>
                <c:pt idx="562">
                  <c:v>#DIV/0!</c:v>
                </c:pt>
                <c:pt idx="563">
                  <c:v>#DIV/0!</c:v>
                </c:pt>
                <c:pt idx="564">
                  <c:v>#DIV/0!</c:v>
                </c:pt>
                <c:pt idx="565">
                  <c:v>#DIV/0!</c:v>
                </c:pt>
                <c:pt idx="566">
                  <c:v>#DIV/0!</c:v>
                </c:pt>
                <c:pt idx="567">
                  <c:v>#DIV/0!</c:v>
                </c:pt>
                <c:pt idx="568">
                  <c:v>#DIV/0!</c:v>
                </c:pt>
                <c:pt idx="569">
                  <c:v>#DIV/0!</c:v>
                </c:pt>
                <c:pt idx="570">
                  <c:v>#DIV/0!</c:v>
                </c:pt>
                <c:pt idx="571">
                  <c:v>#DIV/0!</c:v>
                </c:pt>
                <c:pt idx="572">
                  <c:v>#DIV/0!</c:v>
                </c:pt>
                <c:pt idx="573">
                  <c:v>#DIV/0!</c:v>
                </c:pt>
                <c:pt idx="574">
                  <c:v>#DIV/0!</c:v>
                </c:pt>
                <c:pt idx="575">
                  <c:v>#DIV/0!</c:v>
                </c:pt>
                <c:pt idx="576">
                  <c:v>#DIV/0!</c:v>
                </c:pt>
                <c:pt idx="577">
                  <c:v>#DIV/0!</c:v>
                </c:pt>
                <c:pt idx="578">
                  <c:v>#DIV/0!</c:v>
                </c:pt>
                <c:pt idx="579">
                  <c:v>#DIV/0!</c:v>
                </c:pt>
                <c:pt idx="580">
                  <c:v>#DIV/0!</c:v>
                </c:pt>
                <c:pt idx="581">
                  <c:v>#DIV/0!</c:v>
                </c:pt>
                <c:pt idx="582">
                  <c:v>#DIV/0!</c:v>
                </c:pt>
                <c:pt idx="583">
                  <c:v>#DIV/0!</c:v>
                </c:pt>
                <c:pt idx="584">
                  <c:v>#DIV/0!</c:v>
                </c:pt>
                <c:pt idx="585">
                  <c:v>#DIV/0!</c:v>
                </c:pt>
                <c:pt idx="586">
                  <c:v>#DIV/0!</c:v>
                </c:pt>
                <c:pt idx="587">
                  <c:v>#DIV/0!</c:v>
                </c:pt>
                <c:pt idx="588">
                  <c:v>#DIV/0!</c:v>
                </c:pt>
                <c:pt idx="589">
                  <c:v>#DIV/0!</c:v>
                </c:pt>
                <c:pt idx="590">
                  <c:v>#DIV/0!</c:v>
                </c:pt>
                <c:pt idx="591">
                  <c:v>#DIV/0!</c:v>
                </c:pt>
                <c:pt idx="592">
                  <c:v>#DIV/0!</c:v>
                </c:pt>
                <c:pt idx="593">
                  <c:v>#DIV/0!</c:v>
                </c:pt>
                <c:pt idx="594">
                  <c:v>#DIV/0!</c:v>
                </c:pt>
                <c:pt idx="595">
                  <c:v>#DIV/0!</c:v>
                </c:pt>
                <c:pt idx="596">
                  <c:v>#DIV/0!</c:v>
                </c:pt>
                <c:pt idx="597">
                  <c:v>#DIV/0!</c:v>
                </c:pt>
                <c:pt idx="598">
                  <c:v>#DIV/0!</c:v>
                </c:pt>
                <c:pt idx="599">
                  <c:v>#DIV/0!</c:v>
                </c:pt>
                <c:pt idx="600">
                  <c:v>#DIV/0!</c:v>
                </c:pt>
                <c:pt idx="601">
                  <c:v>#DIV/0!</c:v>
                </c:pt>
                <c:pt idx="602">
                  <c:v>#DIV/0!</c:v>
                </c:pt>
                <c:pt idx="603">
                  <c:v>#DIV/0!</c:v>
                </c:pt>
                <c:pt idx="604">
                  <c:v>#DIV/0!</c:v>
                </c:pt>
                <c:pt idx="605">
                  <c:v>#DIV/0!</c:v>
                </c:pt>
                <c:pt idx="606">
                  <c:v>#DIV/0!</c:v>
                </c:pt>
                <c:pt idx="607">
                  <c:v>#DIV/0!</c:v>
                </c:pt>
                <c:pt idx="608">
                  <c:v>#DIV/0!</c:v>
                </c:pt>
                <c:pt idx="609">
                  <c:v>#DIV/0!</c:v>
                </c:pt>
                <c:pt idx="610">
                  <c:v>#DIV/0!</c:v>
                </c:pt>
                <c:pt idx="611">
                  <c:v>#DIV/0!</c:v>
                </c:pt>
                <c:pt idx="612">
                  <c:v>#DIV/0!</c:v>
                </c:pt>
                <c:pt idx="613">
                  <c:v>#DIV/0!</c:v>
                </c:pt>
                <c:pt idx="614">
                  <c:v>#DIV/0!</c:v>
                </c:pt>
                <c:pt idx="615">
                  <c:v>#DIV/0!</c:v>
                </c:pt>
                <c:pt idx="616">
                  <c:v>#DIV/0!</c:v>
                </c:pt>
                <c:pt idx="617">
                  <c:v>#DIV/0!</c:v>
                </c:pt>
                <c:pt idx="618">
                  <c:v>#DIV/0!</c:v>
                </c:pt>
                <c:pt idx="619">
                  <c:v>#DIV/0!</c:v>
                </c:pt>
                <c:pt idx="620">
                  <c:v>#DIV/0!</c:v>
                </c:pt>
                <c:pt idx="621">
                  <c:v>#DIV/0!</c:v>
                </c:pt>
                <c:pt idx="622">
                  <c:v>#DIV/0!</c:v>
                </c:pt>
                <c:pt idx="623">
                  <c:v>#DIV/0!</c:v>
                </c:pt>
                <c:pt idx="624">
                  <c:v>#DIV/0!</c:v>
                </c:pt>
                <c:pt idx="625">
                  <c:v>#DIV/0!</c:v>
                </c:pt>
                <c:pt idx="626">
                  <c:v>#DIV/0!</c:v>
                </c:pt>
                <c:pt idx="627">
                  <c:v>#DIV/0!</c:v>
                </c:pt>
                <c:pt idx="628">
                  <c:v>#DIV/0!</c:v>
                </c:pt>
                <c:pt idx="629">
                  <c:v>#DIV/0!</c:v>
                </c:pt>
                <c:pt idx="630">
                  <c:v>#DIV/0!</c:v>
                </c:pt>
                <c:pt idx="631">
                  <c:v>#DIV/0!</c:v>
                </c:pt>
                <c:pt idx="632">
                  <c:v>#DIV/0!</c:v>
                </c:pt>
                <c:pt idx="633">
                  <c:v>#DIV/0!</c:v>
                </c:pt>
                <c:pt idx="634">
                  <c:v>#DIV/0!</c:v>
                </c:pt>
                <c:pt idx="635">
                  <c:v>#DIV/0!</c:v>
                </c:pt>
                <c:pt idx="636">
                  <c:v>#DIV/0!</c:v>
                </c:pt>
                <c:pt idx="637">
                  <c:v>#DIV/0!</c:v>
                </c:pt>
                <c:pt idx="638">
                  <c:v>#DIV/0!</c:v>
                </c:pt>
                <c:pt idx="639">
                  <c:v>#DIV/0!</c:v>
                </c:pt>
                <c:pt idx="640">
                  <c:v>#DIV/0!</c:v>
                </c:pt>
                <c:pt idx="641">
                  <c:v>#DIV/0!</c:v>
                </c:pt>
                <c:pt idx="642">
                  <c:v>#DIV/0!</c:v>
                </c:pt>
                <c:pt idx="643">
                  <c:v>#DIV/0!</c:v>
                </c:pt>
                <c:pt idx="644">
                  <c:v>#DIV/0!</c:v>
                </c:pt>
                <c:pt idx="645">
                  <c:v>#DIV/0!</c:v>
                </c:pt>
                <c:pt idx="646">
                  <c:v>#DIV/0!</c:v>
                </c:pt>
                <c:pt idx="647">
                  <c:v>#DIV/0!</c:v>
                </c:pt>
                <c:pt idx="648">
                  <c:v>#DIV/0!</c:v>
                </c:pt>
                <c:pt idx="649">
                  <c:v>#DIV/0!</c:v>
                </c:pt>
                <c:pt idx="650">
                  <c:v>#DIV/0!</c:v>
                </c:pt>
                <c:pt idx="651">
                  <c:v>#DIV/0!</c:v>
                </c:pt>
                <c:pt idx="652">
                  <c:v>#DIV/0!</c:v>
                </c:pt>
                <c:pt idx="653">
                  <c:v>#DIV/0!</c:v>
                </c:pt>
                <c:pt idx="654">
                  <c:v>#DIV/0!</c:v>
                </c:pt>
                <c:pt idx="655">
                  <c:v>#DIV/0!</c:v>
                </c:pt>
                <c:pt idx="656">
                  <c:v>#DIV/0!</c:v>
                </c:pt>
                <c:pt idx="657">
                  <c:v>#DIV/0!</c:v>
                </c:pt>
                <c:pt idx="658">
                  <c:v>#DIV/0!</c:v>
                </c:pt>
                <c:pt idx="659">
                  <c:v>#DIV/0!</c:v>
                </c:pt>
                <c:pt idx="660">
                  <c:v>#DIV/0!</c:v>
                </c:pt>
                <c:pt idx="661">
                  <c:v>#DIV/0!</c:v>
                </c:pt>
                <c:pt idx="662">
                  <c:v>#DIV/0!</c:v>
                </c:pt>
                <c:pt idx="663">
                  <c:v>#DIV/0!</c:v>
                </c:pt>
                <c:pt idx="664">
                  <c:v>#DIV/0!</c:v>
                </c:pt>
                <c:pt idx="665">
                  <c:v>#DIV/0!</c:v>
                </c:pt>
                <c:pt idx="666">
                  <c:v>#DIV/0!</c:v>
                </c:pt>
                <c:pt idx="667">
                  <c:v>#DIV/0!</c:v>
                </c:pt>
                <c:pt idx="668">
                  <c:v>#DIV/0!</c:v>
                </c:pt>
                <c:pt idx="669">
                  <c:v>#DIV/0!</c:v>
                </c:pt>
                <c:pt idx="670">
                  <c:v>#DIV/0!</c:v>
                </c:pt>
                <c:pt idx="671">
                  <c:v>#DIV/0!</c:v>
                </c:pt>
                <c:pt idx="672">
                  <c:v>#DIV/0!</c:v>
                </c:pt>
                <c:pt idx="673">
                  <c:v>#DIV/0!</c:v>
                </c:pt>
                <c:pt idx="674">
                  <c:v>#DIV/0!</c:v>
                </c:pt>
                <c:pt idx="675">
                  <c:v>#DIV/0!</c:v>
                </c:pt>
                <c:pt idx="676">
                  <c:v>#DIV/0!</c:v>
                </c:pt>
                <c:pt idx="677">
                  <c:v>#DIV/0!</c:v>
                </c:pt>
                <c:pt idx="678">
                  <c:v>#DIV/0!</c:v>
                </c:pt>
                <c:pt idx="679">
                  <c:v>#DIV/0!</c:v>
                </c:pt>
                <c:pt idx="680">
                  <c:v>#DIV/0!</c:v>
                </c:pt>
                <c:pt idx="681">
                  <c:v>#DIV/0!</c:v>
                </c:pt>
                <c:pt idx="682">
                  <c:v>#DIV/0!</c:v>
                </c:pt>
                <c:pt idx="683">
                  <c:v>#DIV/0!</c:v>
                </c:pt>
                <c:pt idx="684">
                  <c:v>#DIV/0!</c:v>
                </c:pt>
                <c:pt idx="685">
                  <c:v>#DIV/0!</c:v>
                </c:pt>
                <c:pt idx="686">
                  <c:v>#DIV/0!</c:v>
                </c:pt>
                <c:pt idx="687">
                  <c:v>#DIV/0!</c:v>
                </c:pt>
                <c:pt idx="688">
                  <c:v>#DIV/0!</c:v>
                </c:pt>
                <c:pt idx="689">
                  <c:v>#DIV/0!</c:v>
                </c:pt>
                <c:pt idx="690">
                  <c:v>#DIV/0!</c:v>
                </c:pt>
                <c:pt idx="691">
                  <c:v>#DIV/0!</c:v>
                </c:pt>
                <c:pt idx="692">
                  <c:v>#DIV/0!</c:v>
                </c:pt>
                <c:pt idx="693">
                  <c:v>#DIV/0!</c:v>
                </c:pt>
                <c:pt idx="694">
                  <c:v>#DIV/0!</c:v>
                </c:pt>
                <c:pt idx="695">
                  <c:v>#DIV/0!</c:v>
                </c:pt>
                <c:pt idx="696">
                  <c:v>#DIV/0!</c:v>
                </c:pt>
                <c:pt idx="697">
                  <c:v>#DIV/0!</c:v>
                </c:pt>
                <c:pt idx="698">
                  <c:v>#DIV/0!</c:v>
                </c:pt>
                <c:pt idx="699">
                  <c:v>#DIV/0!</c:v>
                </c:pt>
                <c:pt idx="700">
                  <c:v>#DIV/0!</c:v>
                </c:pt>
                <c:pt idx="701">
                  <c:v>#DIV/0!</c:v>
                </c:pt>
                <c:pt idx="702">
                  <c:v>#DIV/0!</c:v>
                </c:pt>
                <c:pt idx="703">
                  <c:v>#DIV/0!</c:v>
                </c:pt>
                <c:pt idx="704">
                  <c:v>#DIV/0!</c:v>
                </c:pt>
                <c:pt idx="705">
                  <c:v>#DIV/0!</c:v>
                </c:pt>
                <c:pt idx="706">
                  <c:v>#DIV/0!</c:v>
                </c:pt>
                <c:pt idx="707">
                  <c:v>#DIV/0!</c:v>
                </c:pt>
                <c:pt idx="708">
                  <c:v>#DIV/0!</c:v>
                </c:pt>
                <c:pt idx="709">
                  <c:v>#DIV/0!</c:v>
                </c:pt>
                <c:pt idx="710">
                  <c:v>#DIV/0!</c:v>
                </c:pt>
                <c:pt idx="711">
                  <c:v>#DIV/0!</c:v>
                </c:pt>
                <c:pt idx="712">
                  <c:v>#DIV/0!</c:v>
                </c:pt>
                <c:pt idx="713">
                  <c:v>#DIV/0!</c:v>
                </c:pt>
                <c:pt idx="714">
                  <c:v>#DIV/0!</c:v>
                </c:pt>
                <c:pt idx="715">
                  <c:v>#DIV/0!</c:v>
                </c:pt>
                <c:pt idx="716">
                  <c:v>#DIV/0!</c:v>
                </c:pt>
                <c:pt idx="717">
                  <c:v>#DIV/0!</c:v>
                </c:pt>
                <c:pt idx="718">
                  <c:v>#DIV/0!</c:v>
                </c:pt>
                <c:pt idx="719">
                  <c:v>#DIV/0!</c:v>
                </c:pt>
                <c:pt idx="720">
                  <c:v>#DIV/0!</c:v>
                </c:pt>
                <c:pt idx="721">
                  <c:v>#DIV/0!</c:v>
                </c:pt>
                <c:pt idx="722">
                  <c:v>#DIV/0!</c:v>
                </c:pt>
                <c:pt idx="723">
                  <c:v>#DIV/0!</c:v>
                </c:pt>
                <c:pt idx="724">
                  <c:v>#DIV/0!</c:v>
                </c:pt>
                <c:pt idx="725">
                  <c:v>#DIV/0!</c:v>
                </c:pt>
                <c:pt idx="726">
                  <c:v>#DIV/0!</c:v>
                </c:pt>
                <c:pt idx="727">
                  <c:v>#DIV/0!</c:v>
                </c:pt>
                <c:pt idx="728">
                  <c:v>#DIV/0!</c:v>
                </c:pt>
                <c:pt idx="729">
                  <c:v>#DIV/0!</c:v>
                </c:pt>
                <c:pt idx="730">
                  <c:v>#DIV/0!</c:v>
                </c:pt>
                <c:pt idx="731">
                  <c:v>#DIV/0!</c:v>
                </c:pt>
                <c:pt idx="732">
                  <c:v>#DIV/0!</c:v>
                </c:pt>
                <c:pt idx="733">
                  <c:v>#DIV/0!</c:v>
                </c:pt>
                <c:pt idx="734">
                  <c:v>#DIV/0!</c:v>
                </c:pt>
                <c:pt idx="735">
                  <c:v>#DIV/0!</c:v>
                </c:pt>
                <c:pt idx="736">
                  <c:v>#DIV/0!</c:v>
                </c:pt>
                <c:pt idx="737">
                  <c:v>#DIV/0!</c:v>
                </c:pt>
                <c:pt idx="738">
                  <c:v>#DIV/0!</c:v>
                </c:pt>
                <c:pt idx="739">
                  <c:v>#DIV/0!</c:v>
                </c:pt>
                <c:pt idx="740">
                  <c:v>#DIV/0!</c:v>
                </c:pt>
                <c:pt idx="741">
                  <c:v>#DIV/0!</c:v>
                </c:pt>
                <c:pt idx="742">
                  <c:v>#DIV/0!</c:v>
                </c:pt>
                <c:pt idx="743">
                  <c:v>#DIV/0!</c:v>
                </c:pt>
                <c:pt idx="744">
                  <c:v>#DIV/0!</c:v>
                </c:pt>
                <c:pt idx="745">
                  <c:v>#DIV/0!</c:v>
                </c:pt>
                <c:pt idx="746">
                  <c:v>#DIV/0!</c:v>
                </c:pt>
                <c:pt idx="747">
                  <c:v>#DIV/0!</c:v>
                </c:pt>
                <c:pt idx="748">
                  <c:v>#DIV/0!</c:v>
                </c:pt>
                <c:pt idx="749">
                  <c:v>#DIV/0!</c:v>
                </c:pt>
                <c:pt idx="750">
                  <c:v>#DIV/0!</c:v>
                </c:pt>
                <c:pt idx="751">
                  <c:v>#DIV/0!</c:v>
                </c:pt>
                <c:pt idx="752">
                  <c:v>#DIV/0!</c:v>
                </c:pt>
                <c:pt idx="753">
                  <c:v>#DIV/0!</c:v>
                </c:pt>
                <c:pt idx="754">
                  <c:v>#DIV/0!</c:v>
                </c:pt>
                <c:pt idx="755">
                  <c:v>#DIV/0!</c:v>
                </c:pt>
                <c:pt idx="756">
                  <c:v>#DIV/0!</c:v>
                </c:pt>
                <c:pt idx="757">
                  <c:v>#DIV/0!</c:v>
                </c:pt>
                <c:pt idx="758">
                  <c:v>#DIV/0!</c:v>
                </c:pt>
                <c:pt idx="759">
                  <c:v>#DIV/0!</c:v>
                </c:pt>
                <c:pt idx="760">
                  <c:v>#DIV/0!</c:v>
                </c:pt>
                <c:pt idx="761">
                  <c:v>#DIV/0!</c:v>
                </c:pt>
                <c:pt idx="762">
                  <c:v>#DIV/0!</c:v>
                </c:pt>
                <c:pt idx="763">
                  <c:v>#DIV/0!</c:v>
                </c:pt>
                <c:pt idx="764">
                  <c:v>#DIV/0!</c:v>
                </c:pt>
                <c:pt idx="765">
                  <c:v>#DIV/0!</c:v>
                </c:pt>
                <c:pt idx="766">
                  <c:v>#DIV/0!</c:v>
                </c:pt>
                <c:pt idx="767">
                  <c:v>#DIV/0!</c:v>
                </c:pt>
                <c:pt idx="768">
                  <c:v>#DIV/0!</c:v>
                </c:pt>
                <c:pt idx="769">
                  <c:v>#DIV/0!</c:v>
                </c:pt>
                <c:pt idx="770">
                  <c:v>#DIV/0!</c:v>
                </c:pt>
                <c:pt idx="771">
                  <c:v>#DIV/0!</c:v>
                </c:pt>
                <c:pt idx="772">
                  <c:v>#DIV/0!</c:v>
                </c:pt>
                <c:pt idx="773">
                  <c:v>#DIV/0!</c:v>
                </c:pt>
                <c:pt idx="774">
                  <c:v>#DIV/0!</c:v>
                </c:pt>
                <c:pt idx="775">
                  <c:v>#DIV/0!</c:v>
                </c:pt>
                <c:pt idx="776">
                  <c:v>#DIV/0!</c:v>
                </c:pt>
                <c:pt idx="777">
                  <c:v>#DIV/0!</c:v>
                </c:pt>
                <c:pt idx="778">
                  <c:v>#DIV/0!</c:v>
                </c:pt>
                <c:pt idx="779">
                  <c:v>#DIV/0!</c:v>
                </c:pt>
                <c:pt idx="780">
                  <c:v>#DIV/0!</c:v>
                </c:pt>
                <c:pt idx="781">
                  <c:v>#DIV/0!</c:v>
                </c:pt>
                <c:pt idx="782">
                  <c:v>#DIV/0!</c:v>
                </c:pt>
                <c:pt idx="783">
                  <c:v>#DIV/0!</c:v>
                </c:pt>
                <c:pt idx="784">
                  <c:v>#DIV/0!</c:v>
                </c:pt>
                <c:pt idx="785">
                  <c:v>#DIV/0!</c:v>
                </c:pt>
                <c:pt idx="786">
                  <c:v>#DIV/0!</c:v>
                </c:pt>
                <c:pt idx="787">
                  <c:v>#DIV/0!</c:v>
                </c:pt>
                <c:pt idx="788">
                  <c:v>#DIV/0!</c:v>
                </c:pt>
                <c:pt idx="789">
                  <c:v>#DIV/0!</c:v>
                </c:pt>
                <c:pt idx="790">
                  <c:v>#DIV/0!</c:v>
                </c:pt>
                <c:pt idx="791">
                  <c:v>#DIV/0!</c:v>
                </c:pt>
                <c:pt idx="792">
                  <c:v>#DIV/0!</c:v>
                </c:pt>
                <c:pt idx="793">
                  <c:v>#DIV/0!</c:v>
                </c:pt>
                <c:pt idx="794">
                  <c:v>#DIV/0!</c:v>
                </c:pt>
                <c:pt idx="795">
                  <c:v>#DIV/0!</c:v>
                </c:pt>
                <c:pt idx="796">
                  <c:v>#DIV/0!</c:v>
                </c:pt>
                <c:pt idx="797">
                  <c:v>#DIV/0!</c:v>
                </c:pt>
                <c:pt idx="798">
                  <c:v>#DIV/0!</c:v>
                </c:pt>
                <c:pt idx="799">
                  <c:v>#DIV/0!</c:v>
                </c:pt>
                <c:pt idx="800">
                  <c:v>#DIV/0!</c:v>
                </c:pt>
                <c:pt idx="801">
                  <c:v>#DIV/0!</c:v>
                </c:pt>
                <c:pt idx="802">
                  <c:v>#DIV/0!</c:v>
                </c:pt>
                <c:pt idx="803">
                  <c:v>#DIV/0!</c:v>
                </c:pt>
                <c:pt idx="804">
                  <c:v>#DIV/0!</c:v>
                </c:pt>
                <c:pt idx="805">
                  <c:v>#DIV/0!</c:v>
                </c:pt>
                <c:pt idx="806">
                  <c:v>#DIV/0!</c:v>
                </c:pt>
                <c:pt idx="807">
                  <c:v>#DIV/0!</c:v>
                </c:pt>
                <c:pt idx="808">
                  <c:v>#DIV/0!</c:v>
                </c:pt>
                <c:pt idx="809">
                  <c:v>#DIV/0!</c:v>
                </c:pt>
                <c:pt idx="810">
                  <c:v>#DIV/0!</c:v>
                </c:pt>
                <c:pt idx="811">
                  <c:v>#DIV/0!</c:v>
                </c:pt>
                <c:pt idx="812">
                  <c:v>#DIV/0!</c:v>
                </c:pt>
                <c:pt idx="813">
                  <c:v>#DIV/0!</c:v>
                </c:pt>
                <c:pt idx="814">
                  <c:v>#DIV/0!</c:v>
                </c:pt>
                <c:pt idx="815">
                  <c:v>#DIV/0!</c:v>
                </c:pt>
                <c:pt idx="816">
                  <c:v>#DIV/0!</c:v>
                </c:pt>
                <c:pt idx="817">
                  <c:v>#DIV/0!</c:v>
                </c:pt>
                <c:pt idx="818">
                  <c:v>#DIV/0!</c:v>
                </c:pt>
                <c:pt idx="819">
                  <c:v>#DIV/0!</c:v>
                </c:pt>
                <c:pt idx="820">
                  <c:v>#DIV/0!</c:v>
                </c:pt>
                <c:pt idx="821">
                  <c:v>#DIV/0!</c:v>
                </c:pt>
                <c:pt idx="822">
                  <c:v>#DIV/0!</c:v>
                </c:pt>
                <c:pt idx="823">
                  <c:v>#DIV/0!</c:v>
                </c:pt>
                <c:pt idx="824">
                  <c:v>#DIV/0!</c:v>
                </c:pt>
                <c:pt idx="825">
                  <c:v>#DIV/0!</c:v>
                </c:pt>
                <c:pt idx="826">
                  <c:v>#DIV/0!</c:v>
                </c:pt>
                <c:pt idx="827">
                  <c:v>#DIV/0!</c:v>
                </c:pt>
                <c:pt idx="828">
                  <c:v>#DIV/0!</c:v>
                </c:pt>
                <c:pt idx="829">
                  <c:v>#DIV/0!</c:v>
                </c:pt>
                <c:pt idx="830">
                  <c:v>#DIV/0!</c:v>
                </c:pt>
                <c:pt idx="831">
                  <c:v>#DIV/0!</c:v>
                </c:pt>
                <c:pt idx="832">
                  <c:v>#DIV/0!</c:v>
                </c:pt>
                <c:pt idx="833">
                  <c:v>#DIV/0!</c:v>
                </c:pt>
                <c:pt idx="834">
                  <c:v>#DIV/0!</c:v>
                </c:pt>
                <c:pt idx="835">
                  <c:v>#DIV/0!</c:v>
                </c:pt>
                <c:pt idx="836">
                  <c:v>#DIV/0!</c:v>
                </c:pt>
                <c:pt idx="837">
                  <c:v>#DIV/0!</c:v>
                </c:pt>
                <c:pt idx="838">
                  <c:v>#DIV/0!</c:v>
                </c:pt>
                <c:pt idx="839">
                  <c:v>#DIV/0!</c:v>
                </c:pt>
                <c:pt idx="840">
                  <c:v>#DIV/0!</c:v>
                </c:pt>
                <c:pt idx="841">
                  <c:v>#DIV/0!</c:v>
                </c:pt>
                <c:pt idx="842">
                  <c:v>#DIV/0!</c:v>
                </c:pt>
                <c:pt idx="843">
                  <c:v>#DIV/0!</c:v>
                </c:pt>
                <c:pt idx="844">
                  <c:v>#DIV/0!</c:v>
                </c:pt>
                <c:pt idx="845">
                  <c:v>#DIV/0!</c:v>
                </c:pt>
                <c:pt idx="846">
                  <c:v>#DIV/0!</c:v>
                </c:pt>
                <c:pt idx="847">
                  <c:v>#DIV/0!</c:v>
                </c:pt>
                <c:pt idx="848">
                  <c:v>#DIV/0!</c:v>
                </c:pt>
                <c:pt idx="849">
                  <c:v>#DIV/0!</c:v>
                </c:pt>
                <c:pt idx="850">
                  <c:v>#DIV/0!</c:v>
                </c:pt>
                <c:pt idx="851">
                  <c:v>#DIV/0!</c:v>
                </c:pt>
                <c:pt idx="852">
                  <c:v>#DIV/0!</c:v>
                </c:pt>
                <c:pt idx="853">
                  <c:v>#DIV/0!</c:v>
                </c:pt>
                <c:pt idx="854">
                  <c:v>#DIV/0!</c:v>
                </c:pt>
                <c:pt idx="855">
                  <c:v>#DIV/0!</c:v>
                </c:pt>
                <c:pt idx="856">
                  <c:v>#DIV/0!</c:v>
                </c:pt>
                <c:pt idx="857">
                  <c:v>#DIV/0!</c:v>
                </c:pt>
                <c:pt idx="858">
                  <c:v>#DIV/0!</c:v>
                </c:pt>
                <c:pt idx="859">
                  <c:v>#DIV/0!</c:v>
                </c:pt>
                <c:pt idx="860">
                  <c:v>#DIV/0!</c:v>
                </c:pt>
                <c:pt idx="861">
                  <c:v>#DIV/0!</c:v>
                </c:pt>
                <c:pt idx="862">
                  <c:v>#DIV/0!</c:v>
                </c:pt>
                <c:pt idx="863">
                  <c:v>#DIV/0!</c:v>
                </c:pt>
                <c:pt idx="864">
                  <c:v>#DIV/0!</c:v>
                </c:pt>
                <c:pt idx="865">
                  <c:v>#DIV/0!</c:v>
                </c:pt>
                <c:pt idx="866">
                  <c:v>#DIV/0!</c:v>
                </c:pt>
                <c:pt idx="867">
                  <c:v>#DIV/0!</c:v>
                </c:pt>
                <c:pt idx="868">
                  <c:v>#DIV/0!</c:v>
                </c:pt>
                <c:pt idx="869">
                  <c:v>#DIV/0!</c:v>
                </c:pt>
                <c:pt idx="870">
                  <c:v>#DIV/0!</c:v>
                </c:pt>
                <c:pt idx="871">
                  <c:v>#DIV/0!</c:v>
                </c:pt>
                <c:pt idx="872">
                  <c:v>#DIV/0!</c:v>
                </c:pt>
                <c:pt idx="873">
                  <c:v>#DIV/0!</c:v>
                </c:pt>
                <c:pt idx="874">
                  <c:v>#DIV/0!</c:v>
                </c:pt>
                <c:pt idx="875">
                  <c:v>#DIV/0!</c:v>
                </c:pt>
                <c:pt idx="876">
                  <c:v>#DIV/0!</c:v>
                </c:pt>
                <c:pt idx="877">
                  <c:v>#DIV/0!</c:v>
                </c:pt>
                <c:pt idx="878">
                  <c:v>#DIV/0!</c:v>
                </c:pt>
                <c:pt idx="879">
                  <c:v>#DIV/0!</c:v>
                </c:pt>
                <c:pt idx="880">
                  <c:v>#DIV/0!</c:v>
                </c:pt>
                <c:pt idx="881">
                  <c:v>#DIV/0!</c:v>
                </c:pt>
                <c:pt idx="882">
                  <c:v>#DIV/0!</c:v>
                </c:pt>
                <c:pt idx="883">
                  <c:v>#DIV/0!</c:v>
                </c:pt>
                <c:pt idx="884">
                  <c:v>#DIV/0!</c:v>
                </c:pt>
                <c:pt idx="885">
                  <c:v>#DIV/0!</c:v>
                </c:pt>
                <c:pt idx="886">
                  <c:v>#DIV/0!</c:v>
                </c:pt>
                <c:pt idx="887">
                  <c:v>#DIV/0!</c:v>
                </c:pt>
                <c:pt idx="888">
                  <c:v>#DIV/0!</c:v>
                </c:pt>
                <c:pt idx="889">
                  <c:v>#DIV/0!</c:v>
                </c:pt>
                <c:pt idx="890">
                  <c:v>#DIV/0!</c:v>
                </c:pt>
                <c:pt idx="891">
                  <c:v>#DIV/0!</c:v>
                </c:pt>
                <c:pt idx="892">
                  <c:v>#DIV/0!</c:v>
                </c:pt>
                <c:pt idx="893">
                  <c:v>#DIV/0!</c:v>
                </c:pt>
                <c:pt idx="894">
                  <c:v>#DIV/0!</c:v>
                </c:pt>
                <c:pt idx="895">
                  <c:v>#DIV/0!</c:v>
                </c:pt>
                <c:pt idx="896">
                  <c:v>#DIV/0!</c:v>
                </c:pt>
                <c:pt idx="897">
                  <c:v>#DIV/0!</c:v>
                </c:pt>
                <c:pt idx="898">
                  <c:v>#DIV/0!</c:v>
                </c:pt>
                <c:pt idx="899">
                  <c:v>#DIV/0!</c:v>
                </c:pt>
                <c:pt idx="900">
                  <c:v>#DIV/0!</c:v>
                </c:pt>
                <c:pt idx="901">
                  <c:v>#DIV/0!</c:v>
                </c:pt>
                <c:pt idx="902">
                  <c:v>#DIV/0!</c:v>
                </c:pt>
                <c:pt idx="903">
                  <c:v>#DIV/0!</c:v>
                </c:pt>
                <c:pt idx="904">
                  <c:v>#DIV/0!</c:v>
                </c:pt>
                <c:pt idx="905">
                  <c:v>#DIV/0!</c:v>
                </c:pt>
                <c:pt idx="906">
                  <c:v>#DIV/0!</c:v>
                </c:pt>
                <c:pt idx="907">
                  <c:v>#DIV/0!</c:v>
                </c:pt>
                <c:pt idx="908">
                  <c:v>#DIV/0!</c:v>
                </c:pt>
                <c:pt idx="909">
                  <c:v>#DIV/0!</c:v>
                </c:pt>
                <c:pt idx="910">
                  <c:v>#DIV/0!</c:v>
                </c:pt>
                <c:pt idx="911">
                  <c:v>#DIV/0!</c:v>
                </c:pt>
                <c:pt idx="912">
                  <c:v>#DIV/0!</c:v>
                </c:pt>
                <c:pt idx="913">
                  <c:v>#DIV/0!</c:v>
                </c:pt>
                <c:pt idx="914">
                  <c:v>#DIV/0!</c:v>
                </c:pt>
                <c:pt idx="915">
                  <c:v>#DIV/0!</c:v>
                </c:pt>
                <c:pt idx="916">
                  <c:v>#DIV/0!</c:v>
                </c:pt>
                <c:pt idx="917">
                  <c:v>#DIV/0!</c:v>
                </c:pt>
                <c:pt idx="918">
                  <c:v>#DIV/0!</c:v>
                </c:pt>
                <c:pt idx="919">
                  <c:v>#DIV/0!</c:v>
                </c:pt>
                <c:pt idx="920">
                  <c:v>#DIV/0!</c:v>
                </c:pt>
                <c:pt idx="921">
                  <c:v>#DIV/0!</c:v>
                </c:pt>
                <c:pt idx="922">
                  <c:v>#DIV/0!</c:v>
                </c:pt>
                <c:pt idx="923">
                  <c:v>#DIV/0!</c:v>
                </c:pt>
                <c:pt idx="924">
                  <c:v>#DIV/0!</c:v>
                </c:pt>
                <c:pt idx="925">
                  <c:v>#DIV/0!</c:v>
                </c:pt>
                <c:pt idx="926">
                  <c:v>#DIV/0!</c:v>
                </c:pt>
                <c:pt idx="927">
                  <c:v>#DIV/0!</c:v>
                </c:pt>
                <c:pt idx="928">
                  <c:v>#DIV/0!</c:v>
                </c:pt>
                <c:pt idx="929">
                  <c:v>#DIV/0!</c:v>
                </c:pt>
                <c:pt idx="930">
                  <c:v>#DIV/0!</c:v>
                </c:pt>
                <c:pt idx="931">
                  <c:v>#DIV/0!</c:v>
                </c:pt>
                <c:pt idx="932">
                  <c:v>#DIV/0!</c:v>
                </c:pt>
                <c:pt idx="933">
                  <c:v>#DIV/0!</c:v>
                </c:pt>
                <c:pt idx="934">
                  <c:v>#DIV/0!</c:v>
                </c:pt>
                <c:pt idx="935">
                  <c:v>#DIV/0!</c:v>
                </c:pt>
                <c:pt idx="936">
                  <c:v>#DIV/0!</c:v>
                </c:pt>
                <c:pt idx="937">
                  <c:v>#DIV/0!</c:v>
                </c:pt>
                <c:pt idx="938">
                  <c:v>#DIV/0!</c:v>
                </c:pt>
                <c:pt idx="939">
                  <c:v>#DIV/0!</c:v>
                </c:pt>
                <c:pt idx="940">
                  <c:v>#DIV/0!</c:v>
                </c:pt>
                <c:pt idx="941">
                  <c:v>#DIV/0!</c:v>
                </c:pt>
              </c:strCache>
            </c:strRef>
          </c:xVal>
          <c:yVal>
            <c:numRef>
              <c:f>'Pokemon Science 2.0 data'!$J$2:$J$1000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E-4F45-92D7-30413603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2579"/>
        <c:axId val="1934980999"/>
      </c:scatterChart>
      <c:valAx>
        <c:axId val="1201625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Level (from CP)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34980999"/>
        <c:crosses val="autoZero"/>
        <c:crossBetween val="midCat"/>
      </c:valAx>
      <c:valAx>
        <c:axId val="1934980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0162579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t>HP/Base stat vs. Sqrt(Level)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'Pokemon Science 2.0 data'!$J$1</c:f>
              <c:strCache>
                <c:ptCount val="1"/>
                <c:pt idx="0">
                  <c:v>HP/Base stat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'Pokemon Science 2.0 data'!$I$2:$I$1000</c:f>
              <c:numCache>
                <c:formatCode>General</c:formatCode>
                <c:ptCount val="999"/>
                <c:pt idx="0">
                  <c:v>4.5825756949558398</c:v>
                </c:pt>
                <c:pt idx="1">
                  <c:v>4.5825756949558398</c:v>
                </c:pt>
                <c:pt idx="2">
                  <c:v>3.1622776601683795</c:v>
                </c:pt>
                <c:pt idx="3">
                  <c:v>1.7320508075688772</c:v>
                </c:pt>
                <c:pt idx="4">
                  <c:v>1.4142135623730951</c:v>
                </c:pt>
                <c:pt idx="5">
                  <c:v>1</c:v>
                </c:pt>
                <c:pt idx="6">
                  <c:v>3.3166247903553998</c:v>
                </c:pt>
                <c:pt idx="7">
                  <c:v>3.1622776601683795</c:v>
                </c:pt>
                <c:pt idx="8">
                  <c:v>2.8284271247461903</c:v>
                </c:pt>
                <c:pt idx="9">
                  <c:v>4.6904157598234297</c:v>
                </c:pt>
                <c:pt idx="10">
                  <c:v>4.5825756949558398</c:v>
                </c:pt>
                <c:pt idx="11">
                  <c:v>4.4721359549995796</c:v>
                </c:pt>
                <c:pt idx="12">
                  <c:v>4.358898943540674</c:v>
                </c:pt>
                <c:pt idx="13">
                  <c:v>4.2426406871192848</c:v>
                </c:pt>
                <c:pt idx="14">
                  <c:v>4.2426406871192848</c:v>
                </c:pt>
                <c:pt idx="15">
                  <c:v>3.872983346207417</c:v>
                </c:pt>
                <c:pt idx="16">
                  <c:v>3.6055512754639891</c:v>
                </c:pt>
                <c:pt idx="17">
                  <c:v>3.3166247903553998</c:v>
                </c:pt>
                <c:pt idx="18">
                  <c:v>2.2360679774997898</c:v>
                </c:pt>
                <c:pt idx="19">
                  <c:v>2.2360679774997898</c:v>
                </c:pt>
                <c:pt idx="20">
                  <c:v>2.2360679774997898</c:v>
                </c:pt>
                <c:pt idx="21">
                  <c:v>1.4142135623730951</c:v>
                </c:pt>
                <c:pt idx="22">
                  <c:v>4.5825756949558398</c:v>
                </c:pt>
                <c:pt idx="23">
                  <c:v>4.2426406871192848</c:v>
                </c:pt>
                <c:pt idx="24">
                  <c:v>4.358898943540674</c:v>
                </c:pt>
                <c:pt idx="25">
                  <c:v>2.4494897427831779</c:v>
                </c:pt>
                <c:pt idx="26">
                  <c:v>5.7445626465380286</c:v>
                </c:pt>
                <c:pt idx="27">
                  <c:v>5.6568542494923806</c:v>
                </c:pt>
                <c:pt idx="28">
                  <c:v>5.6568542494923806</c:v>
                </c:pt>
                <c:pt idx="29">
                  <c:v>5.196152422706632</c:v>
                </c:pt>
                <c:pt idx="30">
                  <c:v>4.8989794855663558</c:v>
                </c:pt>
                <c:pt idx="31">
                  <c:v>4.6904157598234297</c:v>
                </c:pt>
                <c:pt idx="32">
                  <c:v>4.6904157598234297</c:v>
                </c:pt>
                <c:pt idx="33">
                  <c:v>4.2426406871192848</c:v>
                </c:pt>
                <c:pt idx="34">
                  <c:v>4.2426406871192848</c:v>
                </c:pt>
                <c:pt idx="35">
                  <c:v>4.2426406871192848</c:v>
                </c:pt>
                <c:pt idx="36">
                  <c:v>4.1231056256176606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3.6055512754639891</c:v>
                </c:pt>
                <c:pt idx="41">
                  <c:v>3.6055512754639891</c:v>
                </c:pt>
                <c:pt idx="42">
                  <c:v>3.6055512754639891</c:v>
                </c:pt>
                <c:pt idx="43">
                  <c:v>3.4641016151377544</c:v>
                </c:pt>
                <c:pt idx="44">
                  <c:v>3.3166247903553998</c:v>
                </c:pt>
                <c:pt idx="45">
                  <c:v>3.3166247903553998</c:v>
                </c:pt>
                <c:pt idx="46">
                  <c:v>3.3166247903553998</c:v>
                </c:pt>
                <c:pt idx="47">
                  <c:v>3.1622776601683795</c:v>
                </c:pt>
                <c:pt idx="48">
                  <c:v>3.1622776601683795</c:v>
                </c:pt>
                <c:pt idx="49">
                  <c:v>3.1622776601683795</c:v>
                </c:pt>
                <c:pt idx="50">
                  <c:v>3</c:v>
                </c:pt>
                <c:pt idx="51">
                  <c:v>3</c:v>
                </c:pt>
                <c:pt idx="52">
                  <c:v>2.8284271247461903</c:v>
                </c:pt>
                <c:pt idx="53">
                  <c:v>2.6457513110645907</c:v>
                </c:pt>
                <c:pt idx="54">
                  <c:v>2.6457513110645907</c:v>
                </c:pt>
                <c:pt idx="55">
                  <c:v>2.6457513110645907</c:v>
                </c:pt>
                <c:pt idx="56">
                  <c:v>2.6457513110645907</c:v>
                </c:pt>
                <c:pt idx="57">
                  <c:v>2.6457513110645907</c:v>
                </c:pt>
                <c:pt idx="58">
                  <c:v>2.6457513110645907</c:v>
                </c:pt>
                <c:pt idx="59">
                  <c:v>2.2360679774997898</c:v>
                </c:pt>
                <c:pt idx="60">
                  <c:v>2.2360679774997898</c:v>
                </c:pt>
                <c:pt idx="61">
                  <c:v>2.2360679774997898</c:v>
                </c:pt>
                <c:pt idx="62">
                  <c:v>1.7320508075688772</c:v>
                </c:pt>
                <c:pt idx="63">
                  <c:v>1.7320508075688772</c:v>
                </c:pt>
                <c:pt idx="64">
                  <c:v>1.7320508075688772</c:v>
                </c:pt>
                <c:pt idx="65">
                  <c:v>1.7320508075688772</c:v>
                </c:pt>
                <c:pt idx="66">
                  <c:v>1.7320508075688772</c:v>
                </c:pt>
                <c:pt idx="67">
                  <c:v>1.4142135623730951</c:v>
                </c:pt>
                <c:pt idx="68">
                  <c:v>1.4142135623730951</c:v>
                </c:pt>
                <c:pt idx="69">
                  <c:v>1.4142135623730951</c:v>
                </c:pt>
                <c:pt idx="70">
                  <c:v>5.2915026221291814</c:v>
                </c:pt>
                <c:pt idx="71">
                  <c:v>4.4721359549995796</c:v>
                </c:pt>
                <c:pt idx="72">
                  <c:v>4</c:v>
                </c:pt>
                <c:pt idx="73">
                  <c:v>3.872983346207417</c:v>
                </c:pt>
                <c:pt idx="74">
                  <c:v>2.4494897427831779</c:v>
                </c:pt>
                <c:pt idx="75">
                  <c:v>5.5677643628300215</c:v>
                </c:pt>
                <c:pt idx="76">
                  <c:v>2.6457513110645907</c:v>
                </c:pt>
                <c:pt idx="77">
                  <c:v>5.9160797830996161</c:v>
                </c:pt>
                <c:pt idx="78">
                  <c:v>4.8989794855663558</c:v>
                </c:pt>
                <c:pt idx="79">
                  <c:v>4.4721359549995796</c:v>
                </c:pt>
                <c:pt idx="80">
                  <c:v>4.358898943540674</c:v>
                </c:pt>
                <c:pt idx="81">
                  <c:v>4.358898943540674</c:v>
                </c:pt>
                <c:pt idx="82">
                  <c:v>4.358898943540674</c:v>
                </c:pt>
                <c:pt idx="83">
                  <c:v>4.2426406871192848</c:v>
                </c:pt>
                <c:pt idx="84">
                  <c:v>4.2426406871192848</c:v>
                </c:pt>
                <c:pt idx="85">
                  <c:v>4.2426406871192848</c:v>
                </c:pt>
                <c:pt idx="86">
                  <c:v>4.1231056256176606</c:v>
                </c:pt>
                <c:pt idx="87">
                  <c:v>4.1231056256176606</c:v>
                </c:pt>
                <c:pt idx="88">
                  <c:v>4</c:v>
                </c:pt>
                <c:pt idx="89">
                  <c:v>4</c:v>
                </c:pt>
                <c:pt idx="90">
                  <c:v>3.872983346207417</c:v>
                </c:pt>
                <c:pt idx="91">
                  <c:v>3.872983346207417</c:v>
                </c:pt>
                <c:pt idx="92">
                  <c:v>3.872983346207417</c:v>
                </c:pt>
                <c:pt idx="93">
                  <c:v>3.7416573867739413</c:v>
                </c:pt>
                <c:pt idx="94">
                  <c:v>3.6055512754639891</c:v>
                </c:pt>
                <c:pt idx="95">
                  <c:v>3.6055512754639891</c:v>
                </c:pt>
                <c:pt idx="96">
                  <c:v>3.6055512754639891</c:v>
                </c:pt>
                <c:pt idx="97">
                  <c:v>3.4641016151377544</c:v>
                </c:pt>
                <c:pt idx="98">
                  <c:v>3.3166247903553998</c:v>
                </c:pt>
                <c:pt idx="99">
                  <c:v>3.3166247903553998</c:v>
                </c:pt>
                <c:pt idx="100">
                  <c:v>3.3166247903553998</c:v>
                </c:pt>
                <c:pt idx="101">
                  <c:v>3.3166247903553998</c:v>
                </c:pt>
                <c:pt idx="102">
                  <c:v>3.1622776601683795</c:v>
                </c:pt>
                <c:pt idx="103">
                  <c:v>3.1622776601683795</c:v>
                </c:pt>
                <c:pt idx="104">
                  <c:v>3.1622776601683795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2.8284271247461903</c:v>
                </c:pt>
                <c:pt idx="112">
                  <c:v>2.8284271247461903</c:v>
                </c:pt>
                <c:pt idx="113">
                  <c:v>2.8284271247461903</c:v>
                </c:pt>
                <c:pt idx="114">
                  <c:v>2.6457513110645907</c:v>
                </c:pt>
                <c:pt idx="115">
                  <c:v>2.6457513110645907</c:v>
                </c:pt>
                <c:pt idx="116">
                  <c:v>2.6457513110645907</c:v>
                </c:pt>
                <c:pt idx="117">
                  <c:v>2.6457513110645907</c:v>
                </c:pt>
                <c:pt idx="118">
                  <c:v>2.6457513110645907</c:v>
                </c:pt>
                <c:pt idx="119">
                  <c:v>2.6457513110645907</c:v>
                </c:pt>
                <c:pt idx="120">
                  <c:v>2.4494897427831779</c:v>
                </c:pt>
                <c:pt idx="121">
                  <c:v>2.4494897427831779</c:v>
                </c:pt>
                <c:pt idx="122">
                  <c:v>2.4494897427831779</c:v>
                </c:pt>
                <c:pt idx="123">
                  <c:v>2.4494897427831779</c:v>
                </c:pt>
                <c:pt idx="124">
                  <c:v>2.4494897427831779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1.4142135623730951</c:v>
                </c:pt>
                <c:pt idx="132">
                  <c:v>1.4142135623730951</c:v>
                </c:pt>
                <c:pt idx="133">
                  <c:v>1.4142135623730951</c:v>
                </c:pt>
                <c:pt idx="134">
                  <c:v>1.4142135623730951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4.7958315233127191</c:v>
                </c:pt>
                <c:pt idx="142">
                  <c:v>4.7958315233127191</c:v>
                </c:pt>
                <c:pt idx="143">
                  <c:v>4.4721359549995796</c:v>
                </c:pt>
                <c:pt idx="144">
                  <c:v>4.2426406871192848</c:v>
                </c:pt>
                <c:pt idx="145">
                  <c:v>4.1231056256176606</c:v>
                </c:pt>
                <c:pt idx="146">
                  <c:v>3.3166247903553998</c:v>
                </c:pt>
                <c:pt idx="147">
                  <c:v>3</c:v>
                </c:pt>
                <c:pt idx="148">
                  <c:v>2.4494897427831779</c:v>
                </c:pt>
                <c:pt idx="149">
                  <c:v>5.4772255750516612</c:v>
                </c:pt>
                <c:pt idx="150">
                  <c:v>5.196152422706632</c:v>
                </c:pt>
                <c:pt idx="151">
                  <c:v>3.3166247903553998</c:v>
                </c:pt>
                <c:pt idx="152">
                  <c:v>4.6904157598234297</c:v>
                </c:pt>
                <c:pt idx="153">
                  <c:v>4.358898943540674</c:v>
                </c:pt>
                <c:pt idx="154">
                  <c:v>4.2426406871192848</c:v>
                </c:pt>
                <c:pt idx="155">
                  <c:v>4.2426406871192848</c:v>
                </c:pt>
                <c:pt idx="156">
                  <c:v>4.1231056256176606</c:v>
                </c:pt>
                <c:pt idx="157">
                  <c:v>4</c:v>
                </c:pt>
                <c:pt idx="158">
                  <c:v>3.872983346207417</c:v>
                </c:pt>
                <c:pt idx="159">
                  <c:v>3.6055512754639891</c:v>
                </c:pt>
                <c:pt idx="160">
                  <c:v>3.4641016151377544</c:v>
                </c:pt>
                <c:pt idx="161">
                  <c:v>3.4641016151377544</c:v>
                </c:pt>
                <c:pt idx="162">
                  <c:v>3.3166247903553998</c:v>
                </c:pt>
                <c:pt idx="163">
                  <c:v>3.3166247903553998</c:v>
                </c:pt>
                <c:pt idx="164">
                  <c:v>3.1622776601683795</c:v>
                </c:pt>
                <c:pt idx="165">
                  <c:v>3.1622776601683795</c:v>
                </c:pt>
                <c:pt idx="166">
                  <c:v>2.6457513110645907</c:v>
                </c:pt>
                <c:pt idx="167">
                  <c:v>2.6457513110645907</c:v>
                </c:pt>
                <c:pt idx="168">
                  <c:v>2.6457513110645907</c:v>
                </c:pt>
                <c:pt idx="169">
                  <c:v>2.2360679774997898</c:v>
                </c:pt>
                <c:pt idx="170">
                  <c:v>2</c:v>
                </c:pt>
                <c:pt idx="171">
                  <c:v>1.7320508075688772</c:v>
                </c:pt>
                <c:pt idx="172">
                  <c:v>1.7320508075688772</c:v>
                </c:pt>
                <c:pt idx="173">
                  <c:v>1.7320508075688772</c:v>
                </c:pt>
                <c:pt idx="174">
                  <c:v>1</c:v>
                </c:pt>
                <c:pt idx="175">
                  <c:v>1</c:v>
                </c:pt>
                <c:pt idx="176">
                  <c:v>5.196152422706632</c:v>
                </c:pt>
                <c:pt idx="177">
                  <c:v>5</c:v>
                </c:pt>
                <c:pt idx="178">
                  <c:v>4.7958315233127191</c:v>
                </c:pt>
                <c:pt idx="179">
                  <c:v>4.6904157598234297</c:v>
                </c:pt>
                <c:pt idx="180">
                  <c:v>4.1231056256176606</c:v>
                </c:pt>
                <c:pt idx="181">
                  <c:v>3.872983346207417</c:v>
                </c:pt>
                <c:pt idx="182">
                  <c:v>5.6568542494923806</c:v>
                </c:pt>
                <c:pt idx="183">
                  <c:v>5.196152422706632</c:v>
                </c:pt>
                <c:pt idx="184">
                  <c:v>4.8989794855663558</c:v>
                </c:pt>
                <c:pt idx="185">
                  <c:v>4.4721359549995796</c:v>
                </c:pt>
                <c:pt idx="186">
                  <c:v>3</c:v>
                </c:pt>
                <c:pt idx="187">
                  <c:v>1.7320508075688772</c:v>
                </c:pt>
                <c:pt idx="188">
                  <c:v>5.3851648071345037</c:v>
                </c:pt>
                <c:pt idx="189">
                  <c:v>4.358898943540674</c:v>
                </c:pt>
                <c:pt idx="190">
                  <c:v>3.4641016151377544</c:v>
                </c:pt>
                <c:pt idx="191">
                  <c:v>2.6457513110645907</c:v>
                </c:pt>
                <c:pt idx="192">
                  <c:v>5.2915026221291814</c:v>
                </c:pt>
                <c:pt idx="193">
                  <c:v>5.0990195135927845</c:v>
                </c:pt>
                <c:pt idx="194">
                  <c:v>4.2426406871192848</c:v>
                </c:pt>
                <c:pt idx="195">
                  <c:v>4.1231056256176606</c:v>
                </c:pt>
                <c:pt idx="196">
                  <c:v>4.1231056256176606</c:v>
                </c:pt>
                <c:pt idx="197">
                  <c:v>3.872983346207417</c:v>
                </c:pt>
                <c:pt idx="198">
                  <c:v>4.1231056256176606</c:v>
                </c:pt>
                <c:pt idx="199">
                  <c:v>4.5825756949558398</c:v>
                </c:pt>
                <c:pt idx="200">
                  <c:v>4.2426406871192848</c:v>
                </c:pt>
                <c:pt idx="201">
                  <c:v>4.2426406871192848</c:v>
                </c:pt>
                <c:pt idx="202">
                  <c:v>3.7416573867739413</c:v>
                </c:pt>
                <c:pt idx="203">
                  <c:v>3.1622776601683795</c:v>
                </c:pt>
                <c:pt idx="204">
                  <c:v>1</c:v>
                </c:pt>
                <c:pt idx="205">
                  <c:v>4.5825756949558398</c:v>
                </c:pt>
                <c:pt idx="206">
                  <c:v>3.872983346207417</c:v>
                </c:pt>
                <c:pt idx="207">
                  <c:v>4.358898943540674</c:v>
                </c:pt>
                <c:pt idx="208">
                  <c:v>5.0990195135927845</c:v>
                </c:pt>
                <c:pt idx="209">
                  <c:v>5</c:v>
                </c:pt>
                <c:pt idx="210">
                  <c:v>4.8989794855663558</c:v>
                </c:pt>
                <c:pt idx="211">
                  <c:v>4.8989794855663558</c:v>
                </c:pt>
                <c:pt idx="212">
                  <c:v>4.6904157598234297</c:v>
                </c:pt>
                <c:pt idx="213">
                  <c:v>4.5825756949558398</c:v>
                </c:pt>
                <c:pt idx="214">
                  <c:v>4.358898943540674</c:v>
                </c:pt>
                <c:pt idx="215">
                  <c:v>2.6457513110645907</c:v>
                </c:pt>
                <c:pt idx="216">
                  <c:v>5.5677643628300215</c:v>
                </c:pt>
                <c:pt idx="217">
                  <c:v>4.7958315233127191</c:v>
                </c:pt>
                <c:pt idx="218">
                  <c:v>2.2360679774997898</c:v>
                </c:pt>
                <c:pt idx="219">
                  <c:v>5.0990195135927845</c:v>
                </c:pt>
                <c:pt idx="220">
                  <c:v>4.2426406871192848</c:v>
                </c:pt>
                <c:pt idx="221">
                  <c:v>3.6055512754639891</c:v>
                </c:pt>
                <c:pt idx="222">
                  <c:v>3</c:v>
                </c:pt>
                <c:pt idx="223">
                  <c:v>2.6457513110645907</c:v>
                </c:pt>
                <c:pt idx="224">
                  <c:v>5.2915026221291814</c:v>
                </c:pt>
                <c:pt idx="225">
                  <c:v>4.4721359549995796</c:v>
                </c:pt>
                <c:pt idx="226">
                  <c:v>4.358898943540674</c:v>
                </c:pt>
                <c:pt idx="227">
                  <c:v>4.358898943540674</c:v>
                </c:pt>
                <c:pt idx="228">
                  <c:v>3.872983346207417</c:v>
                </c:pt>
                <c:pt idx="229">
                  <c:v>3.4641016151377544</c:v>
                </c:pt>
                <c:pt idx="230">
                  <c:v>3.3166247903553998</c:v>
                </c:pt>
                <c:pt idx="231">
                  <c:v>1</c:v>
                </c:pt>
                <c:pt idx="232">
                  <c:v>4</c:v>
                </c:pt>
                <c:pt idx="233">
                  <c:v>3.6055512754639891</c:v>
                </c:pt>
                <c:pt idx="234">
                  <c:v>5.8309518948453007</c:v>
                </c:pt>
                <c:pt idx="235">
                  <c:v>4.5825756949558398</c:v>
                </c:pt>
                <c:pt idx="236">
                  <c:v>4.4721359549995796</c:v>
                </c:pt>
                <c:pt idx="237">
                  <c:v>4.4721359549995796</c:v>
                </c:pt>
                <c:pt idx="238">
                  <c:v>4</c:v>
                </c:pt>
                <c:pt idx="239">
                  <c:v>3.6055512754639891</c:v>
                </c:pt>
                <c:pt idx="240">
                  <c:v>3.1622776601683795</c:v>
                </c:pt>
                <c:pt idx="241">
                  <c:v>3.1622776601683795</c:v>
                </c:pt>
                <c:pt idx="242">
                  <c:v>4.7958315233127191</c:v>
                </c:pt>
                <c:pt idx="243">
                  <c:v>3.872983346207417</c:v>
                </c:pt>
                <c:pt idx="244">
                  <c:v>3.3166247903553998</c:v>
                </c:pt>
                <c:pt idx="245">
                  <c:v>5.0990195135927845</c:v>
                </c:pt>
                <c:pt idx="246">
                  <c:v>4.5825756949558398</c:v>
                </c:pt>
                <c:pt idx="247">
                  <c:v>4.4721359549995796</c:v>
                </c:pt>
                <c:pt idx="248">
                  <c:v>5.5677643628300215</c:v>
                </c:pt>
                <c:pt idx="249">
                  <c:v>5.4772255750516612</c:v>
                </c:pt>
                <c:pt idx="250">
                  <c:v>5.0990195135927845</c:v>
                </c:pt>
                <c:pt idx="251">
                  <c:v>4.1231056256176606</c:v>
                </c:pt>
                <c:pt idx="252">
                  <c:v>3.7416573867739413</c:v>
                </c:pt>
                <c:pt idx="253">
                  <c:v>3.6055512754639891</c:v>
                </c:pt>
                <c:pt idx="254">
                  <c:v>3.6055512754639891</c:v>
                </c:pt>
                <c:pt idx="255">
                  <c:v>3.3166247903553998</c:v>
                </c:pt>
                <c:pt idx="256">
                  <c:v>4.1231056256176606</c:v>
                </c:pt>
                <c:pt idx="257">
                  <c:v>4.5825756949558398</c:v>
                </c:pt>
                <c:pt idx="258">
                  <c:v>3</c:v>
                </c:pt>
                <c:pt idx="259">
                  <c:v>3</c:v>
                </c:pt>
                <c:pt idx="260">
                  <c:v>5.4772255750516612</c:v>
                </c:pt>
                <c:pt idx="261">
                  <c:v>4.4721359549995796</c:v>
                </c:pt>
                <c:pt idx="262">
                  <c:v>4.4721359549995796</c:v>
                </c:pt>
                <c:pt idx="263">
                  <c:v>1</c:v>
                </c:pt>
                <c:pt idx="264">
                  <c:v>3.6055512754639891</c:v>
                </c:pt>
                <c:pt idx="265">
                  <c:v>2.2360679774997898</c:v>
                </c:pt>
                <c:pt idx="266">
                  <c:v>2.2360679774997898</c:v>
                </c:pt>
                <c:pt idx="267">
                  <c:v>4.5825756949558398</c:v>
                </c:pt>
                <c:pt idx="268">
                  <c:v>5.6568542494923806</c:v>
                </c:pt>
                <c:pt idx="269">
                  <c:v>4.358898943540674</c:v>
                </c:pt>
                <c:pt idx="270">
                  <c:v>3.7416573867739413</c:v>
                </c:pt>
                <c:pt idx="271">
                  <c:v>4.2426406871192848</c:v>
                </c:pt>
                <c:pt idx="272">
                  <c:v>3.872983346207417</c:v>
                </c:pt>
                <c:pt idx="273">
                  <c:v>3.1622776601683795</c:v>
                </c:pt>
                <c:pt idx="274">
                  <c:v>1.7320508075688772</c:v>
                </c:pt>
                <c:pt idx="275">
                  <c:v>5.0990195135927845</c:v>
                </c:pt>
                <c:pt idx="276">
                  <c:v>5.8309518948453007</c:v>
                </c:pt>
                <c:pt idx="277">
                  <c:v>4.2426406871192848</c:v>
                </c:pt>
                <c:pt idx="278">
                  <c:v>4.2426406871192848</c:v>
                </c:pt>
                <c:pt idx="279">
                  <c:v>3.872983346207417</c:v>
                </c:pt>
                <c:pt idx="280">
                  <c:v>3.3166247903553998</c:v>
                </c:pt>
                <c:pt idx="281">
                  <c:v>3.3166247903553998</c:v>
                </c:pt>
                <c:pt idx="282">
                  <c:v>2.8284271247461903</c:v>
                </c:pt>
                <c:pt idx="283">
                  <c:v>2.4494897427831779</c:v>
                </c:pt>
                <c:pt idx="284">
                  <c:v>2.2360679774997898</c:v>
                </c:pt>
                <c:pt idx="285">
                  <c:v>4.5825756949558398</c:v>
                </c:pt>
                <c:pt idx="286">
                  <c:v>2.4494897427831779</c:v>
                </c:pt>
                <c:pt idx="287">
                  <c:v>5.0990195135927845</c:v>
                </c:pt>
                <c:pt idx="288">
                  <c:v>3</c:v>
                </c:pt>
                <c:pt idx="289">
                  <c:v>1.4142135623730951</c:v>
                </c:pt>
                <c:pt idx="290">
                  <c:v>3.7416573867739413</c:v>
                </c:pt>
                <c:pt idx="291">
                  <c:v>4.7958315233127191</c:v>
                </c:pt>
                <c:pt idx="292">
                  <c:v>3</c:v>
                </c:pt>
                <c:pt idx="293">
                  <c:v>2.4494897427831779</c:v>
                </c:pt>
                <c:pt idx="294">
                  <c:v>4.358898943540674</c:v>
                </c:pt>
                <c:pt idx="295">
                  <c:v>3.1622776601683795</c:v>
                </c:pt>
                <c:pt idx="296">
                  <c:v>1</c:v>
                </c:pt>
                <c:pt idx="297">
                  <c:v>4.2426406871192848</c:v>
                </c:pt>
                <c:pt idx="298">
                  <c:v>3.872983346207417</c:v>
                </c:pt>
                <c:pt idx="299">
                  <c:v>5.3851648071345037</c:v>
                </c:pt>
                <c:pt idx="300">
                  <c:v>5.3851648071345037</c:v>
                </c:pt>
                <c:pt idx="301">
                  <c:v>4.5825756949558398</c:v>
                </c:pt>
                <c:pt idx="302">
                  <c:v>4.358898943540674</c:v>
                </c:pt>
                <c:pt idx="303">
                  <c:v>4.2426406871192848</c:v>
                </c:pt>
                <c:pt idx="304">
                  <c:v>4.2426406871192848</c:v>
                </c:pt>
                <c:pt idx="305">
                  <c:v>3.6055512754639891</c:v>
                </c:pt>
                <c:pt idx="306">
                  <c:v>3.6055512754639891</c:v>
                </c:pt>
                <c:pt idx="307">
                  <c:v>3.6055512754639891</c:v>
                </c:pt>
                <c:pt idx="308">
                  <c:v>3.4641016151377544</c:v>
                </c:pt>
                <c:pt idx="309">
                  <c:v>3.4641016151377544</c:v>
                </c:pt>
                <c:pt idx="310">
                  <c:v>3.3166247903553998</c:v>
                </c:pt>
                <c:pt idx="311">
                  <c:v>3</c:v>
                </c:pt>
                <c:pt idx="312">
                  <c:v>2.6457513110645907</c:v>
                </c:pt>
                <c:pt idx="313">
                  <c:v>2.2360679774997898</c:v>
                </c:pt>
                <c:pt idx="314">
                  <c:v>1.7320508075688772</c:v>
                </c:pt>
                <c:pt idx="315">
                  <c:v>4.8989794855663558</c:v>
                </c:pt>
                <c:pt idx="316">
                  <c:v>3</c:v>
                </c:pt>
                <c:pt idx="317">
                  <c:v>2.2360679774997898</c:v>
                </c:pt>
                <c:pt idx="318">
                  <c:v>5.0990195135927845</c:v>
                </c:pt>
                <c:pt idx="319">
                  <c:v>3.7416573867739413</c:v>
                </c:pt>
                <c:pt idx="320">
                  <c:v>4.2426406871192848</c:v>
                </c:pt>
                <c:pt idx="321">
                  <c:v>1.7320508075688772</c:v>
                </c:pt>
                <c:pt idx="322">
                  <c:v>4.8989794855663558</c:v>
                </c:pt>
                <c:pt idx="323">
                  <c:v>3.3166247903553998</c:v>
                </c:pt>
                <c:pt idx="324">
                  <c:v>3.872983346207417</c:v>
                </c:pt>
                <c:pt idx="325">
                  <c:v>4.1231056256176606</c:v>
                </c:pt>
                <c:pt idx="326">
                  <c:v>2.6457513110645907</c:v>
                </c:pt>
                <c:pt idx="327">
                  <c:v>2.4494897427831779</c:v>
                </c:pt>
                <c:pt idx="328">
                  <c:v>3.872983346207417</c:v>
                </c:pt>
                <c:pt idx="329">
                  <c:v>3</c:v>
                </c:pt>
                <c:pt idx="330">
                  <c:v>4.1231056256176606</c:v>
                </c:pt>
                <c:pt idx="331">
                  <c:v>3.4641016151377544</c:v>
                </c:pt>
                <c:pt idx="332">
                  <c:v>3.3166247903553998</c:v>
                </c:pt>
                <c:pt idx="333">
                  <c:v>2.6457513110645907</c:v>
                </c:pt>
                <c:pt idx="334">
                  <c:v>5.2915026221291814</c:v>
                </c:pt>
                <c:pt idx="335">
                  <c:v>3.7416573867739413</c:v>
                </c:pt>
                <c:pt idx="336">
                  <c:v>3</c:v>
                </c:pt>
                <c:pt idx="337">
                  <c:v>2.2360679774997898</c:v>
                </c:pt>
                <c:pt idx="338">
                  <c:v>6</c:v>
                </c:pt>
                <c:pt idx="339">
                  <c:v>4</c:v>
                </c:pt>
                <c:pt idx="340">
                  <c:v>3.6055512754639891</c:v>
                </c:pt>
                <c:pt idx="341">
                  <c:v>5.3851648071345037</c:v>
                </c:pt>
                <c:pt idx="342">
                  <c:v>5.3851648071345037</c:v>
                </c:pt>
                <c:pt idx="343">
                  <c:v>4.7958315233127191</c:v>
                </c:pt>
                <c:pt idx="344">
                  <c:v>4.5825756949558398</c:v>
                </c:pt>
                <c:pt idx="345">
                  <c:v>4.5825756949558398</c:v>
                </c:pt>
                <c:pt idx="346">
                  <c:v>4.358898943540674</c:v>
                </c:pt>
                <c:pt idx="347">
                  <c:v>4.358898943540674</c:v>
                </c:pt>
                <c:pt idx="348">
                  <c:v>3.872983346207417</c:v>
                </c:pt>
                <c:pt idx="349">
                  <c:v>3.6055512754639891</c:v>
                </c:pt>
                <c:pt idx="350">
                  <c:v>3.6055512754639891</c:v>
                </c:pt>
                <c:pt idx="351">
                  <c:v>3.4641016151377544</c:v>
                </c:pt>
                <c:pt idx="352">
                  <c:v>3.4641016151377544</c:v>
                </c:pt>
                <c:pt idx="353">
                  <c:v>3.4641016151377544</c:v>
                </c:pt>
                <c:pt idx="354">
                  <c:v>3.4641016151377544</c:v>
                </c:pt>
                <c:pt idx="355">
                  <c:v>3.3166247903553998</c:v>
                </c:pt>
                <c:pt idx="356">
                  <c:v>3.1622776601683795</c:v>
                </c:pt>
                <c:pt idx="357">
                  <c:v>3</c:v>
                </c:pt>
                <c:pt idx="358">
                  <c:v>2.8284271247461903</c:v>
                </c:pt>
                <c:pt idx="359">
                  <c:v>2.8284271247461903</c:v>
                </c:pt>
                <c:pt idx="360">
                  <c:v>2.8284271247461903</c:v>
                </c:pt>
                <c:pt idx="361">
                  <c:v>2.6457513110645907</c:v>
                </c:pt>
                <c:pt idx="362">
                  <c:v>1.7320508075688772</c:v>
                </c:pt>
                <c:pt idx="363">
                  <c:v>1.7320508075688772</c:v>
                </c:pt>
                <c:pt idx="364">
                  <c:v>1.7320508075688772</c:v>
                </c:pt>
                <c:pt idx="365">
                  <c:v>1.7320508075688772</c:v>
                </c:pt>
                <c:pt idx="366">
                  <c:v>1</c:v>
                </c:pt>
                <c:pt idx="367">
                  <c:v>5.0990195135927845</c:v>
                </c:pt>
                <c:pt idx="368">
                  <c:v>5.0990195135927845</c:v>
                </c:pt>
                <c:pt idx="369">
                  <c:v>5.7445626465380286</c:v>
                </c:pt>
                <c:pt idx="370">
                  <c:v>4.5825756949558398</c:v>
                </c:pt>
                <c:pt idx="371">
                  <c:v>4.1231056256176606</c:v>
                </c:pt>
                <c:pt idx="372">
                  <c:v>5.196152422706632</c:v>
                </c:pt>
                <c:pt idx="373">
                  <c:v>5.8309518948453007</c:v>
                </c:pt>
                <c:pt idx="374">
                  <c:v>6.5574385243020004</c:v>
                </c:pt>
                <c:pt idx="375">
                  <c:v>4.6904157598234297</c:v>
                </c:pt>
                <c:pt idx="376">
                  <c:v>4.2426406871192848</c:v>
                </c:pt>
                <c:pt idx="377">
                  <c:v>5.5677643628300215</c:v>
                </c:pt>
                <c:pt idx="378">
                  <c:v>1</c:v>
                </c:pt>
                <c:pt idx="379">
                  <c:v>1.7320508075688772</c:v>
                </c:pt>
                <c:pt idx="380">
                  <c:v>3.3166247903553998</c:v>
                </c:pt>
                <c:pt idx="381">
                  <c:v>2.2360679774997898</c:v>
                </c:pt>
                <c:pt idx="382">
                  <c:v>1</c:v>
                </c:pt>
                <c:pt idx="383">
                  <c:v>2.2360679774997898</c:v>
                </c:pt>
                <c:pt idx="384">
                  <c:v>1</c:v>
                </c:pt>
                <c:pt idx="385">
                  <c:v>1.7320508075688772</c:v>
                </c:pt>
                <c:pt idx="386">
                  <c:v>2.6457513110645907</c:v>
                </c:pt>
                <c:pt idx="387">
                  <c:v>2.6457513110645907</c:v>
                </c:pt>
                <c:pt idx="388">
                  <c:v>2.6457513110645907</c:v>
                </c:pt>
                <c:pt idx="389">
                  <c:v>2.2360679774997898</c:v>
                </c:pt>
                <c:pt idx="390">
                  <c:v>1.7320508075688772</c:v>
                </c:pt>
                <c:pt idx="391">
                  <c:v>2.2360679774997898</c:v>
                </c:pt>
                <c:pt idx="392">
                  <c:v>2.6457513110645907</c:v>
                </c:pt>
                <c:pt idx="393">
                  <c:v>2.2360679774997898</c:v>
                </c:pt>
                <c:pt idx="394">
                  <c:v>3</c:v>
                </c:pt>
                <c:pt idx="395">
                  <c:v>2.8284271247461903</c:v>
                </c:pt>
                <c:pt idx="396">
                  <c:v>2</c:v>
                </c:pt>
                <c:pt idx="397">
                  <c:v>2</c:v>
                </c:pt>
                <c:pt idx="398">
                  <c:v>1.7320508075688772</c:v>
                </c:pt>
                <c:pt idx="399">
                  <c:v>1</c:v>
                </c:pt>
                <c:pt idx="400">
                  <c:v>3.3166247903553998</c:v>
                </c:pt>
                <c:pt idx="401">
                  <c:v>3</c:v>
                </c:pt>
                <c:pt idx="402">
                  <c:v>2.2360679774997898</c:v>
                </c:pt>
                <c:pt idx="403">
                  <c:v>1.7320508075688772</c:v>
                </c:pt>
                <c:pt idx="404">
                  <c:v>1</c:v>
                </c:pt>
                <c:pt idx="405">
                  <c:v>2.4494897427831779</c:v>
                </c:pt>
                <c:pt idx="406">
                  <c:v>2.2360679774997898</c:v>
                </c:pt>
                <c:pt idx="407">
                  <c:v>1.7320508075688772</c:v>
                </c:pt>
                <c:pt idx="408">
                  <c:v>2.8284271247461903</c:v>
                </c:pt>
                <c:pt idx="409">
                  <c:v>2.2360679774997898</c:v>
                </c:pt>
                <c:pt idx="410">
                  <c:v>1.4142135623730951</c:v>
                </c:pt>
                <c:pt idx="411">
                  <c:v>1.7320508075688772</c:v>
                </c:pt>
                <c:pt idx="412">
                  <c:v>2.6457513110645907</c:v>
                </c:pt>
                <c:pt idx="413">
                  <c:v>1.7320508075688772</c:v>
                </c:pt>
                <c:pt idx="414">
                  <c:v>1</c:v>
                </c:pt>
                <c:pt idx="415">
                  <c:v>5</c:v>
                </c:pt>
                <c:pt idx="416">
                  <c:v>5.0990195135927845</c:v>
                </c:pt>
                <c:pt idx="417">
                  <c:v>2.6457513110645907</c:v>
                </c:pt>
                <c:pt idx="418">
                  <c:v>4.8989794855663558</c:v>
                </c:pt>
                <c:pt idx="419">
                  <c:v>4.358898943540674</c:v>
                </c:pt>
                <c:pt idx="420">
                  <c:v>3.6055512754639891</c:v>
                </c:pt>
                <c:pt idx="421">
                  <c:v>3.1622776601683795</c:v>
                </c:pt>
                <c:pt idx="422">
                  <c:v>5.0990195135927845</c:v>
                </c:pt>
                <c:pt idx="423">
                  <c:v>4.4721359549995796</c:v>
                </c:pt>
                <c:pt idx="424">
                  <c:v>3.872983346207417</c:v>
                </c:pt>
                <c:pt idx="425">
                  <c:v>4.358898943540674</c:v>
                </c:pt>
                <c:pt idx="426">
                  <c:v>4.358898943540674</c:v>
                </c:pt>
                <c:pt idx="427">
                  <c:v>4.7958315233127191</c:v>
                </c:pt>
                <c:pt idx="428">
                  <c:v>4.4721359549995796</c:v>
                </c:pt>
                <c:pt idx="429">
                  <c:v>4.8989794855663558</c:v>
                </c:pt>
                <c:pt idx="430">
                  <c:v>4</c:v>
                </c:pt>
                <c:pt idx="431">
                  <c:v>3.872983346207417</c:v>
                </c:pt>
                <c:pt idx="432">
                  <c:v>4.7958315233127191</c:v>
                </c:pt>
                <c:pt idx="433">
                  <c:v>5.0990195135927845</c:v>
                </c:pt>
                <c:pt idx="434">
                  <c:v>4.358898943540674</c:v>
                </c:pt>
                <c:pt idx="435">
                  <c:v>4.5825756949558398</c:v>
                </c:pt>
                <c:pt idx="436">
                  <c:v>6.7082039324993694</c:v>
                </c:pt>
                <c:pt idx="437">
                  <c:v>6.324555320336759</c:v>
                </c:pt>
                <c:pt idx="438">
                  <c:v>7</c:v>
                </c:pt>
                <c:pt idx="439">
                  <c:v>6.2449979983983983</c:v>
                </c:pt>
                <c:pt idx="440">
                  <c:v>6.4807406984078604</c:v>
                </c:pt>
                <c:pt idx="441">
                  <c:v>6.0827625302982193</c:v>
                </c:pt>
                <c:pt idx="442">
                  <c:v>6.6332495807107996</c:v>
                </c:pt>
                <c:pt idx="443">
                  <c:v>6.6332495807107996</c:v>
                </c:pt>
                <c:pt idx="444">
                  <c:v>6.2449979983983983</c:v>
                </c:pt>
                <c:pt idx="445">
                  <c:v>1.7320508075688772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xVal>
          <c:yVal>
            <c:numRef>
              <c:f>'Pokemon Science 2.0 data'!$J$2:$J$1000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5-46FA-933F-9BF5BAC4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17922"/>
        <c:axId val="839231554"/>
      </c:scatterChart>
      <c:valAx>
        <c:axId val="4062179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Sqrt(Level)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39231554"/>
        <c:crosses val="autoZero"/>
        <c:crossBetween val="midCat"/>
      </c:valAx>
      <c:valAx>
        <c:axId val="839231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HP/Base stat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621792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t>Histogram of CP Guess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[1]HP!$M$1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[1]HP!$D$2:$D$1000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xVal>
          <c:yVal>
            <c:numRef>
              <c:f>[1]HP!$M$2:$M$1000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19-4009-A4A3-BBEF8DF9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62010"/>
        <c:axId val="201398291"/>
      </c:scatterChart>
      <c:valAx>
        <c:axId val="2687620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CP Guess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1398291"/>
        <c:crosses val="autoZero"/>
        <c:crossBetween val="midCat"/>
      </c:valAx>
      <c:valAx>
        <c:axId val="201398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6876201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76200</xdr:rowOff>
    </xdr:from>
    <xdr:to>
      <xdr:col>11</xdr:col>
      <xdr:colOff>923925</xdr:colOff>
      <xdr:row>18</xdr:row>
      <xdr:rowOff>9525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47625</xdr:colOff>
      <xdr:row>18</xdr:row>
      <xdr:rowOff>190500</xdr:rowOff>
    </xdr:from>
    <xdr:to>
      <xdr:col>5</xdr:col>
      <xdr:colOff>952500</xdr:colOff>
      <xdr:row>36</xdr:row>
      <xdr:rowOff>123825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6</xdr:col>
      <xdr:colOff>152400</xdr:colOff>
      <xdr:row>18</xdr:row>
      <xdr:rowOff>123825</xdr:rowOff>
    </xdr:from>
    <xdr:to>
      <xdr:col>12</xdr:col>
      <xdr:colOff>95250</xdr:colOff>
      <xdr:row>36</xdr:row>
      <xdr:rowOff>57150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0</xdr:colOff>
      <xdr:row>37</xdr:row>
      <xdr:rowOff>28575</xdr:rowOff>
    </xdr:from>
    <xdr:to>
      <xdr:col>5</xdr:col>
      <xdr:colOff>904875</xdr:colOff>
      <xdr:row>54</xdr:row>
      <xdr:rowOff>161925</xdr:rowOff>
    </xdr:to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in\Documents\Pokemon%20CP\H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QwBneWOabPdRPfWfoIMgCQFxzJqxbXddq7B_6xJbLdo/copy" TargetMode="External"/><Relationship Id="rId13" Type="http://schemas.openxmlformats.org/officeDocument/2006/relationships/hyperlink" Target="https://www.reddit.com/r/TheSilphRoad/comments/4s1cpq/xp_requirements_for_levels_so_far_125/" TargetMode="External"/><Relationship Id="rId18" Type="http://schemas.openxmlformats.org/officeDocument/2006/relationships/hyperlink" Target="https://www.reddit.com/r/TheSilphRoad/comments/4t0xo6/how_hpmaxstamina_is_calculated/d5e2jsv" TargetMode="External"/><Relationship Id="rId3" Type="http://schemas.openxmlformats.org/officeDocument/2006/relationships/hyperlink" Target="https://www.reddit.com/r/TheSilphRoad/comments/4se870/pokemon_cp_tier_list/" TargetMode="External"/><Relationship Id="rId21" Type="http://schemas.openxmlformats.org/officeDocument/2006/relationships/hyperlink" Target="https://i.redd.it/zmeceekybn9x.png" TargetMode="External"/><Relationship Id="rId7" Type="http://schemas.openxmlformats.org/officeDocument/2006/relationships/hyperlink" Target="https://www.reddit.com/r/TheSilphRoad/comments/4tbp3r/find_your_hidden_iv_scores_determine_which_ones/" TargetMode="External"/><Relationship Id="rId12" Type="http://schemas.openxmlformats.org/officeDocument/2006/relationships/hyperlink" Target="https://www.reddit.com/r/TheSilphRoad/comments/4t7r4d/exact_pokemon_cp_formula/" TargetMode="External"/><Relationship Id="rId17" Type="http://schemas.openxmlformats.org/officeDocument/2006/relationships/hyperlink" Target="https://jsfiddle.net/cwkfga1w/embedded/result/" TargetMode="External"/><Relationship Id="rId2" Type="http://schemas.openxmlformats.org/officeDocument/2006/relationships/hyperlink" Target="https://docs.google.com/spreadsheets/d/19iql4aABmZ5oZ6YDE3LmZ8qcth3UoH52954WhjuiJow/edit" TargetMode="External"/><Relationship Id="rId16" Type="http://schemas.openxmlformats.org/officeDocument/2006/relationships/hyperlink" Target="https://gist.github.com/anonymous/540700108cf0f051e11f70273e9e2590" TargetMode="External"/><Relationship Id="rId20" Type="http://schemas.openxmlformats.org/officeDocument/2006/relationships/hyperlink" Target="https://www.reddit.com/r/TheSilphRoad/comments/4t5x0n/psa_incense_spawns_1_pok%C3%A9mon_every_5_min_while/" TargetMode="External"/><Relationship Id="rId1" Type="http://schemas.openxmlformats.org/officeDocument/2006/relationships/hyperlink" Target="https://www.reddit.com/r/TheSilphRoad/comments/4takc1/guide_to_figuring_out_your_pokemons_level_from_cp/" TargetMode="External"/><Relationship Id="rId6" Type="http://schemas.openxmlformats.org/officeDocument/2006/relationships/hyperlink" Target="https://docs.google.com/spreadsheets/d/1vj1nsbsIE7FVPFWE-ZRFNgoszfgfDJ1MiT81d8XbPug/htmlview?sle=true" TargetMode="External"/><Relationship Id="rId11" Type="http://schemas.openxmlformats.org/officeDocument/2006/relationships/hyperlink" Target="https://www.reddit.com/r/TheSilphRoad/comments/4t0xo6/how_hpmaxstamina_is_calculated/" TargetMode="External"/><Relationship Id="rId5" Type="http://schemas.openxmlformats.org/officeDocument/2006/relationships/hyperlink" Target="https://www.reddit.com/r/TheSilphRoad/comments/4t8hy8/the_best_of_all_max_evolved_pokemon_with_a_lot/" TargetMode="External"/><Relationship Id="rId15" Type="http://schemas.openxmlformats.org/officeDocument/2006/relationships/hyperlink" Target="https://gist.github.com/anonymous/077d6dea82d58b8febde54ae9729b1bf" TargetMode="External"/><Relationship Id="rId23" Type="http://schemas.openxmlformats.org/officeDocument/2006/relationships/hyperlink" Target="https://www.reddit.com/r/TheSilphRoad/comments/4tkize/resistance_stacking_works_as_expected/" TargetMode="External"/><Relationship Id="rId10" Type="http://schemas.openxmlformats.org/officeDocument/2006/relationships/hyperlink" Target="https://docs.google.com/spreadsheets/d/1wbtIc33K45iU1ScUnkB0PlslJ-eLaJlSZY47sPME2Uk/copy" TargetMode="External"/><Relationship Id="rId19" Type="http://schemas.openxmlformats.org/officeDocument/2006/relationships/hyperlink" Target="https://www.reddit.com/r/TheSilphRoad/comments/4tqd5j/pokemon_in_gyms_have_twice_their_usual_hp/" TargetMode="External"/><Relationship Id="rId4" Type="http://schemas.openxmlformats.org/officeDocument/2006/relationships/hyperlink" Target="https://www.reddit.com/r/TheSilphRoad/comments/4t02rh/pokemon_hp_tier_list_and_formula/" TargetMode="External"/><Relationship Id="rId9" Type="http://schemas.openxmlformats.org/officeDocument/2006/relationships/hyperlink" Target="https://www.reddit.com/r/TheSilphRoad/comments/4tkk75/updated_iv_calculator_automatically_calculate_ivs/" TargetMode="External"/><Relationship Id="rId14" Type="http://schemas.openxmlformats.org/officeDocument/2006/relationships/hyperlink" Target="https://www.reddit.com/r/pokemongodev/comments/4t59t1/decoded_game_master_protobuf_file_v01_all_pokemon/" TargetMode="External"/><Relationship Id="rId22" Type="http://schemas.openxmlformats.org/officeDocument/2006/relationships/hyperlink" Target="https://www.reddit.com/r/TheSilphRoad/comments/4sryif/i_studied_pokemon_spawn_and_despawn_times_to_fi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7.85546875" customWidth="1"/>
    <col min="3" max="3" width="10.42578125" customWidth="1"/>
    <col min="4" max="4" width="10.7109375" customWidth="1"/>
    <col min="5" max="5" width="10.85546875" customWidth="1"/>
    <col min="6" max="6" width="16" customWidth="1"/>
    <col min="7" max="7" width="15.7109375" customWidth="1"/>
    <col min="8" max="9" width="12.5703125" customWidth="1"/>
    <col min="13" max="13" width="17.5703125" customWidth="1"/>
    <col min="14" max="14" width="15.85546875" customWidth="1"/>
    <col min="15" max="15" width="19.7109375" customWidth="1"/>
    <col min="16" max="16" width="14.28515625" customWidth="1"/>
    <col min="17" max="17" width="19.42578125" customWidth="1"/>
    <col min="18" max="18" width="13.5703125" customWidth="1"/>
    <col min="19" max="21" width="26.42578125" customWidth="1"/>
    <col min="22" max="22" width="29" customWidth="1"/>
    <col min="23" max="23" width="28.28515625" customWidth="1"/>
    <col min="24" max="24" width="19.140625" customWidth="1"/>
    <col min="25" max="25" width="24" customWidth="1"/>
  </cols>
  <sheetData>
    <row r="1" spans="1:25" ht="18.75" customHeight="1" x14ac:dyDescent="0.2">
      <c r="A1" s="4" t="s">
        <v>9</v>
      </c>
      <c r="B1" s="6" t="s">
        <v>7</v>
      </c>
      <c r="C1" s="8" t="s">
        <v>14</v>
      </c>
      <c r="D1" s="8" t="s">
        <v>15</v>
      </c>
      <c r="E1" s="8" t="s">
        <v>16</v>
      </c>
      <c r="F1" s="10" t="s">
        <v>17</v>
      </c>
      <c r="G1" s="10" t="s">
        <v>20</v>
      </c>
      <c r="H1" s="10" t="s">
        <v>21</v>
      </c>
      <c r="I1" s="10" t="s">
        <v>22</v>
      </c>
      <c r="J1" s="12"/>
      <c r="K1" s="12"/>
      <c r="L1" s="12"/>
      <c r="M1" s="14" t="s">
        <v>24</v>
      </c>
      <c r="N1" s="16" t="s">
        <v>25</v>
      </c>
      <c r="O1" s="1" t="s">
        <v>27</v>
      </c>
      <c r="P1" s="4" t="s">
        <v>30</v>
      </c>
      <c r="Q1" s="18" t="s">
        <v>32</v>
      </c>
      <c r="R1" s="20" t="s">
        <v>36</v>
      </c>
      <c r="S1" s="1"/>
      <c r="T1" s="1"/>
      <c r="U1" s="1" t="s">
        <v>42</v>
      </c>
      <c r="V1" s="1" t="s">
        <v>43</v>
      </c>
      <c r="W1" s="1" t="s">
        <v>45</v>
      </c>
      <c r="X1" s="1" t="s">
        <v>46</v>
      </c>
      <c r="Y1" s="18" t="s">
        <v>47</v>
      </c>
    </row>
    <row r="2" spans="1:25" ht="12.75" x14ac:dyDescent="0.2">
      <c r="A2" s="11">
        <v>1</v>
      </c>
      <c r="B2" s="4" t="s">
        <v>23</v>
      </c>
      <c r="C2" t="str">
        <f ca="1">IFERROR(__xludf.DUMMYFUNCTION("ROUND(0.00909003 * (FILTER('Go Base Stats'!$C$2:$C1000, 'Go Base Stats'!$A$2:$A1000 = $A2))^0.5 *(FILTER('Go Base Stats'!$D$2:$D1000, 'Go Base Stats'!$A$2:$A1000 = $A2))*(FILTER('Go Base Stats'!$E$2:$E1000, 'Go Base Stats'!$A$2:$A1000 = $A2))^0.5 / 10, 1)"),"12.2")</f>
        <v>12.2</v>
      </c>
      <c r="D2">
        <v>13.8</v>
      </c>
      <c r="E2">
        <v>15.6</v>
      </c>
      <c r="F2" s="24"/>
      <c r="G2" s="14" t="str">
        <f ca="1">IFERROR(__xludf.DUMMYFUNCTION("FILTER('Base Stats'!$C$2:$C1000, LOWER('Base Stats'!$B$2:$B1000) = LOWER($B2))"),"45")</f>
        <v>45</v>
      </c>
      <c r="H2">
        <v>1071</v>
      </c>
      <c r="I2" t="str">
        <f ca="1">IFERROR(__xludf.DUMMYFUNCTION("FLOOR(0.7903* (FILTER('Go Base Stats'!$C$2:$C1000, 'Go Base Stats'!$A$2:$A1000 = $A2)+15))"),"82")</f>
        <v>82</v>
      </c>
      <c r="J2" s="26"/>
      <c r="K2" s="26"/>
      <c r="L2" s="26"/>
      <c r="M2" s="27">
        <f t="shared" ref="M2:M152" si="0">IF(NOT(ISBLANK($R2)), $R2, IF(ROUND($P2, 1) = 0, "", ROUND($P2, 1) ))</f>
        <v>13.5</v>
      </c>
      <c r="N2" s="28">
        <f t="shared" ref="N2:N152" si="1">ABS(M2-D2)/M2</f>
        <v>2.2222222222222275E-2</v>
      </c>
      <c r="P2" s="29">
        <v>13.5</v>
      </c>
      <c r="Q2" s="30">
        <v>2</v>
      </c>
      <c r="R2" s="31"/>
      <c r="U2" t="str">
        <f ca="1">IFERROR(__xludf.DUMMYFUNCTION("IFERROR(SUM(FILTER('Form Responses (Power-up data)'!$C$2:$C1000, LOWER('Form Responses (Power-up data)'!$B$2:$B1000) = LOWER($B2))), 0)"),"0")</f>
        <v>0</v>
      </c>
      <c r="V2" s="27">
        <v>27</v>
      </c>
      <c r="W2" t="str">
        <f ca="1">IFERROR(__xludf.DUMMYFUNCTION("COUNT(FILTER('Form Responses (Power-up data)'!$C$2:$C1000, LOWER('Form Responses (Power-up data)'!$B$2:$B1000) = LOWER($B2)))"),"0")</f>
        <v>0</v>
      </c>
      <c r="X2" s="27">
        <v>2</v>
      </c>
      <c r="Y2" s="30" t="s">
        <v>658</v>
      </c>
    </row>
    <row r="3" spans="1:25" ht="12.75" x14ac:dyDescent="0.2">
      <c r="A3" s="11">
        <v>2</v>
      </c>
      <c r="B3" s="4" t="s">
        <v>26</v>
      </c>
      <c r="C3" t="str">
        <f ca="1">IFERROR(__xludf.DUMMYFUNCTION("ROUND(0.00909003 * (FILTER('Go Base Stats'!$C$2:$C1000, 'Go Base Stats'!$A$2:$A1000 = $A3))^0.5 *(FILTER('Go Base Stats'!$D$2:$D1000, 'Go Base Stats'!$A$2:$A1000 = $A3))*(FILTER('Go Base Stats'!$E$2:$E1000, 'Go Base Stats'!$A$2:$A1000 = $A3))^0.5 / 10, 1)"),"19.5")</f>
        <v>19.5</v>
      </c>
      <c r="D3">
        <v>21.6</v>
      </c>
      <c r="E3">
        <v>23.8</v>
      </c>
      <c r="F3" s="24">
        <f t="shared" ref="F3:F4" si="2">ROUND(D3/D2, 1)</f>
        <v>1.6</v>
      </c>
      <c r="G3" s="14" t="str">
        <f ca="1">IFERROR(__xludf.DUMMYFUNCTION("FILTER('Base Stats'!$C$2:$C1000, LOWER('Base Stats'!$B$2:$B1000) = LOWER($B3))"),"60")</f>
        <v>60</v>
      </c>
      <c r="H3">
        <v>1632</v>
      </c>
      <c r="I3" t="str">
        <f ca="1">IFERROR(__xludf.DUMMYFUNCTION("FLOOR(0.7903* (FILTER('Go Base Stats'!$C$2:$C1000, 'Go Base Stats'!$A$2:$A1000 = $A3)+15))"),"106")</f>
        <v>106</v>
      </c>
      <c r="J3" s="33"/>
      <c r="K3" s="33"/>
      <c r="L3" s="33"/>
      <c r="M3" s="27">
        <f t="shared" si="0"/>
        <v>22</v>
      </c>
      <c r="N3" s="28">
        <f t="shared" si="1"/>
        <v>1.8181818181818118E-2</v>
      </c>
      <c r="P3" s="29">
        <v>22</v>
      </c>
      <c r="Q3" s="30" t="s">
        <v>527</v>
      </c>
      <c r="R3" s="34"/>
      <c r="U3" t="str">
        <f ca="1">IFERROR(__xludf.DUMMYFUNCTION("IFERROR(SUM(FILTER('Form Responses (Power-up data)'!$C$2:$C1000, LOWER('Form Responses (Power-up data)'!$B$2:$B1000) = LOWER($B3))), 0)"),"0")</f>
        <v>0</v>
      </c>
      <c r="V3" s="27">
        <v>22</v>
      </c>
      <c r="W3" t="str">
        <f ca="1">IFERROR(__xludf.DUMMYFUNCTION("COUNT(FILTER('Form Responses (Power-up data)'!$C$2:$C1000, LOWER('Form Responses (Power-up data)'!$B$2:$B1000) = LOWER($B3)))"),"0")</f>
        <v>0</v>
      </c>
      <c r="X3" s="27">
        <v>1</v>
      </c>
      <c r="Y3" s="30" t="s">
        <v>659</v>
      </c>
    </row>
    <row r="4" spans="1:25" ht="12.75" x14ac:dyDescent="0.2">
      <c r="A4" s="11">
        <v>3</v>
      </c>
      <c r="B4" s="4" t="s">
        <v>28</v>
      </c>
      <c r="C4" t="str">
        <f ca="1">IFERROR(__xludf.DUMMYFUNCTION("ROUND(0.00909003 * (FILTER('Go Base Stats'!$C$2:$C1000, 'Go Base Stats'!$A$2:$A1000 = $A4))^0.5 *(FILTER('Go Base Stats'!$D$2:$D1000, 'Go Base Stats'!$A$2:$A1000 = $A4))*(FILTER('Go Base Stats'!$E$2:$E1000, 'Go Base Stats'!$A$2:$A1000 = $A4))^0.5 / 10, 1)"),"32.2")</f>
        <v>32.2</v>
      </c>
      <c r="D4">
        <v>34.799999999999997</v>
      </c>
      <c r="E4">
        <v>37.6</v>
      </c>
      <c r="F4" s="24">
        <f t="shared" si="2"/>
        <v>1.6</v>
      </c>
      <c r="G4" s="14" t="str">
        <f ca="1">IFERROR(__xludf.DUMMYFUNCTION("FILTER('Base Stats'!$C$2:$C1000, LOWER('Base Stats'!$B$2:$B1000) = LOWER($B4))"),"80")</f>
        <v>80</v>
      </c>
      <c r="H4">
        <v>2580</v>
      </c>
      <c r="I4" t="str">
        <f ca="1">IFERROR(__xludf.DUMMYFUNCTION("FLOOR(0.7903* (FILTER('Go Base Stats'!$C$2:$C1000, 'Go Base Stats'!$A$2:$A1000 = $A4)+15))"),"138")</f>
        <v>138</v>
      </c>
      <c r="J4" s="33"/>
      <c r="K4" s="33"/>
      <c r="L4" s="33"/>
      <c r="M4" s="27">
        <f t="shared" si="0"/>
        <v>33.5</v>
      </c>
      <c r="N4" s="28">
        <f t="shared" si="1"/>
        <v>3.8805970149253646E-2</v>
      </c>
      <c r="P4" s="29">
        <v>33.5</v>
      </c>
      <c r="Q4" s="30" t="s">
        <v>527</v>
      </c>
      <c r="R4" s="34"/>
      <c r="U4" t="str">
        <f ca="1">IFERROR(__xludf.DUMMYFUNCTION("IFERROR(SUM(FILTER('Form Responses (Power-up data)'!$C$2:$C1000, LOWER('Form Responses (Power-up data)'!$B$2:$B1000) = LOWER($B4))), 0)"),"0")</f>
        <v>0</v>
      </c>
      <c r="V4" s="27">
        <v>67</v>
      </c>
      <c r="W4" t="str">
        <f ca="1">IFERROR(__xludf.DUMMYFUNCTION("COUNT(FILTER('Form Responses (Power-up data)'!$C$2:$C1000, LOWER('Form Responses (Power-up data)'!$B$2:$B1000) = LOWER($B4)))"),"0")</f>
        <v>0</v>
      </c>
      <c r="X4" s="27">
        <v>2</v>
      </c>
      <c r="Y4" s="30" t="s">
        <v>659</v>
      </c>
    </row>
    <row r="5" spans="1:25" ht="12.75" x14ac:dyDescent="0.2">
      <c r="A5" s="11">
        <v>4</v>
      </c>
      <c r="B5" s="4" t="s">
        <v>29</v>
      </c>
      <c r="C5" t="str">
        <f ca="1">IFERROR(__xludf.DUMMYFUNCTION("ROUND(0.00909003 * (FILTER('Go Base Stats'!$C$2:$C1000, 'Go Base Stats'!$A$2:$A1000 = $A5))^0.5 *(FILTER('Go Base Stats'!$D$2:$D1000, 'Go Base Stats'!$A$2:$A1000 = $A5))*(FILTER('Go Base Stats'!$E$2:$E1000, 'Go Base Stats'!$A$2:$A1000 = $A5))^0.5 / 10, 1)"),"10.7")</f>
        <v>10.7</v>
      </c>
      <c r="D5">
        <v>12.2</v>
      </c>
      <c r="E5">
        <v>13.9</v>
      </c>
      <c r="F5" s="24"/>
      <c r="G5" s="14" t="str">
        <f ca="1">IFERROR(__xludf.DUMMYFUNCTION("FILTER('Base Stats'!$C$2:$C1000, LOWER('Base Stats'!$B$2:$B1000) = LOWER($B5))"),"39")</f>
        <v>39</v>
      </c>
      <c r="H5">
        <v>955</v>
      </c>
      <c r="I5" t="str">
        <f ca="1">IFERROR(__xludf.DUMMYFUNCTION("FLOOR(0.7903* (FILTER('Go Base Stats'!$C$2:$C1000, 'Go Base Stats'!$A$2:$A1000 = $A5)+15))"),"73")</f>
        <v>73</v>
      </c>
      <c r="J5" s="33"/>
      <c r="K5" s="33"/>
      <c r="L5" s="33"/>
      <c r="M5" s="27">
        <f t="shared" si="0"/>
        <v>13.6</v>
      </c>
      <c r="N5" s="28">
        <f t="shared" si="1"/>
        <v>0.10294117647058826</v>
      </c>
      <c r="P5" s="29">
        <v>13.6</v>
      </c>
      <c r="Q5" s="30" t="s">
        <v>527</v>
      </c>
      <c r="R5" s="31"/>
      <c r="U5" t="str">
        <f ca="1">IFERROR(__xludf.DUMMYFUNCTION("IFERROR(SUM(FILTER('Form Responses (Power-up data)'!$C$2:$C1000, LOWER('Form Responses (Power-up data)'!$B$2:$B1000) = LOWER($B5))), 0)"),"0")</f>
        <v>0</v>
      </c>
      <c r="V5" s="27">
        <v>68</v>
      </c>
      <c r="W5" t="str">
        <f ca="1">IFERROR(__xludf.DUMMYFUNCTION("COUNT(FILTER('Form Responses (Power-up data)'!$C$2:$C1000, LOWER('Form Responses (Power-up data)'!$B$2:$B1000) = LOWER($B5)))"),"0")</f>
        <v>0</v>
      </c>
      <c r="X5" s="27">
        <v>5</v>
      </c>
      <c r="Y5" s="30" t="s">
        <v>659</v>
      </c>
    </row>
    <row r="6" spans="1:25" ht="12.75" x14ac:dyDescent="0.2">
      <c r="A6" s="11">
        <v>5</v>
      </c>
      <c r="B6" s="4" t="s">
        <v>31</v>
      </c>
      <c r="C6" t="str">
        <f ca="1">IFERROR(__xludf.DUMMYFUNCTION("ROUND(0.00909003 * (FILTER('Go Base Stats'!$C$2:$C1000, 'Go Base Stats'!$A$2:$A1000 = $A6))^0.5 *(FILTER('Go Base Stats'!$D$2:$D1000, 'Go Base Stats'!$A$2:$A1000 = $A6))*(FILTER('Go Base Stats'!$E$2:$E1000, 'Go Base Stats'!$A$2:$A1000 = $A6))^0.5 / 10, 1)"),"18.5")</f>
        <v>18.5</v>
      </c>
      <c r="D6">
        <v>20.5</v>
      </c>
      <c r="E6">
        <v>22.7</v>
      </c>
      <c r="F6" s="24">
        <f t="shared" ref="F6:F7" si="3">ROUND(D6/D5, 1)</f>
        <v>1.7</v>
      </c>
      <c r="G6" s="14" t="str">
        <f ca="1">IFERROR(__xludf.DUMMYFUNCTION("FILTER('Base Stats'!$C$2:$C1000, LOWER('Base Stats'!$B$2:$B1000) = LOWER($B6))"),"58")</f>
        <v>58</v>
      </c>
      <c r="H6">
        <v>1557</v>
      </c>
      <c r="I6" t="str">
        <f ca="1">IFERROR(__xludf.DUMMYFUNCTION("FLOOR(0.7903* (FILTER('Go Base Stats'!$C$2:$C1000, 'Go Base Stats'!$A$2:$A1000 = $A6)+15))"),"103")</f>
        <v>103</v>
      </c>
      <c r="J6" s="33"/>
      <c r="K6" s="33"/>
      <c r="L6" s="33"/>
      <c r="M6" s="27">
        <f t="shared" si="0"/>
        <v>23</v>
      </c>
      <c r="N6" s="28">
        <f t="shared" si="1"/>
        <v>0.10869565217391304</v>
      </c>
      <c r="P6" s="29">
        <v>23</v>
      </c>
      <c r="Q6" s="30">
        <v>2.1975868279999999</v>
      </c>
      <c r="R6" s="31"/>
      <c r="U6" t="str">
        <f ca="1">IFERROR(__xludf.DUMMYFUNCTION("IFERROR(SUM(FILTER('Form Responses (Power-up data)'!$C$2:$C1000, LOWER('Form Responses (Power-up data)'!$B$2:$B1000) = LOWER($B6))), 0)"),"0")</f>
        <v>0</v>
      </c>
      <c r="V6" s="27">
        <v>23</v>
      </c>
      <c r="W6" t="str">
        <f ca="1">IFERROR(__xludf.DUMMYFUNCTION("COUNT(FILTER('Form Responses (Power-up data)'!$C$2:$C1000, LOWER('Form Responses (Power-up data)'!$B$2:$B1000) = LOWER($B6)))"),"0")</f>
        <v>0</v>
      </c>
      <c r="X6" s="27">
        <v>1</v>
      </c>
      <c r="Y6" s="30" t="s">
        <v>660</v>
      </c>
    </row>
    <row r="7" spans="1:25" ht="12.75" x14ac:dyDescent="0.2">
      <c r="A7" s="11">
        <v>6</v>
      </c>
      <c r="B7" s="4" t="s">
        <v>33</v>
      </c>
      <c r="C7" t="str">
        <f ca="1">IFERROR(__xludf.DUMMYFUNCTION("ROUND(0.00909003 * (FILTER('Go Base Stats'!$C$2:$C1000, 'Go Base Stats'!$A$2:$A1000 = $A7))^0.5 *(FILTER('Go Base Stats'!$D$2:$D1000, 'Go Base Stats'!$A$2:$A1000 = $A7))*(FILTER('Go Base Stats'!$E$2:$E1000, 'Go Base Stats'!$A$2:$A1000 = $A7))^0.5 / 10, 1)"),"32.5")</f>
        <v>32.5</v>
      </c>
      <c r="D7">
        <v>35.1</v>
      </c>
      <c r="E7">
        <v>37.9</v>
      </c>
      <c r="F7" s="24">
        <f t="shared" si="3"/>
        <v>1.7</v>
      </c>
      <c r="G7" s="14" t="str">
        <f ca="1">IFERROR(__xludf.DUMMYFUNCTION("FILTER('Base Stats'!$C$2:$C1000, LOWER('Base Stats'!$B$2:$B1000) = LOWER($B7))"),"78")</f>
        <v>78</v>
      </c>
      <c r="H7">
        <v>2602</v>
      </c>
      <c r="I7" t="str">
        <f ca="1">IFERROR(__xludf.DUMMYFUNCTION("FLOOR(0.7903* (FILTER('Go Base Stats'!$C$2:$C1000, 'Go Base Stats'!$A$2:$A1000 = $A7)+15))"),"135")</f>
        <v>135</v>
      </c>
      <c r="J7" s="33"/>
      <c r="K7" s="33"/>
      <c r="L7" s="33"/>
      <c r="M7" s="27">
        <f t="shared" si="0"/>
        <v>33</v>
      </c>
      <c r="N7" s="28">
        <f t="shared" si="1"/>
        <v>6.3636363636363685E-2</v>
      </c>
      <c r="P7" s="29">
        <v>33</v>
      </c>
      <c r="Q7" s="30" t="s">
        <v>527</v>
      </c>
      <c r="R7" s="34"/>
      <c r="U7" t="str">
        <f ca="1">IFERROR(__xludf.DUMMYFUNCTION("IFERROR(SUM(FILTER('Form Responses (Power-up data)'!$C$2:$C1000, LOWER('Form Responses (Power-up data)'!$B$2:$B1000) = LOWER($B7))), 0)"),"0")</f>
        <v>0</v>
      </c>
      <c r="V7" s="27">
        <v>33</v>
      </c>
      <c r="W7" t="str">
        <f ca="1">IFERROR(__xludf.DUMMYFUNCTION("COUNT(FILTER('Form Responses (Power-up data)'!$C$2:$C1000, LOWER('Form Responses (Power-up data)'!$B$2:$B1000) = LOWER($B7)))"),"0")</f>
        <v>0</v>
      </c>
      <c r="X7" s="27">
        <v>1</v>
      </c>
      <c r="Y7" s="30" t="s">
        <v>659</v>
      </c>
    </row>
    <row r="8" spans="1:25" ht="12.75" x14ac:dyDescent="0.2">
      <c r="A8" s="11">
        <v>7</v>
      </c>
      <c r="B8" s="4" t="s">
        <v>34</v>
      </c>
      <c r="C8" t="str">
        <f ca="1">IFERROR(__xludf.DUMMYFUNCTION("ROUND(0.00909003 * (FILTER('Go Base Stats'!$C$2:$C1000, 'Go Base Stats'!$A$2:$A1000 = $A8))^0.5 *(FILTER('Go Base Stats'!$D$2:$D1000, 'Go Base Stats'!$A$2:$A1000 = $A8))*(FILTER('Go Base Stats'!$E$2:$E1000, 'Go Base Stats'!$A$2:$A1000 = $A8))^0.5 / 10, 1)"),"11.4")</f>
        <v>11.4</v>
      </c>
      <c r="D8">
        <v>13</v>
      </c>
      <c r="E8">
        <v>14.7</v>
      </c>
      <c r="F8" s="24"/>
      <c r="G8" s="14" t="str">
        <f ca="1">IFERROR(__xludf.DUMMYFUNCTION("FILTER('Base Stats'!$C$2:$C1000, LOWER('Base Stats'!$B$2:$B1000) = LOWER($B8))"),"44")</f>
        <v>44</v>
      </c>
      <c r="H8">
        <v>1008</v>
      </c>
      <c r="I8" t="str">
        <f ca="1">IFERROR(__xludf.DUMMYFUNCTION("FLOOR(0.7903* (FILTER('Go Base Stats'!$C$2:$C1000, 'Go Base Stats'!$A$2:$A1000 = $A8)+15))"),"81")</f>
        <v>81</v>
      </c>
      <c r="J8" s="33"/>
      <c r="K8" s="33"/>
      <c r="L8" s="33"/>
      <c r="M8" s="27">
        <f t="shared" si="0"/>
        <v>13</v>
      </c>
      <c r="N8" s="28">
        <f t="shared" si="1"/>
        <v>0</v>
      </c>
      <c r="P8" s="29">
        <v>13</v>
      </c>
      <c r="Q8" s="30" t="s">
        <v>527</v>
      </c>
      <c r="R8" s="31"/>
      <c r="U8" t="str">
        <f ca="1">IFERROR(__xludf.DUMMYFUNCTION("IFERROR(SUM(FILTER('Form Responses (Power-up data)'!$C$2:$C1000, LOWER('Form Responses (Power-up data)'!$B$2:$B1000) = LOWER($B8))), 0)"),"0")</f>
        <v>0</v>
      </c>
      <c r="V8" s="27">
        <v>39</v>
      </c>
      <c r="W8" t="str">
        <f ca="1">IFERROR(__xludf.DUMMYFUNCTION("COUNT(FILTER('Form Responses (Power-up data)'!$C$2:$C1000, LOWER('Form Responses (Power-up data)'!$B$2:$B1000) = LOWER($B8)))"),"0")</f>
        <v>0</v>
      </c>
      <c r="X8" s="27">
        <v>3</v>
      </c>
      <c r="Y8" s="30" t="s">
        <v>659</v>
      </c>
    </row>
    <row r="9" spans="1:25" ht="12.75" x14ac:dyDescent="0.2">
      <c r="A9" s="11">
        <v>8</v>
      </c>
      <c r="B9" s="4" t="s">
        <v>35</v>
      </c>
      <c r="C9" t="str">
        <f ca="1">IFERROR(__xludf.DUMMYFUNCTION("ROUND(0.00909003 * (FILTER('Go Base Stats'!$C$2:$C1000, 'Go Base Stats'!$A$2:$A1000 = $A9))^0.5 *(FILTER('Go Base Stats'!$D$2:$D1000, 'Go Base Stats'!$A$2:$A1000 = $A9))*(FILTER('Go Base Stats'!$E$2:$E1000, 'Go Base Stats'!$A$2:$A1000 = $A9))^0.5 / 10, 1)"),"18.9")</f>
        <v>18.9</v>
      </c>
      <c r="D9">
        <v>20.9</v>
      </c>
      <c r="E9">
        <v>23</v>
      </c>
      <c r="F9" s="24">
        <f t="shared" ref="F9:F10" si="4">ROUND(D9/D8, 1)</f>
        <v>1.6</v>
      </c>
      <c r="G9" s="14" t="str">
        <f ca="1">IFERROR(__xludf.DUMMYFUNCTION("FILTER('Base Stats'!$C$2:$C1000, LOWER('Base Stats'!$B$2:$B1000) = LOWER($B9))"),"59")</f>
        <v>59</v>
      </c>
      <c r="H9">
        <v>1582</v>
      </c>
      <c r="I9" t="str">
        <f ca="1">IFERROR(__xludf.DUMMYFUNCTION("FLOOR(0.7903* (FILTER('Go Base Stats'!$C$2:$C1000, 'Go Base Stats'!$A$2:$A1000 = $A9)+15))"),"105")</f>
        <v>105</v>
      </c>
      <c r="J9" s="33"/>
      <c r="K9" s="33"/>
      <c r="L9" s="33"/>
      <c r="M9" s="27">
        <f t="shared" si="0"/>
        <v>21</v>
      </c>
      <c r="N9" s="28">
        <f t="shared" si="1"/>
        <v>4.76190476190483E-3</v>
      </c>
      <c r="P9" s="29" t="s">
        <v>527</v>
      </c>
      <c r="Q9" s="30">
        <v>1.5967970520000001</v>
      </c>
      <c r="R9" s="31">
        <v>21</v>
      </c>
      <c r="U9" t="str">
        <f ca="1">IFERROR(__xludf.DUMMYFUNCTION("IFERROR(SUM(FILTER('Form Responses (Power-up data)'!$C$2:$C1000, LOWER('Form Responses (Power-up data)'!$B$2:$B1000) = LOWER($B9))), 0)"),"0")</f>
        <v>0</v>
      </c>
      <c r="V9" s="27">
        <v>0</v>
      </c>
      <c r="W9" t="str">
        <f ca="1">IFERROR(__xludf.DUMMYFUNCTION("COUNT(FILTER('Form Responses (Power-up data)'!$C$2:$C1000, LOWER('Form Responses (Power-up data)'!$B$2:$B1000) = LOWER($B9)))"),"0")</f>
        <v>0</v>
      </c>
      <c r="X9" s="27">
        <v>0</v>
      </c>
      <c r="Y9" s="30" t="s">
        <v>661</v>
      </c>
    </row>
    <row r="10" spans="1:25" ht="12.75" x14ac:dyDescent="0.2">
      <c r="A10" s="11">
        <v>9</v>
      </c>
      <c r="B10" s="4" t="s">
        <v>37</v>
      </c>
      <c r="C10">
        <v>31.7</v>
      </c>
      <c r="D10">
        <v>34.299999999999997</v>
      </c>
      <c r="E10">
        <v>37</v>
      </c>
      <c r="F10" s="24">
        <f t="shared" si="4"/>
        <v>1.6</v>
      </c>
      <c r="G10" s="14" t="str">
        <f ca="1">IFERROR(__xludf.DUMMYFUNCTION("FILTER('Base Stats'!$C$2:$C1000, LOWER('Base Stats'!$B$2:$B1000) = LOWER($B10))"),"79")</f>
        <v>79</v>
      </c>
      <c r="H10">
        <v>2542</v>
      </c>
      <c r="I10" t="str">
        <f ca="1">IFERROR(__xludf.DUMMYFUNCTION("FLOOR(0.7903* (FILTER('Go Base Stats'!$C$2:$C1000, 'Go Base Stats'!$A$2:$A1000 = $A10)+15))"),"136")</f>
        <v>136</v>
      </c>
      <c r="J10" s="33"/>
      <c r="K10" s="33"/>
      <c r="L10" s="33"/>
      <c r="M10" s="27">
        <f t="shared" si="0"/>
        <v>31.5</v>
      </c>
      <c r="N10" s="28">
        <f t="shared" si="1"/>
        <v>8.8888888888888795E-2</v>
      </c>
      <c r="P10" s="29">
        <v>31.5</v>
      </c>
      <c r="Q10" s="30">
        <v>1.689163948</v>
      </c>
      <c r="R10" s="31"/>
      <c r="U10" t="str">
        <f ca="1">IFERROR(__xludf.DUMMYFUNCTION("IFERROR(SUM(FILTER('Form Responses (Power-up data)'!$C$2:$C1000, LOWER('Form Responses (Power-up data)'!$B$2:$B1000) = LOWER($B10))), 0)"),"0")</f>
        <v>0</v>
      </c>
      <c r="V10" s="27">
        <v>63</v>
      </c>
      <c r="W10" t="str">
        <f ca="1">IFERROR(__xludf.DUMMYFUNCTION("COUNT(FILTER('Form Responses (Power-up data)'!$C$2:$C1000, LOWER('Form Responses (Power-up data)'!$B$2:$B1000) = LOWER($B10)))"),"0")</f>
        <v>0</v>
      </c>
      <c r="X10" s="27">
        <v>2</v>
      </c>
      <c r="Y10" s="30" t="s">
        <v>662</v>
      </c>
    </row>
    <row r="11" spans="1:25" ht="12.75" x14ac:dyDescent="0.2">
      <c r="A11" s="11">
        <v>10</v>
      </c>
      <c r="B11" s="4" t="s">
        <v>38</v>
      </c>
      <c r="C11">
        <v>4.3</v>
      </c>
      <c r="D11">
        <v>5.3</v>
      </c>
      <c r="E11">
        <v>6.5</v>
      </c>
      <c r="F11" s="24"/>
      <c r="G11" s="14" t="str">
        <f ca="1">IFERROR(__xludf.DUMMYFUNCTION("FILTER('Base Stats'!$C$2:$C1000, LOWER('Base Stats'!$B$2:$B1000) = LOWER($B11))"),"45")</f>
        <v>45</v>
      </c>
      <c r="H11">
        <v>443</v>
      </c>
      <c r="I11" t="str">
        <f ca="1">IFERROR(__xludf.DUMMYFUNCTION("FLOOR(0.7903* (FILTER('Go Base Stats'!$C$2:$C1000, 'Go Base Stats'!$A$2:$A1000 = $A11)+15))"),"82")</f>
        <v>82</v>
      </c>
      <c r="J11" s="33"/>
      <c r="K11" s="33"/>
      <c r="L11" s="33"/>
      <c r="M11" s="27">
        <f t="shared" si="0"/>
        <v>5</v>
      </c>
      <c r="N11" s="28">
        <f t="shared" si="1"/>
        <v>5.9999999999999963E-2</v>
      </c>
      <c r="P11" s="29">
        <v>5</v>
      </c>
      <c r="Q11" s="30" t="s">
        <v>527</v>
      </c>
      <c r="R11" s="31"/>
      <c r="U11" t="str">
        <f ca="1">IFERROR(__xludf.DUMMYFUNCTION("IFERROR(SUM(FILTER('Form Responses (Power-up data)'!$C$2:$C1000, LOWER('Form Responses (Power-up data)'!$B$2:$B1000) = LOWER($B11))), 0)"),"5")</f>
        <v>5</v>
      </c>
      <c r="V11" s="27">
        <v>0</v>
      </c>
      <c r="W11" t="str">
        <f ca="1">IFERROR(__xludf.DUMMYFUNCTION("COUNT(FILTER('Form Responses (Power-up data)'!$C$2:$C1000, LOWER('Form Responses (Power-up data)'!$B$2:$B1000) = LOWER($B11)))"),"1")</f>
        <v>1</v>
      </c>
      <c r="X11" s="27">
        <v>0</v>
      </c>
      <c r="Y11" s="30" t="s">
        <v>659</v>
      </c>
    </row>
    <row r="12" spans="1:25" ht="12.75" x14ac:dyDescent="0.2">
      <c r="A12" s="11">
        <v>11</v>
      </c>
      <c r="B12" s="4" t="s">
        <v>39</v>
      </c>
      <c r="C12">
        <v>4.7</v>
      </c>
      <c r="D12">
        <v>5.8</v>
      </c>
      <c r="E12">
        <v>7</v>
      </c>
      <c r="F12" s="24">
        <f t="shared" ref="F12:F13" si="5">ROUND(D12/D11, 1)</f>
        <v>1.1000000000000001</v>
      </c>
      <c r="G12" s="14" t="str">
        <f ca="1">IFERROR(__xludf.DUMMYFUNCTION("FILTER('Base Stats'!$C$2:$C1000, LOWER('Base Stats'!$B$2:$B1000) = LOWER($B12))"),"50")</f>
        <v>50</v>
      </c>
      <c r="H12">
        <v>477</v>
      </c>
      <c r="I12" t="str">
        <f ca="1">IFERROR(__xludf.DUMMYFUNCTION("FLOOR(0.7903* (FILTER('Go Base Stats'!$C$2:$C1000, 'Go Base Stats'!$A$2:$A1000 = $A12)+15))"),"90")</f>
        <v>90</v>
      </c>
      <c r="J12" s="33"/>
      <c r="K12" s="33"/>
      <c r="L12" s="33"/>
      <c r="M12" s="27">
        <f t="shared" si="0"/>
        <v>5.5</v>
      </c>
      <c r="N12" s="28">
        <f t="shared" si="1"/>
        <v>5.4545454545454515E-2</v>
      </c>
      <c r="P12" s="29">
        <v>24</v>
      </c>
      <c r="Q12" s="30">
        <v>1.0656858680000001</v>
      </c>
      <c r="R12" s="31">
        <v>5.5</v>
      </c>
      <c r="U12" t="str">
        <f ca="1">IFERROR(__xludf.DUMMYFUNCTION("IFERROR(SUM(FILTER('Form Responses (Power-up data)'!$C$2:$C1000, LOWER('Form Responses (Power-up data)'!$B$2:$B1000) = LOWER($B12))), 0)"),"0")</f>
        <v>0</v>
      </c>
      <c r="V12" s="27">
        <v>24</v>
      </c>
      <c r="W12" t="str">
        <f ca="1">IFERROR(__xludf.DUMMYFUNCTION("COUNT(FILTER('Form Responses (Power-up data)'!$C$2:$C1000, LOWER('Form Responses (Power-up data)'!$B$2:$B1000) = LOWER($B12)))"),"0")</f>
        <v>0</v>
      </c>
      <c r="X12" s="27">
        <v>1</v>
      </c>
      <c r="Y12" s="30" t="s">
        <v>663</v>
      </c>
    </row>
    <row r="13" spans="1:25" ht="12.75" x14ac:dyDescent="0.2">
      <c r="A13" s="11">
        <v>12</v>
      </c>
      <c r="B13" s="4" t="s">
        <v>40</v>
      </c>
      <c r="C13">
        <v>17.2</v>
      </c>
      <c r="D13">
        <v>19.100000000000001</v>
      </c>
      <c r="E13">
        <v>21.2</v>
      </c>
      <c r="F13" s="24">
        <f t="shared" si="5"/>
        <v>3.3</v>
      </c>
      <c r="G13" s="14" t="str">
        <f ca="1">IFERROR(__xludf.DUMMYFUNCTION("FILTER('Base Stats'!$C$2:$C1000, LOWER('Base Stats'!$B$2:$B1000) = LOWER($B13))"),"60")</f>
        <v>60</v>
      </c>
      <c r="H13">
        <v>1454</v>
      </c>
      <c r="I13" t="str">
        <f ca="1">IFERROR(__xludf.DUMMYFUNCTION("FLOOR(0.7903* (FILTER('Go Base Stats'!$C$2:$C1000, 'Go Base Stats'!$A$2:$A1000 = $A13)+15))"),"106")</f>
        <v>106</v>
      </c>
      <c r="J13" s="33"/>
      <c r="K13" s="33"/>
      <c r="L13" s="33"/>
      <c r="M13" s="27">
        <f t="shared" si="0"/>
        <v>18.5</v>
      </c>
      <c r="N13" s="28">
        <f t="shared" si="1"/>
        <v>3.2432432432432511E-2</v>
      </c>
      <c r="P13" s="29">
        <v>18.5</v>
      </c>
      <c r="Q13" s="30">
        <v>3.8897058819999999</v>
      </c>
      <c r="R13" s="34"/>
      <c r="U13" t="str">
        <f ca="1">IFERROR(__xludf.DUMMYFUNCTION("IFERROR(SUM(FILTER('Form Responses (Power-up data)'!$C$2:$C1000, LOWER('Form Responses (Power-up data)'!$B$2:$B1000) = LOWER($B13))), 0)"),"0")</f>
        <v>0</v>
      </c>
      <c r="V13" s="27">
        <v>111</v>
      </c>
      <c r="W13" t="str">
        <f ca="1">IFERROR(__xludf.DUMMYFUNCTION("COUNT(FILTER('Form Responses (Power-up data)'!$C$2:$C1000, LOWER('Form Responses (Power-up data)'!$B$2:$B1000) = LOWER($B13)))"),"0")</f>
        <v>0</v>
      </c>
      <c r="X13" s="27">
        <v>6</v>
      </c>
      <c r="Y13" s="30" t="s">
        <v>664</v>
      </c>
    </row>
    <row r="14" spans="1:25" ht="12.75" x14ac:dyDescent="0.2">
      <c r="A14" s="11">
        <v>13</v>
      </c>
      <c r="B14" s="4" t="s">
        <v>41</v>
      </c>
      <c r="C14">
        <v>4.4000000000000004</v>
      </c>
      <c r="D14">
        <v>5.4</v>
      </c>
      <c r="E14">
        <v>6.5</v>
      </c>
      <c r="F14" s="24"/>
      <c r="G14" s="14" t="str">
        <f ca="1">IFERROR(__xludf.DUMMYFUNCTION("FILTER('Base Stats'!$C$2:$C1000, LOWER('Base Stats'!$B$2:$B1000) = LOWER($B14))"),"40")</f>
        <v>40</v>
      </c>
      <c r="H14">
        <v>449</v>
      </c>
      <c r="I14" t="str">
        <f ca="1">IFERROR(__xludf.DUMMYFUNCTION("FLOOR(0.7903* (FILTER('Go Base Stats'!$C$2:$C1000, 'Go Base Stats'!$A$2:$A1000 = $A14)+15))"),"75")</f>
        <v>75</v>
      </c>
      <c r="J14" s="33"/>
      <c r="K14" s="33"/>
      <c r="L14" s="33"/>
      <c r="M14" s="27">
        <f t="shared" si="0"/>
        <v>5.3</v>
      </c>
      <c r="N14" s="28">
        <f t="shared" si="1"/>
        <v>1.8867924528301987E-2</v>
      </c>
      <c r="P14" s="29">
        <v>5.3333333329999997</v>
      </c>
      <c r="Q14" s="30">
        <v>1.0873786409999999</v>
      </c>
      <c r="R14" s="42"/>
      <c r="U14" t="str">
        <f ca="1">IFERROR(__xludf.DUMMYFUNCTION("IFERROR(SUM(FILTER('Form Responses (Power-up data)'!$C$2:$C1000, LOWER('Form Responses (Power-up data)'!$B$2:$B1000) = LOWER($B14))), 0)"),"0")</f>
        <v>0</v>
      </c>
      <c r="V14" s="27">
        <v>16</v>
      </c>
      <c r="W14" t="str">
        <f ca="1">IFERROR(__xludf.DUMMYFUNCTION("COUNT(FILTER('Form Responses (Power-up data)'!$C$2:$C1000, LOWER('Form Responses (Power-up data)'!$B$2:$B1000) = LOWER($B14)))"),"0")</f>
        <v>0</v>
      </c>
      <c r="X14" s="27">
        <v>3</v>
      </c>
      <c r="Y14" s="30" t="s">
        <v>665</v>
      </c>
    </row>
    <row r="15" spans="1:25" ht="12.75" x14ac:dyDescent="0.2">
      <c r="A15" s="11">
        <v>14</v>
      </c>
      <c r="B15" s="4" t="s">
        <v>44</v>
      </c>
      <c r="C15">
        <v>4.8</v>
      </c>
      <c r="D15">
        <v>5.9</v>
      </c>
      <c r="E15">
        <v>7.1</v>
      </c>
      <c r="F15" s="24">
        <f t="shared" ref="F15:F16" si="6">ROUND(D15/D14, 1)</f>
        <v>1.1000000000000001</v>
      </c>
      <c r="G15" s="14" t="str">
        <f ca="1">IFERROR(__xludf.DUMMYFUNCTION("FILTER('Base Stats'!$C$2:$C1000, LOWER('Base Stats'!$B$2:$B1000) = LOWER($B15))"),"45")</f>
        <v>45</v>
      </c>
      <c r="H15">
        <v>485</v>
      </c>
      <c r="I15" t="str">
        <f ca="1">IFERROR(__xludf.DUMMYFUNCTION("FLOOR(0.7903* (FILTER('Go Base Stats'!$C$2:$C1000, 'Go Base Stats'!$A$2:$A1000 = $A15)+15))"),"82")</f>
        <v>82</v>
      </c>
      <c r="J15" s="33"/>
      <c r="K15" s="33"/>
      <c r="L15" s="33"/>
      <c r="M15" s="27">
        <f t="shared" si="0"/>
        <v>6.5</v>
      </c>
      <c r="N15" s="28">
        <f t="shared" si="1"/>
        <v>9.2307692307692257E-2</v>
      </c>
      <c r="P15" s="29">
        <v>6</v>
      </c>
      <c r="Q15" s="30">
        <v>1.251726363</v>
      </c>
      <c r="R15" s="42">
        <v>6.5</v>
      </c>
      <c r="U15" t="str">
        <f ca="1">IFERROR(__xludf.DUMMYFUNCTION("IFERROR(SUM(FILTER('Form Responses (Power-up data)'!$C$2:$C1000, LOWER('Form Responses (Power-up data)'!$B$2:$B1000) = LOWER($B15))), 0)"),"0")</f>
        <v>0</v>
      </c>
      <c r="V15" s="27">
        <v>6</v>
      </c>
      <c r="W15" t="str">
        <f ca="1">IFERROR(__xludf.DUMMYFUNCTION("COUNT(FILTER('Form Responses (Power-up data)'!$C$2:$C1000, LOWER('Form Responses (Power-up data)'!$B$2:$B1000) = LOWER($B15)))"),"0")</f>
        <v>0</v>
      </c>
      <c r="X15" s="27">
        <v>1</v>
      </c>
      <c r="Y15" s="30" t="s">
        <v>666</v>
      </c>
    </row>
    <row r="16" spans="1:25" ht="12.75" x14ac:dyDescent="0.2">
      <c r="A16" s="11">
        <v>15</v>
      </c>
      <c r="B16" s="4" t="s">
        <v>48</v>
      </c>
      <c r="C16">
        <v>17</v>
      </c>
      <c r="D16">
        <v>18.899999999999999</v>
      </c>
      <c r="E16">
        <v>21</v>
      </c>
      <c r="F16" s="24">
        <f t="shared" si="6"/>
        <v>3.2</v>
      </c>
      <c r="G16" s="14" t="str">
        <f ca="1">IFERROR(__xludf.DUMMYFUNCTION("FILTER('Base Stats'!$C$2:$C1000, LOWER('Base Stats'!$B$2:$B1000) = LOWER($B16))"),"65")</f>
        <v>65</v>
      </c>
      <c r="H16">
        <v>1439</v>
      </c>
      <c r="I16" t="str">
        <f ca="1">IFERROR(__xludf.DUMMYFUNCTION("FLOOR(0.7903* (FILTER('Go Base Stats'!$C$2:$C1000, 'Go Base Stats'!$A$2:$A1000 = $A16)+15))"),"114")</f>
        <v>114</v>
      </c>
      <c r="J16" s="33"/>
      <c r="K16" s="33"/>
      <c r="L16" s="33"/>
      <c r="M16" s="27">
        <f t="shared" si="0"/>
        <v>19.2</v>
      </c>
      <c r="N16" s="28">
        <f t="shared" si="1"/>
        <v>1.5625000000000038E-2</v>
      </c>
      <c r="P16" s="29">
        <v>19.2</v>
      </c>
      <c r="Q16" s="30">
        <v>2.6949248940000001</v>
      </c>
      <c r="R16" s="34"/>
      <c r="U16" t="str">
        <f ca="1">IFERROR(__xludf.DUMMYFUNCTION("IFERROR(SUM(FILTER('Form Responses (Power-up data)'!$C$2:$C1000, LOWER('Form Responses (Power-up data)'!$B$2:$B1000) = LOWER($B16))), 0)"),"18")</f>
        <v>18</v>
      </c>
      <c r="V16" s="27">
        <v>78</v>
      </c>
      <c r="W16" t="str">
        <f ca="1">IFERROR(__xludf.DUMMYFUNCTION("COUNT(FILTER('Form Responses (Power-up data)'!$C$2:$C1000, LOWER('Form Responses (Power-up data)'!$B$2:$B1000) = LOWER($B16)))"),"1")</f>
        <v>1</v>
      </c>
      <c r="X16" s="27">
        <v>4</v>
      </c>
      <c r="Y16" s="30" t="s">
        <v>667</v>
      </c>
    </row>
    <row r="17" spans="1:25" ht="12.75" x14ac:dyDescent="0.2">
      <c r="A17" s="11">
        <v>16</v>
      </c>
      <c r="B17" s="44" t="s">
        <v>49</v>
      </c>
      <c r="C17">
        <v>7.3</v>
      </c>
      <c r="D17">
        <v>8.5</v>
      </c>
      <c r="E17">
        <v>9.9</v>
      </c>
      <c r="F17" s="24"/>
      <c r="G17" s="14" t="str">
        <f ca="1">IFERROR(__xludf.DUMMYFUNCTION("FILTER('Base Stats'!$C$2:$C1000, LOWER('Base Stats'!$B$2:$B1000) = LOWER($B17))"),"40")</f>
        <v>40</v>
      </c>
      <c r="H17">
        <v>679</v>
      </c>
      <c r="I17" t="str">
        <f ca="1">IFERROR(__xludf.DUMMYFUNCTION("FLOOR(0.7903* (FILTER('Go Base Stats'!$C$2:$C1000, 'Go Base Stats'!$A$2:$A1000 = $A17)+15))"),"75")</f>
        <v>75</v>
      </c>
      <c r="J17" s="33"/>
      <c r="K17" s="33"/>
      <c r="L17" s="33"/>
      <c r="M17" s="27">
        <f t="shared" si="0"/>
        <v>10.199999999999999</v>
      </c>
      <c r="N17" s="28">
        <f t="shared" si="1"/>
        <v>0.1666666666666666</v>
      </c>
      <c r="P17" s="29">
        <v>10.16666667</v>
      </c>
      <c r="Q17" s="30" t="s">
        <v>527</v>
      </c>
      <c r="R17" s="34"/>
      <c r="U17" t="str">
        <f ca="1">IFERROR(__xludf.DUMMYFUNCTION("IFERROR(SUM(FILTER('Form Responses (Power-up data)'!$C$2:$C1000, LOWER('Form Responses (Power-up data)'!$B$2:$B1000) = LOWER($B17))), 0)"),"9")</f>
        <v>9</v>
      </c>
      <c r="V17" s="27">
        <v>52</v>
      </c>
      <c r="W17" t="str">
        <f ca="1">IFERROR(__xludf.DUMMYFUNCTION("COUNT(FILTER('Form Responses (Power-up data)'!$C$2:$C1000, LOWER('Form Responses (Power-up data)'!$B$2:$B1000) = LOWER($B17)))"),"1")</f>
        <v>1</v>
      </c>
      <c r="X17" s="27">
        <v>5</v>
      </c>
      <c r="Y17" s="30" t="s">
        <v>659</v>
      </c>
    </row>
    <row r="18" spans="1:25" ht="12.75" x14ac:dyDescent="0.2">
      <c r="A18" s="11">
        <v>17</v>
      </c>
      <c r="B18" s="4" t="s">
        <v>50</v>
      </c>
      <c r="C18">
        <v>14.2</v>
      </c>
      <c r="D18">
        <v>16</v>
      </c>
      <c r="E18">
        <v>17.8</v>
      </c>
      <c r="F18" s="24">
        <f t="shared" ref="F18:F19" si="7">ROUND(D18/D17, 1)</f>
        <v>1.9</v>
      </c>
      <c r="G18" s="14" t="str">
        <f ca="1">IFERROR(__xludf.DUMMYFUNCTION("FILTER('Base Stats'!$C$2:$C1000, LOWER('Base Stats'!$B$2:$B1000) = LOWER($B18))"),"63")</f>
        <v>63</v>
      </c>
      <c r="H18">
        <v>1223</v>
      </c>
      <c r="I18" t="str">
        <f ca="1">IFERROR(__xludf.DUMMYFUNCTION("FLOOR(0.7903* (FILTER('Go Base Stats'!$C$2:$C1000, 'Go Base Stats'!$A$2:$A1000 = $A18)+15))"),"111")</f>
        <v>111</v>
      </c>
      <c r="J18" s="33"/>
      <c r="K18" s="33"/>
      <c r="L18" s="33"/>
      <c r="M18" s="27">
        <f t="shared" si="0"/>
        <v>18.2</v>
      </c>
      <c r="N18" s="28">
        <f t="shared" si="1"/>
        <v>0.12087912087912084</v>
      </c>
      <c r="P18" s="29">
        <v>18.15384615</v>
      </c>
      <c r="Q18" s="30">
        <v>1.880134008</v>
      </c>
      <c r="R18" s="34"/>
      <c r="U18" t="str">
        <f ca="1">IFERROR(__xludf.DUMMYFUNCTION("IFERROR(SUM(FILTER('Form Responses (Power-up data)'!$C$2:$C1000, LOWER('Form Responses (Power-up data)'!$B$2:$B1000) = LOWER($B18))), 0)"),"59")</f>
        <v>59</v>
      </c>
      <c r="V18" s="27">
        <v>177</v>
      </c>
      <c r="W18" t="str">
        <f ca="1">IFERROR(__xludf.DUMMYFUNCTION("COUNT(FILTER('Form Responses (Power-up data)'!$C$2:$C1000, LOWER('Form Responses (Power-up data)'!$B$2:$B1000) = LOWER($B18)))"),"3")</f>
        <v>3</v>
      </c>
      <c r="X18" s="27">
        <v>10</v>
      </c>
      <c r="Y18" s="30" t="s">
        <v>668</v>
      </c>
    </row>
    <row r="19" spans="1:25" ht="12.75" x14ac:dyDescent="0.2">
      <c r="A19" s="11">
        <v>18</v>
      </c>
      <c r="B19" s="4" t="s">
        <v>51</v>
      </c>
      <c r="C19">
        <v>25.7</v>
      </c>
      <c r="D19">
        <v>28</v>
      </c>
      <c r="E19">
        <v>30.4</v>
      </c>
      <c r="F19" s="24">
        <f t="shared" si="7"/>
        <v>1.8</v>
      </c>
      <c r="G19" s="14" t="str">
        <f ca="1">IFERROR(__xludf.DUMMYFUNCTION("FILTER('Base Stats'!$C$2:$C1000, LOWER('Base Stats'!$B$2:$B1000) = LOWER($B19))"),"83")</f>
        <v>83</v>
      </c>
      <c r="H19">
        <v>2091</v>
      </c>
      <c r="I19" t="str">
        <f ca="1">IFERROR(__xludf.DUMMYFUNCTION("FLOOR(0.7903* (FILTER('Go Base Stats'!$C$2:$C1000, 'Go Base Stats'!$A$2:$A1000 = $A19)+15))"),"143")</f>
        <v>143</v>
      </c>
      <c r="J19" s="33"/>
      <c r="K19" s="33"/>
      <c r="L19" s="33"/>
      <c r="M19" s="27">
        <f t="shared" si="0"/>
        <v>27.7</v>
      </c>
      <c r="N19" s="28">
        <f t="shared" si="1"/>
        <v>1.0830324909747318E-2</v>
      </c>
      <c r="P19" s="29">
        <v>27.68181818</v>
      </c>
      <c r="Q19" s="30">
        <v>2.1736772100000001</v>
      </c>
      <c r="R19" s="34"/>
      <c r="U19" t="str">
        <f ca="1">IFERROR(__xludf.DUMMYFUNCTION("IFERROR(SUM(FILTER('Form Responses (Power-up data)'!$C$2:$C1000, LOWER('Form Responses (Power-up data)'!$B$2:$B1000) = LOWER($B19))), 0)"),"55")</f>
        <v>55</v>
      </c>
      <c r="V19" s="27">
        <v>554</v>
      </c>
      <c r="W19" t="str">
        <f ca="1">IFERROR(__xludf.DUMMYFUNCTION("COUNT(FILTER('Form Responses (Power-up data)'!$C$2:$C1000, LOWER('Form Responses (Power-up data)'!$B$2:$B1000) = LOWER($B19)))"),"2")</f>
        <v>2</v>
      </c>
      <c r="X19" s="27">
        <v>20</v>
      </c>
      <c r="Y19" s="30" t="s">
        <v>669</v>
      </c>
    </row>
    <row r="20" spans="1:25" ht="12.75" x14ac:dyDescent="0.2">
      <c r="A20" s="11">
        <v>19</v>
      </c>
      <c r="B20" s="4" t="s">
        <v>52</v>
      </c>
      <c r="C20">
        <v>6</v>
      </c>
      <c r="D20">
        <v>7.2</v>
      </c>
      <c r="E20">
        <v>8.5</v>
      </c>
      <c r="F20" s="24"/>
      <c r="G20" s="14" t="str">
        <f ca="1">IFERROR(__xludf.DUMMYFUNCTION("FILTER('Base Stats'!$C$2:$C1000, LOWER('Base Stats'!$B$2:$B1000) = LOWER($B20))"),"30")</f>
        <v>30</v>
      </c>
      <c r="H20">
        <v>581</v>
      </c>
      <c r="I20" t="str">
        <f ca="1">IFERROR(__xludf.DUMMYFUNCTION("FLOOR(0.7903* (FILTER('Go Base Stats'!$C$2:$C1000, 'Go Base Stats'!$A$2:$A1000 = $A20)+15))"),"59")</f>
        <v>59</v>
      </c>
      <c r="J20" s="33"/>
      <c r="K20" s="33"/>
      <c r="L20" s="33"/>
      <c r="M20" s="27">
        <f t="shared" si="0"/>
        <v>7.5</v>
      </c>
      <c r="N20" s="28">
        <f t="shared" si="1"/>
        <v>3.9999999999999973E-2</v>
      </c>
      <c r="P20" s="29">
        <v>7.5</v>
      </c>
      <c r="Q20" s="30">
        <v>2.5566037740000001</v>
      </c>
      <c r="R20" s="34"/>
      <c r="U20" t="str">
        <f ca="1">IFERROR(__xludf.DUMMYFUNCTION("IFERROR(SUM(FILTER('Form Responses (Power-up data)'!$C$2:$C1000, LOWER('Form Responses (Power-up data)'!$B$2:$B1000) = LOWER($B20))), 0)"),"14")</f>
        <v>14</v>
      </c>
      <c r="V20" s="27">
        <v>16</v>
      </c>
      <c r="W20" t="str">
        <f ca="1">IFERROR(__xludf.DUMMYFUNCTION("COUNT(FILTER('Form Responses (Power-up data)'!$C$2:$C1000, LOWER('Form Responses (Power-up data)'!$B$2:$B1000) = LOWER($B20)))"),"2")</f>
        <v>2</v>
      </c>
      <c r="X20" s="27">
        <v>2</v>
      </c>
      <c r="Y20" s="30" t="s">
        <v>670</v>
      </c>
    </row>
    <row r="21" spans="1:25" ht="12.75" x14ac:dyDescent="0.2">
      <c r="A21" s="11">
        <v>20</v>
      </c>
      <c r="B21" s="4" t="s">
        <v>53</v>
      </c>
      <c r="C21">
        <v>17</v>
      </c>
      <c r="D21">
        <v>19</v>
      </c>
      <c r="E21">
        <v>21</v>
      </c>
      <c r="F21" s="24">
        <f>ROUND(D21/D20, 1)</f>
        <v>2.6</v>
      </c>
      <c r="G21" s="14" t="str">
        <f ca="1">IFERROR(__xludf.DUMMYFUNCTION("FILTER('Base Stats'!$C$2:$C1000, LOWER('Base Stats'!$B$2:$B1000) = LOWER($B21))"),"55")</f>
        <v>55</v>
      </c>
      <c r="H21">
        <v>1444</v>
      </c>
      <c r="I21" t="str">
        <f ca="1">IFERROR(__xludf.DUMMYFUNCTION("FLOOR(0.7903* (FILTER('Go Base Stats'!$C$2:$C1000, 'Go Base Stats'!$A$2:$A1000 = $A21)+15))"),"98")</f>
        <v>98</v>
      </c>
      <c r="J21" s="33"/>
      <c r="K21" s="33"/>
      <c r="L21" s="33"/>
      <c r="M21" s="27">
        <f t="shared" si="0"/>
        <v>19.7</v>
      </c>
      <c r="N21" s="28">
        <f t="shared" si="1"/>
        <v>3.5532994923857836E-2</v>
      </c>
      <c r="P21" s="29">
        <v>19.666666670000001</v>
      </c>
      <c r="Q21" s="30">
        <v>2.8440147009999999</v>
      </c>
      <c r="R21" s="31"/>
      <c r="U21" t="str">
        <f ca="1">IFERROR(__xludf.DUMMYFUNCTION("IFERROR(SUM(FILTER('Form Responses (Power-up data)'!$C$2:$C1000, LOWER('Form Responses (Power-up data)'!$B$2:$B1000) = LOWER($B21))), 0)"),"40")</f>
        <v>40</v>
      </c>
      <c r="V21" s="27">
        <v>78</v>
      </c>
      <c r="W21" t="str">
        <f ca="1">IFERROR(__xludf.DUMMYFUNCTION("COUNT(FILTER('Form Responses (Power-up data)'!$C$2:$C1000, LOWER('Form Responses (Power-up data)'!$B$2:$B1000) = LOWER($B21)))"),"2")</f>
        <v>2</v>
      </c>
      <c r="X21" s="27">
        <v>4</v>
      </c>
      <c r="Y21" s="30" t="s">
        <v>671</v>
      </c>
    </row>
    <row r="22" spans="1:25" ht="12.75" x14ac:dyDescent="0.2">
      <c r="A22" s="11">
        <v>21</v>
      </c>
      <c r="B22" s="4" t="s">
        <v>54</v>
      </c>
      <c r="C22">
        <v>7.3</v>
      </c>
      <c r="D22">
        <v>8.6</v>
      </c>
      <c r="E22">
        <v>10</v>
      </c>
      <c r="F22" s="24"/>
      <c r="G22" s="14" t="str">
        <f ca="1">IFERROR(__xludf.DUMMYFUNCTION("FILTER('Base Stats'!$C$2:$C1000, LOWER('Base Stats'!$B$2:$B1000) = LOWER($B22))"),"40")</f>
        <v>40</v>
      </c>
      <c r="H22">
        <v>686</v>
      </c>
      <c r="I22" t="str">
        <f ca="1">IFERROR(__xludf.DUMMYFUNCTION("FLOOR(0.7903* (FILTER('Go Base Stats'!$C$2:$C1000, 'Go Base Stats'!$A$2:$A1000 = $A22)+15))"),"75")</f>
        <v>75</v>
      </c>
      <c r="J22" s="33"/>
      <c r="K22" s="33"/>
      <c r="L22" s="33"/>
      <c r="M22" s="27">
        <f t="shared" si="0"/>
        <v>8.6999999999999993</v>
      </c>
      <c r="N22" s="28">
        <f t="shared" si="1"/>
        <v>1.1494252873563178E-2</v>
      </c>
      <c r="P22" s="29" t="s">
        <v>527</v>
      </c>
      <c r="Q22" s="30" t="s">
        <v>527</v>
      </c>
      <c r="R22" s="42">
        <v>8.6999999999999993</v>
      </c>
      <c r="U22" t="str">
        <f ca="1">IFERROR(__xludf.DUMMYFUNCTION("IFERROR(SUM(FILTER('Form Responses (Power-up data)'!$C$2:$C1000, LOWER('Form Responses (Power-up data)'!$B$2:$B1000) = LOWER($B22))), 0)"),"0")</f>
        <v>0</v>
      </c>
      <c r="V22" s="27">
        <v>0</v>
      </c>
      <c r="W22" t="str">
        <f ca="1">IFERROR(__xludf.DUMMYFUNCTION("COUNT(FILTER('Form Responses (Power-up data)'!$C$2:$C1000, LOWER('Form Responses (Power-up data)'!$B$2:$B1000) = LOWER($B22)))"),"0")</f>
        <v>0</v>
      </c>
      <c r="X22" s="27">
        <v>0</v>
      </c>
      <c r="Y22" s="30" t="s">
        <v>659</v>
      </c>
    </row>
    <row r="23" spans="1:25" ht="12.75" x14ac:dyDescent="0.2">
      <c r="A23" s="11">
        <v>22</v>
      </c>
      <c r="B23" s="4" t="s">
        <v>55</v>
      </c>
      <c r="C23">
        <v>21</v>
      </c>
      <c r="D23">
        <v>23.2</v>
      </c>
      <c r="E23">
        <v>25.4</v>
      </c>
      <c r="F23" s="24">
        <f>ROUND(D23/D22, 1)</f>
        <v>2.7</v>
      </c>
      <c r="G23" s="14" t="str">
        <f ca="1">IFERROR(__xludf.DUMMYFUNCTION("FILTER('Base Stats'!$C$2:$C1000, LOWER('Base Stats'!$B$2:$B1000) = LOWER($B23))"),"65")</f>
        <v>65</v>
      </c>
      <c r="H23">
        <v>1746</v>
      </c>
      <c r="I23" t="str">
        <f ca="1">IFERROR(__xludf.DUMMYFUNCTION("FLOOR(0.7903* (FILTER('Go Base Stats'!$C$2:$C1000, 'Go Base Stats'!$A$2:$A1000 = $A23)+15))"),"114")</f>
        <v>114</v>
      </c>
      <c r="J23" s="33"/>
      <c r="K23" s="33"/>
      <c r="L23" s="33"/>
      <c r="M23" s="27">
        <f t="shared" si="0"/>
        <v>24.5</v>
      </c>
      <c r="N23" s="28">
        <f t="shared" si="1"/>
        <v>5.3061224489795944E-2</v>
      </c>
      <c r="P23" s="29">
        <v>24.529411759999999</v>
      </c>
      <c r="Q23" s="30">
        <v>2.646899919</v>
      </c>
      <c r="R23" s="31"/>
      <c r="U23" t="str">
        <f ca="1">IFERROR(__xludf.DUMMYFUNCTION("IFERROR(SUM(FILTER('Form Responses (Power-up data)'!$C$2:$C1000, LOWER('Form Responses (Power-up data)'!$B$2:$B1000) = LOWER($B23))), 0)"),"0")</f>
        <v>0</v>
      </c>
      <c r="V23" s="27">
        <v>417</v>
      </c>
      <c r="W23" t="str">
        <f ca="1">IFERROR(__xludf.DUMMYFUNCTION("COUNT(FILTER('Form Responses (Power-up data)'!$C$2:$C1000, LOWER('Form Responses (Power-up data)'!$B$2:$B1000) = LOWER($B23)))"),"0")</f>
        <v>0</v>
      </c>
      <c r="X23" s="27">
        <v>17</v>
      </c>
      <c r="Y23" s="30" t="s">
        <v>672</v>
      </c>
    </row>
    <row r="24" spans="1:25" ht="12.75" x14ac:dyDescent="0.2">
      <c r="A24" s="11">
        <v>23</v>
      </c>
      <c r="B24" s="4" t="s">
        <v>56</v>
      </c>
      <c r="C24">
        <v>9</v>
      </c>
      <c r="D24">
        <v>10.5</v>
      </c>
      <c r="E24">
        <v>12</v>
      </c>
      <c r="F24" s="24"/>
      <c r="G24" s="14" t="str">
        <f ca="1">IFERROR(__xludf.DUMMYFUNCTION("FILTER('Base Stats'!$C$2:$C1000, LOWER('Base Stats'!$B$2:$B1000) = LOWER($B24))"),"35")</f>
        <v>35</v>
      </c>
      <c r="H24">
        <v>824</v>
      </c>
      <c r="I24" t="str">
        <f ca="1">IFERROR(__xludf.DUMMYFUNCTION("FLOOR(0.7903* (FILTER('Go Base Stats'!$C$2:$C1000, 'Go Base Stats'!$A$2:$A1000 = $A24)+15))"),"67")</f>
        <v>67</v>
      </c>
      <c r="J24" s="33"/>
      <c r="K24" s="33"/>
      <c r="L24" s="33"/>
      <c r="M24" s="27">
        <f t="shared" si="0"/>
        <v>11</v>
      </c>
      <c r="N24" s="28">
        <f t="shared" si="1"/>
        <v>4.5454545454545456E-2</v>
      </c>
      <c r="P24" s="29">
        <v>11</v>
      </c>
      <c r="Q24" s="30" t="s">
        <v>527</v>
      </c>
      <c r="R24" s="34"/>
      <c r="U24" t="str">
        <f ca="1">IFERROR(__xludf.DUMMYFUNCTION("IFERROR(SUM(FILTER('Form Responses (Power-up data)'!$C$2:$C1000, LOWER('Form Responses (Power-up data)'!$B$2:$B1000) = LOWER($B24))), 0)"),"0")</f>
        <v>0</v>
      </c>
      <c r="V24" s="27">
        <v>11</v>
      </c>
      <c r="W24" t="str">
        <f ca="1">IFERROR(__xludf.DUMMYFUNCTION("COUNT(FILTER('Form Responses (Power-up data)'!$C$2:$C1000, LOWER('Form Responses (Power-up data)'!$B$2:$B1000) = LOWER($B24)))"),"0")</f>
        <v>0</v>
      </c>
      <c r="X24" s="27">
        <v>1</v>
      </c>
      <c r="Y24" s="30" t="s">
        <v>659</v>
      </c>
    </row>
    <row r="25" spans="1:25" ht="12.75" x14ac:dyDescent="0.2">
      <c r="A25" s="11">
        <v>24</v>
      </c>
      <c r="B25" s="4" t="s">
        <v>57</v>
      </c>
      <c r="C25">
        <v>21.3</v>
      </c>
      <c r="D25">
        <v>23.5</v>
      </c>
      <c r="E25">
        <v>25.7</v>
      </c>
      <c r="F25" s="24">
        <f>ROUND(D25/D24, 1)</f>
        <v>2.2000000000000002</v>
      </c>
      <c r="G25" s="14" t="str">
        <f ca="1">IFERROR(__xludf.DUMMYFUNCTION("FILTER('Base Stats'!$C$2:$C1000, LOWER('Base Stats'!$B$2:$B1000) = LOWER($B25))"),"60")</f>
        <v>60</v>
      </c>
      <c r="H25">
        <v>1767</v>
      </c>
      <c r="I25" t="str">
        <f ca="1">IFERROR(__xludf.DUMMYFUNCTION("FLOOR(0.7903* (FILTER('Go Base Stats'!$C$2:$C1000, 'Go Base Stats'!$A$2:$A1000 = $A25)+15))"),"106")</f>
        <v>106</v>
      </c>
      <c r="J25" s="33"/>
      <c r="K25" s="33"/>
      <c r="L25" s="33"/>
      <c r="M25" s="27">
        <f t="shared" si="0"/>
        <v>22.8</v>
      </c>
      <c r="N25" s="28">
        <f t="shared" si="1"/>
        <v>3.0701754385964879E-2</v>
      </c>
      <c r="P25" s="29">
        <v>22.8</v>
      </c>
      <c r="Q25" s="30">
        <v>2.127264453</v>
      </c>
      <c r="R25" s="34"/>
      <c r="U25" t="str">
        <f ca="1">IFERROR(__xludf.DUMMYFUNCTION("IFERROR(SUM(FILTER('Form Responses (Power-up data)'!$C$2:$C1000, LOWER('Form Responses (Power-up data)'!$B$2:$B1000) = LOWER($B25))), 0)"),"0")</f>
        <v>0</v>
      </c>
      <c r="V25" s="27">
        <v>114</v>
      </c>
      <c r="W25" t="str">
        <f ca="1">IFERROR(__xludf.DUMMYFUNCTION("COUNT(FILTER('Form Responses (Power-up data)'!$C$2:$C1000, LOWER('Form Responses (Power-up data)'!$B$2:$B1000) = LOWER($B25)))"),"0")</f>
        <v>0</v>
      </c>
      <c r="X25" s="27">
        <v>5</v>
      </c>
      <c r="Y25" s="30" t="s">
        <v>673</v>
      </c>
    </row>
    <row r="26" spans="1:25" ht="12.75" x14ac:dyDescent="0.2">
      <c r="A26" s="11">
        <v>25</v>
      </c>
      <c r="B26" s="4" t="s">
        <v>58</v>
      </c>
      <c r="C26">
        <v>9.8000000000000007</v>
      </c>
      <c r="D26">
        <v>11.3</v>
      </c>
      <c r="E26">
        <v>12.9</v>
      </c>
      <c r="F26" s="24"/>
      <c r="G26" s="14" t="str">
        <f ca="1">IFERROR(__xludf.DUMMYFUNCTION("FILTER('Base Stats'!$C$2:$C1000, LOWER('Base Stats'!$B$2:$B1000) = LOWER($B26))"),"35")</f>
        <v>35</v>
      </c>
      <c r="H26">
        <v>887</v>
      </c>
      <c r="I26" t="str">
        <f ca="1">IFERROR(__xludf.DUMMYFUNCTION("FLOOR(0.7903* (FILTER('Go Base Stats'!$C$2:$C1000, 'Go Base Stats'!$A$2:$A1000 = $A26)+15))"),"67")</f>
        <v>67</v>
      </c>
      <c r="J26" s="33"/>
      <c r="K26" s="33"/>
      <c r="L26" s="33"/>
      <c r="M26" s="27">
        <f t="shared" si="0"/>
        <v>11.5</v>
      </c>
      <c r="N26" s="28">
        <f t="shared" si="1"/>
        <v>1.7391304347826025E-2</v>
      </c>
      <c r="P26" s="29" t="s">
        <v>527</v>
      </c>
      <c r="Q26" s="30" t="s">
        <v>527</v>
      </c>
      <c r="R26" s="31">
        <v>11.5</v>
      </c>
      <c r="U26" t="str">
        <f ca="1">IFERROR(__xludf.DUMMYFUNCTION("IFERROR(SUM(FILTER('Form Responses (Power-up data)'!$C$2:$C1000, LOWER('Form Responses (Power-up data)'!$B$2:$B1000) = LOWER($B26))), 0)"),"0")</f>
        <v>0</v>
      </c>
      <c r="V26" s="27">
        <v>0</v>
      </c>
      <c r="W26" t="str">
        <f ca="1">IFERROR(__xludf.DUMMYFUNCTION("COUNT(FILTER('Form Responses (Power-up data)'!$C$2:$C1000, LOWER('Form Responses (Power-up data)'!$B$2:$B1000) = LOWER($B26)))"),"0")</f>
        <v>0</v>
      </c>
      <c r="X26" s="27">
        <v>0</v>
      </c>
      <c r="Y26" s="30" t="s">
        <v>659</v>
      </c>
    </row>
    <row r="27" spans="1:25" ht="12.75" x14ac:dyDescent="0.2">
      <c r="A27" s="11">
        <v>26</v>
      </c>
      <c r="B27" s="4" t="s">
        <v>59</v>
      </c>
      <c r="C27">
        <v>24.7</v>
      </c>
      <c r="D27">
        <v>27.1</v>
      </c>
      <c r="E27">
        <v>29.5</v>
      </c>
      <c r="F27" s="24">
        <f>ROUND(D27/D26, 1)</f>
        <v>2.4</v>
      </c>
      <c r="G27" s="14" t="str">
        <f ca="1">IFERROR(__xludf.DUMMYFUNCTION("FILTER('Base Stats'!$C$2:$C1000, LOWER('Base Stats'!$B$2:$B1000) = LOWER($B27))"),"60")</f>
        <v>60</v>
      </c>
      <c r="H27">
        <v>2028</v>
      </c>
      <c r="I27" t="str">
        <f ca="1">IFERROR(__xludf.DUMMYFUNCTION("FLOOR(0.7903* (FILTER('Go Base Stats'!$C$2:$C1000, 'Go Base Stats'!$A$2:$A1000 = $A27)+15))"),"106")</f>
        <v>106</v>
      </c>
      <c r="J27" s="33"/>
      <c r="K27" s="33"/>
      <c r="L27" s="33"/>
      <c r="M27" s="27">
        <f t="shared" si="0"/>
        <v>27</v>
      </c>
      <c r="N27" s="28">
        <f t="shared" si="1"/>
        <v>3.7037037037037563E-3</v>
      </c>
      <c r="P27" s="29" t="s">
        <v>527</v>
      </c>
      <c r="Q27" s="30">
        <v>2.3508196720000001</v>
      </c>
      <c r="R27" s="31">
        <v>27</v>
      </c>
      <c r="U27" t="str">
        <f ca="1">IFERROR(__xludf.DUMMYFUNCTION("IFERROR(SUM(FILTER('Form Responses (Power-up data)'!$C$2:$C1000, LOWER('Form Responses (Power-up data)'!$B$2:$B1000) = LOWER($B27))), 0)"),"0")</f>
        <v>0</v>
      </c>
      <c r="V27" s="27">
        <v>0</v>
      </c>
      <c r="W27" t="str">
        <f ca="1">IFERROR(__xludf.DUMMYFUNCTION("COUNT(FILTER('Form Responses (Power-up data)'!$C$2:$C1000, LOWER('Form Responses (Power-up data)'!$B$2:$B1000) = LOWER($B27)))"),"0")</f>
        <v>0</v>
      </c>
      <c r="X27" s="27">
        <v>0</v>
      </c>
      <c r="Y27" s="30" t="s">
        <v>674</v>
      </c>
    </row>
    <row r="28" spans="1:25" ht="12.75" x14ac:dyDescent="0.2">
      <c r="A28" s="11">
        <v>27</v>
      </c>
      <c r="B28" s="4" t="s">
        <v>60</v>
      </c>
      <c r="C28">
        <v>8.6999999999999993</v>
      </c>
      <c r="D28">
        <v>10.1</v>
      </c>
      <c r="E28">
        <v>11.6</v>
      </c>
      <c r="F28" s="24"/>
      <c r="G28" s="14" t="str">
        <f ca="1">IFERROR(__xludf.DUMMYFUNCTION("FILTER('Base Stats'!$C$2:$C1000, LOWER('Base Stats'!$B$2:$B1000) = LOWER($B28))"),"50")</f>
        <v>50</v>
      </c>
      <c r="H28">
        <v>798</v>
      </c>
      <c r="I28" t="str">
        <f ca="1">IFERROR(__xludf.DUMMYFUNCTION("FLOOR(0.7903* (FILTER('Go Base Stats'!$C$2:$C1000, 'Go Base Stats'!$A$2:$A1000 = $A28)+15))"),"90")</f>
        <v>90</v>
      </c>
      <c r="J28" s="33"/>
      <c r="K28" s="33"/>
      <c r="L28" s="33"/>
      <c r="M28" s="27">
        <f t="shared" si="0"/>
        <v>11</v>
      </c>
      <c r="N28" s="28">
        <f t="shared" si="1"/>
        <v>8.1818181818181845E-2</v>
      </c>
      <c r="P28" s="29">
        <v>11</v>
      </c>
      <c r="Q28" s="30" t="s">
        <v>527</v>
      </c>
      <c r="R28" s="31">
        <v>11</v>
      </c>
      <c r="U28" t="str">
        <f ca="1">IFERROR(__xludf.DUMMYFUNCTION("IFERROR(SUM(FILTER('Form Responses (Power-up data)'!$C$2:$C1000, LOWER('Form Responses (Power-up data)'!$B$2:$B1000) = LOWER($B28))), 0)"),"0")</f>
        <v>0</v>
      </c>
      <c r="V28" s="27">
        <v>11</v>
      </c>
      <c r="W28" t="str">
        <f ca="1">IFERROR(__xludf.DUMMYFUNCTION("COUNT(FILTER('Form Responses (Power-up data)'!$C$2:$C1000, LOWER('Form Responses (Power-up data)'!$B$2:$B1000) = LOWER($B28)))"),"0")</f>
        <v>0</v>
      </c>
      <c r="X28" s="27">
        <v>1</v>
      </c>
      <c r="Y28" s="30" t="s">
        <v>659</v>
      </c>
    </row>
    <row r="29" spans="1:25" ht="12.75" x14ac:dyDescent="0.2">
      <c r="A29" s="11">
        <v>28</v>
      </c>
      <c r="B29" s="4" t="s">
        <v>61</v>
      </c>
      <c r="C29">
        <v>21.9</v>
      </c>
      <c r="D29">
        <v>24.1</v>
      </c>
      <c r="E29">
        <v>26.3</v>
      </c>
      <c r="F29" s="24">
        <f>ROUND(D29/D28, 1)</f>
        <v>2.4</v>
      </c>
      <c r="G29" s="14" t="str">
        <f ca="1">IFERROR(__xludf.DUMMYFUNCTION("FILTER('Base Stats'!$C$2:$C1000, LOWER('Base Stats'!$B$2:$B1000) = LOWER($B29))"),"75")</f>
        <v>75</v>
      </c>
      <c r="H29">
        <v>1810</v>
      </c>
      <c r="I29" t="str">
        <f ca="1">IFERROR(__xludf.DUMMYFUNCTION("FLOOR(0.7903* (FILTER('Go Base Stats'!$C$2:$C1000, 'Go Base Stats'!$A$2:$A1000 = $A29)+15))"),"130")</f>
        <v>130</v>
      </c>
      <c r="J29" s="33"/>
      <c r="K29" s="33"/>
      <c r="L29" s="33"/>
      <c r="M29" s="27">
        <f t="shared" si="0"/>
        <v>22.3</v>
      </c>
      <c r="N29" s="28">
        <f t="shared" si="1"/>
        <v>8.0717488789237693E-2</v>
      </c>
      <c r="P29" s="29">
        <v>22.333333329999999</v>
      </c>
      <c r="Q29" s="30">
        <v>2.292613636</v>
      </c>
      <c r="R29" s="34"/>
      <c r="U29" t="str">
        <f ca="1">IFERROR(__xludf.DUMMYFUNCTION("IFERROR(SUM(FILTER('Form Responses (Power-up data)'!$C$2:$C1000, LOWER('Form Responses (Power-up data)'!$B$2:$B1000) = LOWER($B29))), 0)"),"0")</f>
        <v>0</v>
      </c>
      <c r="V29" s="27">
        <v>67</v>
      </c>
      <c r="W29" t="str">
        <f ca="1">IFERROR(__xludf.DUMMYFUNCTION("COUNT(FILTER('Form Responses (Power-up data)'!$C$2:$C1000, LOWER('Form Responses (Power-up data)'!$B$2:$B1000) = LOWER($B29)))"),"0")</f>
        <v>0</v>
      </c>
      <c r="X29" s="27">
        <v>3</v>
      </c>
      <c r="Y29" s="30" t="s">
        <v>675</v>
      </c>
    </row>
    <row r="30" spans="1:25" ht="12.75" x14ac:dyDescent="0.2">
      <c r="A30" s="11">
        <v>29</v>
      </c>
      <c r="B30" s="4" t="s">
        <v>62</v>
      </c>
      <c r="C30">
        <v>9.6999999999999993</v>
      </c>
      <c r="D30">
        <v>11.2</v>
      </c>
      <c r="E30">
        <v>12.7</v>
      </c>
      <c r="F30" s="24"/>
      <c r="G30" s="14" t="str">
        <f ca="1">IFERROR(__xludf.DUMMYFUNCTION("FILTER('Base Stats'!$C$2:$C1000, LOWER('Base Stats'!$B$2:$B1000) = LOWER($B30))"),"55")</f>
        <v>55</v>
      </c>
      <c r="H30">
        <v>876</v>
      </c>
      <c r="I30" t="str">
        <f ca="1">IFERROR(__xludf.DUMMYFUNCTION("FLOOR(0.7903* (FILTER('Go Base Stats'!$C$2:$C1000, 'Go Base Stats'!$A$2:$A1000 = $A30)+15))"),"98")</f>
        <v>98</v>
      </c>
      <c r="J30" s="33"/>
      <c r="K30" s="33"/>
      <c r="L30" s="33"/>
      <c r="M30" s="27">
        <f t="shared" si="0"/>
        <v>11</v>
      </c>
      <c r="N30" s="28">
        <f t="shared" si="1"/>
        <v>1.8181818181818118E-2</v>
      </c>
      <c r="P30" s="29" t="s">
        <v>527</v>
      </c>
      <c r="Q30" s="30">
        <v>1.625441696</v>
      </c>
      <c r="R30" s="31">
        <v>11</v>
      </c>
      <c r="U30" t="str">
        <f ca="1">IFERROR(__xludf.DUMMYFUNCTION("IFERROR(SUM(FILTER('Form Responses (Power-up data)'!$C$2:$C1000, LOWER('Form Responses (Power-up data)'!$B$2:$B1000) = LOWER($B30))), 0)"),"0")</f>
        <v>0</v>
      </c>
      <c r="V30" s="27">
        <v>0</v>
      </c>
      <c r="W30" t="str">
        <f ca="1">IFERROR(__xludf.DUMMYFUNCTION("COUNT(FILTER('Form Responses (Power-up data)'!$C$2:$C1000, LOWER('Form Responses (Power-up data)'!$B$2:$B1000) = LOWER($B30)))"),"0")</f>
        <v>0</v>
      </c>
      <c r="X30" s="27">
        <v>0</v>
      </c>
      <c r="Y30" s="30" t="s">
        <v>676</v>
      </c>
    </row>
    <row r="31" spans="1:25" ht="12.75" x14ac:dyDescent="0.2">
      <c r="A31" s="11">
        <v>30</v>
      </c>
      <c r="B31" s="4" t="s">
        <v>63</v>
      </c>
      <c r="C31">
        <v>16.600000000000001</v>
      </c>
      <c r="D31">
        <v>18.399999999999999</v>
      </c>
      <c r="E31">
        <v>20.399999999999999</v>
      </c>
      <c r="F31" s="24">
        <f t="shared" ref="F31:F32" si="8">ROUND(D31/D30, 1)</f>
        <v>1.6</v>
      </c>
      <c r="G31" s="14" t="str">
        <f ca="1">IFERROR(__xludf.DUMMYFUNCTION("FILTER('Base Stats'!$C$2:$C1000, LOWER('Base Stats'!$B$2:$B1000) = LOWER($B31))"),"70")</f>
        <v>70</v>
      </c>
      <c r="H31">
        <v>1404</v>
      </c>
      <c r="I31" t="str">
        <f ca="1">IFERROR(__xludf.DUMMYFUNCTION("FLOOR(0.7903* (FILTER('Go Base Stats'!$C$2:$C1000, 'Go Base Stats'!$A$2:$A1000 = $A31)+15))"),"122")</f>
        <v>122</v>
      </c>
      <c r="J31" s="33"/>
      <c r="K31" s="33"/>
      <c r="L31" s="33"/>
      <c r="M31" s="27">
        <f t="shared" si="0"/>
        <v>19</v>
      </c>
      <c r="N31" s="28">
        <f t="shared" si="1"/>
        <v>3.157894736842113E-2</v>
      </c>
      <c r="P31" s="29" t="s">
        <v>527</v>
      </c>
      <c r="Q31" s="30">
        <v>1.6554981689999999</v>
      </c>
      <c r="R31" s="31">
        <v>19</v>
      </c>
      <c r="U31" t="str">
        <f ca="1">IFERROR(__xludf.DUMMYFUNCTION("IFERROR(SUM(FILTER('Form Responses (Power-up data)'!$C$2:$C1000, LOWER('Form Responses (Power-up data)'!$B$2:$B1000) = LOWER($B31))), 0)"),"0")</f>
        <v>0</v>
      </c>
      <c r="V31" s="27">
        <v>0</v>
      </c>
      <c r="W31" t="str">
        <f ca="1">IFERROR(__xludf.DUMMYFUNCTION("COUNT(FILTER('Form Responses (Power-up data)'!$C$2:$C1000, LOWER('Form Responses (Power-up data)'!$B$2:$B1000) = LOWER($B31)))"),"0")</f>
        <v>0</v>
      </c>
      <c r="X31" s="27">
        <v>0</v>
      </c>
      <c r="Y31" s="30" t="s">
        <v>677</v>
      </c>
    </row>
    <row r="32" spans="1:25" ht="12.75" x14ac:dyDescent="0.2">
      <c r="A32" s="11">
        <v>31</v>
      </c>
      <c r="B32" s="4" t="s">
        <v>64</v>
      </c>
      <c r="C32">
        <v>30.9</v>
      </c>
      <c r="D32">
        <v>33.5</v>
      </c>
      <c r="E32">
        <v>36.200000000000003</v>
      </c>
      <c r="F32" s="24">
        <f t="shared" si="8"/>
        <v>1.8</v>
      </c>
      <c r="G32" s="14" t="str">
        <f ca="1">IFERROR(__xludf.DUMMYFUNCTION("FILTER('Base Stats'!$C$2:$C1000, LOWER('Base Stats'!$B$2:$B1000) = LOWER($B32))"),"90")</f>
        <v>90</v>
      </c>
      <c r="H32">
        <v>2485</v>
      </c>
      <c r="I32" t="str">
        <f ca="1">IFERROR(__xludf.DUMMYFUNCTION("FLOOR(0.7903* (FILTER('Go Base Stats'!$C$2:$C1000, 'Go Base Stats'!$A$2:$A1000 = $A32)+15))"),"154")</f>
        <v>154</v>
      </c>
      <c r="J32" s="33"/>
      <c r="K32" s="33"/>
      <c r="L32" s="33"/>
      <c r="M32" s="27">
        <f t="shared" si="0"/>
        <v>34</v>
      </c>
      <c r="N32" s="28">
        <f t="shared" si="1"/>
        <v>1.4705882352941176E-2</v>
      </c>
      <c r="P32" s="29">
        <v>34</v>
      </c>
      <c r="Q32" s="30" t="s">
        <v>527</v>
      </c>
      <c r="R32" s="31"/>
      <c r="U32" t="str">
        <f ca="1">IFERROR(__xludf.DUMMYFUNCTION("IFERROR(SUM(FILTER('Form Responses (Power-up data)'!$C$2:$C1000, LOWER('Form Responses (Power-up data)'!$B$2:$B1000) = LOWER($B32))), 0)"),"0")</f>
        <v>0</v>
      </c>
      <c r="V32" s="27">
        <v>102</v>
      </c>
      <c r="W32" t="str">
        <f ca="1">IFERROR(__xludf.DUMMYFUNCTION("COUNT(FILTER('Form Responses (Power-up data)'!$C$2:$C1000, LOWER('Form Responses (Power-up data)'!$B$2:$B1000) = LOWER($B32)))"),"0")</f>
        <v>0</v>
      </c>
      <c r="X32" s="27">
        <v>3</v>
      </c>
      <c r="Y32" s="30" t="s">
        <v>659</v>
      </c>
    </row>
    <row r="33" spans="1:25" ht="12.75" x14ac:dyDescent="0.2">
      <c r="A33" s="11">
        <v>32</v>
      </c>
      <c r="B33" s="4" t="s">
        <v>65</v>
      </c>
      <c r="C33">
        <v>9.3000000000000007</v>
      </c>
      <c r="D33">
        <v>10.7</v>
      </c>
      <c r="E33">
        <v>12.3</v>
      </c>
      <c r="F33" s="24"/>
      <c r="G33" s="14" t="str">
        <f ca="1">IFERROR(__xludf.DUMMYFUNCTION("FILTER('Base Stats'!$C$2:$C1000, LOWER('Base Stats'!$B$2:$B1000) = LOWER($B33))"),"46")</f>
        <v>46</v>
      </c>
      <c r="H33">
        <v>843</v>
      </c>
      <c r="I33" t="str">
        <f ca="1">IFERROR(__xludf.DUMMYFUNCTION("FLOOR(0.7903* (FILTER('Go Base Stats'!$C$2:$C1000, 'Go Base Stats'!$A$2:$A1000 = $A33)+15))"),"84")</f>
        <v>84</v>
      </c>
      <c r="J33" s="33"/>
      <c r="K33" s="33"/>
      <c r="L33" s="33"/>
      <c r="M33" s="27">
        <f t="shared" si="0"/>
        <v>12</v>
      </c>
      <c r="N33" s="28">
        <f t="shared" si="1"/>
        <v>0.10833333333333339</v>
      </c>
      <c r="P33" s="29" t="s">
        <v>527</v>
      </c>
      <c r="Q33" s="30" t="s">
        <v>527</v>
      </c>
      <c r="R33" s="31">
        <v>12</v>
      </c>
      <c r="U33" t="str">
        <f ca="1">IFERROR(__xludf.DUMMYFUNCTION("IFERROR(SUM(FILTER('Form Responses (Power-up data)'!$C$2:$C1000, LOWER('Form Responses (Power-up data)'!$B$2:$B1000) = LOWER($B33))), 0)"),"0")</f>
        <v>0</v>
      </c>
      <c r="V33" s="27">
        <v>0</v>
      </c>
      <c r="W33" t="str">
        <f ca="1">IFERROR(__xludf.DUMMYFUNCTION("COUNT(FILTER('Form Responses (Power-up data)'!$C$2:$C1000, LOWER('Form Responses (Power-up data)'!$B$2:$B1000) = LOWER($B33)))"),"0")</f>
        <v>0</v>
      </c>
      <c r="X33" s="27">
        <v>0</v>
      </c>
      <c r="Y33" s="30" t="s">
        <v>659</v>
      </c>
    </row>
    <row r="34" spans="1:25" ht="12.75" x14ac:dyDescent="0.2">
      <c r="A34" s="11">
        <v>33</v>
      </c>
      <c r="B34" s="4" t="s">
        <v>66</v>
      </c>
      <c r="C34">
        <v>16.100000000000001</v>
      </c>
      <c r="D34">
        <v>18</v>
      </c>
      <c r="E34">
        <v>20</v>
      </c>
      <c r="F34" s="24">
        <f t="shared" ref="F34:F35" si="9">ROUND(D34/D33, 1)</f>
        <v>1.7</v>
      </c>
      <c r="G34" s="14" t="str">
        <f ca="1">IFERROR(__xludf.DUMMYFUNCTION("FILTER('Base Stats'!$C$2:$C1000, LOWER('Base Stats'!$B$2:$B1000) = LOWER($B34))"),"61")</f>
        <v>61</v>
      </c>
      <c r="H34">
        <v>1372</v>
      </c>
      <c r="I34" t="str">
        <f ca="1">IFERROR(__xludf.DUMMYFUNCTION("FLOOR(0.7903* (FILTER('Go Base Stats'!$C$2:$C1000, 'Go Base Stats'!$A$2:$A1000 = $A34)+15))"),"108")</f>
        <v>108</v>
      </c>
      <c r="J34" s="33"/>
      <c r="K34" s="33"/>
      <c r="L34" s="33"/>
      <c r="M34" s="27">
        <f t="shared" si="0"/>
        <v>19.8</v>
      </c>
      <c r="N34" s="28">
        <f t="shared" si="1"/>
        <v>9.0909090909090939E-2</v>
      </c>
      <c r="P34" s="29" t="s">
        <v>527</v>
      </c>
      <c r="Q34" s="30">
        <v>1.5951745909999999</v>
      </c>
      <c r="R34" s="31">
        <v>19.8</v>
      </c>
      <c r="U34" t="str">
        <f ca="1">IFERROR(__xludf.DUMMYFUNCTION("IFERROR(SUM(FILTER('Form Responses (Power-up data)'!$C$2:$C1000, LOWER('Form Responses (Power-up data)'!$B$2:$B1000) = LOWER($B34))), 0)"),"0")</f>
        <v>0</v>
      </c>
      <c r="V34" s="27">
        <v>0</v>
      </c>
      <c r="W34" t="str">
        <f ca="1">IFERROR(__xludf.DUMMYFUNCTION("COUNT(FILTER('Form Responses (Power-up data)'!$C$2:$C1000, LOWER('Form Responses (Power-up data)'!$B$2:$B1000) = LOWER($B34)))"),"0")</f>
        <v>0</v>
      </c>
      <c r="X34" s="27">
        <v>0</v>
      </c>
      <c r="Y34" s="30" t="s">
        <v>678</v>
      </c>
    </row>
    <row r="35" spans="1:25" ht="12.75" x14ac:dyDescent="0.2">
      <c r="A35" s="11">
        <v>34</v>
      </c>
      <c r="B35" s="4" t="s">
        <v>67</v>
      </c>
      <c r="C35">
        <v>30.8</v>
      </c>
      <c r="D35">
        <v>33.299999999999997</v>
      </c>
      <c r="E35">
        <v>36</v>
      </c>
      <c r="F35" s="24">
        <f t="shared" si="9"/>
        <v>1.9</v>
      </c>
      <c r="G35" s="14" t="str">
        <f ca="1">IFERROR(__xludf.DUMMYFUNCTION("FILTER('Base Stats'!$C$2:$C1000, LOWER('Base Stats'!$B$2:$B1000) = LOWER($B35))"),"81")</f>
        <v>81</v>
      </c>
      <c r="H35">
        <v>2475</v>
      </c>
      <c r="I35" t="str">
        <f ca="1">IFERROR(__xludf.DUMMYFUNCTION("FLOOR(0.7903* (FILTER('Go Base Stats'!$C$2:$C1000, 'Go Base Stats'!$A$2:$A1000 = $A35)+15))"),"139")</f>
        <v>139</v>
      </c>
      <c r="J35" s="33"/>
      <c r="K35" s="33"/>
      <c r="L35" s="33"/>
      <c r="M35" s="27">
        <f t="shared" si="0"/>
        <v>34</v>
      </c>
      <c r="N35" s="28">
        <f t="shared" si="1"/>
        <v>2.058823529411773E-2</v>
      </c>
      <c r="P35" s="29">
        <v>34</v>
      </c>
      <c r="Q35" s="30" t="s">
        <v>527</v>
      </c>
      <c r="R35" s="31"/>
      <c r="U35" t="str">
        <f ca="1">IFERROR(__xludf.DUMMYFUNCTION("IFERROR(SUM(FILTER('Form Responses (Power-up data)'!$C$2:$C1000, LOWER('Form Responses (Power-up data)'!$B$2:$B1000) = LOWER($B35))), 0)"),"0")</f>
        <v>0</v>
      </c>
      <c r="V35" s="27">
        <v>34</v>
      </c>
      <c r="W35" t="str">
        <f ca="1">IFERROR(__xludf.DUMMYFUNCTION("COUNT(FILTER('Form Responses (Power-up data)'!$C$2:$C1000, LOWER('Form Responses (Power-up data)'!$B$2:$B1000) = LOWER($B35)))"),"0")</f>
        <v>0</v>
      </c>
      <c r="X35" s="27">
        <v>1</v>
      </c>
      <c r="Y35" s="30" t="s">
        <v>659</v>
      </c>
    </row>
    <row r="36" spans="1:25" ht="12.75" x14ac:dyDescent="0.2">
      <c r="A36" s="11">
        <v>35</v>
      </c>
      <c r="B36" s="4" t="s">
        <v>68</v>
      </c>
      <c r="C36">
        <v>13.9</v>
      </c>
      <c r="D36">
        <v>15.6</v>
      </c>
      <c r="E36">
        <v>17.5</v>
      </c>
      <c r="F36" s="24"/>
      <c r="G36" s="14" t="str">
        <f ca="1">IFERROR(__xludf.DUMMYFUNCTION("FILTER('Base Stats'!$C$2:$C1000, LOWER('Base Stats'!$B$2:$B1000) = LOWER($B36))"),"70")</f>
        <v>70</v>
      </c>
      <c r="H36">
        <v>1200</v>
      </c>
      <c r="I36" t="str">
        <f ca="1">IFERROR(__xludf.DUMMYFUNCTION("FLOOR(0.7903* (FILTER('Go Base Stats'!$C$2:$C1000, 'Go Base Stats'!$A$2:$A1000 = $A36)+15))"),"122")</f>
        <v>122</v>
      </c>
      <c r="J36" s="33"/>
      <c r="K36" s="33"/>
      <c r="L36" s="33"/>
      <c r="M36" s="27">
        <f t="shared" si="0"/>
        <v>16</v>
      </c>
      <c r="N36" s="28">
        <f t="shared" si="1"/>
        <v>2.5000000000000022E-2</v>
      </c>
      <c r="P36" s="29">
        <v>16</v>
      </c>
      <c r="Q36" s="30" t="s">
        <v>527</v>
      </c>
      <c r="R36" s="31"/>
      <c r="U36" t="str">
        <f ca="1">IFERROR(__xludf.DUMMYFUNCTION("IFERROR(SUM(FILTER('Form Responses (Power-up data)'!$C$2:$C1000, LOWER('Form Responses (Power-up data)'!$B$2:$B1000) = LOWER($B36))), 0)"),"0")</f>
        <v>0</v>
      </c>
      <c r="V36" s="27">
        <v>32</v>
      </c>
      <c r="W36" t="str">
        <f ca="1">IFERROR(__xludf.DUMMYFUNCTION("COUNT(FILTER('Form Responses (Power-up data)'!$C$2:$C1000, LOWER('Form Responses (Power-up data)'!$B$2:$B1000) = LOWER($B36)))"),"0")</f>
        <v>0</v>
      </c>
      <c r="X36" s="27">
        <v>2</v>
      </c>
      <c r="Y36" s="30" t="s">
        <v>659</v>
      </c>
    </row>
    <row r="37" spans="1:25" ht="12.75" x14ac:dyDescent="0.2">
      <c r="A37" s="11">
        <v>36</v>
      </c>
      <c r="B37" s="4" t="s">
        <v>69</v>
      </c>
      <c r="C37">
        <v>29.8</v>
      </c>
      <c r="D37">
        <v>32.299999999999997</v>
      </c>
      <c r="E37">
        <v>34.9</v>
      </c>
      <c r="F37" s="24">
        <f>ROUND(D37/D36, 1)</f>
        <v>2.1</v>
      </c>
      <c r="G37" s="14" t="str">
        <f ca="1">IFERROR(__xludf.DUMMYFUNCTION("FILTER('Base Stats'!$C$2:$C1000, LOWER('Base Stats'!$B$2:$B1000) = LOWER($B37))"),"95")</f>
        <v>95</v>
      </c>
      <c r="H37">
        <v>2397</v>
      </c>
      <c r="I37" t="str">
        <f ca="1">IFERROR(__xludf.DUMMYFUNCTION("FLOOR(0.7903* (FILTER('Go Base Stats'!$C$2:$C1000, 'Go Base Stats'!$A$2:$A1000 = $A37)+15))"),"162")</f>
        <v>162</v>
      </c>
      <c r="J37" s="33"/>
      <c r="K37" s="33"/>
      <c r="L37" s="33"/>
      <c r="M37" s="27">
        <f t="shared" si="0"/>
        <v>31.6</v>
      </c>
      <c r="N37" s="28">
        <f t="shared" si="1"/>
        <v>2.215189873417708E-2</v>
      </c>
      <c r="P37" s="29">
        <v>31.571428569999998</v>
      </c>
      <c r="Q37" s="30">
        <v>1.369685767</v>
      </c>
      <c r="R37" s="31"/>
      <c r="U37" t="str">
        <f ca="1">IFERROR(__xludf.DUMMYFUNCTION("IFERROR(SUM(FILTER('Form Responses (Power-up data)'!$C$2:$C1000, LOWER('Form Responses (Power-up data)'!$B$2:$B1000) = LOWER($B37))), 0)"),"0")</f>
        <v>0</v>
      </c>
      <c r="V37" s="27">
        <v>221</v>
      </c>
      <c r="W37" t="str">
        <f ca="1">IFERROR(__xludf.DUMMYFUNCTION("COUNT(FILTER('Form Responses (Power-up data)'!$C$2:$C1000, LOWER('Form Responses (Power-up data)'!$B$2:$B1000) = LOWER($B37)))"),"0")</f>
        <v>0</v>
      </c>
      <c r="X37" s="27">
        <v>7</v>
      </c>
      <c r="Y37" s="30" t="s">
        <v>679</v>
      </c>
    </row>
    <row r="38" spans="1:25" ht="12.75" x14ac:dyDescent="0.2">
      <c r="A38" s="11">
        <v>37</v>
      </c>
      <c r="B38" s="4" t="s">
        <v>70</v>
      </c>
      <c r="C38">
        <v>9.1</v>
      </c>
      <c r="D38">
        <v>10.6</v>
      </c>
      <c r="E38">
        <v>12.1</v>
      </c>
      <c r="F38" s="24"/>
      <c r="G38" s="14" t="str">
        <f ca="1">IFERROR(__xludf.DUMMYFUNCTION("FILTER('Base Stats'!$C$2:$C1000, LOWER('Base Stats'!$B$2:$B1000) = LOWER($B38))"),"38")</f>
        <v>38</v>
      </c>
      <c r="H38">
        <v>831</v>
      </c>
      <c r="I38" t="str">
        <f ca="1">IFERROR(__xludf.DUMMYFUNCTION("FLOOR(0.7903* (FILTER('Go Base Stats'!$C$2:$C1000, 'Go Base Stats'!$A$2:$A1000 = $A38)+15))"),"71")</f>
        <v>71</v>
      </c>
      <c r="J38" s="33"/>
      <c r="K38" s="33"/>
      <c r="L38" s="33"/>
      <c r="M38" s="27">
        <f t="shared" si="0"/>
        <v>12</v>
      </c>
      <c r="N38" s="28">
        <f t="shared" si="1"/>
        <v>0.1166666666666667</v>
      </c>
      <c r="P38" s="29">
        <v>12</v>
      </c>
      <c r="Q38" s="30" t="s">
        <v>527</v>
      </c>
      <c r="R38" s="31"/>
      <c r="U38" t="str">
        <f ca="1">IFERROR(__xludf.DUMMYFUNCTION("IFERROR(SUM(FILTER('Form Responses (Power-up data)'!$C$2:$C1000, LOWER('Form Responses (Power-up data)'!$B$2:$B1000) = LOWER($B38))), 0)"),"0")</f>
        <v>0</v>
      </c>
      <c r="V38" s="27">
        <v>12</v>
      </c>
      <c r="W38" t="str">
        <f ca="1">IFERROR(__xludf.DUMMYFUNCTION("COUNT(FILTER('Form Responses (Power-up data)'!$C$2:$C1000, LOWER('Form Responses (Power-up data)'!$B$2:$B1000) = LOWER($B38)))"),"0")</f>
        <v>0</v>
      </c>
      <c r="X38" s="27">
        <v>1</v>
      </c>
      <c r="Y38" s="30" t="s">
        <v>659</v>
      </c>
    </row>
    <row r="39" spans="1:25" ht="12.75" x14ac:dyDescent="0.2">
      <c r="A39" s="11">
        <v>38</v>
      </c>
      <c r="B39" s="4" t="s">
        <v>71</v>
      </c>
      <c r="C39">
        <v>26.9</v>
      </c>
      <c r="D39">
        <v>29.3</v>
      </c>
      <c r="E39">
        <v>31.8</v>
      </c>
      <c r="F39" s="24">
        <f>ROUND(D39/D38, 1)</f>
        <v>2.8</v>
      </c>
      <c r="G39" s="14" t="str">
        <f ca="1">IFERROR(__xludf.DUMMYFUNCTION("FILTER('Base Stats'!$C$2:$C1000, LOWER('Base Stats'!$B$2:$B1000) = LOWER($B39))"),"73")</f>
        <v>73</v>
      </c>
      <c r="H39">
        <v>2188</v>
      </c>
      <c r="I39" t="str">
        <f ca="1">IFERROR(__xludf.DUMMYFUNCTION("FLOOR(0.7903* (FILTER('Go Base Stats'!$C$2:$C1000, 'Go Base Stats'!$A$2:$A1000 = $A39)+15))"),"127")</f>
        <v>127</v>
      </c>
      <c r="J39" s="33"/>
      <c r="K39" s="33"/>
      <c r="L39" s="33"/>
      <c r="M39" s="27">
        <f t="shared" si="0"/>
        <v>31</v>
      </c>
      <c r="N39" s="28">
        <f t="shared" si="1"/>
        <v>5.4838709677419335E-2</v>
      </c>
      <c r="P39" s="29">
        <v>31</v>
      </c>
      <c r="Q39" s="30" t="s">
        <v>527</v>
      </c>
      <c r="R39" s="34"/>
      <c r="U39" t="str">
        <f ca="1">IFERROR(__xludf.DUMMYFUNCTION("IFERROR(SUM(FILTER('Form Responses (Power-up data)'!$C$2:$C1000, LOWER('Form Responses (Power-up data)'!$B$2:$B1000) = LOWER($B39))), 0)"),"0")</f>
        <v>0</v>
      </c>
      <c r="V39" s="27">
        <v>31</v>
      </c>
      <c r="W39" t="str">
        <f ca="1">IFERROR(__xludf.DUMMYFUNCTION("COUNT(FILTER('Form Responses (Power-up data)'!$C$2:$C1000, LOWER('Form Responses (Power-up data)'!$B$2:$B1000) = LOWER($B39)))"),"0")</f>
        <v>0</v>
      </c>
      <c r="X39" s="27">
        <v>1</v>
      </c>
      <c r="Y39" s="30" t="s">
        <v>659</v>
      </c>
    </row>
    <row r="40" spans="1:25" ht="12.75" x14ac:dyDescent="0.2">
      <c r="A40" s="11">
        <v>39</v>
      </c>
      <c r="B40" s="4" t="s">
        <v>72</v>
      </c>
      <c r="C40">
        <v>9.9</v>
      </c>
      <c r="D40">
        <v>11.6</v>
      </c>
      <c r="E40">
        <v>13.4</v>
      </c>
      <c r="F40" s="24"/>
      <c r="G40" s="14" t="str">
        <f ca="1">IFERROR(__xludf.DUMMYFUNCTION("FILTER('Base Stats'!$C$2:$C1000, LOWER('Base Stats'!$B$2:$B1000) = LOWER($B40))"),"115")</f>
        <v>115</v>
      </c>
      <c r="H40">
        <v>917</v>
      </c>
      <c r="I40" t="str">
        <f ca="1">IFERROR(__xludf.DUMMYFUNCTION("FLOOR(0.7903* (FILTER('Go Base Stats'!$C$2:$C1000, 'Go Base Stats'!$A$2:$A1000 = $A40)+15))"),"193")</f>
        <v>193</v>
      </c>
      <c r="J40" s="33"/>
      <c r="K40" s="33"/>
      <c r="L40" s="33"/>
      <c r="M40" s="27">
        <f t="shared" si="0"/>
        <v>11</v>
      </c>
      <c r="N40" s="28">
        <f t="shared" si="1"/>
        <v>5.4545454545454515E-2</v>
      </c>
      <c r="P40" s="29">
        <v>11</v>
      </c>
      <c r="Q40" s="30" t="s">
        <v>527</v>
      </c>
      <c r="R40" s="31"/>
      <c r="U40" t="str">
        <f ca="1">IFERROR(__xludf.DUMMYFUNCTION("IFERROR(SUM(FILTER('Form Responses (Power-up data)'!$C$2:$C1000, LOWER('Form Responses (Power-up data)'!$B$2:$B1000) = LOWER($B40))), 0)"),"0")</f>
        <v>0</v>
      </c>
      <c r="V40" s="27">
        <v>11</v>
      </c>
      <c r="W40" t="str">
        <f ca="1">IFERROR(__xludf.DUMMYFUNCTION("COUNT(FILTER('Form Responses (Power-up data)'!$C$2:$C1000, LOWER('Form Responses (Power-up data)'!$B$2:$B1000) = LOWER($B40)))"),"0")</f>
        <v>0</v>
      </c>
      <c r="X40" s="27">
        <v>1</v>
      </c>
      <c r="Y40" s="30" t="s">
        <v>659</v>
      </c>
    </row>
    <row r="41" spans="1:25" ht="12.75" x14ac:dyDescent="0.2">
      <c r="A41" s="11">
        <v>40</v>
      </c>
      <c r="B41" s="4" t="s">
        <v>73</v>
      </c>
      <c r="C41">
        <v>26.6</v>
      </c>
      <c r="D41">
        <v>29.1</v>
      </c>
      <c r="E41">
        <v>31.7</v>
      </c>
      <c r="F41" s="24">
        <f>ROUND(D41/D40, 1)</f>
        <v>2.5</v>
      </c>
      <c r="G41" s="14" t="str">
        <f ca="1">IFERROR(__xludf.DUMMYFUNCTION("FILTER('Base Stats'!$C$2:$C1000, LOWER('Base Stats'!$B$2:$B1000) = LOWER($B41))"),"140")</f>
        <v>140</v>
      </c>
      <c r="H41">
        <v>2177</v>
      </c>
      <c r="I41" t="str">
        <f ca="1">IFERROR(__xludf.DUMMYFUNCTION("FLOOR(0.7903* (FILTER('Go Base Stats'!$C$2:$C1000, 'Go Base Stats'!$A$2:$A1000 = $A41)+15))"),"233")</f>
        <v>233</v>
      </c>
      <c r="J41" s="33"/>
      <c r="K41" s="33"/>
      <c r="L41" s="33"/>
      <c r="M41" s="27">
        <f t="shared" si="0"/>
        <v>31</v>
      </c>
      <c r="N41" s="28">
        <f t="shared" si="1"/>
        <v>6.1290322580645117E-2</v>
      </c>
      <c r="P41" s="29">
        <v>31</v>
      </c>
      <c r="Q41" s="30" t="s">
        <v>527</v>
      </c>
      <c r="R41" s="34"/>
      <c r="U41" t="str">
        <f ca="1">IFERROR(__xludf.DUMMYFUNCTION("IFERROR(SUM(FILTER('Form Responses (Power-up data)'!$C$2:$C1000, LOWER('Form Responses (Power-up data)'!$B$2:$B1000) = LOWER($B41))), 0)"),"0")</f>
        <v>0</v>
      </c>
      <c r="V41" s="27">
        <v>31</v>
      </c>
      <c r="W41" t="str">
        <f ca="1">IFERROR(__xludf.DUMMYFUNCTION("COUNT(FILTER('Form Responses (Power-up data)'!$C$2:$C1000, LOWER('Form Responses (Power-up data)'!$B$2:$B1000) = LOWER($B41)))"),"0")</f>
        <v>0</v>
      </c>
      <c r="X41" s="27">
        <v>1</v>
      </c>
      <c r="Y41" s="30" t="s">
        <v>659</v>
      </c>
    </row>
    <row r="42" spans="1:25" ht="12.75" x14ac:dyDescent="0.2">
      <c r="A42" s="11">
        <v>41</v>
      </c>
      <c r="B42" s="4" t="s">
        <v>74</v>
      </c>
      <c r="C42">
        <v>6.8</v>
      </c>
      <c r="D42">
        <v>8</v>
      </c>
      <c r="E42">
        <v>9.4</v>
      </c>
      <c r="F42" s="24"/>
      <c r="G42" s="14" t="str">
        <f ca="1">IFERROR(__xludf.DUMMYFUNCTION("FILTER('Base Stats'!$C$2:$C1000, LOWER('Base Stats'!$B$2:$B1000) = LOWER($B42))"),"40")</f>
        <v>40</v>
      </c>
      <c r="H42">
        <v>642</v>
      </c>
      <c r="I42" t="str">
        <f ca="1">IFERROR(__xludf.DUMMYFUNCTION("FLOOR(0.7903* (FILTER('Go Base Stats'!$C$2:$C1000, 'Go Base Stats'!$A$2:$A1000 = $A42)+15))"),"75")</f>
        <v>75</v>
      </c>
      <c r="J42" s="33"/>
      <c r="K42" s="33"/>
      <c r="L42" s="33"/>
      <c r="M42" s="27">
        <f t="shared" si="0"/>
        <v>8.5</v>
      </c>
      <c r="N42" s="28">
        <f t="shared" si="1"/>
        <v>5.8823529411764705E-2</v>
      </c>
      <c r="P42" s="29">
        <v>10.33333333</v>
      </c>
      <c r="Q42" s="30" t="s">
        <v>527</v>
      </c>
      <c r="R42" s="42">
        <v>8.5</v>
      </c>
      <c r="U42" t="str">
        <f ca="1">IFERROR(__xludf.DUMMYFUNCTION("IFERROR(SUM(FILTER('Form Responses (Power-up data)'!$C$2:$C1000, LOWER('Form Responses (Power-up data)'!$B$2:$B1000) = LOWER($B42))), 0)"),"0")</f>
        <v>0</v>
      </c>
      <c r="V42" s="27">
        <v>31</v>
      </c>
      <c r="W42" t="str">
        <f ca="1">IFERROR(__xludf.DUMMYFUNCTION("COUNT(FILTER('Form Responses (Power-up data)'!$C$2:$C1000, LOWER('Form Responses (Power-up data)'!$B$2:$B1000) = LOWER($B42)))"),"0")</f>
        <v>0</v>
      </c>
      <c r="X42" s="27">
        <v>3</v>
      </c>
      <c r="Y42" s="30" t="s">
        <v>659</v>
      </c>
    </row>
    <row r="43" spans="1:25" ht="12.75" x14ac:dyDescent="0.2">
      <c r="A43" s="11">
        <v>42</v>
      </c>
      <c r="B43" s="4" t="s">
        <v>75</v>
      </c>
      <c r="C43">
        <v>23.4</v>
      </c>
      <c r="D43">
        <v>25.6</v>
      </c>
      <c r="E43">
        <v>28</v>
      </c>
      <c r="F43" s="24">
        <f>ROUND(D43/D42, 1)</f>
        <v>3.2</v>
      </c>
      <c r="G43" s="14" t="str">
        <f ca="1">IFERROR(__xludf.DUMMYFUNCTION("FILTER('Base Stats'!$C$2:$C1000, LOWER('Base Stats'!$B$2:$B1000) = LOWER($B43))"),"75")</f>
        <v>75</v>
      </c>
      <c r="H43">
        <v>1921</v>
      </c>
      <c r="I43" t="str">
        <f ca="1">IFERROR(__xludf.DUMMYFUNCTION("FLOOR(0.7903* (FILTER('Go Base Stats'!$C$2:$C1000, 'Go Base Stats'!$A$2:$A1000 = $A43)+15))"),"130")</f>
        <v>130</v>
      </c>
      <c r="J43" s="33"/>
      <c r="K43" s="33"/>
      <c r="L43" s="33"/>
      <c r="M43" s="27">
        <f t="shared" si="0"/>
        <v>26.7</v>
      </c>
      <c r="N43" s="28">
        <f t="shared" si="1"/>
        <v>4.1198501872659096E-2</v>
      </c>
      <c r="P43" s="29">
        <v>26.714285709999999</v>
      </c>
      <c r="Q43" s="30">
        <v>3.1312710610000001</v>
      </c>
      <c r="R43" s="34"/>
      <c r="U43" t="str">
        <f ca="1">IFERROR(__xludf.DUMMYFUNCTION("IFERROR(SUM(FILTER('Form Responses (Power-up data)'!$C$2:$C1000, LOWER('Form Responses (Power-up data)'!$B$2:$B1000) = LOWER($B43))), 0)"),"0")</f>
        <v>0</v>
      </c>
      <c r="V43" s="27">
        <v>187</v>
      </c>
      <c r="W43" t="str">
        <f ca="1">IFERROR(__xludf.DUMMYFUNCTION("COUNT(FILTER('Form Responses (Power-up data)'!$C$2:$C1000, LOWER('Form Responses (Power-up data)'!$B$2:$B1000) = LOWER($B43)))"),"0")</f>
        <v>0</v>
      </c>
      <c r="X43" s="27">
        <v>7</v>
      </c>
      <c r="Y43" s="30" t="s">
        <v>680</v>
      </c>
    </row>
    <row r="44" spans="1:25" ht="12.75" x14ac:dyDescent="0.2">
      <c r="A44" s="11">
        <v>43</v>
      </c>
      <c r="B44" s="4" t="s">
        <v>76</v>
      </c>
      <c r="C44">
        <v>13.2</v>
      </c>
      <c r="D44">
        <v>14.9</v>
      </c>
      <c r="E44">
        <v>16.7</v>
      </c>
      <c r="F44" s="24"/>
      <c r="G44" s="14" t="str">
        <f ca="1">IFERROR(__xludf.DUMMYFUNCTION("FILTER('Base Stats'!$C$2:$C1000, LOWER('Base Stats'!$B$2:$B1000) = LOWER($B44))"),"45")</f>
        <v>45</v>
      </c>
      <c r="H44">
        <v>1148</v>
      </c>
      <c r="I44" t="str">
        <f ca="1">IFERROR(__xludf.DUMMYFUNCTION("FLOOR(0.7903* (FILTER('Go Base Stats'!$C$2:$C1000, 'Go Base Stats'!$A$2:$A1000 = $A44)+15))"),"82")</f>
        <v>82</v>
      </c>
      <c r="J44" s="33"/>
      <c r="K44" s="33"/>
      <c r="L44" s="33"/>
      <c r="M44" s="27">
        <f t="shared" si="0"/>
        <v>15</v>
      </c>
      <c r="N44" s="28">
        <f t="shared" si="1"/>
        <v>6.6666666666666428E-3</v>
      </c>
      <c r="P44" s="29">
        <v>15</v>
      </c>
      <c r="Q44" s="30">
        <v>1.500917431</v>
      </c>
      <c r="R44" s="31"/>
      <c r="U44" t="str">
        <f ca="1">IFERROR(__xludf.DUMMYFUNCTION("IFERROR(SUM(FILTER('Form Responses (Power-up data)'!$C$2:$C1000, LOWER('Form Responses (Power-up data)'!$B$2:$B1000) = LOWER($B44))), 0)"),"0")</f>
        <v>0</v>
      </c>
      <c r="V44" s="27">
        <v>30</v>
      </c>
      <c r="W44" t="str">
        <f ca="1">IFERROR(__xludf.DUMMYFUNCTION("COUNT(FILTER('Form Responses (Power-up data)'!$C$2:$C1000, LOWER('Form Responses (Power-up data)'!$B$2:$B1000) = LOWER($B44)))"),"0")</f>
        <v>0</v>
      </c>
      <c r="X44" s="27">
        <v>2</v>
      </c>
      <c r="Y44" s="30" t="s">
        <v>681</v>
      </c>
    </row>
    <row r="45" spans="1:25" ht="12.75" x14ac:dyDescent="0.2">
      <c r="A45" s="11">
        <v>44</v>
      </c>
      <c r="B45" s="4" t="s">
        <v>77</v>
      </c>
      <c r="C45">
        <v>20.3</v>
      </c>
      <c r="D45">
        <v>22.4</v>
      </c>
      <c r="E45">
        <v>24.6</v>
      </c>
      <c r="F45" s="24">
        <f t="shared" ref="F45:F46" si="10">ROUND(D45/D44, 1)</f>
        <v>1.5</v>
      </c>
      <c r="G45" s="14" t="str">
        <f ca="1">IFERROR(__xludf.DUMMYFUNCTION("FILTER('Base Stats'!$C$2:$C1000, LOWER('Base Stats'!$B$2:$B1000) = LOWER($B45))"),"60")</f>
        <v>60</v>
      </c>
      <c r="H45">
        <v>1689</v>
      </c>
      <c r="I45" t="str">
        <f ca="1">IFERROR(__xludf.DUMMYFUNCTION("FLOOR(0.7903* (FILTER('Go Base Stats'!$C$2:$C1000, 'Go Base Stats'!$A$2:$A1000 = $A45)+15))"),"106")</f>
        <v>106</v>
      </c>
      <c r="J45" s="33"/>
      <c r="K45" s="33"/>
      <c r="L45" s="33"/>
      <c r="M45" s="27">
        <f t="shared" si="0"/>
        <v>21</v>
      </c>
      <c r="N45" s="28">
        <f t="shared" si="1"/>
        <v>6.6666666666666596E-2</v>
      </c>
      <c r="P45" s="29">
        <v>21</v>
      </c>
      <c r="Q45" s="30">
        <v>1.510344828</v>
      </c>
      <c r="R45" s="31"/>
      <c r="U45" t="str">
        <f ca="1">IFERROR(__xludf.DUMMYFUNCTION("IFERROR(SUM(FILTER('Form Responses (Power-up data)'!$C$2:$C1000, LOWER('Form Responses (Power-up data)'!$B$2:$B1000) = LOWER($B45))), 0)"),"0")</f>
        <v>0</v>
      </c>
      <c r="V45" s="27">
        <v>21</v>
      </c>
      <c r="W45" t="str">
        <f ca="1">IFERROR(__xludf.DUMMYFUNCTION("COUNT(FILTER('Form Responses (Power-up data)'!$C$2:$C1000, LOWER('Form Responses (Power-up data)'!$B$2:$B1000) = LOWER($B45)))"),"0")</f>
        <v>0</v>
      </c>
      <c r="X45" s="27">
        <v>1</v>
      </c>
      <c r="Y45" s="30" t="s">
        <v>682</v>
      </c>
    </row>
    <row r="46" spans="1:25" ht="12.75" x14ac:dyDescent="0.2">
      <c r="A46" s="11">
        <v>45</v>
      </c>
      <c r="B46" s="4" t="s">
        <v>78</v>
      </c>
      <c r="C46">
        <v>31</v>
      </c>
      <c r="D46">
        <v>33.6</v>
      </c>
      <c r="E46">
        <v>36.299999999999997</v>
      </c>
      <c r="F46" s="24">
        <f t="shared" si="10"/>
        <v>1.5</v>
      </c>
      <c r="G46" s="14" t="str">
        <f ca="1">IFERROR(__xludf.DUMMYFUNCTION("FILTER('Base Stats'!$C$2:$C1000, LOWER('Base Stats'!$B$2:$B1000) = LOWER($B46))"),"75")</f>
        <v>75</v>
      </c>
      <c r="H46">
        <v>2492</v>
      </c>
      <c r="I46" t="str">
        <f ca="1">IFERROR(__xludf.DUMMYFUNCTION("FLOOR(0.7903* (FILTER('Go Base Stats'!$C$2:$C1000, 'Go Base Stats'!$A$2:$A1000 = $A46)+15))"),"130")</f>
        <v>130</v>
      </c>
      <c r="J46" s="33"/>
      <c r="K46" s="33"/>
      <c r="L46" s="33"/>
      <c r="M46" s="27">
        <f t="shared" si="0"/>
        <v>34</v>
      </c>
      <c r="N46" s="28">
        <f t="shared" si="1"/>
        <v>1.1764705882352899E-2</v>
      </c>
      <c r="P46" s="29">
        <v>34</v>
      </c>
      <c r="Q46" s="30">
        <v>1.4926160340000001</v>
      </c>
      <c r="R46" s="31"/>
      <c r="U46" t="str">
        <f ca="1">IFERROR(__xludf.DUMMYFUNCTION("IFERROR(SUM(FILTER('Form Responses (Power-up data)'!$C$2:$C1000, LOWER('Form Responses (Power-up data)'!$B$2:$B1000) = LOWER($B46))), 0)"),"0")</f>
        <v>0</v>
      </c>
      <c r="V46" s="27">
        <v>34</v>
      </c>
      <c r="W46" t="str">
        <f ca="1">IFERROR(__xludf.DUMMYFUNCTION("COUNT(FILTER('Form Responses (Power-up data)'!$C$2:$C1000, LOWER('Form Responses (Power-up data)'!$B$2:$B1000) = LOWER($B46)))"),"0")</f>
        <v>0</v>
      </c>
      <c r="X46" s="27">
        <v>1</v>
      </c>
      <c r="Y46" s="30" t="s">
        <v>683</v>
      </c>
    </row>
    <row r="47" spans="1:25" ht="12.75" x14ac:dyDescent="0.2">
      <c r="A47" s="11">
        <v>46</v>
      </c>
      <c r="B47" s="4" t="s">
        <v>79</v>
      </c>
      <c r="C47">
        <v>10.199999999999999</v>
      </c>
      <c r="D47">
        <v>11.7</v>
      </c>
      <c r="E47">
        <v>13.3</v>
      </c>
      <c r="F47" s="24"/>
      <c r="G47" s="14" t="str">
        <f ca="1">IFERROR(__xludf.DUMMYFUNCTION("FILTER('Base Stats'!$C$2:$C1000, LOWER('Base Stats'!$B$2:$B1000) = LOWER($B47))"),"35")</f>
        <v>35</v>
      </c>
      <c r="H47">
        <v>916</v>
      </c>
      <c r="I47" t="str">
        <f ca="1">IFERROR(__xludf.DUMMYFUNCTION("FLOOR(0.7903* (FILTER('Go Base Stats'!$C$2:$C1000, 'Go Base Stats'!$A$2:$A1000 = $A47)+15))"),"67")</f>
        <v>67</v>
      </c>
      <c r="J47" s="33"/>
      <c r="K47" s="33"/>
      <c r="L47" s="33"/>
      <c r="M47" s="27">
        <f t="shared" si="0"/>
        <v>12</v>
      </c>
      <c r="N47" s="28">
        <f t="shared" si="1"/>
        <v>2.500000000000006E-2</v>
      </c>
      <c r="P47" s="29">
        <v>12</v>
      </c>
      <c r="Q47" s="30" t="s">
        <v>527</v>
      </c>
      <c r="R47" s="31"/>
      <c r="U47" t="str">
        <f ca="1">IFERROR(__xludf.DUMMYFUNCTION("IFERROR(SUM(FILTER('Form Responses (Power-up data)'!$C$2:$C1000, LOWER('Form Responses (Power-up data)'!$B$2:$B1000) = LOWER($B47))), 0)"),"0")</f>
        <v>0</v>
      </c>
      <c r="V47" s="27">
        <v>12</v>
      </c>
      <c r="W47" t="str">
        <f ca="1">IFERROR(__xludf.DUMMYFUNCTION("COUNT(FILTER('Form Responses (Power-up data)'!$C$2:$C1000, LOWER('Form Responses (Power-up data)'!$B$2:$B1000) = LOWER($B47)))"),"0")</f>
        <v>0</v>
      </c>
      <c r="X47" s="27">
        <v>1</v>
      </c>
      <c r="Y47" s="30" t="s">
        <v>659</v>
      </c>
    </row>
    <row r="48" spans="1:25" ht="12.75" x14ac:dyDescent="0.2">
      <c r="A48" s="11">
        <v>47</v>
      </c>
      <c r="B48" s="4" t="s">
        <v>80</v>
      </c>
      <c r="C48">
        <v>21</v>
      </c>
      <c r="D48">
        <v>23.2</v>
      </c>
      <c r="E48">
        <v>25.4</v>
      </c>
      <c r="F48" s="24">
        <f>ROUND(D48/D47, 1)</f>
        <v>2</v>
      </c>
      <c r="G48" s="14" t="str">
        <f ca="1">IFERROR(__xludf.DUMMYFUNCTION("FILTER('Base Stats'!$C$2:$C1000, LOWER('Base Stats'!$B$2:$B1000) = LOWER($B48))"),"60")</f>
        <v>60</v>
      </c>
      <c r="H48">
        <v>1747</v>
      </c>
      <c r="I48" t="str">
        <f ca="1">IFERROR(__xludf.DUMMYFUNCTION("FLOOR(0.7903* (FILTER('Go Base Stats'!$C$2:$C1000, 'Go Base Stats'!$A$2:$A1000 = $A48)+15))"),"106")</f>
        <v>106</v>
      </c>
      <c r="J48" s="33"/>
      <c r="K48" s="33"/>
      <c r="L48" s="33"/>
      <c r="M48" s="27">
        <f t="shared" si="0"/>
        <v>23.3</v>
      </c>
      <c r="N48" s="28">
        <f t="shared" si="1"/>
        <v>4.2918454935622925E-3</v>
      </c>
      <c r="P48" s="29">
        <v>23.333333329999999</v>
      </c>
      <c r="Q48" s="30">
        <v>1.953617309</v>
      </c>
      <c r="R48" s="34"/>
      <c r="U48" t="str">
        <f ca="1">IFERROR(__xludf.DUMMYFUNCTION("IFERROR(SUM(FILTER('Form Responses (Power-up data)'!$C$2:$C1000, LOWER('Form Responses (Power-up data)'!$B$2:$B1000) = LOWER($B48))), 0)"),"0")</f>
        <v>0</v>
      </c>
      <c r="V48" s="27">
        <v>70</v>
      </c>
      <c r="W48" t="str">
        <f ca="1">IFERROR(__xludf.DUMMYFUNCTION("COUNT(FILTER('Form Responses (Power-up data)'!$C$2:$C1000, LOWER('Form Responses (Power-up data)'!$B$2:$B1000) = LOWER($B48)))"),"0")</f>
        <v>0</v>
      </c>
      <c r="X48" s="27">
        <v>3</v>
      </c>
      <c r="Y48" s="30" t="s">
        <v>684</v>
      </c>
    </row>
    <row r="49" spans="1:25" ht="12.75" x14ac:dyDescent="0.2">
      <c r="A49" s="11">
        <v>48</v>
      </c>
      <c r="B49" s="4" t="s">
        <v>81</v>
      </c>
      <c r="C49">
        <v>11.7</v>
      </c>
      <c r="D49">
        <v>13.3</v>
      </c>
      <c r="E49">
        <v>15</v>
      </c>
      <c r="F49" s="24"/>
      <c r="G49" s="14" t="str">
        <f ca="1">IFERROR(__xludf.DUMMYFUNCTION("FILTER('Base Stats'!$C$2:$C1000, LOWER('Base Stats'!$B$2:$B1000) = LOWER($B49))"),"60")</f>
        <v>60</v>
      </c>
      <c r="H49">
        <v>1029</v>
      </c>
      <c r="I49" t="str">
        <f ca="1">IFERROR(__xludf.DUMMYFUNCTION("FLOOR(0.7903* (FILTER('Go Base Stats'!$C$2:$C1000, 'Go Base Stats'!$A$2:$A1000 = $A49)+15))"),"106")</f>
        <v>106</v>
      </c>
      <c r="J49" s="33"/>
      <c r="K49" s="33"/>
      <c r="L49" s="33"/>
      <c r="M49" s="27">
        <f t="shared" si="0"/>
        <v>14</v>
      </c>
      <c r="N49" s="28">
        <f t="shared" si="1"/>
        <v>4.9999999999999947E-2</v>
      </c>
      <c r="P49" s="29">
        <v>14</v>
      </c>
      <c r="Q49" s="30" t="s">
        <v>527</v>
      </c>
      <c r="R49" s="31"/>
      <c r="U49" t="str">
        <f ca="1">IFERROR(__xludf.DUMMYFUNCTION("IFERROR(SUM(FILTER('Form Responses (Power-up data)'!$C$2:$C1000, LOWER('Form Responses (Power-up data)'!$B$2:$B1000) = LOWER($B49))), 0)"),"0")</f>
        <v>0</v>
      </c>
      <c r="V49" s="27">
        <v>14</v>
      </c>
      <c r="W49" t="str">
        <f ca="1">IFERROR(__xludf.DUMMYFUNCTION("COUNT(FILTER('Form Responses (Power-up data)'!$C$2:$C1000, LOWER('Form Responses (Power-up data)'!$B$2:$B1000) = LOWER($B49)))"),"0")</f>
        <v>0</v>
      </c>
      <c r="X49" s="27">
        <v>1</v>
      </c>
      <c r="Y49" s="30" t="s">
        <v>659</v>
      </c>
    </row>
    <row r="50" spans="1:25" ht="12.75" x14ac:dyDescent="0.2">
      <c r="A50" s="11">
        <v>49</v>
      </c>
      <c r="B50" s="4" t="s">
        <v>82</v>
      </c>
      <c r="C50">
        <v>23</v>
      </c>
      <c r="D50">
        <v>25.2</v>
      </c>
      <c r="E50">
        <v>27.5</v>
      </c>
      <c r="F50" s="24">
        <f>ROUND(D50/D49, 1)</f>
        <v>1.9</v>
      </c>
      <c r="G50" s="14" t="str">
        <f ca="1">IFERROR(__xludf.DUMMYFUNCTION("FILTER('Base Stats'!$C$2:$C1000, LOWER('Base Stats'!$B$2:$B1000) = LOWER($B50))"),"70")</f>
        <v>70</v>
      </c>
      <c r="H50">
        <v>1890</v>
      </c>
      <c r="I50" t="str">
        <f ca="1">IFERROR(__xludf.DUMMYFUNCTION("FLOOR(0.7903* (FILTER('Go Base Stats'!$C$2:$C1000, 'Go Base Stats'!$A$2:$A1000 = $A50)+15))"),"122")</f>
        <v>122</v>
      </c>
      <c r="J50" s="33"/>
      <c r="K50" s="33"/>
      <c r="L50" s="33"/>
      <c r="M50" s="27">
        <f t="shared" si="0"/>
        <v>26.5</v>
      </c>
      <c r="N50" s="28">
        <f t="shared" si="1"/>
        <v>4.9056603773584929E-2</v>
      </c>
      <c r="P50" s="29">
        <v>26.5</v>
      </c>
      <c r="Q50" s="30">
        <v>1.860963465</v>
      </c>
      <c r="R50" s="45"/>
      <c r="U50" t="str">
        <f ca="1">IFERROR(__xludf.DUMMYFUNCTION("IFERROR(SUM(FILTER('Form Responses (Power-up data)'!$C$2:$C1000, LOWER('Form Responses (Power-up data)'!$B$2:$B1000) = LOWER($B50))), 0)"),"0")</f>
        <v>0</v>
      </c>
      <c r="V50" s="27">
        <v>53</v>
      </c>
      <c r="W50" t="str">
        <f ca="1">IFERROR(__xludf.DUMMYFUNCTION("COUNT(FILTER('Form Responses (Power-up data)'!$C$2:$C1000, LOWER('Form Responses (Power-up data)'!$B$2:$B1000) = LOWER($B50)))"),"0")</f>
        <v>0</v>
      </c>
      <c r="X50" s="27">
        <v>2</v>
      </c>
      <c r="Y50" s="30" t="s">
        <v>685</v>
      </c>
    </row>
    <row r="51" spans="1:25" ht="12.75" x14ac:dyDescent="0.2">
      <c r="A51" s="11">
        <v>50</v>
      </c>
      <c r="B51" s="4" t="s">
        <v>83</v>
      </c>
      <c r="C51">
        <v>4.0999999999999996</v>
      </c>
      <c r="D51">
        <v>5.3</v>
      </c>
      <c r="E51">
        <v>6.6</v>
      </c>
      <c r="F51" s="24"/>
      <c r="G51" s="14" t="str">
        <f ca="1">IFERROR(__xludf.DUMMYFUNCTION("FILTER('Base Stats'!$C$2:$C1000, LOWER('Base Stats'!$B$2:$B1000) = LOWER($B51))"),"10")</f>
        <v>10</v>
      </c>
      <c r="H51">
        <v>456</v>
      </c>
      <c r="I51" t="str">
        <f ca="1">IFERROR(__xludf.DUMMYFUNCTION("FLOOR(0.7903* (FILTER('Go Base Stats'!$C$2:$C1000, 'Go Base Stats'!$A$2:$A1000 = $A51)+15))"),"27")</f>
        <v>27</v>
      </c>
      <c r="J51" s="33"/>
      <c r="K51" s="33"/>
      <c r="L51" s="33"/>
      <c r="M51" s="27">
        <f t="shared" si="0"/>
        <v>7</v>
      </c>
      <c r="N51" s="28">
        <f t="shared" si="1"/>
        <v>0.24285714285714288</v>
      </c>
      <c r="P51" s="29">
        <v>7</v>
      </c>
      <c r="Q51" s="30" t="s">
        <v>527</v>
      </c>
      <c r="R51" s="46"/>
      <c r="U51" t="str">
        <f ca="1">IFERROR(__xludf.DUMMYFUNCTION("IFERROR(SUM(FILTER('Form Responses (Power-up data)'!$C$2:$C1000, LOWER('Form Responses (Power-up data)'!$B$2:$B1000) = LOWER($B51))), 0)"),"0")</f>
        <v>0</v>
      </c>
      <c r="V51" s="27">
        <v>7</v>
      </c>
      <c r="W51" t="str">
        <f ca="1">IFERROR(__xludf.DUMMYFUNCTION("COUNT(FILTER('Form Responses (Power-up data)'!$C$2:$C1000, LOWER('Form Responses (Power-up data)'!$B$2:$B1000) = LOWER($B51)))"),"0")</f>
        <v>0</v>
      </c>
      <c r="X51" s="27">
        <v>1</v>
      </c>
      <c r="Y51" s="30" t="s">
        <v>659</v>
      </c>
    </row>
    <row r="52" spans="1:25" ht="12.75" x14ac:dyDescent="0.2">
      <c r="A52" s="11">
        <v>51</v>
      </c>
      <c r="B52" s="4" t="s">
        <v>84</v>
      </c>
      <c r="C52">
        <v>13.3</v>
      </c>
      <c r="D52">
        <v>15.1</v>
      </c>
      <c r="E52">
        <v>17</v>
      </c>
      <c r="F52" s="24">
        <f>ROUND(D52/D51, 1)</f>
        <v>2.8</v>
      </c>
      <c r="G52" s="14" t="str">
        <f ca="1">IFERROR(__xludf.DUMMYFUNCTION("FILTER('Base Stats'!$C$2:$C1000, LOWER('Base Stats'!$B$2:$B1000) = LOWER($B52))"),"35")</f>
        <v>35</v>
      </c>
      <c r="H52">
        <v>1168</v>
      </c>
      <c r="I52" t="str">
        <f ca="1">IFERROR(__xludf.DUMMYFUNCTION("FLOOR(0.7903* (FILTER('Go Base Stats'!$C$2:$C1000, 'Go Base Stats'!$A$2:$A1000 = $A52)+15))"),"67")</f>
        <v>67</v>
      </c>
      <c r="J52" s="33"/>
      <c r="K52" s="33"/>
      <c r="L52" s="33"/>
      <c r="M52" s="27">
        <f t="shared" si="0"/>
        <v>15.5</v>
      </c>
      <c r="N52" s="28">
        <f t="shared" si="1"/>
        <v>2.580645161290325E-2</v>
      </c>
      <c r="P52" s="29">
        <v>15.5</v>
      </c>
      <c r="Q52" s="30">
        <v>2.3004895400000001</v>
      </c>
      <c r="R52" s="31"/>
      <c r="U52" t="str">
        <f ca="1">IFERROR(__xludf.DUMMYFUNCTION("IFERROR(SUM(FILTER('Form Responses (Power-up data)'!$C$2:$C1000, LOWER('Form Responses (Power-up data)'!$B$2:$B1000) = LOWER($B52))), 0)"),"0")</f>
        <v>0</v>
      </c>
      <c r="V52" s="27">
        <v>31</v>
      </c>
      <c r="W52" t="str">
        <f ca="1">IFERROR(__xludf.DUMMYFUNCTION("COUNT(FILTER('Form Responses (Power-up data)'!$C$2:$C1000, LOWER('Form Responses (Power-up data)'!$B$2:$B1000) = LOWER($B52)))"),"0")</f>
        <v>0</v>
      </c>
      <c r="X52" s="27">
        <v>2</v>
      </c>
      <c r="Y52" s="30" t="s">
        <v>686</v>
      </c>
    </row>
    <row r="53" spans="1:25" ht="12.75" x14ac:dyDescent="0.2">
      <c r="A53" s="11">
        <v>52</v>
      </c>
      <c r="B53" s="4" t="s">
        <v>85</v>
      </c>
      <c r="C53">
        <v>8.1999999999999993</v>
      </c>
      <c r="D53">
        <v>9.6</v>
      </c>
      <c r="E53">
        <v>11</v>
      </c>
      <c r="F53" s="24"/>
      <c r="G53" s="14" t="str">
        <f ca="1">IFERROR(__xludf.DUMMYFUNCTION("FILTER('Base Stats'!$C$2:$C1000, LOWER('Base Stats'!$B$2:$B1000) = LOWER($B53))"),"40")</f>
        <v>40</v>
      </c>
      <c r="H53">
        <v>756</v>
      </c>
      <c r="I53" t="str">
        <f ca="1">IFERROR(__xludf.DUMMYFUNCTION("FLOOR(0.7903* (FILTER('Go Base Stats'!$C$2:$C1000, 'Go Base Stats'!$A$2:$A1000 = $A53)+15))"),"75")</f>
        <v>75</v>
      </c>
      <c r="J53" s="33"/>
      <c r="K53" s="33"/>
      <c r="L53" s="33"/>
      <c r="M53" s="27">
        <f t="shared" si="0"/>
        <v>10.5</v>
      </c>
      <c r="N53" s="28">
        <f t="shared" si="1"/>
        <v>8.5714285714285743E-2</v>
      </c>
      <c r="P53" s="29" t="s">
        <v>527</v>
      </c>
      <c r="Q53" s="30" t="s">
        <v>527</v>
      </c>
      <c r="R53" s="31">
        <v>10.5</v>
      </c>
      <c r="U53" t="str">
        <f ca="1">IFERROR(__xludf.DUMMYFUNCTION("IFERROR(SUM(FILTER('Form Responses (Power-up data)'!$C$2:$C1000, LOWER('Form Responses (Power-up data)'!$B$2:$B1000) = LOWER($B53))), 0)"),"0")</f>
        <v>0</v>
      </c>
      <c r="V53" s="27">
        <v>0</v>
      </c>
      <c r="W53" t="str">
        <f ca="1">IFERROR(__xludf.DUMMYFUNCTION("COUNT(FILTER('Form Responses (Power-up data)'!$C$2:$C1000, LOWER('Form Responses (Power-up data)'!$B$2:$B1000) = LOWER($B53)))"),"0")</f>
        <v>0</v>
      </c>
      <c r="X53" s="27">
        <v>0</v>
      </c>
      <c r="Y53" s="30" t="s">
        <v>659</v>
      </c>
    </row>
    <row r="54" spans="1:25" ht="12.75" x14ac:dyDescent="0.2">
      <c r="A54" s="11">
        <v>53</v>
      </c>
      <c r="B54" s="4" t="s">
        <v>86</v>
      </c>
      <c r="C54">
        <v>19.5</v>
      </c>
      <c r="D54">
        <v>21.6</v>
      </c>
      <c r="E54">
        <v>23.7</v>
      </c>
      <c r="F54" s="24">
        <f>ROUND(D54/D53, 1)</f>
        <v>2.2999999999999998</v>
      </c>
      <c r="G54" s="14" t="str">
        <f ca="1">IFERROR(__xludf.DUMMYFUNCTION("FILTER('Base Stats'!$C$2:$C1000, LOWER('Base Stats'!$B$2:$B1000) = LOWER($B54))"),"65")</f>
        <v>65</v>
      </c>
      <c r="H54">
        <v>1631</v>
      </c>
      <c r="I54" t="str">
        <f ca="1">IFERROR(__xludf.DUMMYFUNCTION("FLOOR(0.7903* (FILTER('Go Base Stats'!$C$2:$C1000, 'Go Base Stats'!$A$2:$A1000 = $A54)+15))"),"114")</f>
        <v>114</v>
      </c>
      <c r="J54" s="33"/>
      <c r="K54" s="33"/>
      <c r="L54" s="33"/>
      <c r="M54" s="27">
        <f t="shared" si="0"/>
        <v>23</v>
      </c>
      <c r="N54" s="28">
        <f t="shared" si="1"/>
        <v>6.0869565217391244E-2</v>
      </c>
      <c r="P54" s="29">
        <v>23</v>
      </c>
      <c r="Q54" s="30" t="s">
        <v>527</v>
      </c>
      <c r="R54" s="31"/>
      <c r="U54" t="str">
        <f ca="1">IFERROR(__xludf.DUMMYFUNCTION("IFERROR(SUM(FILTER('Form Responses (Power-up data)'!$C$2:$C1000, LOWER('Form Responses (Power-up data)'!$B$2:$B1000) = LOWER($B54))), 0)"),"0")</f>
        <v>0</v>
      </c>
      <c r="V54" s="27">
        <v>23</v>
      </c>
      <c r="W54" t="str">
        <f ca="1">IFERROR(__xludf.DUMMYFUNCTION("COUNT(FILTER('Form Responses (Power-up data)'!$C$2:$C1000, LOWER('Form Responses (Power-up data)'!$B$2:$B1000) = LOWER($B54)))"),"0")</f>
        <v>0</v>
      </c>
      <c r="X54" s="27">
        <v>1</v>
      </c>
      <c r="Y54" s="30" t="s">
        <v>659</v>
      </c>
    </row>
    <row r="55" spans="1:25" ht="12.75" x14ac:dyDescent="0.2">
      <c r="A55" s="11">
        <v>54</v>
      </c>
      <c r="B55" s="4" t="s">
        <v>87</v>
      </c>
      <c r="C55">
        <v>12.7</v>
      </c>
      <c r="D55">
        <v>14.4</v>
      </c>
      <c r="E55">
        <v>16.100000000000001</v>
      </c>
      <c r="F55" s="24"/>
      <c r="G55" s="14" t="str">
        <f ca="1">IFERROR(__xludf.DUMMYFUNCTION("FILTER('Base Stats'!$C$2:$C1000, LOWER('Base Stats'!$B$2:$B1000) = LOWER($B55))"),"50")</f>
        <v>50</v>
      </c>
      <c r="H55">
        <v>1109</v>
      </c>
      <c r="I55" t="str">
        <f ca="1">IFERROR(__xludf.DUMMYFUNCTION("FLOOR(0.7903* (FILTER('Go Base Stats'!$C$2:$C1000, 'Go Base Stats'!$A$2:$A1000 = $A55)+15))"),"90")</f>
        <v>90</v>
      </c>
      <c r="J55" s="33"/>
      <c r="K55" s="33"/>
      <c r="L55" s="33"/>
      <c r="M55" s="27">
        <f t="shared" si="0"/>
        <v>14</v>
      </c>
      <c r="N55" s="28">
        <f t="shared" si="1"/>
        <v>2.8571428571428598E-2</v>
      </c>
      <c r="P55" s="29" t="s">
        <v>527</v>
      </c>
      <c r="Q55" s="30" t="s">
        <v>527</v>
      </c>
      <c r="R55" s="31">
        <v>14</v>
      </c>
      <c r="U55" t="str">
        <f ca="1">IFERROR(__xludf.DUMMYFUNCTION("IFERROR(SUM(FILTER('Form Responses (Power-up data)'!$C$2:$C1000, LOWER('Form Responses (Power-up data)'!$B$2:$B1000) = LOWER($B55))), 0)"),"0")</f>
        <v>0</v>
      </c>
      <c r="V55" s="27">
        <v>0</v>
      </c>
      <c r="W55" t="str">
        <f ca="1">IFERROR(__xludf.DUMMYFUNCTION("COUNT(FILTER('Form Responses (Power-up data)'!$C$2:$C1000, LOWER('Form Responses (Power-up data)'!$B$2:$B1000) = LOWER($B55)))"),"0")</f>
        <v>0</v>
      </c>
      <c r="X55" s="27">
        <v>0</v>
      </c>
      <c r="Y55" s="30" t="s">
        <v>659</v>
      </c>
    </row>
    <row r="56" spans="1:25" ht="12.75" x14ac:dyDescent="0.2">
      <c r="A56" s="11">
        <v>55</v>
      </c>
      <c r="B56" s="4" t="s">
        <v>88</v>
      </c>
      <c r="C56">
        <v>29.6</v>
      </c>
      <c r="D56">
        <v>32.1</v>
      </c>
      <c r="E56">
        <v>34.700000000000003</v>
      </c>
      <c r="F56" s="24">
        <f>ROUND(D56/D55, 1)</f>
        <v>2.2000000000000002</v>
      </c>
      <c r="G56" s="14" t="str">
        <f ca="1">IFERROR(__xludf.DUMMYFUNCTION("FILTER('Base Stats'!$C$2:$C1000, LOWER('Base Stats'!$B$2:$B1000) = LOWER($B56))"),"80")</f>
        <v>80</v>
      </c>
      <c r="H56">
        <v>2386</v>
      </c>
      <c r="I56" t="str">
        <f ca="1">IFERROR(__xludf.DUMMYFUNCTION("FLOOR(0.7903* (FILTER('Go Base Stats'!$C$2:$C1000, 'Go Base Stats'!$A$2:$A1000 = $A56)+15))"),"138")</f>
        <v>138</v>
      </c>
      <c r="J56" s="33"/>
      <c r="K56" s="33"/>
      <c r="L56" s="33"/>
      <c r="M56" s="27">
        <f t="shared" si="0"/>
        <v>32.299999999999997</v>
      </c>
      <c r="N56" s="28">
        <f t="shared" si="1"/>
        <v>6.1919504643961534E-3</v>
      </c>
      <c r="P56" s="29">
        <v>32.333333330000002</v>
      </c>
      <c r="Q56" s="30">
        <v>2.4577497269999999</v>
      </c>
      <c r="R56" s="34"/>
      <c r="U56" t="str">
        <f ca="1">IFERROR(__xludf.DUMMYFUNCTION("IFERROR(SUM(FILTER('Form Responses (Power-up data)'!$C$2:$C1000, LOWER('Form Responses (Power-up data)'!$B$2:$B1000) = LOWER($B56))), 0)"),"0")</f>
        <v>0</v>
      </c>
      <c r="V56" s="27">
        <v>194</v>
      </c>
      <c r="W56" t="str">
        <f ca="1">IFERROR(__xludf.DUMMYFUNCTION("COUNT(FILTER('Form Responses (Power-up data)'!$C$2:$C1000, LOWER('Form Responses (Power-up data)'!$B$2:$B1000) = LOWER($B56)))"),"0")</f>
        <v>0</v>
      </c>
      <c r="X56" s="27">
        <v>6</v>
      </c>
      <c r="Y56" s="30" t="s">
        <v>687</v>
      </c>
    </row>
    <row r="57" spans="1:25" ht="12.75" x14ac:dyDescent="0.2">
      <c r="A57" s="11">
        <v>56</v>
      </c>
      <c r="B57" s="4" t="s">
        <v>89</v>
      </c>
      <c r="C57">
        <v>9.6999999999999993</v>
      </c>
      <c r="D57">
        <v>11.2</v>
      </c>
      <c r="E57">
        <v>12.8</v>
      </c>
      <c r="F57" s="24"/>
      <c r="G57" s="14" t="str">
        <f ca="1">IFERROR(__xludf.DUMMYFUNCTION("FILTER('Base Stats'!$C$2:$C1000, LOWER('Base Stats'!$B$2:$B1000) = LOWER($B57))"),"40")</f>
        <v>40</v>
      </c>
      <c r="H57">
        <v>878</v>
      </c>
      <c r="I57" t="str">
        <f ca="1">IFERROR(__xludf.DUMMYFUNCTION("FLOOR(0.7903* (FILTER('Go Base Stats'!$C$2:$C1000, 'Go Base Stats'!$A$2:$A1000 = $A57)+15))"),"75")</f>
        <v>75</v>
      </c>
      <c r="J57" s="33"/>
      <c r="K57" s="33"/>
      <c r="L57" s="33"/>
      <c r="M57" s="27">
        <f t="shared" si="0"/>
        <v>12</v>
      </c>
      <c r="N57" s="28">
        <f t="shared" si="1"/>
        <v>6.6666666666666721E-2</v>
      </c>
      <c r="P57" s="29">
        <v>12</v>
      </c>
      <c r="Q57" s="30" t="s">
        <v>527</v>
      </c>
      <c r="R57" s="34"/>
      <c r="U57" t="str">
        <f ca="1">IFERROR(__xludf.DUMMYFUNCTION("IFERROR(SUM(FILTER('Form Responses (Power-up data)'!$C$2:$C1000, LOWER('Form Responses (Power-up data)'!$B$2:$B1000) = LOWER($B57))), 0)"),"0")</f>
        <v>0</v>
      </c>
      <c r="V57" s="27">
        <v>12</v>
      </c>
      <c r="W57" t="str">
        <f ca="1">IFERROR(__xludf.DUMMYFUNCTION("COUNT(FILTER('Form Responses (Power-up data)'!$C$2:$C1000, LOWER('Form Responses (Power-up data)'!$B$2:$B1000) = LOWER($B57)))"),"0")</f>
        <v>0</v>
      </c>
      <c r="X57" s="27">
        <v>1</v>
      </c>
      <c r="Y57" s="30" t="s">
        <v>659</v>
      </c>
    </row>
    <row r="58" spans="1:25" ht="12.75" x14ac:dyDescent="0.2">
      <c r="A58" s="11">
        <v>57</v>
      </c>
      <c r="B58" s="4" t="s">
        <v>90</v>
      </c>
      <c r="C58">
        <v>22.6</v>
      </c>
      <c r="D58">
        <v>24.8</v>
      </c>
      <c r="E58">
        <v>27.1</v>
      </c>
      <c r="F58" s="24">
        <f>ROUND(D58/D57, 1)</f>
        <v>2.2000000000000002</v>
      </c>
      <c r="G58" s="14" t="str">
        <f ca="1">IFERROR(__xludf.DUMMYFUNCTION("FILTER('Base Stats'!$C$2:$C1000, LOWER('Base Stats'!$B$2:$B1000) = LOWER($B58))"),"65")</f>
        <v>65</v>
      </c>
      <c r="H58">
        <v>1864</v>
      </c>
      <c r="I58" t="str">
        <f ca="1">IFERROR(__xludf.DUMMYFUNCTION("FLOOR(0.7903* (FILTER('Go Base Stats'!$C$2:$C1000, 'Go Base Stats'!$A$2:$A1000 = $A58)+15))"),"114")</f>
        <v>114</v>
      </c>
      <c r="J58" s="33"/>
      <c r="K58" s="33"/>
      <c r="L58" s="33"/>
      <c r="M58" s="27">
        <f t="shared" si="0"/>
        <v>25</v>
      </c>
      <c r="N58" s="28">
        <f t="shared" si="1"/>
        <v>7.9999999999999724E-3</v>
      </c>
      <c r="P58" s="29">
        <v>25</v>
      </c>
      <c r="Q58" s="30">
        <v>2.167173252</v>
      </c>
      <c r="R58" s="34"/>
      <c r="U58" t="str">
        <f ca="1">IFERROR(__xludf.DUMMYFUNCTION("IFERROR(SUM(FILTER('Form Responses (Power-up data)'!$C$2:$C1000, LOWER('Form Responses (Power-up data)'!$B$2:$B1000) = LOWER($B58))), 0)"),"0")</f>
        <v>0</v>
      </c>
      <c r="V58" s="27">
        <v>175</v>
      </c>
      <c r="W58" t="str">
        <f ca="1">IFERROR(__xludf.DUMMYFUNCTION("COUNT(FILTER('Form Responses (Power-up data)'!$C$2:$C1000, LOWER('Form Responses (Power-up data)'!$B$2:$B1000) = LOWER($B58)))"),"0")</f>
        <v>0</v>
      </c>
      <c r="X58" s="27">
        <v>7</v>
      </c>
      <c r="Y58" s="30" t="s">
        <v>688</v>
      </c>
    </row>
    <row r="59" spans="1:25" ht="12.75" x14ac:dyDescent="0.2">
      <c r="A59" s="11">
        <v>58</v>
      </c>
      <c r="B59" s="4" t="s">
        <v>91</v>
      </c>
      <c r="C59">
        <v>15.6</v>
      </c>
      <c r="D59">
        <v>17.5</v>
      </c>
      <c r="E59">
        <v>19.399999999999999</v>
      </c>
      <c r="F59" s="24"/>
      <c r="G59" s="14" t="str">
        <f ca="1">IFERROR(__xludf.DUMMYFUNCTION("FILTER('Base Stats'!$C$2:$C1000, LOWER('Base Stats'!$B$2:$B1000) = LOWER($B59))"),"55")</f>
        <v>55</v>
      </c>
      <c r="H59">
        <v>1335</v>
      </c>
      <c r="I59" t="str">
        <f ca="1">IFERROR(__xludf.DUMMYFUNCTION("FLOOR(0.7903* (FILTER('Go Base Stats'!$C$2:$C1000, 'Go Base Stats'!$A$2:$A1000 = $A59)+15))"),"98")</f>
        <v>98</v>
      </c>
      <c r="J59" s="33"/>
      <c r="K59" s="33"/>
      <c r="L59" s="33"/>
      <c r="M59" s="27">
        <f t="shared" si="0"/>
        <v>19</v>
      </c>
      <c r="N59" s="28">
        <f t="shared" si="1"/>
        <v>7.8947368421052627E-2</v>
      </c>
      <c r="P59" s="29">
        <v>19</v>
      </c>
      <c r="Q59" s="30">
        <v>2.3234200739999999</v>
      </c>
      <c r="R59" s="31"/>
      <c r="U59" t="str">
        <f ca="1">IFERROR(__xludf.DUMMYFUNCTION("IFERROR(SUM(FILTER('Form Responses (Power-up data)'!$C$2:$C1000, LOWER('Form Responses (Power-up data)'!$B$2:$B1000) = LOWER($B59))), 0)"),"0")</f>
        <v>0</v>
      </c>
      <c r="V59" s="27">
        <v>19</v>
      </c>
      <c r="W59" t="str">
        <f ca="1">IFERROR(__xludf.DUMMYFUNCTION("COUNT(FILTER('Form Responses (Power-up data)'!$C$2:$C1000, LOWER('Form Responses (Power-up data)'!$B$2:$B1000) = LOWER($B59)))"),"0")</f>
        <v>0</v>
      </c>
      <c r="X59" s="27">
        <v>1</v>
      </c>
      <c r="Y59" s="30" t="s">
        <v>689</v>
      </c>
    </row>
    <row r="60" spans="1:25" ht="12.75" x14ac:dyDescent="0.2">
      <c r="A60" s="11">
        <v>59</v>
      </c>
      <c r="B60" s="4" t="s">
        <v>92</v>
      </c>
      <c r="C60">
        <v>37.6</v>
      </c>
      <c r="D60">
        <v>40.5</v>
      </c>
      <c r="E60">
        <v>43.4</v>
      </c>
      <c r="F60" s="24">
        <f>ROUND(D60/D59, 1)</f>
        <v>2.2999999999999998</v>
      </c>
      <c r="G60" s="14" t="str">
        <f ca="1">IFERROR(__xludf.DUMMYFUNCTION("FILTER('Base Stats'!$C$2:$C1000, LOWER('Base Stats'!$B$2:$B1000) = LOWER($B60))"),"90")</f>
        <v>90</v>
      </c>
      <c r="H60">
        <v>2983</v>
      </c>
      <c r="I60" t="str">
        <f ca="1">IFERROR(__xludf.DUMMYFUNCTION("FLOOR(0.7903* (FILTER('Go Base Stats'!$C$2:$C1000, 'Go Base Stats'!$A$2:$A1000 = $A60)+15))"),"154")</f>
        <v>154</v>
      </c>
      <c r="J60" s="33"/>
      <c r="K60" s="33"/>
      <c r="L60" s="33"/>
      <c r="M60" s="27">
        <f t="shared" si="0"/>
        <v>38.4</v>
      </c>
      <c r="N60" s="28">
        <f t="shared" si="1"/>
        <v>5.4687500000000042E-2</v>
      </c>
      <c r="P60" s="29">
        <v>38.357142860000003</v>
      </c>
      <c r="Q60" s="30">
        <v>3.6697469360000001</v>
      </c>
      <c r="R60" s="42"/>
      <c r="U60" t="str">
        <f ca="1">IFERROR(__xludf.DUMMYFUNCTION("IFERROR(SUM(FILTER('Form Responses (Power-up data)'!$C$2:$C1000, LOWER('Form Responses (Power-up data)'!$B$2:$B1000) = LOWER($B60))), 0)"),"0")</f>
        <v>0</v>
      </c>
      <c r="V60" s="27">
        <v>537</v>
      </c>
      <c r="W60" t="str">
        <f ca="1">IFERROR(__xludf.DUMMYFUNCTION("COUNT(FILTER('Form Responses (Power-up data)'!$C$2:$C1000, LOWER('Form Responses (Power-up data)'!$B$2:$B1000) = LOWER($B60)))"),"0")</f>
        <v>0</v>
      </c>
      <c r="X60" s="27">
        <v>14</v>
      </c>
      <c r="Y60" s="30" t="s">
        <v>690</v>
      </c>
    </row>
    <row r="61" spans="1:25" ht="12.75" x14ac:dyDescent="0.2">
      <c r="A61" s="11">
        <v>60</v>
      </c>
      <c r="B61" s="4" t="s">
        <v>93</v>
      </c>
      <c r="C61">
        <v>8.6999999999999993</v>
      </c>
      <c r="D61">
        <v>10.1</v>
      </c>
      <c r="E61">
        <v>11.6</v>
      </c>
      <c r="F61" s="24"/>
      <c r="G61" s="14" t="str">
        <f ca="1">IFERROR(__xludf.DUMMYFUNCTION("FILTER('Base Stats'!$C$2:$C1000, LOWER('Base Stats'!$B$2:$B1000) = LOWER($B61))"),"40")</f>
        <v>40</v>
      </c>
      <c r="H61">
        <v>795</v>
      </c>
      <c r="I61" t="str">
        <f ca="1">IFERROR(__xludf.DUMMYFUNCTION("FLOOR(0.7903* (FILTER('Go Base Stats'!$C$2:$C1000, 'Go Base Stats'!$A$2:$A1000 = $A61)+15))"),"75")</f>
        <v>75</v>
      </c>
      <c r="J61" s="33"/>
      <c r="K61" s="33"/>
      <c r="L61" s="33"/>
      <c r="M61" s="27">
        <f t="shared" si="0"/>
        <v>10</v>
      </c>
      <c r="N61" s="28">
        <f t="shared" si="1"/>
        <v>9.9999999999999638E-3</v>
      </c>
      <c r="P61" s="29">
        <v>10</v>
      </c>
      <c r="Q61" s="30" t="s">
        <v>527</v>
      </c>
      <c r="R61" s="31"/>
      <c r="U61" t="str">
        <f ca="1">IFERROR(__xludf.DUMMYFUNCTION("IFERROR(SUM(FILTER('Form Responses (Power-up data)'!$C$2:$C1000, LOWER('Form Responses (Power-up data)'!$B$2:$B1000) = LOWER($B61))), 0)"),"0")</f>
        <v>0</v>
      </c>
      <c r="V61" s="27">
        <v>10</v>
      </c>
      <c r="W61" t="str">
        <f ca="1">IFERROR(__xludf.DUMMYFUNCTION("COUNT(FILTER('Form Responses (Power-up data)'!$C$2:$C1000, LOWER('Form Responses (Power-up data)'!$B$2:$B1000) = LOWER($B61)))"),"0")</f>
        <v>0</v>
      </c>
      <c r="X61" s="27">
        <v>1</v>
      </c>
      <c r="Y61" s="30" t="s">
        <v>659</v>
      </c>
    </row>
    <row r="62" spans="1:25" ht="12.75" x14ac:dyDescent="0.2">
      <c r="A62" s="11">
        <v>61</v>
      </c>
      <c r="B62" s="4" t="s">
        <v>94</v>
      </c>
      <c r="C62">
        <v>15.7</v>
      </c>
      <c r="D62">
        <v>17.600000000000001</v>
      </c>
      <c r="E62">
        <v>19.5</v>
      </c>
      <c r="F62" s="24">
        <f t="shared" ref="F62:F63" si="11">ROUND(D62/D61, 1)</f>
        <v>1.7</v>
      </c>
      <c r="G62" s="14" t="str">
        <f ca="1">IFERROR(__xludf.DUMMYFUNCTION("FILTER('Base Stats'!$C$2:$C1000, LOWER('Base Stats'!$B$2:$B1000) = LOWER($B62))"),"65")</f>
        <v>65</v>
      </c>
      <c r="H62">
        <v>1340</v>
      </c>
      <c r="I62" t="str">
        <f ca="1">IFERROR(__xludf.DUMMYFUNCTION("FLOOR(0.7903* (FILTER('Go Base Stats'!$C$2:$C1000, 'Go Base Stats'!$A$2:$A1000 = $A62)+15))"),"114")</f>
        <v>114</v>
      </c>
      <c r="J62" s="33"/>
      <c r="K62" s="33"/>
      <c r="L62" s="33"/>
      <c r="M62" s="27">
        <f t="shared" si="0"/>
        <v>16</v>
      </c>
      <c r="N62" s="28">
        <f t="shared" si="1"/>
        <v>0.10000000000000009</v>
      </c>
      <c r="P62" s="29">
        <v>16</v>
      </c>
      <c r="Q62" s="30">
        <v>1.752173913</v>
      </c>
      <c r="R62" s="31"/>
      <c r="U62" t="str">
        <f ca="1">IFERROR(__xludf.DUMMYFUNCTION("IFERROR(SUM(FILTER('Form Responses (Power-up data)'!$C$2:$C1000, LOWER('Form Responses (Power-up data)'!$B$2:$B1000) = LOWER($B62))), 0)"),"0")</f>
        <v>0</v>
      </c>
      <c r="V62" s="27">
        <v>16</v>
      </c>
      <c r="W62" t="str">
        <f ca="1">IFERROR(__xludf.DUMMYFUNCTION("COUNT(FILTER('Form Responses (Power-up data)'!$C$2:$C1000, LOWER('Form Responses (Power-up data)'!$B$2:$B1000) = LOWER($B62)))"),"0")</f>
        <v>0</v>
      </c>
      <c r="X62" s="27">
        <v>1</v>
      </c>
      <c r="Y62" s="30" t="s">
        <v>691</v>
      </c>
    </row>
    <row r="63" spans="1:25" ht="12.75" x14ac:dyDescent="0.2">
      <c r="A63" s="11">
        <v>62</v>
      </c>
      <c r="B63" s="4" t="s">
        <v>95</v>
      </c>
      <c r="C63">
        <v>31.2</v>
      </c>
      <c r="D63">
        <v>33.799999999999997</v>
      </c>
      <c r="E63">
        <v>36.5</v>
      </c>
      <c r="F63" s="24">
        <f t="shared" si="11"/>
        <v>1.9</v>
      </c>
      <c r="G63" s="14" t="str">
        <f ca="1">IFERROR(__xludf.DUMMYFUNCTION("FILTER('Base Stats'!$C$2:$C1000, LOWER('Base Stats'!$B$2:$B1000) = LOWER($B63))"),"90")</f>
        <v>90</v>
      </c>
      <c r="H63">
        <v>2505</v>
      </c>
      <c r="I63" t="str">
        <f ca="1">IFERROR(__xludf.DUMMYFUNCTION("FLOOR(0.7903* (FILTER('Go Base Stats'!$C$2:$C1000, 'Go Base Stats'!$A$2:$A1000 = $A63)+15))"),"154")</f>
        <v>154</v>
      </c>
      <c r="J63" s="33"/>
      <c r="K63" s="33"/>
      <c r="L63" s="33"/>
      <c r="M63" s="27">
        <f t="shared" si="0"/>
        <v>34</v>
      </c>
      <c r="N63" s="28">
        <f t="shared" si="1"/>
        <v>5.8823529411765538E-3</v>
      </c>
      <c r="P63" s="29">
        <v>34</v>
      </c>
      <c r="Q63" s="30" t="s">
        <v>527</v>
      </c>
      <c r="R63" s="34"/>
      <c r="U63" t="str">
        <f ca="1">IFERROR(__xludf.DUMMYFUNCTION("IFERROR(SUM(FILTER('Form Responses (Power-up data)'!$C$2:$C1000, LOWER('Form Responses (Power-up data)'!$B$2:$B1000) = LOWER($B63))), 0)"),"0")</f>
        <v>0</v>
      </c>
      <c r="V63" s="27">
        <v>68</v>
      </c>
      <c r="W63" t="str">
        <f ca="1">IFERROR(__xludf.DUMMYFUNCTION("COUNT(FILTER('Form Responses (Power-up data)'!$C$2:$C1000, LOWER('Form Responses (Power-up data)'!$B$2:$B1000) = LOWER($B63)))"),"0")</f>
        <v>0</v>
      </c>
      <c r="X63" s="27">
        <v>2</v>
      </c>
      <c r="Y63" s="30" t="s">
        <v>659</v>
      </c>
    </row>
    <row r="64" spans="1:25" ht="12.75" x14ac:dyDescent="0.2">
      <c r="A64" s="11">
        <v>63</v>
      </c>
      <c r="B64" s="4" t="s">
        <v>96</v>
      </c>
      <c r="C64">
        <v>6.2</v>
      </c>
      <c r="D64">
        <v>7.4</v>
      </c>
      <c r="E64">
        <v>8.6999999999999993</v>
      </c>
      <c r="F64" s="24"/>
      <c r="G64" s="14" t="str">
        <f ca="1">IFERROR(__xludf.DUMMYFUNCTION("FILTER('Base Stats'!$C$2:$C1000, LOWER('Base Stats'!$B$2:$B1000) = LOWER($B64))"),"25")</f>
        <v>25</v>
      </c>
      <c r="H64">
        <v>600</v>
      </c>
      <c r="I64" t="str">
        <f ca="1">IFERROR(__xludf.DUMMYFUNCTION("FLOOR(0.7903* (FILTER('Go Base Stats'!$C$2:$C1000, 'Go Base Stats'!$A$2:$A1000 = $A64)+15))"),"51")</f>
        <v>51</v>
      </c>
      <c r="J64" s="33"/>
      <c r="K64" s="33"/>
      <c r="L64" s="33"/>
      <c r="M64" s="27">
        <f t="shared" si="0"/>
        <v>6.8</v>
      </c>
      <c r="N64" s="28">
        <f t="shared" si="1"/>
        <v>8.8235294117647134E-2</v>
      </c>
      <c r="P64" s="29">
        <v>6.75</v>
      </c>
      <c r="Q64" s="30">
        <v>1.9028571430000001</v>
      </c>
      <c r="R64" s="34"/>
      <c r="U64" t="str">
        <f ca="1">IFERROR(__xludf.DUMMYFUNCTION("IFERROR(SUM(FILTER('Form Responses (Power-up data)'!$C$2:$C1000, LOWER('Form Responses (Power-up data)'!$B$2:$B1000) = LOWER($B64))), 0)"),"0")</f>
        <v>0</v>
      </c>
      <c r="V64" s="27">
        <v>27</v>
      </c>
      <c r="W64" t="str">
        <f ca="1">IFERROR(__xludf.DUMMYFUNCTION("COUNT(FILTER('Form Responses (Power-up data)'!$C$2:$C1000, LOWER('Form Responses (Power-up data)'!$B$2:$B1000) = LOWER($B64)))"),"0")</f>
        <v>0</v>
      </c>
      <c r="X64" s="27">
        <v>4</v>
      </c>
      <c r="Y64" s="30" t="s">
        <v>692</v>
      </c>
    </row>
    <row r="65" spans="1:25" ht="12.75" x14ac:dyDescent="0.2">
      <c r="A65" s="11">
        <v>64</v>
      </c>
      <c r="B65" s="4" t="s">
        <v>97</v>
      </c>
      <c r="C65">
        <v>12.9</v>
      </c>
      <c r="D65">
        <v>14.6</v>
      </c>
      <c r="E65">
        <v>16.5</v>
      </c>
      <c r="F65" s="24">
        <f t="shared" ref="F65:F66" si="12">ROUND(D65/D64, 1)</f>
        <v>2</v>
      </c>
      <c r="G65" s="14" t="str">
        <f ca="1">IFERROR(__xludf.DUMMYFUNCTION("FILTER('Base Stats'!$C$2:$C1000, LOWER('Base Stats'!$B$2:$B1000) = LOWER($B65))"),"40")</f>
        <v>40</v>
      </c>
      <c r="H65">
        <v>1131</v>
      </c>
      <c r="I65" t="str">
        <f ca="1">IFERROR(__xludf.DUMMYFUNCTION("FLOOR(0.7903* (FILTER('Go Base Stats'!$C$2:$C1000, 'Go Base Stats'!$A$2:$A1000 = $A65)+15))"),"75")</f>
        <v>75</v>
      </c>
      <c r="J65" s="33"/>
      <c r="K65" s="33"/>
      <c r="L65" s="33"/>
      <c r="M65" s="27">
        <f t="shared" si="0"/>
        <v>14</v>
      </c>
      <c r="N65" s="28">
        <f t="shared" si="1"/>
        <v>4.285714285714283E-2</v>
      </c>
      <c r="P65" s="29">
        <v>16</v>
      </c>
      <c r="Q65" s="30" t="s">
        <v>527</v>
      </c>
      <c r="R65" s="31">
        <v>14</v>
      </c>
      <c r="U65" t="str">
        <f ca="1">IFERROR(__xludf.DUMMYFUNCTION("IFERROR(SUM(FILTER('Form Responses (Power-up data)'!$C$2:$C1000, LOWER('Form Responses (Power-up data)'!$B$2:$B1000) = LOWER($B65))), 0)"),"0")</f>
        <v>0</v>
      </c>
      <c r="V65" s="27">
        <v>16</v>
      </c>
      <c r="W65" t="str">
        <f ca="1">IFERROR(__xludf.DUMMYFUNCTION("COUNT(FILTER('Form Responses (Power-up data)'!$C$2:$C1000, LOWER('Form Responses (Power-up data)'!$B$2:$B1000) = LOWER($B65)))"),"0")</f>
        <v>0</v>
      </c>
      <c r="X65" s="27">
        <v>1</v>
      </c>
      <c r="Y65" s="30" t="s">
        <v>659</v>
      </c>
    </row>
    <row r="66" spans="1:25" ht="12.75" x14ac:dyDescent="0.2">
      <c r="A66" s="11">
        <v>65</v>
      </c>
      <c r="B66" s="4" t="s">
        <v>98</v>
      </c>
      <c r="C66">
        <v>21.9</v>
      </c>
      <c r="D66">
        <v>24.1</v>
      </c>
      <c r="E66">
        <v>26.4</v>
      </c>
      <c r="F66" s="24">
        <f t="shared" si="12"/>
        <v>1.7</v>
      </c>
      <c r="G66" s="14" t="str">
        <f ca="1">IFERROR(__xludf.DUMMYFUNCTION("FILTER('Base Stats'!$C$2:$C1000, LOWER('Base Stats'!$B$2:$B1000) = LOWER($B66))"),"55")</f>
        <v>55</v>
      </c>
      <c r="H66">
        <v>1813</v>
      </c>
      <c r="I66" t="str">
        <f ca="1">IFERROR(__xludf.DUMMYFUNCTION("FLOOR(0.7903* (FILTER('Go Base Stats'!$C$2:$C1000, 'Go Base Stats'!$A$2:$A1000 = $A66)+15))"),"98")</f>
        <v>98</v>
      </c>
      <c r="J66" s="33"/>
      <c r="K66" s="33"/>
      <c r="L66" s="33"/>
      <c r="M66" s="27">
        <f t="shared" si="0"/>
        <v>25</v>
      </c>
      <c r="N66" s="28">
        <f t="shared" si="1"/>
        <v>3.5999999999999942E-2</v>
      </c>
      <c r="P66" s="29">
        <v>25</v>
      </c>
      <c r="Q66" s="30" t="s">
        <v>527</v>
      </c>
      <c r="R66" s="34"/>
      <c r="U66" t="str">
        <f ca="1">IFERROR(__xludf.DUMMYFUNCTION("IFERROR(SUM(FILTER('Form Responses (Power-up data)'!$C$2:$C1000, LOWER('Form Responses (Power-up data)'!$B$2:$B1000) = LOWER($B66))), 0)"),"0")</f>
        <v>0</v>
      </c>
      <c r="V66" s="27">
        <v>25</v>
      </c>
      <c r="W66" t="str">
        <f ca="1">IFERROR(__xludf.DUMMYFUNCTION("COUNT(FILTER('Form Responses (Power-up data)'!$C$2:$C1000, LOWER('Form Responses (Power-up data)'!$B$2:$B1000) = LOWER($B66)))"),"0")</f>
        <v>0</v>
      </c>
      <c r="X66" s="27">
        <v>1</v>
      </c>
      <c r="Y66" s="30" t="s">
        <v>659</v>
      </c>
    </row>
    <row r="67" spans="1:25" ht="12.75" x14ac:dyDescent="0.2">
      <c r="A67" s="11">
        <v>66</v>
      </c>
      <c r="B67" s="4" t="s">
        <v>99</v>
      </c>
      <c r="C67">
        <v>12.4</v>
      </c>
      <c r="D67">
        <v>14.1</v>
      </c>
      <c r="E67">
        <v>15.9</v>
      </c>
      <c r="F67" s="24"/>
      <c r="G67" s="14" t="str">
        <f ca="1">IFERROR(__xludf.DUMMYFUNCTION("FILTER('Base Stats'!$C$2:$C1000, LOWER('Base Stats'!$B$2:$B1000) = LOWER($B67))"),"70")</f>
        <v>70</v>
      </c>
      <c r="H67">
        <v>1089</v>
      </c>
      <c r="I67" t="str">
        <f ca="1">IFERROR(__xludf.DUMMYFUNCTION("FLOOR(0.7903* (FILTER('Go Base Stats'!$C$2:$C1000, 'Go Base Stats'!$A$2:$A1000 = $A67)+15))"),"122")</f>
        <v>122</v>
      </c>
      <c r="J67" s="33"/>
      <c r="K67" s="33"/>
      <c r="L67" s="33"/>
      <c r="M67" s="27">
        <f t="shared" si="0"/>
        <v>14.5</v>
      </c>
      <c r="N67" s="28">
        <f t="shared" si="1"/>
        <v>2.7586206896551748E-2</v>
      </c>
      <c r="P67" s="29">
        <v>24</v>
      </c>
      <c r="Q67" s="30" t="s">
        <v>527</v>
      </c>
      <c r="R67" s="31">
        <v>14.5</v>
      </c>
      <c r="U67" t="str">
        <f ca="1">IFERROR(__xludf.DUMMYFUNCTION("IFERROR(SUM(FILTER('Form Responses (Power-up data)'!$C$2:$C1000, LOWER('Form Responses (Power-up data)'!$B$2:$B1000) = LOWER($B67))), 0)"),"0")</f>
        <v>0</v>
      </c>
      <c r="V67" s="27">
        <v>24</v>
      </c>
      <c r="W67" t="str">
        <f ca="1">IFERROR(__xludf.DUMMYFUNCTION("COUNT(FILTER('Form Responses (Power-up data)'!$C$2:$C1000, LOWER('Form Responses (Power-up data)'!$B$2:$B1000) = LOWER($B67)))"),"0")</f>
        <v>0</v>
      </c>
      <c r="X67" s="27">
        <v>1</v>
      </c>
      <c r="Y67" s="30" t="s">
        <v>659</v>
      </c>
    </row>
    <row r="68" spans="1:25" ht="12.75" x14ac:dyDescent="0.2">
      <c r="A68" s="11">
        <v>67</v>
      </c>
      <c r="B68" s="4" t="s">
        <v>100</v>
      </c>
      <c r="C68">
        <v>21.2</v>
      </c>
      <c r="D68">
        <v>23.4</v>
      </c>
      <c r="E68">
        <v>25.6</v>
      </c>
      <c r="F68" s="24">
        <f t="shared" ref="F68:F69" si="13">ROUND(D68/D67, 1)</f>
        <v>1.7</v>
      </c>
      <c r="G68" s="14" t="str">
        <f ca="1">IFERROR(__xludf.DUMMYFUNCTION("FILTER('Base Stats'!$C$2:$C1000, LOWER('Base Stats'!$B$2:$B1000) = LOWER($B68))"),"80")</f>
        <v>80</v>
      </c>
      <c r="H68">
        <v>1760</v>
      </c>
      <c r="I68" t="str">
        <f ca="1">IFERROR(__xludf.DUMMYFUNCTION("FLOOR(0.7903* (FILTER('Go Base Stats'!$C$2:$C1000, 'Go Base Stats'!$A$2:$A1000 = $A68)+15))"),"138")</f>
        <v>138</v>
      </c>
      <c r="J68" s="33"/>
      <c r="K68" s="33"/>
      <c r="L68" s="33"/>
      <c r="M68" s="27">
        <f t="shared" si="0"/>
        <v>24</v>
      </c>
      <c r="N68" s="28">
        <f t="shared" si="1"/>
        <v>2.500000000000006E-2</v>
      </c>
      <c r="P68" s="29" t="s">
        <v>527</v>
      </c>
      <c r="Q68" s="30">
        <v>1.648221344</v>
      </c>
      <c r="R68" s="31">
        <v>24</v>
      </c>
      <c r="U68" t="str">
        <f ca="1">IFERROR(__xludf.DUMMYFUNCTION("IFERROR(SUM(FILTER('Form Responses (Power-up data)'!$C$2:$C1000, LOWER('Form Responses (Power-up data)'!$B$2:$B1000) = LOWER($B68))), 0)"),"0")</f>
        <v>0</v>
      </c>
      <c r="V68" s="27">
        <v>0</v>
      </c>
      <c r="W68" t="str">
        <f ca="1">IFERROR(__xludf.DUMMYFUNCTION("COUNT(FILTER('Form Responses (Power-up data)'!$C$2:$C1000, LOWER('Form Responses (Power-up data)'!$B$2:$B1000) = LOWER($B68)))"),"0")</f>
        <v>0</v>
      </c>
      <c r="X68" s="27">
        <v>0</v>
      </c>
      <c r="Y68" s="30" t="s">
        <v>693</v>
      </c>
    </row>
    <row r="69" spans="1:25" ht="12.75" x14ac:dyDescent="0.2">
      <c r="A69" s="11">
        <v>68</v>
      </c>
      <c r="B69" s="4" t="s">
        <v>101</v>
      </c>
      <c r="C69">
        <v>32.4</v>
      </c>
      <c r="D69">
        <v>35</v>
      </c>
      <c r="E69">
        <v>37.799999999999997</v>
      </c>
      <c r="F69" s="24">
        <f t="shared" si="13"/>
        <v>1.5</v>
      </c>
      <c r="G69" s="14" t="str">
        <f ca="1">IFERROR(__xludf.DUMMYFUNCTION("FILTER('Base Stats'!$C$2:$C1000, LOWER('Base Stats'!$B$2:$B1000) = LOWER($B69))"),"90")</f>
        <v>90</v>
      </c>
      <c r="H69">
        <v>2594</v>
      </c>
      <c r="I69" t="str">
        <f ca="1">IFERROR(__xludf.DUMMYFUNCTION("FLOOR(0.7903* (FILTER('Go Base Stats'!$C$2:$C1000, 'Go Base Stats'!$A$2:$A1000 = $A69)+15))"),"154")</f>
        <v>154</v>
      </c>
      <c r="J69" s="33"/>
      <c r="K69" s="33"/>
      <c r="L69" s="33"/>
      <c r="M69" s="27">
        <f t="shared" si="0"/>
        <v>35.700000000000003</v>
      </c>
      <c r="N69" s="28">
        <f t="shared" si="1"/>
        <v>1.9607843137254981E-2</v>
      </c>
      <c r="P69" s="29">
        <v>35.714285709999999</v>
      </c>
      <c r="Q69" s="30" t="s">
        <v>527</v>
      </c>
      <c r="R69" s="34"/>
      <c r="U69" t="str">
        <f ca="1">IFERROR(__xludf.DUMMYFUNCTION("IFERROR(SUM(FILTER('Form Responses (Power-up data)'!$C$2:$C1000, LOWER('Form Responses (Power-up data)'!$B$2:$B1000) = LOWER($B69))), 0)"),"0")</f>
        <v>0</v>
      </c>
      <c r="V69" s="27">
        <v>250</v>
      </c>
      <c r="W69" t="str">
        <f ca="1">IFERROR(__xludf.DUMMYFUNCTION("COUNT(FILTER('Form Responses (Power-up data)'!$C$2:$C1000, LOWER('Form Responses (Power-up data)'!$B$2:$B1000) = LOWER($B69)))"),"0")</f>
        <v>0</v>
      </c>
      <c r="X69" s="27">
        <v>7</v>
      </c>
      <c r="Y69" s="30" t="s">
        <v>659</v>
      </c>
    </row>
    <row r="70" spans="1:25" ht="12.75" x14ac:dyDescent="0.2">
      <c r="A70" s="11">
        <v>69</v>
      </c>
      <c r="B70" s="4" t="s">
        <v>102</v>
      </c>
      <c r="C70">
        <v>12.7</v>
      </c>
      <c r="D70">
        <v>14.4</v>
      </c>
      <c r="E70">
        <v>16.3</v>
      </c>
      <c r="F70" s="24"/>
      <c r="G70" s="14" t="str">
        <f ca="1">IFERROR(__xludf.DUMMYFUNCTION("FILTER('Base Stats'!$C$2:$C1000, LOWER('Base Stats'!$B$2:$B1000) = LOWER($B70))"),"50")</f>
        <v>50</v>
      </c>
      <c r="H70">
        <v>1117</v>
      </c>
      <c r="I70" t="str">
        <f ca="1">IFERROR(__xludf.DUMMYFUNCTION("FLOOR(0.7903* (FILTER('Go Base Stats'!$C$2:$C1000, 'Go Base Stats'!$A$2:$A1000 = $A70)+15))"),"90")</f>
        <v>90</v>
      </c>
      <c r="J70" s="33"/>
      <c r="K70" s="33"/>
      <c r="L70" s="33"/>
      <c r="M70" s="27">
        <f t="shared" si="0"/>
        <v>13</v>
      </c>
      <c r="N70" s="28">
        <f t="shared" si="1"/>
        <v>0.10769230769230773</v>
      </c>
      <c r="P70" s="29">
        <v>16</v>
      </c>
      <c r="Q70" s="30" t="s">
        <v>527</v>
      </c>
      <c r="R70" s="31">
        <v>13</v>
      </c>
      <c r="U70" t="str">
        <f ca="1">IFERROR(__xludf.DUMMYFUNCTION("IFERROR(SUM(FILTER('Form Responses (Power-up data)'!$C$2:$C1000, LOWER('Form Responses (Power-up data)'!$B$2:$B1000) = LOWER($B70))), 0)"),"0")</f>
        <v>0</v>
      </c>
      <c r="V70" s="27">
        <v>16</v>
      </c>
      <c r="W70" t="str">
        <f ca="1">IFERROR(__xludf.DUMMYFUNCTION("COUNT(FILTER('Form Responses (Power-up data)'!$C$2:$C1000, LOWER('Form Responses (Power-up data)'!$B$2:$B1000) = LOWER($B70)))"),"0")</f>
        <v>0</v>
      </c>
      <c r="X70" s="27">
        <v>1</v>
      </c>
      <c r="Y70" s="30" t="s">
        <v>659</v>
      </c>
    </row>
    <row r="71" spans="1:25" ht="12.75" x14ac:dyDescent="0.2">
      <c r="A71" s="11">
        <v>70</v>
      </c>
      <c r="B71" s="4" t="s">
        <v>103</v>
      </c>
      <c r="C71">
        <v>20.7</v>
      </c>
      <c r="D71">
        <v>22.8</v>
      </c>
      <c r="E71">
        <v>25.1</v>
      </c>
      <c r="F71" s="24">
        <f t="shared" ref="F71:F72" si="14">ROUND(D71/D70, 1)</f>
        <v>1.6</v>
      </c>
      <c r="G71" s="14" t="str">
        <f ca="1">IFERROR(__xludf.DUMMYFUNCTION("FILTER('Base Stats'!$C$2:$C1000, LOWER('Base Stats'!$B$2:$B1000) = LOWER($B71))"),"65")</f>
        <v>65</v>
      </c>
      <c r="H71">
        <v>1723</v>
      </c>
      <c r="I71" t="str">
        <f ca="1">IFERROR(__xludf.DUMMYFUNCTION("FLOOR(0.7903* (FILTER('Go Base Stats'!$C$2:$C1000, 'Go Base Stats'!$A$2:$A1000 = $A71)+15))"),"114")</f>
        <v>114</v>
      </c>
      <c r="J71" s="33"/>
      <c r="K71" s="33"/>
      <c r="L71" s="33"/>
      <c r="M71" s="27">
        <f t="shared" si="0"/>
        <v>21</v>
      </c>
      <c r="N71" s="28">
        <f t="shared" si="1"/>
        <v>8.5714285714285743E-2</v>
      </c>
      <c r="P71" s="29">
        <v>21</v>
      </c>
      <c r="Q71" s="30">
        <v>1.5941558440000001</v>
      </c>
      <c r="R71" s="34"/>
      <c r="U71" t="str">
        <f ca="1">IFERROR(__xludf.DUMMYFUNCTION("IFERROR(SUM(FILTER('Form Responses (Power-up data)'!$C$2:$C1000, LOWER('Form Responses (Power-up data)'!$B$2:$B1000) = LOWER($B71))), 0)"),"0")</f>
        <v>0</v>
      </c>
      <c r="V71" s="27">
        <v>21</v>
      </c>
      <c r="W71" t="str">
        <f ca="1">IFERROR(__xludf.DUMMYFUNCTION("COUNT(FILTER('Form Responses (Power-up data)'!$C$2:$C1000, LOWER('Form Responses (Power-up data)'!$B$2:$B1000) = LOWER($B71)))"),"0")</f>
        <v>0</v>
      </c>
      <c r="X71" s="27">
        <v>1</v>
      </c>
      <c r="Y71" s="30" t="s">
        <v>694</v>
      </c>
    </row>
    <row r="72" spans="1:25" ht="12.75" x14ac:dyDescent="0.2">
      <c r="A72" s="11">
        <v>71</v>
      </c>
      <c r="B72" s="4" t="s">
        <v>104</v>
      </c>
      <c r="C72">
        <v>31.5</v>
      </c>
      <c r="D72">
        <v>34.1</v>
      </c>
      <c r="E72">
        <v>36.799999999999997</v>
      </c>
      <c r="F72" s="24">
        <f t="shared" si="14"/>
        <v>1.5</v>
      </c>
      <c r="G72" s="14" t="str">
        <f ca="1">IFERROR(__xludf.DUMMYFUNCTION("FILTER('Base Stats'!$C$2:$C1000, LOWER('Base Stats'!$B$2:$B1000) = LOWER($B72))"),"80")</f>
        <v>80</v>
      </c>
      <c r="H72">
        <v>2530</v>
      </c>
      <c r="I72" t="str">
        <f ca="1">IFERROR(__xludf.DUMMYFUNCTION("FLOOR(0.7903* (FILTER('Go Base Stats'!$C$2:$C1000, 'Go Base Stats'!$A$2:$A1000 = $A72)+15))"),"138")</f>
        <v>138</v>
      </c>
      <c r="J72" s="33"/>
      <c r="K72" s="33"/>
      <c r="L72" s="33"/>
      <c r="M72" s="27">
        <f t="shared" si="0"/>
        <v>35</v>
      </c>
      <c r="N72" s="28">
        <f t="shared" si="1"/>
        <v>2.5714285714285672E-2</v>
      </c>
      <c r="P72" s="29">
        <v>35</v>
      </c>
      <c r="Q72" s="30">
        <v>2.63</v>
      </c>
      <c r="R72" s="31"/>
      <c r="U72" t="str">
        <f ca="1">IFERROR(__xludf.DUMMYFUNCTION("IFERROR(SUM(FILTER('Form Responses (Power-up data)'!$C$2:$C1000, LOWER('Form Responses (Power-up data)'!$B$2:$B1000) = LOWER($B72))), 0)"),"0")</f>
        <v>0</v>
      </c>
      <c r="V72" s="27">
        <v>70</v>
      </c>
      <c r="W72" t="str">
        <f ca="1">IFERROR(__xludf.DUMMYFUNCTION("COUNT(FILTER('Form Responses (Power-up data)'!$C$2:$C1000, LOWER('Form Responses (Power-up data)'!$B$2:$B1000) = LOWER($B72)))"),"0")</f>
        <v>0</v>
      </c>
      <c r="X72" s="27">
        <v>2</v>
      </c>
      <c r="Y72" s="30" t="s">
        <v>695</v>
      </c>
    </row>
    <row r="73" spans="1:25" ht="12.75" x14ac:dyDescent="0.2">
      <c r="A73" s="11">
        <v>72</v>
      </c>
      <c r="B73" s="4" t="s">
        <v>105</v>
      </c>
      <c r="C73">
        <v>10.1</v>
      </c>
      <c r="D73">
        <v>11.6</v>
      </c>
      <c r="E73">
        <v>13.2</v>
      </c>
      <c r="F73" s="24"/>
      <c r="G73" s="14" t="str">
        <f ca="1">IFERROR(__xludf.DUMMYFUNCTION("FILTER('Base Stats'!$C$2:$C1000, LOWER('Base Stats'!$B$2:$B1000) = LOWER($B73))"),"40")</f>
        <v>40</v>
      </c>
      <c r="H73">
        <v>905</v>
      </c>
      <c r="I73" t="str">
        <f ca="1">IFERROR(__xludf.DUMMYFUNCTION("FLOOR(0.7903* (FILTER('Go Base Stats'!$C$2:$C1000, 'Go Base Stats'!$A$2:$A1000 = $A73)+15))"),"75")</f>
        <v>75</v>
      </c>
      <c r="J73" s="33"/>
      <c r="K73" s="33"/>
      <c r="L73" s="33"/>
      <c r="M73" s="27">
        <f t="shared" si="0"/>
        <v>12</v>
      </c>
      <c r="N73" s="28">
        <f t="shared" si="1"/>
        <v>3.3333333333333361E-2</v>
      </c>
      <c r="P73" s="29" t="s">
        <v>527</v>
      </c>
      <c r="Q73" s="30">
        <v>2.0227272730000001</v>
      </c>
      <c r="R73" s="31">
        <v>12</v>
      </c>
      <c r="U73" t="str">
        <f ca="1">IFERROR(__xludf.DUMMYFUNCTION("IFERROR(SUM(FILTER('Form Responses (Power-up data)'!$C$2:$C1000, LOWER('Form Responses (Power-up data)'!$B$2:$B1000) = LOWER($B73))), 0)"),"0")</f>
        <v>0</v>
      </c>
      <c r="V73" s="27">
        <v>0</v>
      </c>
      <c r="W73" t="str">
        <f ca="1">IFERROR(__xludf.DUMMYFUNCTION("COUNT(FILTER('Form Responses (Power-up data)'!$C$2:$C1000, LOWER('Form Responses (Power-up data)'!$B$2:$B1000) = LOWER($B73)))"),"0")</f>
        <v>0</v>
      </c>
      <c r="X73" s="27">
        <v>0</v>
      </c>
      <c r="Y73" s="30" t="s">
        <v>696</v>
      </c>
    </row>
    <row r="74" spans="1:25" ht="12.75" x14ac:dyDescent="0.2">
      <c r="A74" s="11">
        <v>73</v>
      </c>
      <c r="B74" s="4" t="s">
        <v>106</v>
      </c>
      <c r="C74">
        <v>27.4</v>
      </c>
      <c r="D74">
        <v>29.8</v>
      </c>
      <c r="E74">
        <v>32.299999999999997</v>
      </c>
      <c r="F74" s="24">
        <f>ROUND(D74/D73, 1)</f>
        <v>2.6</v>
      </c>
      <c r="G74" s="14" t="str">
        <f ca="1">IFERROR(__xludf.DUMMYFUNCTION("FILTER('Base Stats'!$C$2:$C1000, LOWER('Base Stats'!$B$2:$B1000) = LOWER($B74))"),"80")</f>
        <v>80</v>
      </c>
      <c r="H74">
        <v>2220</v>
      </c>
      <c r="I74" t="str">
        <f ca="1">IFERROR(__xludf.DUMMYFUNCTION("FLOOR(0.7903* (FILTER('Go Base Stats'!$C$2:$C1000, 'Go Base Stats'!$A$2:$A1000 = $A74)+15))"),"138")</f>
        <v>138</v>
      </c>
      <c r="J74" s="33"/>
      <c r="K74" s="33"/>
      <c r="L74" s="33"/>
      <c r="M74" s="27">
        <f t="shared" si="0"/>
        <v>30.2</v>
      </c>
      <c r="N74" s="28">
        <f t="shared" si="1"/>
        <v>1.3245033112582735E-2</v>
      </c>
      <c r="P74" s="29">
        <v>30.166666670000001</v>
      </c>
      <c r="Q74" s="30" t="s">
        <v>527</v>
      </c>
      <c r="R74" s="34"/>
      <c r="U74" t="str">
        <f ca="1">IFERROR(__xludf.DUMMYFUNCTION("IFERROR(SUM(FILTER('Form Responses (Power-up data)'!$C$2:$C1000, LOWER('Form Responses (Power-up data)'!$B$2:$B1000) = LOWER($B74))), 0)"),"0")</f>
        <v>0</v>
      </c>
      <c r="V74" s="27">
        <v>181</v>
      </c>
      <c r="W74" t="str">
        <f ca="1">IFERROR(__xludf.DUMMYFUNCTION("COUNT(FILTER('Form Responses (Power-up data)'!$C$2:$C1000, LOWER('Form Responses (Power-up data)'!$B$2:$B1000) = LOWER($B74)))"),"0")</f>
        <v>0</v>
      </c>
      <c r="X74" s="27">
        <v>6</v>
      </c>
      <c r="Y74" s="30" t="s">
        <v>659</v>
      </c>
    </row>
    <row r="75" spans="1:25" ht="12.75" x14ac:dyDescent="0.2">
      <c r="A75" s="11">
        <v>74</v>
      </c>
      <c r="B75" s="4" t="s">
        <v>107</v>
      </c>
      <c r="C75">
        <v>9.4</v>
      </c>
      <c r="D75">
        <v>10.8</v>
      </c>
      <c r="E75">
        <v>12.4</v>
      </c>
      <c r="F75" s="24"/>
      <c r="G75" s="14" t="str">
        <f ca="1">IFERROR(__xludf.DUMMYFUNCTION("FILTER('Base Stats'!$C$2:$C1000, LOWER('Base Stats'!$B$2:$B1000) = LOWER($B75))"),"40")</f>
        <v>40</v>
      </c>
      <c r="H75">
        <v>849</v>
      </c>
      <c r="I75" t="str">
        <f ca="1">IFERROR(__xludf.DUMMYFUNCTION("FLOOR(0.7903* (FILTER('Go Base Stats'!$C$2:$C1000, 'Go Base Stats'!$A$2:$A1000 = $A75)+15))"),"75")</f>
        <v>75</v>
      </c>
      <c r="J75" s="33"/>
      <c r="K75" s="33"/>
      <c r="L75" s="33"/>
      <c r="M75" s="27">
        <f t="shared" si="0"/>
        <v>11</v>
      </c>
      <c r="N75" s="28">
        <f t="shared" si="1"/>
        <v>1.8181818181818118E-2</v>
      </c>
      <c r="P75" s="29">
        <v>11</v>
      </c>
      <c r="Q75" s="30" t="s">
        <v>527</v>
      </c>
      <c r="R75" s="34"/>
      <c r="U75" t="str">
        <f ca="1">IFERROR(__xludf.DUMMYFUNCTION("IFERROR(SUM(FILTER('Form Responses (Power-up data)'!$C$2:$C1000, LOWER('Form Responses (Power-up data)'!$B$2:$B1000) = LOWER($B75))), 0)"),"0")</f>
        <v>0</v>
      </c>
      <c r="V75" s="27">
        <v>11</v>
      </c>
      <c r="W75" t="str">
        <f ca="1">IFERROR(__xludf.DUMMYFUNCTION("COUNT(FILTER('Form Responses (Power-up data)'!$C$2:$C1000, LOWER('Form Responses (Power-up data)'!$B$2:$B1000) = LOWER($B75)))"),"0")</f>
        <v>0</v>
      </c>
      <c r="X75" s="27">
        <v>1</v>
      </c>
      <c r="Y75" s="30" t="s">
        <v>659</v>
      </c>
    </row>
    <row r="76" spans="1:25" ht="12.75" x14ac:dyDescent="0.2">
      <c r="A76" s="11">
        <v>75</v>
      </c>
      <c r="B76" s="4" t="s">
        <v>108</v>
      </c>
      <c r="C76">
        <v>16.899999999999999</v>
      </c>
      <c r="D76">
        <v>18.8</v>
      </c>
      <c r="E76">
        <v>20.9</v>
      </c>
      <c r="F76" s="24">
        <f t="shared" ref="F76:F77" si="15">ROUND(D76/D75, 1)</f>
        <v>1.7</v>
      </c>
      <c r="G76" s="14" t="str">
        <f ca="1">IFERROR(__xludf.DUMMYFUNCTION("FILTER('Base Stats'!$C$2:$C1000, LOWER('Base Stats'!$B$2:$B1000) = LOWER($B76))"),"55")</f>
        <v>55</v>
      </c>
      <c r="H76">
        <v>1433</v>
      </c>
      <c r="I76" t="str">
        <f ca="1">IFERROR(__xludf.DUMMYFUNCTION("FLOOR(0.7903* (FILTER('Go Base Stats'!$C$2:$C1000, 'Go Base Stats'!$A$2:$A1000 = $A76)+15))"),"98")</f>
        <v>98</v>
      </c>
      <c r="J76" s="33"/>
      <c r="K76" s="33"/>
      <c r="L76" s="33"/>
      <c r="M76" s="27">
        <f t="shared" si="0"/>
        <v>19</v>
      </c>
      <c r="N76" s="28">
        <f t="shared" si="1"/>
        <v>1.0526315789473648E-2</v>
      </c>
      <c r="P76" s="29">
        <v>28</v>
      </c>
      <c r="Q76" s="30">
        <v>1.7283236989999999</v>
      </c>
      <c r="R76" s="31">
        <v>19</v>
      </c>
      <c r="U76" t="str">
        <f ca="1">IFERROR(__xludf.DUMMYFUNCTION("IFERROR(SUM(FILTER('Form Responses (Power-up data)'!$C$2:$C1000, LOWER('Form Responses (Power-up data)'!$B$2:$B1000) = LOWER($B76))), 0)"),"0")</f>
        <v>0</v>
      </c>
      <c r="V76" s="27">
        <v>28</v>
      </c>
      <c r="W76" t="str">
        <f ca="1">IFERROR(__xludf.DUMMYFUNCTION("COUNT(FILTER('Form Responses (Power-up data)'!$C$2:$C1000, LOWER('Form Responses (Power-up data)'!$B$2:$B1000) = LOWER($B76)))"),"0")</f>
        <v>0</v>
      </c>
      <c r="X76" s="27">
        <v>1</v>
      </c>
      <c r="Y76" s="30" t="s">
        <v>697</v>
      </c>
    </row>
    <row r="77" spans="1:25" ht="12.75" x14ac:dyDescent="0.2">
      <c r="A77" s="11">
        <v>76</v>
      </c>
      <c r="B77" s="4" t="s">
        <v>109</v>
      </c>
      <c r="C77">
        <v>28.5</v>
      </c>
      <c r="D77">
        <v>30.9</v>
      </c>
      <c r="E77">
        <v>33.5</v>
      </c>
      <c r="F77" s="24">
        <f t="shared" si="15"/>
        <v>1.6</v>
      </c>
      <c r="G77" s="14" t="str">
        <f ca="1">IFERROR(__xludf.DUMMYFUNCTION("FILTER('Base Stats'!$C$2:$C1000, LOWER('Base Stats'!$B$2:$B1000) = LOWER($B77))"),"80")</f>
        <v>80</v>
      </c>
      <c r="H77">
        <v>2303</v>
      </c>
      <c r="I77" t="str">
        <f ca="1">IFERROR(__xludf.DUMMYFUNCTION("FLOOR(0.7903* (FILTER('Go Base Stats'!$C$2:$C1000, 'Go Base Stats'!$A$2:$A1000 = $A77)+15))"),"138")</f>
        <v>138</v>
      </c>
      <c r="J77" s="33"/>
      <c r="K77" s="33"/>
      <c r="L77" s="33"/>
      <c r="M77" s="27">
        <f t="shared" si="0"/>
        <v>31</v>
      </c>
      <c r="N77" s="28">
        <f t="shared" si="1"/>
        <v>3.2258064516129492E-3</v>
      </c>
      <c r="P77" s="29">
        <v>31</v>
      </c>
      <c r="Q77" s="30" t="s">
        <v>527</v>
      </c>
      <c r="R77" s="34"/>
      <c r="U77" t="str">
        <f ca="1">IFERROR(__xludf.DUMMYFUNCTION("IFERROR(SUM(FILTER('Form Responses (Power-up data)'!$C$2:$C1000, LOWER('Form Responses (Power-up data)'!$B$2:$B1000) = LOWER($B77))), 0)"),"0")</f>
        <v>0</v>
      </c>
      <c r="V77" s="27">
        <v>31</v>
      </c>
      <c r="W77" t="str">
        <f ca="1">IFERROR(__xludf.DUMMYFUNCTION("COUNT(FILTER('Form Responses (Power-up data)'!$C$2:$C1000, LOWER('Form Responses (Power-up data)'!$B$2:$B1000) = LOWER($B77)))"),"0")</f>
        <v>0</v>
      </c>
      <c r="X77" s="27">
        <v>1</v>
      </c>
      <c r="Y77" s="30" t="s">
        <v>659</v>
      </c>
    </row>
    <row r="78" spans="1:25" ht="12.75" x14ac:dyDescent="0.2">
      <c r="A78" s="11">
        <v>77</v>
      </c>
      <c r="B78" s="4" t="s">
        <v>110</v>
      </c>
      <c r="C78">
        <v>17.899999999999999</v>
      </c>
      <c r="D78">
        <v>20</v>
      </c>
      <c r="E78">
        <v>22.1</v>
      </c>
      <c r="F78" s="24"/>
      <c r="G78" s="14" t="str">
        <f ca="1">IFERROR(__xludf.DUMMYFUNCTION("FILTER('Base Stats'!$C$2:$C1000, LOWER('Base Stats'!$B$2:$B1000) = LOWER($B78))"),"50")</f>
        <v>50</v>
      </c>
      <c r="H78">
        <v>1516</v>
      </c>
      <c r="I78" t="str">
        <f ca="1">IFERROR(__xludf.DUMMYFUNCTION("FLOOR(0.7903* (FILTER('Go Base Stats'!$C$2:$C1000, 'Go Base Stats'!$A$2:$A1000 = $A78)+15))"),"90")</f>
        <v>90</v>
      </c>
      <c r="J78" s="33"/>
      <c r="K78" s="33"/>
      <c r="L78" s="33"/>
      <c r="M78" s="27">
        <f t="shared" si="0"/>
        <v>20.8</v>
      </c>
      <c r="N78" s="28">
        <f t="shared" si="1"/>
        <v>3.8461538461538491E-2</v>
      </c>
      <c r="P78" s="29">
        <v>20.8</v>
      </c>
      <c r="Q78" s="30" t="s">
        <v>527</v>
      </c>
      <c r="R78" s="34"/>
      <c r="U78" t="str">
        <f ca="1">IFERROR(__xludf.DUMMYFUNCTION("IFERROR(SUM(FILTER('Form Responses (Power-up data)'!$C$2:$C1000, LOWER('Form Responses (Power-up data)'!$B$2:$B1000) = LOWER($B78))), 0)"),"0")</f>
        <v>0</v>
      </c>
      <c r="V78" s="27">
        <v>104</v>
      </c>
      <c r="W78" t="str">
        <f ca="1">IFERROR(__xludf.DUMMYFUNCTION("COUNT(FILTER('Form Responses (Power-up data)'!$C$2:$C1000, LOWER('Form Responses (Power-up data)'!$B$2:$B1000) = LOWER($B78)))"),"0")</f>
        <v>0</v>
      </c>
      <c r="X78" s="27">
        <v>5</v>
      </c>
      <c r="Y78" s="30" t="s">
        <v>659</v>
      </c>
    </row>
    <row r="79" spans="1:25" ht="12.75" x14ac:dyDescent="0.2">
      <c r="A79" s="11">
        <v>78</v>
      </c>
      <c r="B79" s="4" t="s">
        <v>111</v>
      </c>
      <c r="C79">
        <v>27</v>
      </c>
      <c r="D79">
        <v>29.5</v>
      </c>
      <c r="E79">
        <v>32</v>
      </c>
      <c r="F79" s="24">
        <f>ROUND(D79/D78, 1)</f>
        <v>1.5</v>
      </c>
      <c r="G79" s="14" t="str">
        <f ca="1">IFERROR(__xludf.DUMMYFUNCTION("FILTER('Base Stats'!$C$2:$C1000, LOWER('Base Stats'!$B$2:$B1000) = LOWER($B79))"),"65")</f>
        <v>65</v>
      </c>
      <c r="H79">
        <v>2199</v>
      </c>
      <c r="I79" t="str">
        <f ca="1">IFERROR(__xludf.DUMMYFUNCTION("FLOOR(0.7903* (FILTER('Go Base Stats'!$C$2:$C1000, 'Go Base Stats'!$A$2:$A1000 = $A79)+15))"),"114")</f>
        <v>114</v>
      </c>
      <c r="J79" s="33"/>
      <c r="K79" s="33"/>
      <c r="L79" s="33"/>
      <c r="M79" s="27">
        <f t="shared" si="0"/>
        <v>30.5</v>
      </c>
      <c r="N79" s="28">
        <f t="shared" si="1"/>
        <v>3.2786885245901641E-2</v>
      </c>
      <c r="P79" s="29">
        <v>30.5</v>
      </c>
      <c r="Q79" s="30">
        <v>1.4671052630000001</v>
      </c>
      <c r="R79" s="31"/>
      <c r="U79" t="str">
        <f ca="1">IFERROR(__xludf.DUMMYFUNCTION("IFERROR(SUM(FILTER('Form Responses (Power-up data)'!$C$2:$C1000, LOWER('Form Responses (Power-up data)'!$B$2:$B1000) = LOWER($B79))), 0)"),"0")</f>
        <v>0</v>
      </c>
      <c r="V79" s="27">
        <v>61</v>
      </c>
      <c r="W79" t="str">
        <f ca="1">IFERROR(__xludf.DUMMYFUNCTION("COUNT(FILTER('Form Responses (Power-up data)'!$C$2:$C1000, LOWER('Form Responses (Power-up data)'!$B$2:$B1000) = LOWER($B79)))"),"0")</f>
        <v>0</v>
      </c>
      <c r="X79" s="27">
        <v>2</v>
      </c>
      <c r="Y79" s="30" t="s">
        <v>698</v>
      </c>
    </row>
    <row r="80" spans="1:25" ht="12.75" x14ac:dyDescent="0.2">
      <c r="A80" s="11">
        <v>79</v>
      </c>
      <c r="B80" s="4" t="s">
        <v>112</v>
      </c>
      <c r="C80">
        <v>14.1</v>
      </c>
      <c r="D80">
        <v>15.9</v>
      </c>
      <c r="E80">
        <v>17.7</v>
      </c>
      <c r="F80" s="24"/>
      <c r="G80" s="14" t="str">
        <f ca="1">IFERROR(__xludf.DUMMYFUNCTION("FILTER('Base Stats'!$C$2:$C1000, LOWER('Base Stats'!$B$2:$B1000) = LOWER($B80))"),"90")</f>
        <v>90</v>
      </c>
      <c r="H80">
        <v>1218</v>
      </c>
      <c r="I80" t="str">
        <f ca="1">IFERROR(__xludf.DUMMYFUNCTION("FLOOR(0.7903* (FILTER('Go Base Stats'!$C$2:$C1000, 'Go Base Stats'!$A$2:$A1000 = $A80)+15))"),"154")</f>
        <v>154</v>
      </c>
      <c r="J80" s="33"/>
      <c r="K80" s="33"/>
      <c r="L80" s="33"/>
      <c r="M80" s="27">
        <f t="shared" si="0"/>
        <v>16</v>
      </c>
      <c r="N80" s="28">
        <f t="shared" si="1"/>
        <v>6.2499999999999778E-3</v>
      </c>
      <c r="P80" s="29" t="s">
        <v>527</v>
      </c>
      <c r="Q80" s="30" t="s">
        <v>527</v>
      </c>
      <c r="R80" s="31">
        <v>16</v>
      </c>
      <c r="U80" t="str">
        <f ca="1">IFERROR(__xludf.DUMMYFUNCTION("IFERROR(SUM(FILTER('Form Responses (Power-up data)'!$C$2:$C1000, LOWER('Form Responses (Power-up data)'!$B$2:$B1000) = LOWER($B80))), 0)"),"0")</f>
        <v>0</v>
      </c>
      <c r="V80" s="27">
        <v>0</v>
      </c>
      <c r="W80" t="str">
        <f ca="1">IFERROR(__xludf.DUMMYFUNCTION("COUNT(FILTER('Form Responses (Power-up data)'!$C$2:$C1000, LOWER('Form Responses (Power-up data)'!$B$2:$B1000) = LOWER($B80)))"),"0")</f>
        <v>0</v>
      </c>
      <c r="X80" s="27">
        <v>0</v>
      </c>
      <c r="Y80" s="30" t="s">
        <v>659</v>
      </c>
    </row>
    <row r="81" spans="1:25" ht="12.75" x14ac:dyDescent="0.2">
      <c r="A81" s="11">
        <v>80</v>
      </c>
      <c r="B81" s="4" t="s">
        <v>113</v>
      </c>
      <c r="C81">
        <v>32.4</v>
      </c>
      <c r="D81">
        <v>35.1</v>
      </c>
      <c r="E81">
        <v>37.799999999999997</v>
      </c>
      <c r="F81" s="24">
        <f>ROUND(D81/D80, 1)</f>
        <v>2.2000000000000002</v>
      </c>
      <c r="G81" s="14" t="str">
        <f ca="1">IFERROR(__xludf.DUMMYFUNCTION("FILTER('Base Stats'!$C$2:$C1000, LOWER('Base Stats'!$B$2:$B1000) = LOWER($B81))"),"95")</f>
        <v>95</v>
      </c>
      <c r="H81">
        <v>2597</v>
      </c>
      <c r="I81" t="str">
        <f ca="1">IFERROR(__xludf.DUMMYFUNCTION("FLOOR(0.7903* (FILTER('Go Base Stats'!$C$2:$C1000, 'Go Base Stats'!$A$2:$A1000 = $A81)+15))"),"162")</f>
        <v>162</v>
      </c>
      <c r="J81" s="33"/>
      <c r="K81" s="33"/>
      <c r="L81" s="33"/>
      <c r="M81" s="27">
        <f t="shared" si="0"/>
        <v>35.200000000000003</v>
      </c>
      <c r="N81" s="28">
        <f t="shared" si="1"/>
        <v>2.8409090909091309E-3</v>
      </c>
      <c r="P81" s="29">
        <v>35.166666669999998</v>
      </c>
      <c r="Q81" s="30" t="s">
        <v>527</v>
      </c>
      <c r="R81" s="34"/>
      <c r="U81" t="str">
        <f ca="1">IFERROR(__xludf.DUMMYFUNCTION("IFERROR(SUM(FILTER('Form Responses (Power-up data)'!$C$2:$C1000, LOWER('Form Responses (Power-up data)'!$B$2:$B1000) = LOWER($B81))), 0)"),"0")</f>
        <v>0</v>
      </c>
      <c r="V81" s="27">
        <v>211</v>
      </c>
      <c r="W81" t="str">
        <f ca="1">IFERROR(__xludf.DUMMYFUNCTION("COUNT(FILTER('Form Responses (Power-up data)'!$C$2:$C1000, LOWER('Form Responses (Power-up data)'!$B$2:$B1000) = LOWER($B81)))"),"0")</f>
        <v>0</v>
      </c>
      <c r="X81" s="27">
        <v>6</v>
      </c>
      <c r="Y81" s="30" t="s">
        <v>659</v>
      </c>
    </row>
    <row r="82" spans="1:25" ht="12.75" x14ac:dyDescent="0.2">
      <c r="A82" s="11">
        <v>81</v>
      </c>
      <c r="B82" s="4" t="s">
        <v>114</v>
      </c>
      <c r="C82">
        <v>9.6999999999999993</v>
      </c>
      <c r="D82">
        <v>11.3</v>
      </c>
      <c r="E82">
        <v>13</v>
      </c>
      <c r="F82" s="24"/>
      <c r="G82" s="14" t="str">
        <f ca="1">IFERROR(__xludf.DUMMYFUNCTION("FILTER('Base Stats'!$C$2:$C1000, LOWER('Base Stats'!$B$2:$B1000) = LOWER($B82))"),"25")</f>
        <v>25</v>
      </c>
      <c r="H82">
        <v>890</v>
      </c>
      <c r="I82" t="str">
        <f ca="1">IFERROR(__xludf.DUMMYFUNCTION("FLOOR(0.7903* (FILTER('Go Base Stats'!$C$2:$C1000, 'Go Base Stats'!$A$2:$A1000 = $A82)+15))"),"51")</f>
        <v>51</v>
      </c>
      <c r="J82" s="33"/>
      <c r="K82" s="33"/>
      <c r="L82" s="33"/>
      <c r="M82" s="27">
        <f t="shared" si="0"/>
        <v>12</v>
      </c>
      <c r="N82" s="28">
        <f t="shared" si="1"/>
        <v>5.8333333333333272E-2</v>
      </c>
      <c r="P82" s="29">
        <v>12</v>
      </c>
      <c r="Q82" s="30" t="s">
        <v>527</v>
      </c>
      <c r="R82" s="31"/>
      <c r="U82" t="str">
        <f ca="1">IFERROR(__xludf.DUMMYFUNCTION("IFERROR(SUM(FILTER('Form Responses (Power-up data)'!$C$2:$C1000, LOWER('Form Responses (Power-up data)'!$B$2:$B1000) = LOWER($B82))), 0)"),"0")</f>
        <v>0</v>
      </c>
      <c r="V82" s="27">
        <v>12</v>
      </c>
      <c r="W82" t="str">
        <f ca="1">IFERROR(__xludf.DUMMYFUNCTION("COUNT(FILTER('Form Responses (Power-up data)'!$C$2:$C1000, LOWER('Form Responses (Power-up data)'!$B$2:$B1000) = LOWER($B82)))"),"0")</f>
        <v>0</v>
      </c>
      <c r="X82" s="27">
        <v>1</v>
      </c>
      <c r="Y82" s="30" t="s">
        <v>659</v>
      </c>
    </row>
    <row r="83" spans="1:25" ht="12.75" x14ac:dyDescent="0.2">
      <c r="A83" s="11">
        <v>82</v>
      </c>
      <c r="B83" s="4" t="s">
        <v>115</v>
      </c>
      <c r="C83">
        <v>22.7</v>
      </c>
      <c r="D83">
        <v>25</v>
      </c>
      <c r="E83">
        <v>27.4</v>
      </c>
      <c r="F83" s="24">
        <f>ROUND(D83/D82, 1)</f>
        <v>2.2000000000000002</v>
      </c>
      <c r="G83" s="14" t="str">
        <f ca="1">IFERROR(__xludf.DUMMYFUNCTION("FILTER('Base Stats'!$C$2:$C1000, LOWER('Base Stats'!$B$2:$B1000) = LOWER($B83))"),"50")</f>
        <v>50</v>
      </c>
      <c r="H83">
        <v>1879</v>
      </c>
      <c r="I83" t="str">
        <f ca="1">IFERROR(__xludf.DUMMYFUNCTION("FLOOR(0.7903* (FILTER('Go Base Stats'!$C$2:$C1000, 'Go Base Stats'!$A$2:$A1000 = $A83)+15))"),"90")</f>
        <v>90</v>
      </c>
      <c r="J83" s="33"/>
      <c r="K83" s="33"/>
      <c r="L83" s="33"/>
      <c r="M83" s="27">
        <f t="shared" si="0"/>
        <v>25</v>
      </c>
      <c r="N83" s="28">
        <f t="shared" si="1"/>
        <v>0</v>
      </c>
      <c r="P83" s="29">
        <v>25</v>
      </c>
      <c r="Q83" s="30" t="s">
        <v>527</v>
      </c>
      <c r="R83" s="34"/>
      <c r="U83" t="str">
        <f ca="1">IFERROR(__xludf.DUMMYFUNCTION("IFERROR(SUM(FILTER('Form Responses (Power-up data)'!$C$2:$C1000, LOWER('Form Responses (Power-up data)'!$B$2:$B1000) = LOWER($B83))), 0)"),"0")</f>
        <v>0</v>
      </c>
      <c r="V83" s="27">
        <v>50</v>
      </c>
      <c r="W83" t="str">
        <f ca="1">IFERROR(__xludf.DUMMYFUNCTION("COUNT(FILTER('Form Responses (Power-up data)'!$C$2:$C1000, LOWER('Form Responses (Power-up data)'!$B$2:$B1000) = LOWER($B83)))"),"0")</f>
        <v>0</v>
      </c>
      <c r="X83" s="27">
        <v>2</v>
      </c>
      <c r="Y83" s="30" t="s">
        <v>659</v>
      </c>
    </row>
    <row r="84" spans="1:25" ht="12.75" x14ac:dyDescent="0.2">
      <c r="A84" s="11">
        <v>83</v>
      </c>
      <c r="B84" s="4" t="s">
        <v>116</v>
      </c>
      <c r="C84">
        <v>14.7</v>
      </c>
      <c r="D84">
        <v>16.5</v>
      </c>
      <c r="E84">
        <v>18.399999999999999</v>
      </c>
      <c r="F84" s="24"/>
      <c r="G84" s="14" t="str">
        <f ca="1">IFERROR(__xludf.DUMMYFUNCTION("FILTER('Base Stats'!$C$2:$C1000, LOWER('Base Stats'!$B$2:$B1000) = LOWER($B84))"),"52")</f>
        <v>52</v>
      </c>
      <c r="H84">
        <v>1263</v>
      </c>
      <c r="I84" t="str">
        <f ca="1">IFERROR(__xludf.DUMMYFUNCTION("FLOOR(0.7903* (FILTER('Go Base Stats'!$C$2:$C1000, 'Go Base Stats'!$A$2:$A1000 = $A84)+15))"),"94")</f>
        <v>94</v>
      </c>
      <c r="J84" s="33"/>
      <c r="K84" s="33"/>
      <c r="L84" s="33"/>
      <c r="M84" s="27" t="e">
        <f t="shared" si="0"/>
        <v>#VALUE!</v>
      </c>
      <c r="N84" s="28" t="e">
        <f t="shared" si="1"/>
        <v>#VALUE!</v>
      </c>
      <c r="P84" s="29" t="s">
        <v>527</v>
      </c>
      <c r="Q84" s="30" t="s">
        <v>527</v>
      </c>
      <c r="R84" s="34"/>
      <c r="U84" t="str">
        <f ca="1">IFERROR(__xludf.DUMMYFUNCTION("IFERROR(SUM(FILTER('Form Responses (Power-up data)'!$C$2:$C1000, LOWER('Form Responses (Power-up data)'!$B$2:$B1000) = LOWER($B84))), 0)"),"0")</f>
        <v>0</v>
      </c>
      <c r="V84" s="27">
        <v>0</v>
      </c>
      <c r="W84" t="str">
        <f ca="1">IFERROR(__xludf.DUMMYFUNCTION("COUNT(FILTER('Form Responses (Power-up data)'!$C$2:$C1000, LOWER('Form Responses (Power-up data)'!$B$2:$B1000) = LOWER($B84)))"),"0")</f>
        <v>0</v>
      </c>
      <c r="X84" s="27">
        <v>0</v>
      </c>
      <c r="Y84" s="30" t="s">
        <v>659</v>
      </c>
    </row>
    <row r="85" spans="1:25" ht="12.75" x14ac:dyDescent="0.2">
      <c r="A85" s="11">
        <v>84</v>
      </c>
      <c r="B85" s="4" t="s">
        <v>117</v>
      </c>
      <c r="C85">
        <v>9.4</v>
      </c>
      <c r="D85">
        <v>10.9</v>
      </c>
      <c r="E85">
        <v>12.4</v>
      </c>
      <c r="F85" s="24"/>
      <c r="G85" s="14" t="str">
        <f ca="1">IFERROR(__xludf.DUMMYFUNCTION("FILTER('Base Stats'!$C$2:$C1000, LOWER('Base Stats'!$B$2:$B1000) = LOWER($B85))"),"35")</f>
        <v>35</v>
      </c>
      <c r="H85">
        <v>855</v>
      </c>
      <c r="I85" t="str">
        <f ca="1">IFERROR(__xludf.DUMMYFUNCTION("FLOOR(0.7903* (FILTER('Go Base Stats'!$C$2:$C1000, 'Go Base Stats'!$A$2:$A1000 = $A85)+15))"),"67")</f>
        <v>67</v>
      </c>
      <c r="J85" s="33"/>
      <c r="K85" s="33"/>
      <c r="L85" s="33"/>
      <c r="M85" s="27">
        <f t="shared" si="0"/>
        <v>12</v>
      </c>
      <c r="N85" s="28">
        <f t="shared" si="1"/>
        <v>9.1666666666666632E-2</v>
      </c>
      <c r="P85" s="29">
        <v>10.33333333</v>
      </c>
      <c r="Q85" s="30" t="s">
        <v>527</v>
      </c>
      <c r="R85" s="31">
        <v>12</v>
      </c>
      <c r="U85" t="str">
        <f ca="1">IFERROR(__xludf.DUMMYFUNCTION("IFERROR(SUM(FILTER('Form Responses (Power-up data)'!$C$2:$C1000, LOWER('Form Responses (Power-up data)'!$B$2:$B1000) = LOWER($B85))), 0)"),"0")</f>
        <v>0</v>
      </c>
      <c r="V85" s="27">
        <v>31</v>
      </c>
      <c r="W85" t="str">
        <f ca="1">IFERROR(__xludf.DUMMYFUNCTION("COUNT(FILTER('Form Responses (Power-up data)'!$C$2:$C1000, LOWER('Form Responses (Power-up data)'!$B$2:$B1000) = LOWER($B85)))"),"0")</f>
        <v>0</v>
      </c>
      <c r="X85" s="27">
        <v>3</v>
      </c>
      <c r="Y85" s="30" t="s">
        <v>659</v>
      </c>
    </row>
    <row r="86" spans="1:25" ht="12.75" x14ac:dyDescent="0.2">
      <c r="A86" s="11">
        <v>85</v>
      </c>
      <c r="B86" s="4" t="s">
        <v>118</v>
      </c>
      <c r="C86">
        <v>22.2</v>
      </c>
      <c r="D86">
        <v>24.4</v>
      </c>
      <c r="E86">
        <v>26.7</v>
      </c>
      <c r="F86" s="24">
        <f>ROUND(D86/D85, 1)</f>
        <v>2.2000000000000002</v>
      </c>
      <c r="G86" s="14" t="str">
        <f ca="1">IFERROR(__xludf.DUMMYFUNCTION("FILTER('Base Stats'!$C$2:$C1000, LOWER('Base Stats'!$B$2:$B1000) = LOWER($B86))"),"60")</f>
        <v>60</v>
      </c>
      <c r="H86">
        <v>1836</v>
      </c>
      <c r="I86" t="str">
        <f ca="1">IFERROR(__xludf.DUMMYFUNCTION("FLOOR(0.7903* (FILTER('Go Base Stats'!$C$2:$C1000, 'Go Base Stats'!$A$2:$A1000 = $A86)+15))"),"106")</f>
        <v>106</v>
      </c>
      <c r="J86" s="33"/>
      <c r="K86" s="33"/>
      <c r="L86" s="33"/>
      <c r="M86" s="27">
        <f t="shared" si="0"/>
        <v>24</v>
      </c>
      <c r="N86" s="28">
        <f t="shared" si="1"/>
        <v>1.6666666666666607E-2</v>
      </c>
      <c r="P86" s="29">
        <v>24.875</v>
      </c>
      <c r="Q86" s="30">
        <v>1.9385577919999999</v>
      </c>
      <c r="R86" s="31">
        <v>24</v>
      </c>
      <c r="U86" t="str">
        <f ca="1">IFERROR(__xludf.DUMMYFUNCTION("IFERROR(SUM(FILTER('Form Responses (Power-up data)'!$C$2:$C1000, LOWER('Form Responses (Power-up data)'!$B$2:$B1000) = LOWER($B86))), 0)"),"0")</f>
        <v>0</v>
      </c>
      <c r="V86" s="27">
        <v>199</v>
      </c>
      <c r="W86" t="str">
        <f ca="1">IFERROR(__xludf.DUMMYFUNCTION("COUNT(FILTER('Form Responses (Power-up data)'!$C$2:$C1000, LOWER('Form Responses (Power-up data)'!$B$2:$B1000) = LOWER($B86)))"),"0")</f>
        <v>0</v>
      </c>
      <c r="X86" s="27">
        <v>8</v>
      </c>
      <c r="Y86" s="30" t="s">
        <v>699</v>
      </c>
    </row>
    <row r="87" spans="1:25" ht="12.75" x14ac:dyDescent="0.2">
      <c r="A87" s="11">
        <v>86</v>
      </c>
      <c r="B87" s="4" t="s">
        <v>119</v>
      </c>
      <c r="C87">
        <v>12.7</v>
      </c>
      <c r="D87">
        <v>14.3</v>
      </c>
      <c r="E87">
        <v>16.100000000000001</v>
      </c>
      <c r="F87" s="24"/>
      <c r="G87" s="14" t="str">
        <f ca="1">IFERROR(__xludf.DUMMYFUNCTION("FILTER('Base Stats'!$C$2:$C1000, LOWER('Base Stats'!$B$2:$B1000) = LOWER($B87))"),"65")</f>
        <v>65</v>
      </c>
      <c r="H87">
        <v>1107</v>
      </c>
      <c r="I87" t="str">
        <f ca="1">IFERROR(__xludf.DUMMYFUNCTION("FLOOR(0.7903* (FILTER('Go Base Stats'!$C$2:$C1000, 'Go Base Stats'!$A$2:$A1000 = $A87)+15))"),"114")</f>
        <v>114</v>
      </c>
      <c r="J87" s="33"/>
      <c r="K87" s="33"/>
      <c r="L87" s="33"/>
      <c r="M87" s="27">
        <f t="shared" si="0"/>
        <v>16</v>
      </c>
      <c r="N87" s="28">
        <f t="shared" si="1"/>
        <v>0.10624999999999996</v>
      </c>
      <c r="P87" s="29">
        <v>16</v>
      </c>
      <c r="Q87" s="30" t="s">
        <v>527</v>
      </c>
      <c r="R87" s="34"/>
      <c r="U87" t="str">
        <f ca="1">IFERROR(__xludf.DUMMYFUNCTION("IFERROR(SUM(FILTER('Form Responses (Power-up data)'!$C$2:$C1000, LOWER('Form Responses (Power-up data)'!$B$2:$B1000) = LOWER($B87))), 0)"),"0")</f>
        <v>0</v>
      </c>
      <c r="V87" s="27">
        <v>48</v>
      </c>
      <c r="W87" t="str">
        <f ca="1">IFERROR(__xludf.DUMMYFUNCTION("COUNT(FILTER('Form Responses (Power-up data)'!$C$2:$C1000, LOWER('Form Responses (Power-up data)'!$B$2:$B1000) = LOWER($B87)))"),"0")</f>
        <v>0</v>
      </c>
      <c r="X87" s="27">
        <v>3</v>
      </c>
      <c r="Y87" s="30" t="s">
        <v>659</v>
      </c>
    </row>
    <row r="88" spans="1:25" ht="12.75" x14ac:dyDescent="0.2">
      <c r="A88" s="11">
        <v>87</v>
      </c>
      <c r="B88" s="4" t="s">
        <v>120</v>
      </c>
      <c r="C88">
        <v>26.4</v>
      </c>
      <c r="D88">
        <v>28.7</v>
      </c>
      <c r="E88">
        <v>31.2</v>
      </c>
      <c r="F88" s="24">
        <f>ROUND(D88/D87, 1)</f>
        <v>2</v>
      </c>
      <c r="G88" s="14" t="str">
        <f ca="1">IFERROR(__xludf.DUMMYFUNCTION("FILTER('Base Stats'!$C$2:$C1000, LOWER('Base Stats'!$B$2:$B1000) = LOWER($B88))"),"90")</f>
        <v>90</v>
      </c>
      <c r="H88">
        <v>2145</v>
      </c>
      <c r="I88" t="str">
        <f ca="1">IFERROR(__xludf.DUMMYFUNCTION("FLOOR(0.7903* (FILTER('Go Base Stats'!$C$2:$C1000, 'Go Base Stats'!$A$2:$A1000 = $A88)+15))"),"154")</f>
        <v>154</v>
      </c>
      <c r="J88" s="33"/>
      <c r="K88" s="33"/>
      <c r="L88" s="33"/>
      <c r="M88" s="27">
        <f t="shared" si="0"/>
        <v>31</v>
      </c>
      <c r="N88" s="28">
        <f t="shared" si="1"/>
        <v>7.4193548387096797E-2</v>
      </c>
      <c r="P88" s="29">
        <v>31</v>
      </c>
      <c r="Q88" s="30" t="s">
        <v>527</v>
      </c>
      <c r="R88" s="34"/>
      <c r="U88" t="str">
        <f ca="1">IFERROR(__xludf.DUMMYFUNCTION("IFERROR(SUM(FILTER('Form Responses (Power-up data)'!$C$2:$C1000, LOWER('Form Responses (Power-up data)'!$B$2:$B1000) = LOWER($B88))), 0)"),"0")</f>
        <v>0</v>
      </c>
      <c r="V88" s="27">
        <v>31</v>
      </c>
      <c r="W88" t="str">
        <f ca="1">IFERROR(__xludf.DUMMYFUNCTION("COUNT(FILTER('Form Responses (Power-up data)'!$C$2:$C1000, LOWER('Form Responses (Power-up data)'!$B$2:$B1000) = LOWER($B88)))"),"0")</f>
        <v>0</v>
      </c>
      <c r="X88" s="27">
        <v>1</v>
      </c>
      <c r="Y88" s="30" t="s">
        <v>659</v>
      </c>
    </row>
    <row r="89" spans="1:25" ht="12.75" x14ac:dyDescent="0.2">
      <c r="A89" s="11">
        <v>88</v>
      </c>
      <c r="B89" s="4" t="s">
        <v>121</v>
      </c>
      <c r="C89">
        <v>15</v>
      </c>
      <c r="D89">
        <v>16.8</v>
      </c>
      <c r="E89">
        <v>18.7</v>
      </c>
      <c r="F89" s="24"/>
      <c r="G89" s="14" t="str">
        <f ca="1">IFERROR(__xludf.DUMMYFUNCTION("FILTER('Base Stats'!$C$2:$C1000, LOWER('Base Stats'!$B$2:$B1000) = LOWER($B89))"),"80")</f>
        <v>80</v>
      </c>
      <c r="H89">
        <v>1284</v>
      </c>
      <c r="I89" t="str">
        <f ca="1">IFERROR(__xludf.DUMMYFUNCTION("FLOOR(0.7903* (FILTER('Go Base Stats'!$C$2:$C1000, 'Go Base Stats'!$A$2:$A1000 = $A89)+15))"),"138")</f>
        <v>138</v>
      </c>
      <c r="J89" s="33"/>
      <c r="K89" s="33"/>
      <c r="L89" s="33"/>
      <c r="M89" s="27">
        <f t="shared" si="0"/>
        <v>17</v>
      </c>
      <c r="N89" s="28">
        <f t="shared" si="1"/>
        <v>1.1764705882352899E-2</v>
      </c>
      <c r="P89" s="29" t="s">
        <v>527</v>
      </c>
      <c r="Q89" s="30" t="s">
        <v>527</v>
      </c>
      <c r="R89" s="31">
        <v>17</v>
      </c>
      <c r="U89" t="str">
        <f ca="1">IFERROR(__xludf.DUMMYFUNCTION("IFERROR(SUM(FILTER('Form Responses (Power-up data)'!$C$2:$C1000, LOWER('Form Responses (Power-up data)'!$B$2:$B1000) = LOWER($B89))), 0)"),"0")</f>
        <v>0</v>
      </c>
      <c r="V89" s="27">
        <v>0</v>
      </c>
      <c r="W89" t="str">
        <f ca="1">IFERROR(__xludf.DUMMYFUNCTION("COUNT(FILTER('Form Responses (Power-up data)'!$C$2:$C1000, LOWER('Form Responses (Power-up data)'!$B$2:$B1000) = LOWER($B89)))"),"0")</f>
        <v>0</v>
      </c>
      <c r="X89" s="27">
        <v>0</v>
      </c>
      <c r="Y89" s="30" t="s">
        <v>659</v>
      </c>
    </row>
    <row r="90" spans="1:25" ht="12.75" x14ac:dyDescent="0.2">
      <c r="A90" s="11">
        <v>89</v>
      </c>
      <c r="B90" s="4" t="s">
        <v>122</v>
      </c>
      <c r="C90">
        <v>32.5</v>
      </c>
      <c r="D90">
        <v>35.1</v>
      </c>
      <c r="E90">
        <v>37.9</v>
      </c>
      <c r="F90" s="24">
        <f>ROUND(D90/D89, 1)</f>
        <v>2.1</v>
      </c>
      <c r="G90" s="14" t="str">
        <f ca="1">IFERROR(__xludf.DUMMYFUNCTION("FILTER('Base Stats'!$C$2:$C1000, LOWER('Base Stats'!$B$2:$B1000) = LOWER($B90))"),"105")</f>
        <v>105</v>
      </c>
      <c r="H90">
        <v>2602</v>
      </c>
      <c r="I90" t="str">
        <f ca="1">IFERROR(__xludf.DUMMYFUNCTION("FLOOR(0.7903* (FILTER('Go Base Stats'!$C$2:$C1000, 'Go Base Stats'!$A$2:$A1000 = $A90)+15))"),"177")</f>
        <v>177</v>
      </c>
      <c r="J90" s="33"/>
      <c r="K90" s="33"/>
      <c r="L90" s="33"/>
      <c r="M90" s="27">
        <f t="shared" si="0"/>
        <v>38</v>
      </c>
      <c r="N90" s="28">
        <f t="shared" si="1"/>
        <v>7.631578947368417E-2</v>
      </c>
      <c r="P90" s="29">
        <v>38</v>
      </c>
      <c r="Q90" s="30" t="s">
        <v>527</v>
      </c>
      <c r="R90" s="34"/>
      <c r="U90" t="str">
        <f ca="1">IFERROR(__xludf.DUMMYFUNCTION("IFERROR(SUM(FILTER('Form Responses (Power-up data)'!$C$2:$C1000, LOWER('Form Responses (Power-up data)'!$B$2:$B1000) = LOWER($B90))), 0)"),"0")</f>
        <v>0</v>
      </c>
      <c r="V90" s="27">
        <v>38</v>
      </c>
      <c r="W90" t="str">
        <f ca="1">IFERROR(__xludf.DUMMYFUNCTION("COUNT(FILTER('Form Responses (Power-up data)'!$C$2:$C1000, LOWER('Form Responses (Power-up data)'!$B$2:$B1000) = LOWER($B90)))"),"0")</f>
        <v>0</v>
      </c>
      <c r="X90" s="27">
        <v>1</v>
      </c>
      <c r="Y90" s="30" t="s">
        <v>659</v>
      </c>
    </row>
    <row r="91" spans="1:25" ht="12.75" x14ac:dyDescent="0.2">
      <c r="A91" s="11">
        <v>90</v>
      </c>
      <c r="B91" s="4" t="s">
        <v>123</v>
      </c>
      <c r="C91">
        <v>8.9</v>
      </c>
      <c r="D91">
        <v>10.4</v>
      </c>
      <c r="E91">
        <v>12</v>
      </c>
      <c r="F91" s="24"/>
      <c r="G91" s="14" t="str">
        <f ca="1">IFERROR(__xludf.DUMMYFUNCTION("FILTER('Base Stats'!$C$2:$C1000, LOWER('Base Stats'!$B$2:$B1000) = LOWER($B91))"),"30")</f>
        <v>30</v>
      </c>
      <c r="H91">
        <v>822</v>
      </c>
      <c r="I91" t="str">
        <f ca="1">IFERROR(__xludf.DUMMYFUNCTION("FLOOR(0.7903* (FILTER('Go Base Stats'!$C$2:$C1000, 'Go Base Stats'!$A$2:$A1000 = $A91)+15))"),"59")</f>
        <v>59</v>
      </c>
      <c r="J91" s="33"/>
      <c r="K91" s="33"/>
      <c r="L91" s="33"/>
      <c r="M91" s="27">
        <f t="shared" si="0"/>
        <v>10</v>
      </c>
      <c r="N91" s="28">
        <f t="shared" si="1"/>
        <v>4.0000000000000036E-2</v>
      </c>
      <c r="P91" s="29" t="s">
        <v>527</v>
      </c>
      <c r="Q91" s="30" t="s">
        <v>527</v>
      </c>
      <c r="R91" s="31">
        <v>10</v>
      </c>
      <c r="U91" t="str">
        <f ca="1">IFERROR(__xludf.DUMMYFUNCTION("IFERROR(SUM(FILTER('Form Responses (Power-up data)'!$C$2:$C1000, LOWER('Form Responses (Power-up data)'!$B$2:$B1000) = LOWER($B91))), 0)"),"0")</f>
        <v>0</v>
      </c>
      <c r="V91" s="27">
        <v>0</v>
      </c>
      <c r="W91" t="str">
        <f ca="1">IFERROR(__xludf.DUMMYFUNCTION("COUNT(FILTER('Form Responses (Power-up data)'!$C$2:$C1000, LOWER('Form Responses (Power-up data)'!$B$2:$B1000) = LOWER($B91)))"),"0")</f>
        <v>0</v>
      </c>
      <c r="X91" s="27">
        <v>0</v>
      </c>
      <c r="Y91" s="30" t="s">
        <v>659</v>
      </c>
    </row>
    <row r="92" spans="1:25" ht="12.75" x14ac:dyDescent="0.2">
      <c r="A92" s="11">
        <v>91</v>
      </c>
      <c r="B92" s="4" t="s">
        <v>124</v>
      </c>
      <c r="C92">
        <v>24.9</v>
      </c>
      <c r="D92">
        <v>27.4</v>
      </c>
      <c r="E92">
        <v>29.9</v>
      </c>
      <c r="F92" s="24">
        <f>ROUND(D92/D91, 1)</f>
        <v>2.6</v>
      </c>
      <c r="G92" s="14" t="str">
        <f ca="1">IFERROR(__xludf.DUMMYFUNCTION("FILTER('Base Stats'!$C$2:$C1000, LOWER('Base Stats'!$B$2:$B1000) = LOWER($B92))"),"50")</f>
        <v>50</v>
      </c>
      <c r="H92">
        <v>2052</v>
      </c>
      <c r="I92" t="str">
        <f ca="1">IFERROR(__xludf.DUMMYFUNCTION("FLOOR(0.7903* (FILTER('Go Base Stats'!$C$2:$C1000, 'Go Base Stats'!$A$2:$A1000 = $A92)+15))"),"90")</f>
        <v>90</v>
      </c>
      <c r="J92" s="33"/>
      <c r="K92" s="33"/>
      <c r="L92" s="33"/>
      <c r="M92" s="27">
        <f t="shared" si="0"/>
        <v>26</v>
      </c>
      <c r="N92" s="28">
        <f t="shared" si="1"/>
        <v>5.3846153846153794E-2</v>
      </c>
      <c r="P92" s="29">
        <v>26</v>
      </c>
      <c r="Q92" s="30" t="s">
        <v>527</v>
      </c>
      <c r="R92" s="31"/>
      <c r="U92" t="str">
        <f ca="1">IFERROR(__xludf.DUMMYFUNCTION("IFERROR(SUM(FILTER('Form Responses (Power-up data)'!$C$2:$C1000, LOWER('Form Responses (Power-up data)'!$B$2:$B1000) = LOWER($B92))), 0)"),"0")</f>
        <v>0</v>
      </c>
      <c r="V92" s="27">
        <v>26</v>
      </c>
      <c r="W92" t="str">
        <f ca="1">IFERROR(__xludf.DUMMYFUNCTION("COUNT(FILTER('Form Responses (Power-up data)'!$C$2:$C1000, LOWER('Form Responses (Power-up data)'!$B$2:$B1000) = LOWER($B92)))"),"0")</f>
        <v>0</v>
      </c>
      <c r="X92" s="27">
        <v>1</v>
      </c>
      <c r="Y92" s="30" t="s">
        <v>659</v>
      </c>
    </row>
    <row r="93" spans="1:25" ht="12.75" x14ac:dyDescent="0.2">
      <c r="A93" s="11">
        <v>92</v>
      </c>
      <c r="B93" s="4" t="s">
        <v>125</v>
      </c>
      <c r="C93">
        <v>8.6999999999999993</v>
      </c>
      <c r="D93">
        <v>10.1</v>
      </c>
      <c r="E93">
        <v>11.7</v>
      </c>
      <c r="F93" s="24"/>
      <c r="G93" s="14" t="str">
        <f ca="1">IFERROR(__xludf.DUMMYFUNCTION("FILTER('Base Stats'!$C$2:$C1000, LOWER('Base Stats'!$B$2:$B1000) = LOWER($B93))"),"30")</f>
        <v>30</v>
      </c>
      <c r="H93">
        <v>804</v>
      </c>
      <c r="I93" t="str">
        <f ca="1">IFERROR(__xludf.DUMMYFUNCTION("FLOOR(0.7903* (FILTER('Go Base Stats'!$C$2:$C1000, 'Go Base Stats'!$A$2:$A1000 = $A93)+15))"),"59")</f>
        <v>59</v>
      </c>
      <c r="J93" s="33"/>
      <c r="K93" s="33"/>
      <c r="L93" s="33"/>
      <c r="M93" s="27">
        <f t="shared" si="0"/>
        <v>11.3</v>
      </c>
      <c r="N93" s="28">
        <f t="shared" si="1"/>
        <v>0.10619469026548681</v>
      </c>
      <c r="P93" s="29">
        <v>11.33333333</v>
      </c>
      <c r="Q93" s="30" t="s">
        <v>527</v>
      </c>
      <c r="R93" s="34"/>
      <c r="U93" t="str">
        <f ca="1">IFERROR(__xludf.DUMMYFUNCTION("IFERROR(SUM(FILTER('Form Responses (Power-up data)'!$C$2:$C1000, LOWER('Form Responses (Power-up data)'!$B$2:$B1000) = LOWER($B93))), 0)"),"0")</f>
        <v>0</v>
      </c>
      <c r="V93" s="27">
        <v>34</v>
      </c>
      <c r="W93" t="str">
        <f ca="1">IFERROR(__xludf.DUMMYFUNCTION("COUNT(FILTER('Form Responses (Power-up data)'!$C$2:$C1000, LOWER('Form Responses (Power-up data)'!$B$2:$B1000) = LOWER($B93)))"),"0")</f>
        <v>0</v>
      </c>
      <c r="X93" s="27">
        <v>3</v>
      </c>
      <c r="Y93" s="30" t="s">
        <v>659</v>
      </c>
    </row>
    <row r="94" spans="1:25" ht="12.75" x14ac:dyDescent="0.2">
      <c r="A94" s="11">
        <v>93</v>
      </c>
      <c r="B94" s="4" t="s">
        <v>126</v>
      </c>
      <c r="C94">
        <v>16.100000000000001</v>
      </c>
      <c r="D94">
        <v>18</v>
      </c>
      <c r="E94">
        <v>20.100000000000001</v>
      </c>
      <c r="F94" s="24">
        <f t="shared" ref="F94:F95" si="16">ROUND(D94/D93, 1)</f>
        <v>1.8</v>
      </c>
      <c r="G94" s="14" t="str">
        <f ca="1">IFERROR(__xludf.DUMMYFUNCTION("FILTER('Base Stats'!$C$2:$C1000, LOWER('Base Stats'!$B$2:$B1000) = LOWER($B94))"),"45")</f>
        <v>45</v>
      </c>
      <c r="H94">
        <v>1380</v>
      </c>
      <c r="I94" t="str">
        <f ca="1">IFERROR(__xludf.DUMMYFUNCTION("FLOOR(0.7903* (FILTER('Go Base Stats'!$C$2:$C1000, 'Go Base Stats'!$A$2:$A1000 = $A94)+15))"),"82")</f>
        <v>82</v>
      </c>
      <c r="J94" s="33"/>
      <c r="K94" s="33"/>
      <c r="L94" s="33"/>
      <c r="M94" s="27">
        <f t="shared" si="0"/>
        <v>18</v>
      </c>
      <c r="N94" s="28">
        <f t="shared" si="1"/>
        <v>0</v>
      </c>
      <c r="P94" s="29">
        <v>18</v>
      </c>
      <c r="Q94" s="30">
        <v>1.75</v>
      </c>
      <c r="R94" s="42"/>
      <c r="U94" t="str">
        <f ca="1">IFERROR(__xludf.DUMMYFUNCTION("IFERROR(SUM(FILTER('Form Responses (Power-up data)'!$C$2:$C1000, LOWER('Form Responses (Power-up data)'!$B$2:$B1000) = LOWER($B94))), 0)"),"0")</f>
        <v>0</v>
      </c>
      <c r="V94" s="27">
        <v>18</v>
      </c>
      <c r="W94" t="str">
        <f ca="1">IFERROR(__xludf.DUMMYFUNCTION("COUNT(FILTER('Form Responses (Power-up data)'!$C$2:$C1000, LOWER('Form Responses (Power-up data)'!$B$2:$B1000) = LOWER($B94)))"),"0")</f>
        <v>0</v>
      </c>
      <c r="X94" s="27">
        <v>1</v>
      </c>
      <c r="Y94" s="30" t="s">
        <v>691</v>
      </c>
    </row>
    <row r="95" spans="1:25" ht="12.75" x14ac:dyDescent="0.2">
      <c r="A95" s="11">
        <v>94</v>
      </c>
      <c r="B95" s="4" t="s">
        <v>127</v>
      </c>
      <c r="C95">
        <v>25.4</v>
      </c>
      <c r="D95">
        <v>27.8</v>
      </c>
      <c r="E95">
        <v>30.2</v>
      </c>
      <c r="F95" s="24">
        <f t="shared" si="16"/>
        <v>1.5</v>
      </c>
      <c r="G95" s="14" t="str">
        <f ca="1">IFERROR(__xludf.DUMMYFUNCTION("FILTER('Base Stats'!$C$2:$C1000, LOWER('Base Stats'!$B$2:$B1000) = LOWER($B95))"),"60")</f>
        <v>60</v>
      </c>
      <c r="H95">
        <v>2078</v>
      </c>
      <c r="I95" t="str">
        <f ca="1">IFERROR(__xludf.DUMMYFUNCTION("FLOOR(0.7903* (FILTER('Go Base Stats'!$C$2:$C1000, 'Go Base Stats'!$A$2:$A1000 = $A95)+15))"),"106")</f>
        <v>106</v>
      </c>
      <c r="J95" s="33"/>
      <c r="K95" s="33"/>
      <c r="L95" s="33"/>
      <c r="M95" s="27">
        <f t="shared" si="0"/>
        <v>29.3</v>
      </c>
      <c r="N95" s="28">
        <f t="shared" si="1"/>
        <v>5.1194539249146756E-2</v>
      </c>
      <c r="P95" s="29">
        <v>29.25</v>
      </c>
      <c r="Q95" s="30" t="s">
        <v>527</v>
      </c>
      <c r="R95" s="34"/>
      <c r="U95" t="str">
        <f ca="1">IFERROR(__xludf.DUMMYFUNCTION("IFERROR(SUM(FILTER('Form Responses (Power-up data)'!$C$2:$C1000, LOWER('Form Responses (Power-up data)'!$B$2:$B1000) = LOWER($B95))), 0)"),"0")</f>
        <v>0</v>
      </c>
      <c r="V95" s="27">
        <v>117</v>
      </c>
      <c r="W95" t="str">
        <f ca="1">IFERROR(__xludf.DUMMYFUNCTION("COUNT(FILTER('Form Responses (Power-up data)'!$C$2:$C1000, LOWER('Form Responses (Power-up data)'!$B$2:$B1000) = LOWER($B95)))"),"0")</f>
        <v>0</v>
      </c>
      <c r="X95" s="27">
        <v>4</v>
      </c>
      <c r="Y95" s="30" t="s">
        <v>659</v>
      </c>
    </row>
    <row r="96" spans="1:25" ht="12.75" x14ac:dyDescent="0.2">
      <c r="A96" s="11">
        <v>95</v>
      </c>
      <c r="B96" s="4" t="s">
        <v>128</v>
      </c>
      <c r="C96">
        <v>9.3000000000000007</v>
      </c>
      <c r="D96">
        <v>10.9</v>
      </c>
      <c r="E96">
        <v>12.5</v>
      </c>
      <c r="F96" s="24"/>
      <c r="G96" s="14" t="str">
        <f ca="1">IFERROR(__xludf.DUMMYFUNCTION("FILTER('Base Stats'!$C$2:$C1000, LOWER('Base Stats'!$B$2:$B1000) = LOWER($B96))"),"35")</f>
        <v>35</v>
      </c>
      <c r="H96">
        <v>857</v>
      </c>
      <c r="I96" t="str">
        <f ca="1">IFERROR(__xludf.DUMMYFUNCTION("FLOOR(0.7903* (FILTER('Go Base Stats'!$C$2:$C1000, 'Go Base Stats'!$A$2:$A1000 = $A96)+15))"),"67")</f>
        <v>67</v>
      </c>
      <c r="J96" s="33"/>
      <c r="K96" s="33"/>
      <c r="L96" s="33"/>
      <c r="M96" s="27">
        <f t="shared" si="0"/>
        <v>11.5</v>
      </c>
      <c r="N96" s="28">
        <f t="shared" si="1"/>
        <v>5.217391304347823E-2</v>
      </c>
      <c r="P96" s="29">
        <v>11.5</v>
      </c>
      <c r="Q96" s="30" t="s">
        <v>527</v>
      </c>
      <c r="R96" s="31"/>
      <c r="U96" t="str">
        <f ca="1">IFERROR(__xludf.DUMMYFUNCTION("IFERROR(SUM(FILTER('Form Responses (Power-up data)'!$C$2:$C1000, LOWER('Form Responses (Power-up data)'!$B$2:$B1000) = LOWER($B96))), 0)"),"0")</f>
        <v>0</v>
      </c>
      <c r="V96" s="27">
        <v>23</v>
      </c>
      <c r="W96" t="str">
        <f ca="1">IFERROR(__xludf.DUMMYFUNCTION("COUNT(FILTER('Form Responses (Power-up data)'!$C$2:$C1000, LOWER('Form Responses (Power-up data)'!$B$2:$B1000) = LOWER($B96)))"),"0")</f>
        <v>0</v>
      </c>
      <c r="X96" s="27">
        <v>2</v>
      </c>
      <c r="Y96" s="30" t="s">
        <v>659</v>
      </c>
    </row>
    <row r="97" spans="1:25" ht="12.75" x14ac:dyDescent="0.2">
      <c r="A97" s="11">
        <v>96</v>
      </c>
      <c r="B97" s="4" t="s">
        <v>129</v>
      </c>
      <c r="C97">
        <v>12.3</v>
      </c>
      <c r="D97">
        <v>13.9</v>
      </c>
      <c r="E97">
        <v>15.6</v>
      </c>
      <c r="F97" s="24"/>
      <c r="G97" s="14" t="str">
        <f ca="1">IFERROR(__xludf.DUMMYFUNCTION("FILTER('Base Stats'!$C$2:$C1000, LOWER('Base Stats'!$B$2:$B1000) = LOWER($B97))"),"60")</f>
        <v>60</v>
      </c>
      <c r="H97">
        <v>1075</v>
      </c>
      <c r="I97" t="str">
        <f ca="1">IFERROR(__xludf.DUMMYFUNCTION("FLOOR(0.7903* (FILTER('Go Base Stats'!$C$2:$C1000, 'Go Base Stats'!$A$2:$A1000 = $A97)+15))"),"106")</f>
        <v>106</v>
      </c>
      <c r="J97" s="33"/>
      <c r="K97" s="33"/>
      <c r="L97" s="33"/>
      <c r="M97" s="27">
        <f t="shared" si="0"/>
        <v>14.5</v>
      </c>
      <c r="N97" s="28">
        <f t="shared" si="1"/>
        <v>4.1379310344827565E-2</v>
      </c>
      <c r="P97" s="29">
        <v>14.5</v>
      </c>
      <c r="Q97" s="30">
        <v>2.0468227419999998</v>
      </c>
      <c r="R97" s="42"/>
      <c r="U97" t="str">
        <f ca="1">IFERROR(__xludf.DUMMYFUNCTION("IFERROR(SUM(FILTER('Form Responses (Power-up data)'!$C$2:$C1000, LOWER('Form Responses (Power-up data)'!$B$2:$B1000) = LOWER($B97))), 0)"),"0")</f>
        <v>0</v>
      </c>
      <c r="V97" s="27">
        <v>29</v>
      </c>
      <c r="W97" t="str">
        <f ca="1">IFERROR(__xludf.DUMMYFUNCTION("COUNT(FILTER('Form Responses (Power-up data)'!$C$2:$C1000, LOWER('Form Responses (Power-up data)'!$B$2:$B1000) = LOWER($B97)))"),"0")</f>
        <v>0</v>
      </c>
      <c r="X97" s="27">
        <v>2</v>
      </c>
      <c r="Y97" s="30" t="s">
        <v>700</v>
      </c>
    </row>
    <row r="98" spans="1:25" ht="12.75" x14ac:dyDescent="0.2">
      <c r="A98" s="11">
        <v>97</v>
      </c>
      <c r="B98" s="4" t="s">
        <v>130</v>
      </c>
      <c r="C98">
        <v>26.9</v>
      </c>
      <c r="D98">
        <v>29.3</v>
      </c>
      <c r="E98">
        <v>31.8</v>
      </c>
      <c r="F98" s="24">
        <f>ROUND(D98/D97, 1)</f>
        <v>2.1</v>
      </c>
      <c r="G98" s="14" t="str">
        <f ca="1">IFERROR(__xludf.DUMMYFUNCTION("FILTER('Base Stats'!$C$2:$C1000, LOWER('Base Stats'!$B$2:$B1000) = LOWER($B98))"),"85")</f>
        <v>85</v>
      </c>
      <c r="H98">
        <v>2184</v>
      </c>
      <c r="I98" t="str">
        <f ca="1">IFERROR(__xludf.DUMMYFUNCTION("FLOOR(0.7903* (FILTER('Go Base Stats'!$C$2:$C1000, 'Go Base Stats'!$A$2:$A1000 = $A98)+15))"),"146")</f>
        <v>146</v>
      </c>
      <c r="J98" s="33"/>
      <c r="K98" s="33"/>
      <c r="L98" s="33"/>
      <c r="M98" s="27">
        <f t="shared" si="0"/>
        <v>30</v>
      </c>
      <c r="N98" s="28">
        <f t="shared" si="1"/>
        <v>2.333333333333331E-2</v>
      </c>
      <c r="P98" s="29">
        <v>30</v>
      </c>
      <c r="Q98" s="30">
        <v>1.933740341</v>
      </c>
      <c r="R98" s="34"/>
      <c r="U98" t="str">
        <f ca="1">IFERROR(__xludf.DUMMYFUNCTION("IFERROR(SUM(FILTER('Form Responses (Power-up data)'!$C$2:$C1000, LOWER('Form Responses (Power-up data)'!$B$2:$B1000) = LOWER($B98))), 0)"),"0")</f>
        <v>0</v>
      </c>
      <c r="V98" s="27">
        <v>420</v>
      </c>
      <c r="W98" t="str">
        <f ca="1">IFERROR(__xludf.DUMMYFUNCTION("COUNT(FILTER('Form Responses (Power-up data)'!$C$2:$C1000, LOWER('Form Responses (Power-up data)'!$B$2:$B1000) = LOWER($B98)))"),"0")</f>
        <v>0</v>
      </c>
      <c r="X98" s="27">
        <v>14</v>
      </c>
      <c r="Y98" s="30" t="s">
        <v>701</v>
      </c>
    </row>
    <row r="99" spans="1:25" ht="12.75" x14ac:dyDescent="0.2">
      <c r="A99" s="11">
        <v>98</v>
      </c>
      <c r="B99" s="4" t="s">
        <v>131</v>
      </c>
      <c r="C99">
        <v>8.6</v>
      </c>
      <c r="D99">
        <v>10</v>
      </c>
      <c r="E99">
        <v>11.5</v>
      </c>
      <c r="F99" s="24"/>
      <c r="G99" s="14" t="str">
        <f ca="1">IFERROR(__xludf.DUMMYFUNCTION("FILTER('Base Stats'!$C$2:$C1000, LOWER('Base Stats'!$B$2:$B1000) = LOWER($B99))"),"30")</f>
        <v>30</v>
      </c>
      <c r="H99">
        <v>792</v>
      </c>
      <c r="I99" t="str">
        <f ca="1">IFERROR(__xludf.DUMMYFUNCTION("FLOOR(0.7903* (FILTER('Go Base Stats'!$C$2:$C1000, 'Go Base Stats'!$A$2:$A1000 = $A99)+15))"),"59")</f>
        <v>59</v>
      </c>
      <c r="J99" s="33"/>
      <c r="K99" s="33"/>
      <c r="L99" s="33"/>
      <c r="M99" s="27">
        <f t="shared" si="0"/>
        <v>10.5</v>
      </c>
      <c r="N99" s="28">
        <f t="shared" si="1"/>
        <v>4.7619047619047616E-2</v>
      </c>
      <c r="P99" s="29" t="s">
        <v>527</v>
      </c>
      <c r="Q99" s="30" t="s">
        <v>527</v>
      </c>
      <c r="R99" s="42">
        <v>10.5</v>
      </c>
      <c r="U99" t="str">
        <f ca="1">IFERROR(__xludf.DUMMYFUNCTION("IFERROR(SUM(FILTER('Form Responses (Power-up data)'!$C$2:$C1000, LOWER('Form Responses (Power-up data)'!$B$2:$B1000) = LOWER($B99))), 0)"),"0")</f>
        <v>0</v>
      </c>
      <c r="V99" s="27">
        <v>0</v>
      </c>
      <c r="W99" t="str">
        <f ca="1">IFERROR(__xludf.DUMMYFUNCTION("COUNT(FILTER('Form Responses (Power-up data)'!$C$2:$C1000, LOWER('Form Responses (Power-up data)'!$B$2:$B1000) = LOWER($B99)))"),"0")</f>
        <v>0</v>
      </c>
      <c r="X99" s="27">
        <v>0</v>
      </c>
      <c r="Y99" s="30" t="s">
        <v>659</v>
      </c>
    </row>
    <row r="100" spans="1:25" ht="12.75" x14ac:dyDescent="0.2">
      <c r="A100" s="11">
        <v>99</v>
      </c>
      <c r="B100" s="4" t="s">
        <v>132</v>
      </c>
      <c r="C100">
        <v>22</v>
      </c>
      <c r="D100">
        <v>24.2</v>
      </c>
      <c r="E100">
        <v>26.5</v>
      </c>
      <c r="F100" s="24">
        <f>ROUND(D100/D99, 1)</f>
        <v>2.4</v>
      </c>
      <c r="G100" s="14" t="str">
        <f ca="1">IFERROR(__xludf.DUMMYFUNCTION("FILTER('Base Stats'!$C$2:$C1000, LOWER('Base Stats'!$B$2:$B1000) = LOWER($B100))"),"55")</f>
        <v>55</v>
      </c>
      <c r="H100">
        <v>1823</v>
      </c>
      <c r="I100" t="str">
        <f ca="1">IFERROR(__xludf.DUMMYFUNCTION("FLOOR(0.7903* (FILTER('Go Base Stats'!$C$2:$C1000, 'Go Base Stats'!$A$2:$A1000 = $A100)+15))"),"98")</f>
        <v>98</v>
      </c>
      <c r="J100" s="33"/>
      <c r="K100" s="33"/>
      <c r="L100" s="33"/>
      <c r="M100" s="27">
        <f t="shared" si="0"/>
        <v>25.3</v>
      </c>
      <c r="N100" s="28">
        <f t="shared" si="1"/>
        <v>4.3478260869565272E-2</v>
      </c>
      <c r="P100" s="29">
        <v>25.25</v>
      </c>
      <c r="Q100" s="30">
        <v>2.3879310340000002</v>
      </c>
      <c r="R100" s="34"/>
      <c r="U100" t="str">
        <f ca="1">IFERROR(__xludf.DUMMYFUNCTION("IFERROR(SUM(FILTER('Form Responses (Power-up data)'!$C$2:$C1000, LOWER('Form Responses (Power-up data)'!$B$2:$B1000) = LOWER($B100))), 0)"),"0")</f>
        <v>0</v>
      </c>
      <c r="V100" s="27">
        <v>101</v>
      </c>
      <c r="W100" t="str">
        <f ca="1">IFERROR(__xludf.DUMMYFUNCTION("COUNT(FILTER('Form Responses (Power-up data)'!$C$2:$C1000, LOWER('Form Responses (Power-up data)'!$B$2:$B1000) = LOWER($B100)))"),"0")</f>
        <v>0</v>
      </c>
      <c r="X100" s="27">
        <v>4</v>
      </c>
      <c r="Y100" s="30" t="s">
        <v>702</v>
      </c>
    </row>
    <row r="101" spans="1:25" ht="12.75" x14ac:dyDescent="0.2">
      <c r="A101" s="11">
        <v>100</v>
      </c>
      <c r="B101" s="4" t="s">
        <v>133</v>
      </c>
      <c r="C101">
        <v>9.1999999999999993</v>
      </c>
      <c r="D101">
        <v>10.7</v>
      </c>
      <c r="E101">
        <v>12.2</v>
      </c>
      <c r="F101" s="24"/>
      <c r="G101" s="14" t="str">
        <f ca="1">IFERROR(__xludf.DUMMYFUNCTION("FILTER('Base Stats'!$C$2:$C1000, LOWER('Base Stats'!$B$2:$B1000) = LOWER($B101))"),"40")</f>
        <v>40</v>
      </c>
      <c r="H101">
        <v>839</v>
      </c>
      <c r="I101" t="str">
        <f ca="1">IFERROR(__xludf.DUMMYFUNCTION("FLOOR(0.7903* (FILTER('Go Base Stats'!$C$2:$C1000, 'Go Base Stats'!$A$2:$A1000 = $A101)+15))"),"75")</f>
        <v>75</v>
      </c>
      <c r="J101" s="33"/>
      <c r="K101" s="33"/>
      <c r="L101" s="33"/>
      <c r="M101" s="27">
        <f t="shared" si="0"/>
        <v>10</v>
      </c>
      <c r="N101" s="28">
        <f t="shared" si="1"/>
        <v>6.9999999999999923E-2</v>
      </c>
      <c r="P101" s="29" t="s">
        <v>527</v>
      </c>
      <c r="Q101" s="30" t="s">
        <v>527</v>
      </c>
      <c r="R101" s="31">
        <v>10</v>
      </c>
      <c r="U101" t="str">
        <f ca="1">IFERROR(__xludf.DUMMYFUNCTION("IFERROR(SUM(FILTER('Form Responses (Power-up data)'!$C$2:$C1000, LOWER('Form Responses (Power-up data)'!$B$2:$B1000) = LOWER($B101))), 0)"),"0")</f>
        <v>0</v>
      </c>
      <c r="V101" s="27">
        <v>0</v>
      </c>
      <c r="W101" t="str">
        <f ca="1">IFERROR(__xludf.DUMMYFUNCTION("COUNT(FILTER('Form Responses (Power-up data)'!$C$2:$C1000, LOWER('Form Responses (Power-up data)'!$B$2:$B1000) = LOWER($B101)))"),"0")</f>
        <v>0</v>
      </c>
      <c r="X101" s="27">
        <v>0</v>
      </c>
      <c r="Y101" s="30" t="s">
        <v>659</v>
      </c>
    </row>
    <row r="102" spans="1:25" ht="12.75" x14ac:dyDescent="0.2">
      <c r="A102" s="11">
        <v>101</v>
      </c>
      <c r="B102" s="4" t="s">
        <v>134</v>
      </c>
      <c r="C102">
        <v>19.7</v>
      </c>
      <c r="D102">
        <v>21.8</v>
      </c>
      <c r="E102">
        <v>24</v>
      </c>
      <c r="F102" s="24">
        <f>ROUND(D102/D101, 1)</f>
        <v>2</v>
      </c>
      <c r="G102" s="14" t="str">
        <f ca="1">IFERROR(__xludf.DUMMYFUNCTION("FILTER('Base Stats'!$C$2:$C1000, LOWER('Base Stats'!$B$2:$B1000) = LOWER($B102))"),"60")</f>
        <v>60</v>
      </c>
      <c r="H102">
        <v>1646</v>
      </c>
      <c r="I102" t="str">
        <f ca="1">IFERROR(__xludf.DUMMYFUNCTION("FLOOR(0.7903* (FILTER('Go Base Stats'!$C$2:$C1000, 'Go Base Stats'!$A$2:$A1000 = $A102)+15))"),"106")</f>
        <v>106</v>
      </c>
      <c r="J102" s="33"/>
      <c r="K102" s="33"/>
      <c r="L102" s="33"/>
      <c r="M102" s="27">
        <f t="shared" si="0"/>
        <v>22.5</v>
      </c>
      <c r="N102" s="28">
        <f t="shared" si="1"/>
        <v>3.1111111111111079E-2</v>
      </c>
      <c r="P102" s="29">
        <v>22.5</v>
      </c>
      <c r="Q102" s="30">
        <v>2.052863436</v>
      </c>
      <c r="R102" s="34"/>
      <c r="U102" t="str">
        <f ca="1">IFERROR(__xludf.DUMMYFUNCTION("IFERROR(SUM(FILTER('Form Responses (Power-up data)'!$C$2:$C1000, LOWER('Form Responses (Power-up data)'!$B$2:$B1000) = LOWER($B102))), 0)"),"0")</f>
        <v>0</v>
      </c>
      <c r="V102" s="27">
        <v>45</v>
      </c>
      <c r="W102" t="str">
        <f ca="1">IFERROR(__xludf.DUMMYFUNCTION("COUNT(FILTER('Form Responses (Power-up data)'!$C$2:$C1000, LOWER('Form Responses (Power-up data)'!$B$2:$B1000) = LOWER($B102)))"),"0")</f>
        <v>0</v>
      </c>
      <c r="X102" s="27">
        <v>2</v>
      </c>
      <c r="Y102" s="30" t="s">
        <v>700</v>
      </c>
    </row>
    <row r="103" spans="1:25" ht="12.75" x14ac:dyDescent="0.2">
      <c r="A103" s="11">
        <v>102</v>
      </c>
      <c r="B103" s="4" t="s">
        <v>135</v>
      </c>
      <c r="C103">
        <v>12.6</v>
      </c>
      <c r="D103">
        <v>14.2</v>
      </c>
      <c r="E103">
        <v>16</v>
      </c>
      <c r="F103" s="24"/>
      <c r="G103" s="14" t="str">
        <f ca="1">IFERROR(__xludf.DUMMYFUNCTION("FILTER('Base Stats'!$C$2:$C1000, LOWER('Base Stats'!$B$2:$B1000) = LOWER($B103))"),"60")</f>
        <v>60</v>
      </c>
      <c r="H103">
        <v>1099</v>
      </c>
      <c r="I103" t="str">
        <f ca="1">IFERROR(__xludf.DUMMYFUNCTION("FLOOR(0.7903* (FILTER('Go Base Stats'!$C$2:$C1000, 'Go Base Stats'!$A$2:$A1000 = $A103)+15))"),"106")</f>
        <v>106</v>
      </c>
      <c r="J103" s="33"/>
      <c r="K103" s="33"/>
      <c r="L103" s="33"/>
      <c r="M103" s="27">
        <f t="shared" si="0"/>
        <v>18</v>
      </c>
      <c r="N103" s="28">
        <f t="shared" si="1"/>
        <v>0.21111111111111114</v>
      </c>
      <c r="P103" s="29">
        <v>18</v>
      </c>
      <c r="Q103" s="30" t="s">
        <v>527</v>
      </c>
      <c r="R103" s="34"/>
      <c r="U103" t="str">
        <f ca="1">IFERROR(__xludf.DUMMYFUNCTION("IFERROR(SUM(FILTER('Form Responses (Power-up data)'!$C$2:$C1000, LOWER('Form Responses (Power-up data)'!$B$2:$B1000) = LOWER($B103))), 0)"),"0")</f>
        <v>0</v>
      </c>
      <c r="V103" s="27">
        <v>18</v>
      </c>
      <c r="W103" t="str">
        <f ca="1">IFERROR(__xludf.DUMMYFUNCTION("COUNT(FILTER('Form Responses (Power-up data)'!$C$2:$C1000, LOWER('Form Responses (Power-up data)'!$B$2:$B1000) = LOWER($B103)))"),"0")</f>
        <v>0</v>
      </c>
      <c r="X103" s="27">
        <v>1</v>
      </c>
      <c r="Y103" s="30" t="s">
        <v>659</v>
      </c>
    </row>
    <row r="104" spans="1:25" ht="12.75" x14ac:dyDescent="0.2">
      <c r="A104" s="11">
        <v>103</v>
      </c>
      <c r="B104" s="4" t="s">
        <v>136</v>
      </c>
      <c r="C104">
        <v>37.200000000000003</v>
      </c>
      <c r="D104">
        <v>40.1</v>
      </c>
      <c r="E104">
        <v>43</v>
      </c>
      <c r="F104" s="24">
        <f>ROUND(D104/D103, 1)</f>
        <v>2.8</v>
      </c>
      <c r="G104" s="14" t="str">
        <f ca="1">IFERROR(__xludf.DUMMYFUNCTION("FILTER('Base Stats'!$C$2:$C1000, LOWER('Base Stats'!$B$2:$B1000) = LOWER($B104))"),"95")</f>
        <v>95</v>
      </c>
      <c r="H104">
        <v>2955</v>
      </c>
      <c r="I104" t="str">
        <f ca="1">IFERROR(__xludf.DUMMYFUNCTION("FLOOR(0.7903* (FILTER('Go Base Stats'!$C$2:$C1000, 'Go Base Stats'!$A$2:$A1000 = $A104)+15))"),"162")</f>
        <v>162</v>
      </c>
      <c r="J104" s="33"/>
      <c r="K104" s="33"/>
      <c r="L104" s="33"/>
      <c r="M104" s="27">
        <f t="shared" si="0"/>
        <v>40.5</v>
      </c>
      <c r="N104" s="28">
        <f t="shared" si="1"/>
        <v>9.8765432098765083E-3</v>
      </c>
      <c r="P104" s="29">
        <v>40.5</v>
      </c>
      <c r="Q104" s="30">
        <v>2.7182147470000002</v>
      </c>
      <c r="R104" s="34"/>
      <c r="U104" t="str">
        <f ca="1">IFERROR(__xludf.DUMMYFUNCTION("IFERROR(SUM(FILTER('Form Responses (Power-up data)'!$C$2:$C1000, LOWER('Form Responses (Power-up data)'!$B$2:$B1000) = LOWER($B104))), 0)"),"0")</f>
        <v>0</v>
      </c>
      <c r="V104" s="27">
        <v>243</v>
      </c>
      <c r="W104" t="str">
        <f ca="1">IFERROR(__xludf.DUMMYFUNCTION("COUNT(FILTER('Form Responses (Power-up data)'!$C$2:$C1000, LOWER('Form Responses (Power-up data)'!$B$2:$B1000) = LOWER($B104)))"),"0")</f>
        <v>0</v>
      </c>
      <c r="X104" s="27">
        <v>6</v>
      </c>
      <c r="Y104" s="30" t="s">
        <v>703</v>
      </c>
    </row>
    <row r="105" spans="1:25" ht="12.75" x14ac:dyDescent="0.2">
      <c r="A105" s="11">
        <v>104</v>
      </c>
      <c r="B105" s="4" t="s">
        <v>137</v>
      </c>
      <c r="C105">
        <v>11.4</v>
      </c>
      <c r="D105">
        <v>13</v>
      </c>
      <c r="E105">
        <v>14.7</v>
      </c>
      <c r="F105" s="24"/>
      <c r="G105" s="14" t="str">
        <f ca="1">IFERROR(__xludf.DUMMYFUNCTION("FILTER('Base Stats'!$C$2:$C1000, LOWER('Base Stats'!$B$2:$B1000) = LOWER($B105))"),"50")</f>
        <v>50</v>
      </c>
      <c r="H105">
        <v>1006</v>
      </c>
      <c r="I105" t="str">
        <f ca="1">IFERROR(__xludf.DUMMYFUNCTION("FLOOR(0.7903* (FILTER('Go Base Stats'!$C$2:$C1000, 'Go Base Stats'!$A$2:$A1000 = $A105)+15))"),"90")</f>
        <v>90</v>
      </c>
      <c r="J105" s="33"/>
      <c r="K105" s="33"/>
      <c r="L105" s="33"/>
      <c r="M105" s="27">
        <f t="shared" si="0"/>
        <v>13</v>
      </c>
      <c r="N105" s="28">
        <f t="shared" si="1"/>
        <v>0</v>
      </c>
      <c r="P105" s="29">
        <v>13</v>
      </c>
      <c r="Q105" s="30" t="s">
        <v>527</v>
      </c>
      <c r="R105" s="34"/>
      <c r="U105" t="str">
        <f ca="1">IFERROR(__xludf.DUMMYFUNCTION("IFERROR(SUM(FILTER('Form Responses (Power-up data)'!$C$2:$C1000, LOWER('Form Responses (Power-up data)'!$B$2:$B1000) = LOWER($B105))), 0)"),"0")</f>
        <v>0</v>
      </c>
      <c r="V105" s="27">
        <v>13</v>
      </c>
      <c r="W105" t="str">
        <f ca="1">IFERROR(__xludf.DUMMYFUNCTION("COUNT(FILTER('Form Responses (Power-up data)'!$C$2:$C1000, LOWER('Form Responses (Power-up data)'!$B$2:$B1000) = LOWER($B105)))"),"0")</f>
        <v>0</v>
      </c>
      <c r="X105" s="27">
        <v>1</v>
      </c>
      <c r="Y105" s="30" t="s">
        <v>659</v>
      </c>
    </row>
    <row r="106" spans="1:25" ht="12.75" x14ac:dyDescent="0.2">
      <c r="A106" s="11">
        <v>105</v>
      </c>
      <c r="B106" s="4" t="s">
        <v>138</v>
      </c>
      <c r="C106">
        <v>19.8</v>
      </c>
      <c r="D106">
        <v>21.9</v>
      </c>
      <c r="E106">
        <v>24.1</v>
      </c>
      <c r="F106" s="24">
        <f>ROUND(D106/D105, 1)</f>
        <v>1.7</v>
      </c>
      <c r="G106" s="14" t="str">
        <f ca="1">IFERROR(__xludf.DUMMYFUNCTION("FILTER('Base Stats'!$C$2:$C1000, LOWER('Base Stats'!$B$2:$B1000) = LOWER($B106))"),"60")</f>
        <v>60</v>
      </c>
      <c r="H106">
        <v>1656</v>
      </c>
      <c r="I106" t="str">
        <f ca="1">IFERROR(__xludf.DUMMYFUNCTION("FLOOR(0.7903* (FILTER('Go Base Stats'!$C$2:$C1000, 'Go Base Stats'!$A$2:$A1000 = $A106)+15))"),"106")</f>
        <v>106</v>
      </c>
      <c r="J106" s="33"/>
      <c r="K106" s="33"/>
      <c r="L106" s="33"/>
      <c r="M106" s="27">
        <f t="shared" si="0"/>
        <v>22.5</v>
      </c>
      <c r="N106" s="28">
        <f t="shared" si="1"/>
        <v>2.6666666666666731E-2</v>
      </c>
      <c r="P106" s="29">
        <v>22.5</v>
      </c>
      <c r="Q106" s="30">
        <v>1.673267327</v>
      </c>
      <c r="R106" s="34"/>
      <c r="U106" t="str">
        <f ca="1">IFERROR(__xludf.DUMMYFUNCTION("IFERROR(SUM(FILTER('Form Responses (Power-up data)'!$C$2:$C1000, LOWER('Form Responses (Power-up data)'!$B$2:$B1000) = LOWER($B106))), 0)"),"0")</f>
        <v>0</v>
      </c>
      <c r="V106" s="27">
        <v>45</v>
      </c>
      <c r="W106" t="str">
        <f ca="1">IFERROR(__xludf.DUMMYFUNCTION("COUNT(FILTER('Form Responses (Power-up data)'!$C$2:$C1000, LOWER('Form Responses (Power-up data)'!$B$2:$B1000) = LOWER($B106)))"),"0")</f>
        <v>0</v>
      </c>
      <c r="X106" s="27">
        <v>2</v>
      </c>
      <c r="Y106" s="30" t="s">
        <v>704</v>
      </c>
    </row>
    <row r="107" spans="1:25" ht="12.75" x14ac:dyDescent="0.2">
      <c r="A107" s="11">
        <v>106</v>
      </c>
      <c r="B107" s="4" t="s">
        <v>139</v>
      </c>
      <c r="C107">
        <v>17.600000000000001</v>
      </c>
      <c r="D107">
        <v>19.600000000000001</v>
      </c>
      <c r="E107">
        <v>21.7</v>
      </c>
      <c r="F107" s="24"/>
      <c r="G107" s="14" t="str">
        <f ca="1">IFERROR(__xludf.DUMMYFUNCTION("FILTER('Base Stats'!$C$2:$C1000, LOWER('Base Stats'!$B$2:$B1000) = LOWER($B107))"),"50")</f>
        <v>50</v>
      </c>
      <c r="H107">
        <v>1492</v>
      </c>
      <c r="I107" t="str">
        <f ca="1">IFERROR(__xludf.DUMMYFUNCTION("FLOOR(0.7903* (FILTER('Go Base Stats'!$C$2:$C1000, 'Go Base Stats'!$A$2:$A1000 = $A107)+15))"),"90")</f>
        <v>90</v>
      </c>
      <c r="J107" s="33"/>
      <c r="K107" s="33"/>
      <c r="L107" s="33"/>
      <c r="M107" s="27">
        <f t="shared" si="0"/>
        <v>21</v>
      </c>
      <c r="N107" s="28">
        <f t="shared" si="1"/>
        <v>6.6666666666666596E-2</v>
      </c>
      <c r="P107" s="29">
        <v>21</v>
      </c>
      <c r="Q107" s="30" t="s">
        <v>527</v>
      </c>
      <c r="R107" s="34"/>
      <c r="U107" t="str">
        <f ca="1">IFERROR(__xludf.DUMMYFUNCTION("IFERROR(SUM(FILTER('Form Responses (Power-up data)'!$C$2:$C1000, LOWER('Form Responses (Power-up data)'!$B$2:$B1000) = LOWER($B107))), 0)"),"21")</f>
        <v>21</v>
      </c>
      <c r="V107" s="27">
        <v>0</v>
      </c>
      <c r="W107" t="str">
        <f ca="1">IFERROR(__xludf.DUMMYFUNCTION("COUNT(FILTER('Form Responses (Power-up data)'!$C$2:$C1000, LOWER('Form Responses (Power-up data)'!$B$2:$B1000) = LOWER($B107)))"),"1")</f>
        <v>1</v>
      </c>
      <c r="X107" s="27">
        <v>0</v>
      </c>
      <c r="Y107" s="30" t="s">
        <v>659</v>
      </c>
    </row>
    <row r="108" spans="1:25" ht="12.75" x14ac:dyDescent="0.2">
      <c r="A108" s="11">
        <v>107</v>
      </c>
      <c r="B108" s="4" t="s">
        <v>140</v>
      </c>
      <c r="C108">
        <v>17.899999999999999</v>
      </c>
      <c r="D108">
        <v>19.899999999999999</v>
      </c>
      <c r="E108">
        <v>22.1</v>
      </c>
      <c r="F108" s="24"/>
      <c r="G108" s="14" t="str">
        <f ca="1">IFERROR(__xludf.DUMMYFUNCTION("FILTER('Base Stats'!$C$2:$C1000, LOWER('Base Stats'!$B$2:$B1000) = LOWER($B108))"),"50")</f>
        <v>50</v>
      </c>
      <c r="H108">
        <v>1516</v>
      </c>
      <c r="I108" t="str">
        <f ca="1">IFERROR(__xludf.DUMMYFUNCTION("FLOOR(0.7903* (FILTER('Go Base Stats'!$C$2:$C1000, 'Go Base Stats'!$A$2:$A1000 = $A108)+15))"),"90")</f>
        <v>90</v>
      </c>
      <c r="J108" s="33"/>
      <c r="K108" s="33"/>
      <c r="L108" s="33"/>
      <c r="M108" s="27">
        <f t="shared" si="0"/>
        <v>21</v>
      </c>
      <c r="N108" s="28">
        <f t="shared" si="1"/>
        <v>5.2380952380952452E-2</v>
      </c>
      <c r="P108" s="29">
        <v>21</v>
      </c>
      <c r="Q108" s="30" t="s">
        <v>527</v>
      </c>
      <c r="R108" s="34"/>
      <c r="U108" t="str">
        <f ca="1">IFERROR(__xludf.DUMMYFUNCTION("IFERROR(SUM(FILTER('Form Responses (Power-up data)'!$C$2:$C1000, LOWER('Form Responses (Power-up data)'!$B$2:$B1000) = LOWER($B108))), 0)"),"0")</f>
        <v>0</v>
      </c>
      <c r="V108" s="27">
        <v>21</v>
      </c>
      <c r="W108" t="str">
        <f ca="1">IFERROR(__xludf.DUMMYFUNCTION("COUNT(FILTER('Form Responses (Power-up data)'!$C$2:$C1000, LOWER('Form Responses (Power-up data)'!$B$2:$B1000) = LOWER($B108)))"),"0")</f>
        <v>0</v>
      </c>
      <c r="X108" s="27">
        <v>1</v>
      </c>
      <c r="Y108" s="30" t="s">
        <v>659</v>
      </c>
    </row>
    <row r="109" spans="1:25" ht="12.75" x14ac:dyDescent="0.2">
      <c r="A109" s="11">
        <v>108</v>
      </c>
      <c r="B109" s="4" t="s">
        <v>141</v>
      </c>
      <c r="C109">
        <v>19.399999999999999</v>
      </c>
      <c r="D109">
        <v>21.5</v>
      </c>
      <c r="E109">
        <v>23.7</v>
      </c>
      <c r="F109" s="24"/>
      <c r="G109" s="14" t="str">
        <f ca="1">IFERROR(__xludf.DUMMYFUNCTION("FILTER('Base Stats'!$C$2:$C1000, LOWER('Base Stats'!$B$2:$B1000) = LOWER($B109))"),"90")</f>
        <v>90</v>
      </c>
      <c r="H109">
        <v>1626</v>
      </c>
      <c r="I109" t="str">
        <f ca="1">IFERROR(__xludf.DUMMYFUNCTION("FLOOR(0.7903* (FILTER('Go Base Stats'!$C$2:$C1000, 'Go Base Stats'!$A$2:$A1000 = $A109)+15))"),"154")</f>
        <v>154</v>
      </c>
      <c r="J109" s="33"/>
      <c r="K109" s="33"/>
      <c r="L109" s="33"/>
      <c r="M109" s="27">
        <f t="shared" si="0"/>
        <v>22</v>
      </c>
      <c r="N109" s="28">
        <f t="shared" si="1"/>
        <v>2.2727272727272728E-2</v>
      </c>
      <c r="P109" s="29">
        <v>22</v>
      </c>
      <c r="Q109" s="30" t="s">
        <v>527</v>
      </c>
      <c r="R109" s="34"/>
      <c r="U109" t="str">
        <f ca="1">IFERROR(__xludf.DUMMYFUNCTION("IFERROR(SUM(FILTER('Form Responses (Power-up data)'!$C$2:$C1000, LOWER('Form Responses (Power-up data)'!$B$2:$B1000) = LOWER($B109))), 0)"),"0")</f>
        <v>0</v>
      </c>
      <c r="V109" s="27">
        <v>44</v>
      </c>
      <c r="W109" t="str">
        <f ca="1">IFERROR(__xludf.DUMMYFUNCTION("COUNT(FILTER('Form Responses (Power-up data)'!$C$2:$C1000, LOWER('Form Responses (Power-up data)'!$B$2:$B1000) = LOWER($B109)))"),"0")</f>
        <v>0</v>
      </c>
      <c r="X109" s="27">
        <v>2</v>
      </c>
      <c r="Y109" s="30" t="s">
        <v>659</v>
      </c>
    </row>
    <row r="110" spans="1:25" ht="12.75" x14ac:dyDescent="0.2">
      <c r="A110" s="11">
        <v>109</v>
      </c>
      <c r="B110" s="4" t="s">
        <v>142</v>
      </c>
      <c r="C110">
        <v>13.2</v>
      </c>
      <c r="D110">
        <v>14.9</v>
      </c>
      <c r="E110">
        <v>16.8</v>
      </c>
      <c r="F110" s="24"/>
      <c r="G110" s="14" t="str">
        <f ca="1">IFERROR(__xludf.DUMMYFUNCTION("FILTER('Base Stats'!$C$2:$C1000, LOWER('Base Stats'!$B$2:$B1000) = LOWER($B110))"),"40")</f>
        <v>40</v>
      </c>
      <c r="H110">
        <v>1151</v>
      </c>
      <c r="I110" t="str">
        <f ca="1">IFERROR(__xludf.DUMMYFUNCTION("FLOOR(0.7903* (FILTER('Go Base Stats'!$C$2:$C1000, 'Go Base Stats'!$A$2:$A1000 = $A110)+15))"),"75")</f>
        <v>75</v>
      </c>
      <c r="J110" s="33"/>
      <c r="K110" s="33"/>
      <c r="L110" s="33"/>
      <c r="M110" s="27">
        <f t="shared" si="0"/>
        <v>16</v>
      </c>
      <c r="N110" s="28">
        <f t="shared" si="1"/>
        <v>6.8749999999999978E-2</v>
      </c>
      <c r="P110" s="29">
        <v>16</v>
      </c>
      <c r="Q110" s="30" t="s">
        <v>527</v>
      </c>
      <c r="R110" s="34"/>
      <c r="U110" t="str">
        <f ca="1">IFERROR(__xludf.DUMMYFUNCTION("IFERROR(SUM(FILTER('Form Responses (Power-up data)'!$C$2:$C1000, LOWER('Form Responses (Power-up data)'!$B$2:$B1000) = LOWER($B110))), 0)"),"0")</f>
        <v>0</v>
      </c>
      <c r="V110" s="27">
        <v>16</v>
      </c>
      <c r="W110" t="str">
        <f ca="1">IFERROR(__xludf.DUMMYFUNCTION("COUNT(FILTER('Form Responses (Power-up data)'!$C$2:$C1000, LOWER('Form Responses (Power-up data)'!$B$2:$B1000) = LOWER($B110)))"),"0")</f>
        <v>0</v>
      </c>
      <c r="X110" s="27">
        <v>1</v>
      </c>
      <c r="Y110" s="30" t="s">
        <v>659</v>
      </c>
    </row>
    <row r="111" spans="1:25" ht="12.75" x14ac:dyDescent="0.2">
      <c r="A111" s="11">
        <v>110</v>
      </c>
      <c r="B111" s="4" t="s">
        <v>143</v>
      </c>
      <c r="C111">
        <v>27.7</v>
      </c>
      <c r="D111">
        <v>30.2</v>
      </c>
      <c r="E111">
        <v>32.700000000000003</v>
      </c>
      <c r="F111" s="24">
        <f>ROUND(D111/D110, 1)</f>
        <v>2</v>
      </c>
      <c r="G111" s="14" t="str">
        <f ca="1">IFERROR(__xludf.DUMMYFUNCTION("FILTER('Base Stats'!$C$2:$C1000, LOWER('Base Stats'!$B$2:$B1000) = LOWER($B111))"),"65")</f>
        <v>65</v>
      </c>
      <c r="H111">
        <v>2250</v>
      </c>
      <c r="I111" t="str">
        <f ca="1">IFERROR(__xludf.DUMMYFUNCTION("FLOOR(0.7903* (FILTER('Go Base Stats'!$C$2:$C1000, 'Go Base Stats'!$A$2:$A1000 = $A111)+15))"),"114")</f>
        <v>114</v>
      </c>
      <c r="J111" s="33"/>
      <c r="K111" s="33"/>
      <c r="L111" s="33"/>
      <c r="M111" s="27">
        <f t="shared" si="0"/>
        <v>32.799999999999997</v>
      </c>
      <c r="N111" s="28">
        <f t="shared" si="1"/>
        <v>7.9268292682926775E-2</v>
      </c>
      <c r="P111" s="29">
        <v>32.75</v>
      </c>
      <c r="Q111" s="30" t="s">
        <v>527</v>
      </c>
      <c r="R111" s="31"/>
      <c r="U111" t="str">
        <f ca="1">IFERROR(__xludf.DUMMYFUNCTION("IFERROR(SUM(FILTER('Form Responses (Power-up data)'!$C$2:$C1000, LOWER('Form Responses (Power-up data)'!$B$2:$B1000) = LOWER($B111))), 0)"),"0")</f>
        <v>0</v>
      </c>
      <c r="V111" s="27">
        <v>131</v>
      </c>
      <c r="W111" t="str">
        <f ca="1">IFERROR(__xludf.DUMMYFUNCTION("COUNT(FILTER('Form Responses (Power-up data)'!$C$2:$C1000, LOWER('Form Responses (Power-up data)'!$B$2:$B1000) = LOWER($B111)))"),"0")</f>
        <v>0</v>
      </c>
      <c r="X111" s="27">
        <v>4</v>
      </c>
      <c r="Y111" s="30" t="s">
        <v>659</v>
      </c>
    </row>
    <row r="112" spans="1:25" ht="12.75" x14ac:dyDescent="0.2">
      <c r="A112" s="11">
        <v>111</v>
      </c>
      <c r="B112" s="4" t="s">
        <v>144</v>
      </c>
      <c r="C112">
        <v>13.6</v>
      </c>
      <c r="D112">
        <v>15.4</v>
      </c>
      <c r="E112">
        <v>17.2</v>
      </c>
      <c r="F112" s="24"/>
      <c r="G112" s="14" t="str">
        <f ca="1">IFERROR(__xludf.DUMMYFUNCTION("FILTER('Base Stats'!$C$2:$C1000, LOWER('Base Stats'!$B$2:$B1000) = LOWER($B112))"),"80")</f>
        <v>80</v>
      </c>
      <c r="H112">
        <v>1182</v>
      </c>
      <c r="I112" t="str">
        <f ca="1">IFERROR(__xludf.DUMMYFUNCTION("FLOOR(0.7903* (FILTER('Go Base Stats'!$C$2:$C1000, 'Go Base Stats'!$A$2:$A1000 = $A112)+15))"),"138")</f>
        <v>138</v>
      </c>
      <c r="J112" s="33"/>
      <c r="K112" s="33"/>
      <c r="L112" s="33"/>
      <c r="M112" s="27">
        <f t="shared" si="0"/>
        <v>16</v>
      </c>
      <c r="N112" s="28">
        <f t="shared" si="1"/>
        <v>3.7499999999999978E-2</v>
      </c>
      <c r="P112" s="29">
        <v>16</v>
      </c>
      <c r="Q112" s="30" t="s">
        <v>527</v>
      </c>
      <c r="R112" s="34"/>
      <c r="U112" t="str">
        <f ca="1">IFERROR(__xludf.DUMMYFUNCTION("IFERROR(SUM(FILTER('Form Responses (Power-up data)'!$C$2:$C1000, LOWER('Form Responses (Power-up data)'!$B$2:$B1000) = LOWER($B112))), 0)"),"0")</f>
        <v>0</v>
      </c>
      <c r="V112" s="27">
        <v>64</v>
      </c>
      <c r="W112" t="str">
        <f ca="1">IFERROR(__xludf.DUMMYFUNCTION("COUNT(FILTER('Form Responses (Power-up data)'!$C$2:$C1000, LOWER('Form Responses (Power-up data)'!$B$2:$B1000) = LOWER($B112)))"),"0")</f>
        <v>0</v>
      </c>
      <c r="X112" s="27">
        <v>4</v>
      </c>
      <c r="Y112" s="30" t="s">
        <v>659</v>
      </c>
    </row>
    <row r="113" spans="1:25" ht="12.75" x14ac:dyDescent="0.2">
      <c r="A113" s="11">
        <v>112</v>
      </c>
      <c r="B113" s="4" t="s">
        <v>145</v>
      </c>
      <c r="C113">
        <v>27.7</v>
      </c>
      <c r="D113">
        <v>30.1</v>
      </c>
      <c r="E113">
        <v>32.6</v>
      </c>
      <c r="F113" s="24">
        <f>ROUND(D113/D112, 1)</f>
        <v>2</v>
      </c>
      <c r="G113" s="14" t="str">
        <f ca="1">IFERROR(__xludf.DUMMYFUNCTION("FILTER('Base Stats'!$C$2:$C1000, LOWER('Base Stats'!$B$2:$B1000) = LOWER($B113))"),"105")</f>
        <v>105</v>
      </c>
      <c r="H113">
        <v>2243</v>
      </c>
      <c r="I113" t="str">
        <f ca="1">IFERROR(__xludf.DUMMYFUNCTION("FLOOR(0.7903* (FILTER('Go Base Stats'!$C$2:$C1000, 'Go Base Stats'!$A$2:$A1000 = $A113)+15))"),"177")</f>
        <v>177</v>
      </c>
      <c r="J113" s="33"/>
      <c r="K113" s="33"/>
      <c r="L113" s="33"/>
      <c r="M113" s="27">
        <f t="shared" si="0"/>
        <v>29</v>
      </c>
      <c r="N113" s="28">
        <f t="shared" si="1"/>
        <v>3.7931034482758669E-2</v>
      </c>
      <c r="P113" s="29">
        <v>32.714285709999999</v>
      </c>
      <c r="Q113" s="30">
        <v>1.920233463</v>
      </c>
      <c r="R113" s="31">
        <v>29</v>
      </c>
      <c r="U113" t="str">
        <f ca="1">IFERROR(__xludf.DUMMYFUNCTION("IFERROR(SUM(FILTER('Form Responses (Power-up data)'!$C$2:$C1000, LOWER('Form Responses (Power-up data)'!$B$2:$B1000) = LOWER($B113))), 0)"),"0")</f>
        <v>0</v>
      </c>
      <c r="V113" s="27">
        <v>229</v>
      </c>
      <c r="W113" t="str">
        <f ca="1">IFERROR(__xludf.DUMMYFUNCTION("COUNT(FILTER('Form Responses (Power-up data)'!$C$2:$C1000, LOWER('Form Responses (Power-up data)'!$B$2:$B1000) = LOWER($B113)))"),"0")</f>
        <v>0</v>
      </c>
      <c r="X113" s="27">
        <v>7</v>
      </c>
      <c r="Y113" s="30" t="s">
        <v>705</v>
      </c>
    </row>
    <row r="114" spans="1:25" ht="12.75" x14ac:dyDescent="0.2">
      <c r="A114" s="11">
        <v>113</v>
      </c>
      <c r="B114" s="4" t="s">
        <v>146</v>
      </c>
      <c r="C114">
        <v>6.3</v>
      </c>
      <c r="D114">
        <v>8</v>
      </c>
      <c r="E114">
        <v>9.8000000000000007</v>
      </c>
      <c r="F114" s="24"/>
      <c r="G114" s="14" t="str">
        <f ca="1">IFERROR(__xludf.DUMMYFUNCTION("FILTER('Base Stats'!$C$2:$C1000, LOWER('Base Stats'!$B$2:$B1000) = LOWER($B114))"),"250")</f>
        <v>250</v>
      </c>
      <c r="H114">
        <v>675</v>
      </c>
      <c r="I114" t="str">
        <f ca="1">IFERROR(__xludf.DUMMYFUNCTION("FLOOR(0.7903* (FILTER('Go Base Stats'!$C$2:$C1000, 'Go Base Stats'!$A$2:$A1000 = $A114)+15))"),"407")</f>
        <v>407</v>
      </c>
      <c r="J114" s="33"/>
      <c r="K114" s="33"/>
      <c r="L114" s="33"/>
      <c r="M114" s="27">
        <f t="shared" si="0"/>
        <v>9.5</v>
      </c>
      <c r="N114" s="28">
        <f t="shared" si="1"/>
        <v>0.15789473684210525</v>
      </c>
      <c r="P114" s="29">
        <v>9.5</v>
      </c>
      <c r="Q114" s="30" t="s">
        <v>527</v>
      </c>
      <c r="R114" s="34"/>
      <c r="U114" t="str">
        <f ca="1">IFERROR(__xludf.DUMMYFUNCTION("IFERROR(SUM(FILTER('Form Responses (Power-up data)'!$C$2:$C1000, LOWER('Form Responses (Power-up data)'!$B$2:$B1000) = LOWER($B114))), 0)"),"0")</f>
        <v>0</v>
      </c>
      <c r="V114" s="27">
        <v>19</v>
      </c>
      <c r="W114" t="str">
        <f ca="1">IFERROR(__xludf.DUMMYFUNCTION("COUNT(FILTER('Form Responses (Power-up data)'!$C$2:$C1000, LOWER('Form Responses (Power-up data)'!$B$2:$B1000) = LOWER($B114)))"),"0")</f>
        <v>0</v>
      </c>
      <c r="X114" s="27">
        <v>2</v>
      </c>
      <c r="Y114" s="30" t="s">
        <v>659</v>
      </c>
    </row>
    <row r="115" spans="1:25" ht="12.75" x14ac:dyDescent="0.2">
      <c r="A115" s="11">
        <v>114</v>
      </c>
      <c r="B115" s="4" t="s">
        <v>147</v>
      </c>
      <c r="C115">
        <v>21</v>
      </c>
      <c r="D115">
        <v>23.1</v>
      </c>
      <c r="E115">
        <v>25.3</v>
      </c>
      <c r="F115" s="24"/>
      <c r="G115" s="14" t="str">
        <f ca="1">IFERROR(__xludf.DUMMYFUNCTION("FILTER('Base Stats'!$C$2:$C1000, LOWER('Base Stats'!$B$2:$B1000) = LOWER($B115))"),"65")</f>
        <v>65</v>
      </c>
      <c r="H115">
        <v>1739</v>
      </c>
      <c r="I115" t="str">
        <f ca="1">IFERROR(__xludf.DUMMYFUNCTION("FLOOR(0.7903* (FILTER('Go Base Stats'!$C$2:$C1000, 'Go Base Stats'!$A$2:$A1000 = $A115)+15))"),"114")</f>
        <v>114</v>
      </c>
      <c r="J115" s="33"/>
      <c r="K115" s="33"/>
      <c r="L115" s="33"/>
      <c r="M115" s="27">
        <f t="shared" si="0"/>
        <v>24.9</v>
      </c>
      <c r="N115" s="28">
        <f t="shared" si="1"/>
        <v>7.228915662650591E-2</v>
      </c>
      <c r="P115" s="29">
        <v>24.875</v>
      </c>
      <c r="Q115" s="30" t="s">
        <v>527</v>
      </c>
      <c r="R115" s="34"/>
      <c r="U115" t="str">
        <f ca="1">IFERROR(__xludf.DUMMYFUNCTION("IFERROR(SUM(FILTER('Form Responses (Power-up data)'!$C$2:$C1000, LOWER('Form Responses (Power-up data)'!$B$2:$B1000) = LOWER($B115))), 0)"),"51")</f>
        <v>51</v>
      </c>
      <c r="V115" s="27">
        <v>148</v>
      </c>
      <c r="W115" t="str">
        <f ca="1">IFERROR(__xludf.DUMMYFUNCTION("COUNT(FILTER('Form Responses (Power-up data)'!$C$2:$C1000, LOWER('Form Responses (Power-up data)'!$B$2:$B1000) = LOWER($B115)))"),"2")</f>
        <v>2</v>
      </c>
      <c r="X115" s="27">
        <v>6</v>
      </c>
      <c r="Y115" s="30" t="s">
        <v>659</v>
      </c>
    </row>
    <row r="116" spans="1:25" ht="12.75" x14ac:dyDescent="0.2">
      <c r="A116" s="11">
        <v>115</v>
      </c>
      <c r="B116" s="4" t="s">
        <v>148</v>
      </c>
      <c r="C116">
        <v>25</v>
      </c>
      <c r="D116">
        <v>27.3</v>
      </c>
      <c r="E116">
        <v>29.7</v>
      </c>
      <c r="F116" s="24"/>
      <c r="G116" s="14" t="str">
        <f ca="1">IFERROR(__xludf.DUMMYFUNCTION("FILTER('Base Stats'!$C$2:$C1000, LOWER('Base Stats'!$B$2:$B1000) = LOWER($B116))"),"105")</f>
        <v>105</v>
      </c>
      <c r="H116">
        <v>2043</v>
      </c>
      <c r="I116" t="str">
        <f ca="1">IFERROR(__xludf.DUMMYFUNCTION("FLOOR(0.7903* (FILTER('Go Base Stats'!$C$2:$C1000, 'Go Base Stats'!$A$2:$A1000 = $A116)+15))"),"177")</f>
        <v>177</v>
      </c>
      <c r="J116" s="33"/>
      <c r="K116" s="33"/>
      <c r="L116" s="33"/>
      <c r="M116" s="27">
        <f t="shared" si="0"/>
        <v>29</v>
      </c>
      <c r="N116" s="28">
        <f t="shared" si="1"/>
        <v>5.8620689655172392E-2</v>
      </c>
      <c r="P116" s="29">
        <v>29</v>
      </c>
      <c r="Q116" s="30" t="s">
        <v>527</v>
      </c>
      <c r="R116" s="34"/>
      <c r="U116" t="str">
        <f ca="1">IFERROR(__xludf.DUMMYFUNCTION("IFERROR(SUM(FILTER('Form Responses (Power-up data)'!$C$2:$C1000, LOWER('Form Responses (Power-up data)'!$B$2:$B1000) = LOWER($B116))), 0)"),"0")</f>
        <v>0</v>
      </c>
      <c r="V116" s="27">
        <v>29</v>
      </c>
      <c r="W116" t="str">
        <f ca="1">IFERROR(__xludf.DUMMYFUNCTION("COUNT(FILTER('Form Responses (Power-up data)'!$C$2:$C1000, LOWER('Form Responses (Power-up data)'!$B$2:$B1000) = LOWER($B116)))"),"0")</f>
        <v>0</v>
      </c>
      <c r="X116" s="27">
        <v>1</v>
      </c>
      <c r="Y116" s="30" t="s">
        <v>659</v>
      </c>
    </row>
    <row r="117" spans="1:25" ht="12.75" x14ac:dyDescent="0.2">
      <c r="A117" s="11">
        <v>116</v>
      </c>
      <c r="B117" s="4" t="s">
        <v>149</v>
      </c>
      <c r="C117">
        <v>8.6</v>
      </c>
      <c r="D117">
        <v>10</v>
      </c>
      <c r="E117">
        <v>11.6</v>
      </c>
      <c r="F117" s="24"/>
      <c r="G117" s="14" t="str">
        <f ca="1">IFERROR(__xludf.DUMMYFUNCTION("FILTER('Base Stats'!$C$2:$C1000, LOWER('Base Stats'!$B$2:$B1000) = LOWER($B117))"),"30")</f>
        <v>30</v>
      </c>
      <c r="H117">
        <v>794</v>
      </c>
      <c r="I117" t="str">
        <f ca="1">IFERROR(__xludf.DUMMYFUNCTION("FLOOR(0.7903* (FILTER('Go Base Stats'!$C$2:$C1000, 'Go Base Stats'!$A$2:$A1000 = $A117)+15))"),"59")</f>
        <v>59</v>
      </c>
      <c r="J117" s="33"/>
      <c r="K117" s="33"/>
      <c r="L117" s="33"/>
      <c r="M117" s="27">
        <f t="shared" si="0"/>
        <v>11.5</v>
      </c>
      <c r="N117" s="28">
        <f t="shared" si="1"/>
        <v>0.13043478260869565</v>
      </c>
      <c r="P117" s="29">
        <v>11.5</v>
      </c>
      <c r="Q117" s="30" t="s">
        <v>527</v>
      </c>
      <c r="R117" s="34"/>
      <c r="U117" t="str">
        <f ca="1">IFERROR(__xludf.DUMMYFUNCTION("IFERROR(SUM(FILTER('Form Responses (Power-up data)'!$C$2:$C1000, LOWER('Form Responses (Power-up data)'!$B$2:$B1000) = LOWER($B117))), 0)"),"0")</f>
        <v>0</v>
      </c>
      <c r="V117" s="27">
        <v>23</v>
      </c>
      <c r="W117" t="str">
        <f ca="1">IFERROR(__xludf.DUMMYFUNCTION("COUNT(FILTER('Form Responses (Power-up data)'!$C$2:$C1000, LOWER('Form Responses (Power-up data)'!$B$2:$B1000) = LOWER($B117)))"),"0")</f>
        <v>0</v>
      </c>
      <c r="X117" s="27">
        <v>2</v>
      </c>
      <c r="Y117" s="30" t="s">
        <v>659</v>
      </c>
    </row>
    <row r="118" spans="1:25" ht="12.75" x14ac:dyDescent="0.2">
      <c r="A118" s="11">
        <v>117</v>
      </c>
      <c r="B118" s="4" t="s">
        <v>150</v>
      </c>
      <c r="C118">
        <v>20.6</v>
      </c>
      <c r="D118">
        <v>22.7</v>
      </c>
      <c r="E118">
        <v>24.9</v>
      </c>
      <c r="F118" s="24">
        <f>ROUND(D118/D117, 1)</f>
        <v>2.2999999999999998</v>
      </c>
      <c r="G118" s="14" t="str">
        <f ca="1">IFERROR(__xludf.DUMMYFUNCTION("FILTER('Base Stats'!$C$2:$C1000, LOWER('Base Stats'!$B$2:$B1000) = LOWER($B118))"),"55")</f>
        <v>55</v>
      </c>
      <c r="H118">
        <v>1713</v>
      </c>
      <c r="I118" t="str">
        <f ca="1">IFERROR(__xludf.DUMMYFUNCTION("FLOOR(0.7903* (FILTER('Go Base Stats'!$C$2:$C1000, 'Go Base Stats'!$A$2:$A1000 = $A118)+15))"),"98")</f>
        <v>98</v>
      </c>
      <c r="J118" s="33"/>
      <c r="K118" s="33"/>
      <c r="L118" s="33"/>
      <c r="M118" s="27">
        <f t="shared" si="0"/>
        <v>23.5</v>
      </c>
      <c r="N118" s="28">
        <f t="shared" si="1"/>
        <v>3.404255319148939E-2</v>
      </c>
      <c r="P118" s="29">
        <v>23.5</v>
      </c>
      <c r="Q118" s="30" t="s">
        <v>527</v>
      </c>
      <c r="R118" s="34"/>
      <c r="U118" t="str">
        <f ca="1">IFERROR(__xludf.DUMMYFUNCTION("IFERROR(SUM(FILTER('Form Responses (Power-up data)'!$C$2:$C1000, LOWER('Form Responses (Power-up data)'!$B$2:$B1000) = LOWER($B118))), 0)"),"0")</f>
        <v>0</v>
      </c>
      <c r="V118" s="27">
        <v>47</v>
      </c>
      <c r="W118" t="str">
        <f ca="1">IFERROR(__xludf.DUMMYFUNCTION("COUNT(FILTER('Form Responses (Power-up data)'!$C$2:$C1000, LOWER('Form Responses (Power-up data)'!$B$2:$B1000) = LOWER($B118)))"),"0")</f>
        <v>0</v>
      </c>
      <c r="X118" s="27">
        <v>2</v>
      </c>
      <c r="Y118" s="30" t="s">
        <v>659</v>
      </c>
    </row>
    <row r="119" spans="1:25" ht="12.75" x14ac:dyDescent="0.2">
      <c r="A119" s="11">
        <v>118</v>
      </c>
      <c r="B119" s="4" t="s">
        <v>151</v>
      </c>
      <c r="C119">
        <v>10.8</v>
      </c>
      <c r="D119">
        <v>12.4</v>
      </c>
      <c r="E119">
        <v>14</v>
      </c>
      <c r="F119" s="24"/>
      <c r="G119" s="14" t="str">
        <f ca="1">IFERROR(__xludf.DUMMYFUNCTION("FILTER('Base Stats'!$C$2:$C1000, LOWER('Base Stats'!$B$2:$B1000) = LOWER($B119))"),"45")</f>
        <v>45</v>
      </c>
      <c r="H119">
        <v>965</v>
      </c>
      <c r="I119" t="str">
        <f ca="1">IFERROR(__xludf.DUMMYFUNCTION("FLOOR(0.7903* (FILTER('Go Base Stats'!$C$2:$C1000, 'Go Base Stats'!$A$2:$A1000 = $A119)+15))"),"82")</f>
        <v>82</v>
      </c>
      <c r="J119" s="33"/>
      <c r="K119" s="33"/>
      <c r="L119" s="33"/>
      <c r="M119" s="27">
        <f t="shared" si="0"/>
        <v>13.5</v>
      </c>
      <c r="N119" s="28">
        <f t="shared" si="1"/>
        <v>8.148148148148146E-2</v>
      </c>
      <c r="P119" s="29" t="s">
        <v>527</v>
      </c>
      <c r="Q119" s="30" t="s">
        <v>527</v>
      </c>
      <c r="R119" s="31">
        <v>13.5</v>
      </c>
      <c r="U119" t="str">
        <f ca="1">IFERROR(__xludf.DUMMYFUNCTION("IFERROR(SUM(FILTER('Form Responses (Power-up data)'!$C$2:$C1000, LOWER('Form Responses (Power-up data)'!$B$2:$B1000) = LOWER($B119))), 0)"),"0")</f>
        <v>0</v>
      </c>
      <c r="V119" s="27">
        <v>0</v>
      </c>
      <c r="W119" t="str">
        <f ca="1">IFERROR(__xludf.DUMMYFUNCTION("COUNT(FILTER('Form Responses (Power-up data)'!$C$2:$C1000, LOWER('Form Responses (Power-up data)'!$B$2:$B1000) = LOWER($B119)))"),"0")</f>
        <v>0</v>
      </c>
      <c r="X119" s="27">
        <v>0</v>
      </c>
      <c r="Y119" s="30" t="s">
        <v>659</v>
      </c>
    </row>
    <row r="120" spans="1:25" ht="12.75" x14ac:dyDescent="0.2">
      <c r="A120" s="11">
        <v>119</v>
      </c>
      <c r="B120" s="4" t="s">
        <v>152</v>
      </c>
      <c r="C120">
        <v>25</v>
      </c>
      <c r="D120">
        <v>27.3</v>
      </c>
      <c r="E120">
        <v>29.7</v>
      </c>
      <c r="F120" s="24">
        <f>ROUND(D120/D119, 1)</f>
        <v>2.2000000000000002</v>
      </c>
      <c r="G120" s="14" t="str">
        <f ca="1">IFERROR(__xludf.DUMMYFUNCTION("FILTER('Base Stats'!$C$2:$C1000, LOWER('Base Stats'!$B$2:$B1000) = LOWER($B120))"),"80")</f>
        <v>80</v>
      </c>
      <c r="H120">
        <v>2043</v>
      </c>
      <c r="I120" t="str">
        <f ca="1">IFERROR(__xludf.DUMMYFUNCTION("FLOOR(0.7903* (FILTER('Go Base Stats'!$C$2:$C1000, 'Go Base Stats'!$A$2:$A1000 = $A120)+15))"),"138")</f>
        <v>138</v>
      </c>
      <c r="J120" s="33"/>
      <c r="K120" s="33"/>
      <c r="L120" s="33"/>
      <c r="M120" s="27">
        <f t="shared" si="0"/>
        <v>29</v>
      </c>
      <c r="N120" s="28">
        <f t="shared" si="1"/>
        <v>5.8620689655172392E-2</v>
      </c>
      <c r="P120" s="29">
        <v>29</v>
      </c>
      <c r="Q120" s="30">
        <v>2.16112532</v>
      </c>
      <c r="R120" s="34"/>
      <c r="U120" t="str">
        <f ca="1">IFERROR(__xludf.DUMMYFUNCTION("IFERROR(SUM(FILTER('Form Responses (Power-up data)'!$C$2:$C1000, LOWER('Form Responses (Power-up data)'!$B$2:$B1000) = LOWER($B120))), 0)"),"0")</f>
        <v>0</v>
      </c>
      <c r="V120" s="27">
        <v>29</v>
      </c>
      <c r="W120" t="str">
        <f ca="1">IFERROR(__xludf.DUMMYFUNCTION("COUNT(FILTER('Form Responses (Power-up data)'!$C$2:$C1000, LOWER('Form Responses (Power-up data)'!$B$2:$B1000) = LOWER($B120)))"),"0")</f>
        <v>0</v>
      </c>
      <c r="X120" s="27">
        <v>1</v>
      </c>
      <c r="Y120" s="30" t="s">
        <v>706</v>
      </c>
    </row>
    <row r="121" spans="1:25" ht="12.75" x14ac:dyDescent="0.2">
      <c r="A121" s="11">
        <v>120</v>
      </c>
      <c r="B121" s="4" t="s">
        <v>153</v>
      </c>
      <c r="C121">
        <v>10.4</v>
      </c>
      <c r="D121">
        <v>12</v>
      </c>
      <c r="E121">
        <v>13.6</v>
      </c>
      <c r="F121" s="24"/>
      <c r="G121" s="14" t="str">
        <f ca="1">IFERROR(__xludf.DUMMYFUNCTION("FILTER('Base Stats'!$C$2:$C1000, LOWER('Base Stats'!$B$2:$B1000) = LOWER($B121))"),"30")</f>
        <v>30</v>
      </c>
      <c r="H121">
        <v>937</v>
      </c>
      <c r="I121" t="str">
        <f ca="1">IFERROR(__xludf.DUMMYFUNCTION("FLOOR(0.7903* (FILTER('Go Base Stats'!$C$2:$C1000, 'Go Base Stats'!$A$2:$A1000 = $A121)+15))"),"59")</f>
        <v>59</v>
      </c>
      <c r="J121" s="33"/>
      <c r="K121" s="33"/>
      <c r="L121" s="33"/>
      <c r="M121" s="27">
        <f t="shared" si="0"/>
        <v>12</v>
      </c>
      <c r="N121" s="28">
        <f t="shared" si="1"/>
        <v>0</v>
      </c>
      <c r="P121" s="29">
        <v>12</v>
      </c>
      <c r="Q121" s="30" t="s">
        <v>527</v>
      </c>
      <c r="R121" s="34"/>
      <c r="U121" t="str">
        <f ca="1">IFERROR(__xludf.DUMMYFUNCTION("IFERROR(SUM(FILTER('Form Responses (Power-up data)'!$C$2:$C1000, LOWER('Form Responses (Power-up data)'!$B$2:$B1000) = LOWER($B121))), 0)"),"0")</f>
        <v>0</v>
      </c>
      <c r="V121" s="27">
        <v>12</v>
      </c>
      <c r="W121" t="str">
        <f ca="1">IFERROR(__xludf.DUMMYFUNCTION("COUNT(FILTER('Form Responses (Power-up data)'!$C$2:$C1000, LOWER('Form Responses (Power-up data)'!$B$2:$B1000) = LOWER($B121)))"),"0")</f>
        <v>0</v>
      </c>
      <c r="X121" s="27">
        <v>1</v>
      </c>
      <c r="Y121" s="30" t="s">
        <v>659</v>
      </c>
    </row>
    <row r="122" spans="1:25" ht="12.75" x14ac:dyDescent="0.2">
      <c r="A122" s="11">
        <v>121</v>
      </c>
      <c r="B122" s="4" t="s">
        <v>154</v>
      </c>
      <c r="C122">
        <v>26.8</v>
      </c>
      <c r="D122">
        <v>29.2</v>
      </c>
      <c r="E122">
        <v>31.8</v>
      </c>
      <c r="F122" s="24">
        <f>ROUND(D122/D121, 1)</f>
        <v>2.4</v>
      </c>
      <c r="G122" s="14" t="str">
        <f ca="1">IFERROR(__xludf.DUMMYFUNCTION("FILTER('Base Stats'!$C$2:$C1000, LOWER('Base Stats'!$B$2:$B1000) = LOWER($B122))"),"60")</f>
        <v>60</v>
      </c>
      <c r="H122">
        <v>2182</v>
      </c>
      <c r="I122" t="str">
        <f ca="1">IFERROR(__xludf.DUMMYFUNCTION("FLOOR(0.7903* (FILTER('Go Base Stats'!$C$2:$C1000, 'Go Base Stats'!$A$2:$A1000 = $A122)+15))"),"106")</f>
        <v>106</v>
      </c>
      <c r="J122" s="33"/>
      <c r="K122" s="33"/>
      <c r="L122" s="33"/>
      <c r="M122" s="27">
        <f t="shared" si="0"/>
        <v>30</v>
      </c>
      <c r="N122" s="28">
        <f t="shared" si="1"/>
        <v>2.6666666666666689E-2</v>
      </c>
      <c r="P122" s="29">
        <v>30</v>
      </c>
      <c r="Q122" s="30" t="s">
        <v>527</v>
      </c>
      <c r="R122" s="34"/>
      <c r="U122" t="str">
        <f ca="1">IFERROR(__xludf.DUMMYFUNCTION("IFERROR(SUM(FILTER('Form Responses (Power-up data)'!$C$2:$C1000, LOWER('Form Responses (Power-up data)'!$B$2:$B1000) = LOWER($B122))), 0)"),"0")</f>
        <v>0</v>
      </c>
      <c r="V122" s="27">
        <v>30</v>
      </c>
      <c r="W122" t="str">
        <f ca="1">IFERROR(__xludf.DUMMYFUNCTION("COUNT(FILTER('Form Responses (Power-up data)'!$C$2:$C1000, LOWER('Form Responses (Power-up data)'!$B$2:$B1000) = LOWER($B122)))"),"0")</f>
        <v>0</v>
      </c>
      <c r="X122" s="27">
        <v>1</v>
      </c>
      <c r="Y122" s="30" t="s">
        <v>659</v>
      </c>
    </row>
    <row r="123" spans="1:25" ht="12.75" x14ac:dyDescent="0.2">
      <c r="A123" s="11">
        <v>122</v>
      </c>
      <c r="B123" s="4" t="s">
        <v>155</v>
      </c>
      <c r="C123">
        <v>17.5</v>
      </c>
      <c r="D123">
        <v>19.600000000000001</v>
      </c>
      <c r="E123">
        <v>21.7</v>
      </c>
      <c r="F123" s="24"/>
      <c r="G123" s="14" t="str">
        <f ca="1">IFERROR(__xludf.DUMMYFUNCTION("FILTER('Base Stats'!$C$2:$C1000, LOWER('Base Stats'!$B$2:$B1000) = LOWER($B123))"),"40")</f>
        <v>40</v>
      </c>
      <c r="H123">
        <v>1494</v>
      </c>
      <c r="I123" t="str">
        <f ca="1">IFERROR(__xludf.DUMMYFUNCTION("FLOOR(0.7903* (FILTER('Go Base Stats'!$C$2:$C1000, 'Go Base Stats'!$A$2:$A1000 = $A123)+15))"),"75")</f>
        <v>75</v>
      </c>
      <c r="J123" s="33"/>
      <c r="K123" s="33"/>
      <c r="L123" s="33"/>
      <c r="M123" s="27">
        <f t="shared" si="0"/>
        <v>21</v>
      </c>
      <c r="N123" s="28">
        <f t="shared" si="1"/>
        <v>6.6666666666666596E-2</v>
      </c>
      <c r="P123" s="29" t="s">
        <v>527</v>
      </c>
      <c r="Q123" s="30" t="s">
        <v>527</v>
      </c>
      <c r="R123" s="31">
        <v>21</v>
      </c>
      <c r="U123" t="str">
        <f ca="1">IFERROR(__xludf.DUMMYFUNCTION("IFERROR(SUM(FILTER('Form Responses (Power-up data)'!$C$2:$C1000, LOWER('Form Responses (Power-up data)'!$B$2:$B1000) = LOWER($B123))), 0)"),"0")</f>
        <v>0</v>
      </c>
      <c r="V123" s="27">
        <v>0</v>
      </c>
      <c r="W123" t="str">
        <f ca="1">IFERROR(__xludf.DUMMYFUNCTION("COUNT(FILTER('Form Responses (Power-up data)'!$C$2:$C1000, LOWER('Form Responses (Power-up data)'!$B$2:$B1000) = LOWER($B123)))"),"0")</f>
        <v>0</v>
      </c>
      <c r="X123" s="27">
        <v>0</v>
      </c>
      <c r="Y123" s="30" t="s">
        <v>659</v>
      </c>
    </row>
    <row r="124" spans="1:25" ht="12.75" x14ac:dyDescent="0.2">
      <c r="A124" s="11">
        <v>123</v>
      </c>
      <c r="B124" s="4" t="s">
        <v>156</v>
      </c>
      <c r="C124">
        <v>25.4</v>
      </c>
      <c r="D124">
        <v>27.7</v>
      </c>
      <c r="E124">
        <v>30.2</v>
      </c>
      <c r="F124" s="24"/>
      <c r="G124" s="14" t="str">
        <f ca="1">IFERROR(__xludf.DUMMYFUNCTION("FILTER('Base Stats'!$C$2:$C1000, LOWER('Base Stats'!$B$2:$B1000) = LOWER($B124))"),"70")</f>
        <v>70</v>
      </c>
      <c r="H124">
        <v>2073</v>
      </c>
      <c r="I124" t="str">
        <f ca="1">IFERROR(__xludf.DUMMYFUNCTION("FLOOR(0.7903* (FILTER('Go Base Stats'!$C$2:$C1000, 'Go Base Stats'!$A$2:$A1000 = $A124)+15))"),"122")</f>
        <v>122</v>
      </c>
      <c r="J124" s="33"/>
      <c r="K124" s="33"/>
      <c r="L124" s="33"/>
      <c r="M124" s="27">
        <f t="shared" si="0"/>
        <v>30.4</v>
      </c>
      <c r="N124" s="28">
        <f t="shared" si="1"/>
        <v>8.8815789473684195E-2</v>
      </c>
      <c r="P124" s="29">
        <v>30.444444440000002</v>
      </c>
      <c r="Q124" s="30" t="s">
        <v>527</v>
      </c>
      <c r="R124" s="34"/>
      <c r="U124" t="str">
        <f ca="1">IFERROR(__xludf.DUMMYFUNCTION("IFERROR(SUM(FILTER('Form Responses (Power-up data)'!$C$2:$C1000, LOWER('Form Responses (Power-up data)'!$B$2:$B1000) = LOWER($B124))), 0)"),"30")</f>
        <v>30</v>
      </c>
      <c r="V124" s="27">
        <v>244</v>
      </c>
      <c r="W124" t="str">
        <f ca="1">IFERROR(__xludf.DUMMYFUNCTION("COUNT(FILTER('Form Responses (Power-up data)'!$C$2:$C1000, LOWER('Form Responses (Power-up data)'!$B$2:$B1000) = LOWER($B124)))"),"1")</f>
        <v>1</v>
      </c>
      <c r="X124" s="27">
        <v>8</v>
      </c>
      <c r="Y124" s="30" t="s">
        <v>659</v>
      </c>
    </row>
    <row r="125" spans="1:25" ht="12.75" x14ac:dyDescent="0.2">
      <c r="A125" s="11">
        <v>124</v>
      </c>
      <c r="B125" s="4" t="s">
        <v>157</v>
      </c>
      <c r="C125">
        <v>20.6</v>
      </c>
      <c r="D125">
        <v>22.8</v>
      </c>
      <c r="E125">
        <v>25</v>
      </c>
      <c r="F125" s="24"/>
      <c r="G125" s="14" t="str">
        <f ca="1">IFERROR(__xludf.DUMMYFUNCTION("FILTER('Base Stats'!$C$2:$C1000, LOWER('Base Stats'!$B$2:$B1000) = LOWER($B125))"),"65")</f>
        <v>65</v>
      </c>
      <c r="H125">
        <v>1716</v>
      </c>
      <c r="I125" t="str">
        <f ca="1">IFERROR(__xludf.DUMMYFUNCTION("FLOOR(0.7903* (FILTER('Go Base Stats'!$C$2:$C1000, 'Go Base Stats'!$A$2:$A1000 = $A125)+15))"),"114")</f>
        <v>114</v>
      </c>
      <c r="J125" s="33"/>
      <c r="K125" s="33"/>
      <c r="L125" s="33"/>
      <c r="M125" s="27">
        <f t="shared" si="0"/>
        <v>23</v>
      </c>
      <c r="N125" s="28">
        <f t="shared" si="1"/>
        <v>8.6956521739130124E-3</v>
      </c>
      <c r="P125" s="29">
        <v>23</v>
      </c>
      <c r="Q125" s="30" t="s">
        <v>527</v>
      </c>
      <c r="R125" s="34"/>
      <c r="U125" t="str">
        <f ca="1">IFERROR(__xludf.DUMMYFUNCTION("IFERROR(SUM(FILTER('Form Responses (Power-up data)'!$C$2:$C1000, LOWER('Form Responses (Power-up data)'!$B$2:$B1000) = LOWER($B125))), 0)"),"22")</f>
        <v>22</v>
      </c>
      <c r="V125" s="27">
        <v>116</v>
      </c>
      <c r="W125" t="str">
        <f ca="1">IFERROR(__xludf.DUMMYFUNCTION("COUNT(FILTER('Form Responses (Power-up data)'!$C$2:$C1000, LOWER('Form Responses (Power-up data)'!$B$2:$B1000) = LOWER($B125)))"),"1")</f>
        <v>1</v>
      </c>
      <c r="X125" s="27">
        <v>5</v>
      </c>
      <c r="Y125" s="30" t="s">
        <v>659</v>
      </c>
    </row>
    <row r="126" spans="1:25" ht="12.75" x14ac:dyDescent="0.2">
      <c r="A126" s="11">
        <v>125</v>
      </c>
      <c r="B126" s="4" t="s">
        <v>158</v>
      </c>
      <c r="C126">
        <v>26</v>
      </c>
      <c r="D126">
        <v>28.3</v>
      </c>
      <c r="E126">
        <v>30.8</v>
      </c>
      <c r="F126" s="24"/>
      <c r="G126" s="14" t="str">
        <f ca="1">IFERROR(__xludf.DUMMYFUNCTION("FILTER('Base Stats'!$C$2:$C1000, LOWER('Base Stats'!$B$2:$B1000) = LOWER($B126))"),"65")</f>
        <v>65</v>
      </c>
      <c r="H126">
        <v>2119</v>
      </c>
      <c r="I126" t="str">
        <f ca="1">IFERROR(__xludf.DUMMYFUNCTION("FLOOR(0.7903* (FILTER('Go Base Stats'!$C$2:$C1000, 'Go Base Stats'!$A$2:$A1000 = $A126)+15))"),"114")</f>
        <v>114</v>
      </c>
      <c r="J126" s="33"/>
      <c r="K126" s="33"/>
      <c r="L126" s="33"/>
      <c r="M126" s="27">
        <f t="shared" si="0"/>
        <v>29.5</v>
      </c>
      <c r="N126" s="28">
        <f t="shared" si="1"/>
        <v>4.0677966101694892E-2</v>
      </c>
      <c r="P126" s="29">
        <v>29.533333330000001</v>
      </c>
      <c r="Q126" s="30" t="s">
        <v>527</v>
      </c>
      <c r="R126" s="34"/>
      <c r="U126" t="str">
        <f ca="1">IFERROR(__xludf.DUMMYFUNCTION("IFERROR(SUM(FILTER('Form Responses (Power-up data)'!$C$2:$C1000, LOWER('Form Responses (Power-up data)'!$B$2:$B1000) = LOWER($B126))), 0)"),"0")</f>
        <v>0</v>
      </c>
      <c r="V126" s="27">
        <v>443</v>
      </c>
      <c r="W126" t="str">
        <f ca="1">IFERROR(__xludf.DUMMYFUNCTION("COUNT(FILTER('Form Responses (Power-up data)'!$C$2:$C1000, LOWER('Form Responses (Power-up data)'!$B$2:$B1000) = LOWER($B126)))"),"0")</f>
        <v>0</v>
      </c>
      <c r="X126" s="27">
        <v>15</v>
      </c>
      <c r="Y126" s="30" t="s">
        <v>659</v>
      </c>
    </row>
    <row r="127" spans="1:25" ht="12.75" x14ac:dyDescent="0.2">
      <c r="A127" s="11">
        <v>126</v>
      </c>
      <c r="B127" s="4" t="s">
        <v>159</v>
      </c>
      <c r="C127">
        <v>27.9</v>
      </c>
      <c r="D127">
        <v>30.4</v>
      </c>
      <c r="E127">
        <v>33</v>
      </c>
      <c r="F127" s="24"/>
      <c r="G127" s="14" t="str">
        <f ca="1">IFERROR(__xludf.DUMMYFUNCTION("FILTER('Base Stats'!$C$2:$C1000, LOWER('Base Stats'!$B$2:$B1000) = LOWER($B127))"),"65")</f>
        <v>65</v>
      </c>
      <c r="H127">
        <v>2265</v>
      </c>
      <c r="I127" t="str">
        <f ca="1">IFERROR(__xludf.DUMMYFUNCTION("FLOOR(0.7903* (FILTER('Go Base Stats'!$C$2:$C1000, 'Go Base Stats'!$A$2:$A1000 = $A127)+15))"),"114")</f>
        <v>114</v>
      </c>
      <c r="J127" s="33"/>
      <c r="K127" s="33"/>
      <c r="L127" s="33"/>
      <c r="M127" s="27">
        <f t="shared" si="0"/>
        <v>31.5</v>
      </c>
      <c r="N127" s="28">
        <f t="shared" si="1"/>
        <v>3.4920634920634963E-2</v>
      </c>
      <c r="P127" s="29">
        <v>31.5</v>
      </c>
      <c r="Q127" s="30" t="s">
        <v>527</v>
      </c>
      <c r="R127" s="34"/>
      <c r="U127" t="str">
        <f ca="1">IFERROR(__xludf.DUMMYFUNCTION("IFERROR(SUM(FILTER('Form Responses (Power-up data)'!$C$2:$C1000, LOWER('Form Responses (Power-up data)'!$B$2:$B1000) = LOWER($B127))), 0)"),"0")</f>
        <v>0</v>
      </c>
      <c r="V127" s="27">
        <v>315</v>
      </c>
      <c r="W127" t="str">
        <f ca="1">IFERROR(__xludf.DUMMYFUNCTION("COUNT(FILTER('Form Responses (Power-up data)'!$C$2:$C1000, LOWER('Form Responses (Power-up data)'!$B$2:$B1000) = LOWER($B127)))"),"0")</f>
        <v>0</v>
      </c>
      <c r="X127" s="27">
        <v>10</v>
      </c>
      <c r="Y127" s="30" t="s">
        <v>659</v>
      </c>
    </row>
    <row r="128" spans="1:25" ht="12.75" x14ac:dyDescent="0.2">
      <c r="A128" s="11">
        <v>127</v>
      </c>
      <c r="B128" s="4" t="s">
        <v>160</v>
      </c>
      <c r="C128">
        <v>26</v>
      </c>
      <c r="D128">
        <v>28.4</v>
      </c>
      <c r="E128">
        <v>30.9</v>
      </c>
      <c r="F128" s="24"/>
      <c r="G128" s="14" t="str">
        <f ca="1">IFERROR(__xludf.DUMMYFUNCTION("FILTER('Base Stats'!$C$2:$C1000, LOWER('Base Stats'!$B$2:$B1000) = LOWER($B128))"),"65")</f>
        <v>65</v>
      </c>
      <c r="H128">
        <v>2121</v>
      </c>
      <c r="I128" t="str">
        <f ca="1">IFERROR(__xludf.DUMMYFUNCTION("FLOOR(0.7903* (FILTER('Go Base Stats'!$C$2:$C1000, 'Go Base Stats'!$A$2:$A1000 = $A128)+15))"),"114")</f>
        <v>114</v>
      </c>
      <c r="J128" s="33"/>
      <c r="K128" s="33"/>
      <c r="L128" s="33"/>
      <c r="M128" s="27">
        <f t="shared" si="0"/>
        <v>29.7</v>
      </c>
      <c r="N128" s="28">
        <f t="shared" si="1"/>
        <v>4.3771043771043794E-2</v>
      </c>
      <c r="P128" s="29">
        <v>29.666666670000001</v>
      </c>
      <c r="Q128" s="30" t="s">
        <v>527</v>
      </c>
      <c r="R128" s="34"/>
      <c r="U128" t="str">
        <f ca="1">IFERROR(__xludf.DUMMYFUNCTION("IFERROR(SUM(FILTER('Form Responses (Power-up data)'!$C$2:$C1000, LOWER('Form Responses (Power-up data)'!$B$2:$B1000) = LOWER($B128))), 0)"),"59")</f>
        <v>59</v>
      </c>
      <c r="V128" s="27">
        <v>297</v>
      </c>
      <c r="W128" t="str">
        <f ca="1">IFERROR(__xludf.DUMMYFUNCTION("COUNT(FILTER('Form Responses (Power-up data)'!$C$2:$C1000, LOWER('Form Responses (Power-up data)'!$B$2:$B1000) = LOWER($B128)))"),"2")</f>
        <v>2</v>
      </c>
      <c r="X128" s="27">
        <v>10</v>
      </c>
      <c r="Y128" s="30" t="s">
        <v>659</v>
      </c>
    </row>
    <row r="129" spans="1:25" ht="12.75" x14ac:dyDescent="0.2">
      <c r="A129" s="11">
        <v>128</v>
      </c>
      <c r="B129" s="4" t="s">
        <v>161</v>
      </c>
      <c r="C129">
        <v>22.4</v>
      </c>
      <c r="D129">
        <v>24.5</v>
      </c>
      <c r="E129">
        <v>26.8</v>
      </c>
      <c r="F129" s="24"/>
      <c r="G129" s="14" t="str">
        <f ca="1">IFERROR(__xludf.DUMMYFUNCTION("FILTER('Base Stats'!$C$2:$C1000, LOWER('Base Stats'!$B$2:$B1000) = LOWER($B129))"),"75")</f>
        <v>75</v>
      </c>
      <c r="H129">
        <v>1844</v>
      </c>
      <c r="I129" t="str">
        <f ca="1">IFERROR(__xludf.DUMMYFUNCTION("FLOOR(0.7903* (FILTER('Go Base Stats'!$C$2:$C1000, 'Go Base Stats'!$A$2:$A1000 = $A129)+15))"),"130")</f>
        <v>130</v>
      </c>
      <c r="J129" s="33"/>
      <c r="K129" s="33"/>
      <c r="L129" s="33"/>
      <c r="M129" s="27">
        <f t="shared" si="0"/>
        <v>25.3</v>
      </c>
      <c r="N129" s="28">
        <f t="shared" si="1"/>
        <v>3.162055335968382E-2</v>
      </c>
      <c r="P129" s="29">
        <v>25.25</v>
      </c>
      <c r="Q129" s="30" t="s">
        <v>527</v>
      </c>
      <c r="R129" s="34"/>
      <c r="U129" t="str">
        <f ca="1">IFERROR(__xludf.DUMMYFUNCTION("IFERROR(SUM(FILTER('Form Responses (Power-up data)'!$C$2:$C1000, LOWER('Form Responses (Power-up data)'!$B$2:$B1000) = LOWER($B129))), 0)"),"0")</f>
        <v>0</v>
      </c>
      <c r="V129" s="27">
        <v>101</v>
      </c>
      <c r="W129" t="str">
        <f ca="1">IFERROR(__xludf.DUMMYFUNCTION("COUNT(FILTER('Form Responses (Power-up data)'!$C$2:$C1000, LOWER('Form Responses (Power-up data)'!$B$2:$B1000) = LOWER($B129)))"),"0")</f>
        <v>0</v>
      </c>
      <c r="X129" s="27">
        <v>4</v>
      </c>
      <c r="Y129" s="30" t="s">
        <v>659</v>
      </c>
    </row>
    <row r="130" spans="1:25" ht="12.75" x14ac:dyDescent="0.2">
      <c r="A130" s="11">
        <v>129</v>
      </c>
      <c r="B130" s="4" t="s">
        <v>162</v>
      </c>
      <c r="C130">
        <v>2.2000000000000002</v>
      </c>
      <c r="D130">
        <v>3</v>
      </c>
      <c r="E130">
        <v>3.8</v>
      </c>
      <c r="F130" s="24"/>
      <c r="G130" s="14" t="str">
        <f ca="1">IFERROR(__xludf.DUMMYFUNCTION("FILTER('Base Stats'!$C$2:$C1000, LOWER('Base Stats'!$B$2:$B1000) = LOWER($B130))"),"20")</f>
        <v>20</v>
      </c>
      <c r="H130">
        <v>262</v>
      </c>
      <c r="I130" t="str">
        <f ca="1">IFERROR(__xludf.DUMMYFUNCTION("FLOOR(0.7903* (FILTER('Go Base Stats'!$C$2:$C1000, 'Go Base Stats'!$A$2:$A1000 = $A130)+15))"),"43")</f>
        <v>43</v>
      </c>
      <c r="J130" s="33"/>
      <c r="K130" s="33"/>
      <c r="L130" s="33"/>
      <c r="M130" s="27">
        <f t="shared" si="0"/>
        <v>3.3</v>
      </c>
      <c r="N130" s="28">
        <f t="shared" si="1"/>
        <v>9.0909090909090856E-2</v>
      </c>
      <c r="P130" s="29">
        <v>3</v>
      </c>
      <c r="Q130" s="30" t="s">
        <v>527</v>
      </c>
      <c r="R130" s="42">
        <v>3.3</v>
      </c>
      <c r="U130" t="str">
        <f ca="1">IFERROR(__xludf.DUMMYFUNCTION("IFERROR(SUM(FILTER('Form Responses (Power-up data)'!$C$2:$C1000, LOWER('Form Responses (Power-up data)'!$B$2:$B1000) = LOWER($B130))), 0)"),"0")</f>
        <v>0</v>
      </c>
      <c r="V130" s="27">
        <v>6</v>
      </c>
      <c r="W130" t="str">
        <f ca="1">IFERROR(__xludf.DUMMYFUNCTION("COUNT(FILTER('Form Responses (Power-up data)'!$C$2:$C1000, LOWER('Form Responses (Power-up data)'!$B$2:$B1000) = LOWER($B130)))"),"0")</f>
        <v>0</v>
      </c>
      <c r="X130" s="27">
        <v>2</v>
      </c>
      <c r="Y130" s="30" t="s">
        <v>659</v>
      </c>
    </row>
    <row r="131" spans="1:25" ht="12.75" x14ac:dyDescent="0.2">
      <c r="A131" s="11">
        <v>130</v>
      </c>
      <c r="B131" s="4" t="s">
        <v>163</v>
      </c>
      <c r="C131">
        <v>33.700000000000003</v>
      </c>
      <c r="D131">
        <v>36.4</v>
      </c>
      <c r="E131">
        <v>39.1</v>
      </c>
      <c r="F131" s="24">
        <f>ROUND(D131/D130, 1)</f>
        <v>12.1</v>
      </c>
      <c r="G131" s="14" t="str">
        <f ca="1">IFERROR(__xludf.DUMMYFUNCTION("FILTER('Base Stats'!$C$2:$C1000, LOWER('Base Stats'!$B$2:$B1000) = LOWER($B131))"),"95")</f>
        <v>95</v>
      </c>
      <c r="H131">
        <v>2688</v>
      </c>
      <c r="I131" t="str">
        <f ca="1">IFERROR(__xludf.DUMMYFUNCTION("FLOOR(0.7903* (FILTER('Go Base Stats'!$C$2:$C1000, 'Go Base Stats'!$A$2:$A1000 = $A131)+15))"),"162")</f>
        <v>162</v>
      </c>
      <c r="J131" s="33"/>
      <c r="K131" s="33"/>
      <c r="L131" s="33"/>
      <c r="M131" s="27">
        <f t="shared" si="0"/>
        <v>38</v>
      </c>
      <c r="N131" s="28">
        <f t="shared" si="1"/>
        <v>4.2105263157894778E-2</v>
      </c>
      <c r="P131" s="29">
        <v>38</v>
      </c>
      <c r="Q131" s="30">
        <v>9.7449587900000001</v>
      </c>
      <c r="R131" s="34"/>
      <c r="U131" t="str">
        <f ca="1">IFERROR(__xludf.DUMMYFUNCTION("IFERROR(SUM(FILTER('Form Responses (Power-up data)'!$C$2:$C1000, LOWER('Form Responses (Power-up data)'!$B$2:$B1000) = LOWER($B131))), 0)"),"39")</f>
        <v>39</v>
      </c>
      <c r="V131" s="27">
        <v>37</v>
      </c>
      <c r="W131" t="str">
        <f ca="1">IFERROR(__xludf.DUMMYFUNCTION("COUNT(FILTER('Form Responses (Power-up data)'!$C$2:$C1000, LOWER('Form Responses (Power-up data)'!$B$2:$B1000) = LOWER($B131)))"),"1")</f>
        <v>1</v>
      </c>
      <c r="X131" s="27">
        <v>1</v>
      </c>
      <c r="Y131" s="30" t="s">
        <v>707</v>
      </c>
    </row>
    <row r="132" spans="1:25" ht="12.75" x14ac:dyDescent="0.2">
      <c r="A132" s="11">
        <v>131</v>
      </c>
      <c r="B132" s="4" t="s">
        <v>164</v>
      </c>
      <c r="C132">
        <v>37.6</v>
      </c>
      <c r="D132">
        <v>40.4</v>
      </c>
      <c r="E132">
        <v>43.4</v>
      </c>
      <c r="F132" s="24"/>
      <c r="G132" s="14" t="str">
        <f ca="1">IFERROR(__xludf.DUMMYFUNCTION("FILTER('Base Stats'!$C$2:$C1000, LOWER('Base Stats'!$B$2:$B1000) = LOWER($B132))"),"130")</f>
        <v>130</v>
      </c>
      <c r="H132">
        <v>2980</v>
      </c>
      <c r="I132" t="str">
        <f ca="1">IFERROR(__xludf.DUMMYFUNCTION("FLOOR(0.7903* (FILTER('Go Base Stats'!$C$2:$C1000, 'Go Base Stats'!$A$2:$A1000 = $A132)+15))"),"217")</f>
        <v>217</v>
      </c>
      <c r="J132" s="33"/>
      <c r="K132" s="33"/>
      <c r="L132" s="33"/>
      <c r="M132" s="27">
        <f t="shared" si="0"/>
        <v>44.9</v>
      </c>
      <c r="N132" s="28">
        <f t="shared" si="1"/>
        <v>0.1002227171492205</v>
      </c>
      <c r="P132" s="29">
        <v>44.92307692</v>
      </c>
      <c r="Q132" s="30" t="s">
        <v>527</v>
      </c>
      <c r="R132" s="31"/>
      <c r="U132" t="str">
        <f ca="1">IFERROR(__xludf.DUMMYFUNCTION("IFERROR(SUM(FILTER('Form Responses (Power-up data)'!$C$2:$C1000, LOWER('Form Responses (Power-up data)'!$B$2:$B1000) = LOWER($B132))), 0)"),"0")</f>
        <v>0</v>
      </c>
      <c r="V132" s="27">
        <v>584</v>
      </c>
      <c r="W132" t="str">
        <f ca="1">IFERROR(__xludf.DUMMYFUNCTION("COUNT(FILTER('Form Responses (Power-up data)'!$C$2:$C1000, LOWER('Form Responses (Power-up data)'!$B$2:$B1000) = LOWER($B132)))"),"0")</f>
        <v>0</v>
      </c>
      <c r="X132" s="27">
        <v>13</v>
      </c>
      <c r="Y132" s="30" t="s">
        <v>659</v>
      </c>
    </row>
    <row r="133" spans="1:25" ht="12.75" x14ac:dyDescent="0.2">
      <c r="A133" s="11">
        <v>132</v>
      </c>
      <c r="B133" s="4" t="s">
        <v>165</v>
      </c>
      <c r="C133">
        <v>10.3</v>
      </c>
      <c r="D133">
        <v>11.8</v>
      </c>
      <c r="E133">
        <v>13.4</v>
      </c>
      <c r="F133" s="24"/>
      <c r="G133" s="14" t="str">
        <f ca="1">IFERROR(__xludf.DUMMYFUNCTION("FILTER('Base Stats'!$C$2:$C1000, LOWER('Base Stats'!$B$2:$B1000) = LOWER($B133))"),"48")</f>
        <v>48</v>
      </c>
      <c r="H133">
        <v>919</v>
      </c>
      <c r="I133" t="str">
        <f ca="1">IFERROR(__xludf.DUMMYFUNCTION("FLOOR(0.7903* (FILTER('Go Base Stats'!$C$2:$C1000, 'Go Base Stats'!$A$2:$A1000 = $A133)+15))"),"87")</f>
        <v>87</v>
      </c>
      <c r="J133" s="33"/>
      <c r="K133" s="33"/>
      <c r="L133" s="33"/>
      <c r="M133" s="27" t="e">
        <f t="shared" si="0"/>
        <v>#VALUE!</v>
      </c>
      <c r="N133" s="28" t="e">
        <f t="shared" si="1"/>
        <v>#VALUE!</v>
      </c>
      <c r="P133" s="29" t="s">
        <v>527</v>
      </c>
      <c r="Q133" s="30" t="s">
        <v>527</v>
      </c>
      <c r="R133" s="34"/>
      <c r="U133" t="str">
        <f ca="1">IFERROR(__xludf.DUMMYFUNCTION("IFERROR(SUM(FILTER('Form Responses (Power-up data)'!$C$2:$C1000, LOWER('Form Responses (Power-up data)'!$B$2:$B1000) = LOWER($B133))), 0)"),"0")</f>
        <v>0</v>
      </c>
      <c r="V133" s="27">
        <v>0</v>
      </c>
      <c r="W133" t="str">
        <f ca="1">IFERROR(__xludf.DUMMYFUNCTION("COUNT(FILTER('Form Responses (Power-up data)'!$C$2:$C1000, LOWER('Form Responses (Power-up data)'!$B$2:$B1000) = LOWER($B133)))"),"0")</f>
        <v>0</v>
      </c>
      <c r="X133" s="27">
        <v>0</v>
      </c>
      <c r="Y133" s="30" t="s">
        <v>659</v>
      </c>
    </row>
    <row r="134" spans="1:25" ht="12.75" x14ac:dyDescent="0.2">
      <c r="A134" s="11">
        <v>133</v>
      </c>
      <c r="B134" s="4" t="s">
        <v>166</v>
      </c>
      <c r="C134">
        <v>12.3</v>
      </c>
      <c r="D134">
        <v>13.9</v>
      </c>
      <c r="E134">
        <v>15.7</v>
      </c>
      <c r="F134" s="24"/>
      <c r="G134" s="14" t="str">
        <f ca="1">IFERROR(__xludf.DUMMYFUNCTION("FILTER('Base Stats'!$C$2:$C1000, LOWER('Base Stats'!$B$2:$B1000) = LOWER($B134))"),"55")</f>
        <v>55</v>
      </c>
      <c r="H134">
        <v>1077</v>
      </c>
      <c r="I134" t="str">
        <f ca="1">IFERROR(__xludf.DUMMYFUNCTION("FLOOR(0.7903* (FILTER('Go Base Stats'!$C$2:$C1000, 'Go Base Stats'!$A$2:$A1000 = $A134)+15))"),"98")</f>
        <v>98</v>
      </c>
      <c r="J134" s="33"/>
      <c r="K134" s="33"/>
      <c r="L134" s="33"/>
      <c r="M134" s="27">
        <f t="shared" si="0"/>
        <v>16</v>
      </c>
      <c r="N134" s="28">
        <f t="shared" si="1"/>
        <v>0.13124999999999998</v>
      </c>
      <c r="P134" s="29">
        <v>41.2</v>
      </c>
      <c r="Q134" s="30">
        <v>2.780257937</v>
      </c>
      <c r="R134" s="42">
        <v>16</v>
      </c>
      <c r="U134" t="str">
        <f ca="1">IFERROR(__xludf.DUMMYFUNCTION("IFERROR(SUM(FILTER('Form Responses (Power-up data)'!$C$2:$C1000, LOWER('Form Responses (Power-up data)'!$B$2:$B1000) = LOWER($B134))), 0)"),"0")</f>
        <v>0</v>
      </c>
      <c r="V134" s="27">
        <v>618</v>
      </c>
      <c r="W134" t="str">
        <f ca="1">IFERROR(__xludf.DUMMYFUNCTION("COUNT(FILTER('Form Responses (Power-up data)'!$C$2:$C1000, LOWER('Form Responses (Power-up data)'!$B$2:$B1000) = LOWER($B134)))"),"0")</f>
        <v>0</v>
      </c>
      <c r="X134" s="27">
        <v>15</v>
      </c>
      <c r="Y134" s="30" t="s">
        <v>708</v>
      </c>
    </row>
    <row r="135" spans="1:25" ht="12.75" x14ac:dyDescent="0.2">
      <c r="A135" s="11">
        <v>134</v>
      </c>
      <c r="B135" s="4" t="s">
        <v>167</v>
      </c>
      <c r="C135">
        <v>35.299999999999997</v>
      </c>
      <c r="D135">
        <v>38.1</v>
      </c>
      <c r="E135">
        <v>41</v>
      </c>
      <c r="F135" s="24">
        <f>ROUND(D135/D134, 1)</f>
        <v>2.7</v>
      </c>
      <c r="G135" s="14" t="str">
        <f ca="1">IFERROR(__xludf.DUMMYFUNCTION("FILTER('Base Stats'!$C$2:$C1000, LOWER('Base Stats'!$B$2:$B1000) = LOWER($B135))"),"130")</f>
        <v>130</v>
      </c>
      <c r="H135">
        <v>2816</v>
      </c>
      <c r="I135" t="str">
        <f ca="1">IFERROR(__xludf.DUMMYFUNCTION("FLOOR(0.7903* (FILTER('Go Base Stats'!$C$2:$C1000, 'Go Base Stats'!$A$2:$A1000 = $A135)+15))"),"217")</f>
        <v>217</v>
      </c>
      <c r="J135" s="33"/>
      <c r="K135" s="33"/>
      <c r="L135" s="33"/>
      <c r="M135" s="27">
        <f t="shared" si="0"/>
        <v>39.5</v>
      </c>
      <c r="N135" s="28">
        <f t="shared" si="1"/>
        <v>3.5443037974683511E-2</v>
      </c>
      <c r="P135" s="29">
        <v>39.548387099999999</v>
      </c>
      <c r="Q135" s="30">
        <v>2.61788233</v>
      </c>
      <c r="R135" s="34"/>
      <c r="U135" t="str">
        <f ca="1">IFERROR(__xludf.DUMMYFUNCTION("IFERROR(SUM(FILTER('Form Responses (Power-up data)'!$C$2:$C1000, LOWER('Form Responses (Power-up data)'!$B$2:$B1000) = LOWER($B135))), 0)"),"80")</f>
        <v>80</v>
      </c>
      <c r="V135" s="27">
        <v>1146</v>
      </c>
      <c r="W135" t="str">
        <f ca="1">IFERROR(__xludf.DUMMYFUNCTION("COUNT(FILTER('Form Responses (Power-up data)'!$C$2:$C1000, LOWER('Form Responses (Power-up data)'!$B$2:$B1000) = LOWER($B135)))"),"2")</f>
        <v>2</v>
      </c>
      <c r="X135" s="27">
        <v>29</v>
      </c>
      <c r="Y135" s="30" t="s">
        <v>709</v>
      </c>
    </row>
    <row r="136" spans="1:25" ht="12.75" x14ac:dyDescent="0.2">
      <c r="A136" s="11">
        <v>135</v>
      </c>
      <c r="B136" s="4" t="s">
        <v>168</v>
      </c>
      <c r="C136">
        <v>26.2</v>
      </c>
      <c r="D136">
        <v>28.6</v>
      </c>
      <c r="E136">
        <v>31.1</v>
      </c>
      <c r="F136" s="24">
        <f t="shared" ref="F136:F137" si="17">ROUND(D136/D$134, 1)</f>
        <v>2.1</v>
      </c>
      <c r="G136" s="14" t="str">
        <f ca="1">IFERROR(__xludf.DUMMYFUNCTION("FILTER('Base Stats'!$C$2:$C1000, LOWER('Base Stats'!$B$2:$B1000) = LOWER($B136))"),"65")</f>
        <v>65</v>
      </c>
      <c r="H136">
        <v>2140</v>
      </c>
      <c r="I136" t="str">
        <f ca="1">IFERROR(__xludf.DUMMYFUNCTION("FLOOR(0.7903* (FILTER('Go Base Stats'!$C$2:$C1000, 'Go Base Stats'!$A$2:$A1000 = $A136)+15))"),"114")</f>
        <v>114</v>
      </c>
      <c r="J136" s="33"/>
      <c r="K136" s="33"/>
      <c r="L136" s="33"/>
      <c r="M136" s="27">
        <f t="shared" si="0"/>
        <v>30.1</v>
      </c>
      <c r="N136" s="28">
        <f t="shared" si="1"/>
        <v>4.9833887043189369E-2</v>
      </c>
      <c r="P136" s="29">
        <v>30.1</v>
      </c>
      <c r="Q136" s="30">
        <v>1.8833018699999999</v>
      </c>
      <c r="R136" s="34"/>
      <c r="U136" t="str">
        <f ca="1">IFERROR(__xludf.DUMMYFUNCTION("IFERROR(SUM(FILTER('Form Responses (Power-up data)'!$C$2:$C1000, LOWER('Form Responses (Power-up data)'!$B$2:$B1000) = LOWER($B136))), 0)"),"0")</f>
        <v>0</v>
      </c>
      <c r="V136" s="27">
        <v>301</v>
      </c>
      <c r="W136" t="str">
        <f ca="1">IFERROR(__xludf.DUMMYFUNCTION("COUNT(FILTER('Form Responses (Power-up data)'!$C$2:$C1000, LOWER('Form Responses (Power-up data)'!$B$2:$B1000) = LOWER($B136)))"),"0")</f>
        <v>0</v>
      </c>
      <c r="X136" s="27">
        <v>10</v>
      </c>
      <c r="Y136" s="30" t="s">
        <v>710</v>
      </c>
    </row>
    <row r="137" spans="1:25" ht="12.75" x14ac:dyDescent="0.2">
      <c r="A137" s="11">
        <v>136</v>
      </c>
      <c r="B137" s="4" t="s">
        <v>169</v>
      </c>
      <c r="C137">
        <v>32.9</v>
      </c>
      <c r="D137">
        <v>35.6</v>
      </c>
      <c r="E137">
        <v>38.5</v>
      </c>
      <c r="F137" s="24">
        <f t="shared" si="17"/>
        <v>2.6</v>
      </c>
      <c r="G137" s="14" t="str">
        <f ca="1">IFERROR(__xludf.DUMMYFUNCTION("FILTER('Base Stats'!$C$2:$C1000, LOWER('Base Stats'!$B$2:$B1000) = LOWER($B137))"),"65")</f>
        <v>65</v>
      </c>
      <c r="H137">
        <v>2643</v>
      </c>
      <c r="I137" t="str">
        <f ca="1">IFERROR(__xludf.DUMMYFUNCTION("FLOOR(0.7903* (FILTER('Go Base Stats'!$C$2:$C1000, 'Go Base Stats'!$A$2:$A1000 = $A137)+15))"),"114")</f>
        <v>114</v>
      </c>
      <c r="J137" s="33"/>
      <c r="K137" s="33"/>
      <c r="L137" s="33"/>
      <c r="M137" s="27">
        <f t="shared" si="0"/>
        <v>36.799999999999997</v>
      </c>
      <c r="N137" s="28">
        <f t="shared" si="1"/>
        <v>3.2608695652173801E-2</v>
      </c>
      <c r="P137" s="29">
        <v>36.777777780000001</v>
      </c>
      <c r="Q137" s="30">
        <v>3.0591206180000001</v>
      </c>
      <c r="R137" s="42"/>
      <c r="U137" t="str">
        <f ca="1">IFERROR(__xludf.DUMMYFUNCTION("IFERROR(SUM(FILTER('Form Responses (Power-up data)'!$C$2:$C1000, LOWER('Form Responses (Power-up data)'!$B$2:$B1000) = LOWER($B137))), 0)"),"0")</f>
        <v>0</v>
      </c>
      <c r="V137" s="27">
        <v>331</v>
      </c>
      <c r="W137" t="str">
        <f ca="1">IFERROR(__xludf.DUMMYFUNCTION("COUNT(FILTER('Form Responses (Power-up data)'!$C$2:$C1000, LOWER('Form Responses (Power-up data)'!$B$2:$B1000) = LOWER($B137)))"),"0")</f>
        <v>0</v>
      </c>
      <c r="X137" s="27">
        <v>9</v>
      </c>
      <c r="Y137" s="30" t="s">
        <v>711</v>
      </c>
    </row>
    <row r="138" spans="1:25" ht="12.75" x14ac:dyDescent="0.2">
      <c r="A138" s="11">
        <v>137</v>
      </c>
      <c r="B138" s="4" t="s">
        <v>170</v>
      </c>
      <c r="C138">
        <v>20.3</v>
      </c>
      <c r="D138">
        <v>22.4</v>
      </c>
      <c r="E138">
        <v>24.6</v>
      </c>
      <c r="F138" s="24"/>
      <c r="G138" s="14" t="str">
        <f ca="1">IFERROR(__xludf.DUMMYFUNCTION("FILTER('Base Stats'!$C$2:$C1000, LOWER('Base Stats'!$B$2:$B1000) = LOWER($B138))"),"65")</f>
        <v>65</v>
      </c>
      <c r="H138">
        <v>1691</v>
      </c>
      <c r="I138" t="str">
        <f ca="1">IFERROR(__xludf.DUMMYFUNCTION("FLOOR(0.7903* (FILTER('Go Base Stats'!$C$2:$C1000, 'Go Base Stats'!$A$2:$A1000 = $A138)+15))"),"114")</f>
        <v>114</v>
      </c>
      <c r="J138" s="33"/>
      <c r="K138" s="33"/>
      <c r="L138" s="33"/>
      <c r="M138" s="27">
        <f t="shared" si="0"/>
        <v>23.8</v>
      </c>
      <c r="N138" s="28">
        <f t="shared" si="1"/>
        <v>5.8823529411764795E-2</v>
      </c>
      <c r="P138" s="29">
        <v>23.777777780000001</v>
      </c>
      <c r="Q138" s="30" t="s">
        <v>527</v>
      </c>
      <c r="R138" s="34"/>
      <c r="U138" t="str">
        <f ca="1">IFERROR(__xludf.DUMMYFUNCTION("IFERROR(SUM(FILTER('Form Responses (Power-up data)'!$C$2:$C1000, LOWER('Form Responses (Power-up data)'!$B$2:$B1000) = LOWER($B138))), 0)"),"0")</f>
        <v>0</v>
      </c>
      <c r="V138" s="27">
        <v>214</v>
      </c>
      <c r="W138" t="str">
        <f ca="1">IFERROR(__xludf.DUMMYFUNCTION("COUNT(FILTER('Form Responses (Power-up data)'!$C$2:$C1000, LOWER('Form Responses (Power-up data)'!$B$2:$B1000) = LOWER($B138)))"),"0")</f>
        <v>0</v>
      </c>
      <c r="X138" s="27">
        <v>9</v>
      </c>
      <c r="Y138" s="30" t="s">
        <v>659</v>
      </c>
    </row>
    <row r="139" spans="1:25" ht="12.75" x14ac:dyDescent="0.2">
      <c r="A139" s="11">
        <v>138</v>
      </c>
      <c r="B139" s="4" t="s">
        <v>171</v>
      </c>
      <c r="C139">
        <v>12.7</v>
      </c>
      <c r="D139">
        <v>14.4</v>
      </c>
      <c r="E139">
        <v>16.3</v>
      </c>
      <c r="F139" s="24"/>
      <c r="G139" s="14" t="str">
        <f ca="1">IFERROR(__xludf.DUMMYFUNCTION("FILTER('Base Stats'!$C$2:$C1000, LOWER('Base Stats'!$B$2:$B1000) = LOWER($B139))"),"35")</f>
        <v>35</v>
      </c>
      <c r="H139">
        <v>1119</v>
      </c>
      <c r="I139" t="str">
        <f ca="1">IFERROR(__xludf.DUMMYFUNCTION("FLOOR(0.7903* (FILTER('Go Base Stats'!$C$2:$C1000, 'Go Base Stats'!$A$2:$A1000 = $A139)+15))"),"67")</f>
        <v>67</v>
      </c>
      <c r="J139" s="33"/>
      <c r="K139" s="33"/>
      <c r="L139" s="33"/>
      <c r="M139" s="27">
        <f t="shared" si="0"/>
        <v>16</v>
      </c>
      <c r="N139" s="28">
        <f t="shared" si="1"/>
        <v>9.9999999999999978E-2</v>
      </c>
      <c r="P139" s="29">
        <v>16</v>
      </c>
      <c r="Q139" s="30" t="s">
        <v>527</v>
      </c>
      <c r="R139" s="34"/>
      <c r="U139" t="str">
        <f ca="1">IFERROR(__xludf.DUMMYFUNCTION("IFERROR(SUM(FILTER('Form Responses (Power-up data)'!$C$2:$C1000, LOWER('Form Responses (Power-up data)'!$B$2:$B1000) = LOWER($B139))), 0)"),"0")</f>
        <v>0</v>
      </c>
      <c r="V139" s="27">
        <v>16</v>
      </c>
      <c r="W139" t="str">
        <f ca="1">IFERROR(__xludf.DUMMYFUNCTION("COUNT(FILTER('Form Responses (Power-up data)'!$C$2:$C1000, LOWER('Form Responses (Power-up data)'!$B$2:$B1000) = LOWER($B139)))"),"0")</f>
        <v>0</v>
      </c>
      <c r="X139" s="27">
        <v>1</v>
      </c>
      <c r="Y139" s="30" t="s">
        <v>659</v>
      </c>
    </row>
    <row r="140" spans="1:25" ht="12.75" x14ac:dyDescent="0.2">
      <c r="A140" s="11">
        <v>139</v>
      </c>
      <c r="B140" s="4" t="s">
        <v>172</v>
      </c>
      <c r="C140">
        <v>27.5</v>
      </c>
      <c r="D140">
        <v>30</v>
      </c>
      <c r="E140">
        <v>32.5</v>
      </c>
      <c r="F140" s="24">
        <f>ROUND(D140/D139, 1)</f>
        <v>2.1</v>
      </c>
      <c r="G140" s="14" t="str">
        <f ca="1">IFERROR(__xludf.DUMMYFUNCTION("FILTER('Base Stats'!$C$2:$C1000, LOWER('Base Stats'!$B$2:$B1000) = LOWER($B140))"),"70")</f>
        <v>70</v>
      </c>
      <c r="H140">
        <v>2233</v>
      </c>
      <c r="I140" t="str">
        <f ca="1">IFERROR(__xludf.DUMMYFUNCTION("FLOOR(0.7903* (FILTER('Go Base Stats'!$C$2:$C1000, 'Go Base Stats'!$A$2:$A1000 = $A140)+15))"),"122")</f>
        <v>122</v>
      </c>
      <c r="J140" s="33"/>
      <c r="K140" s="33"/>
      <c r="L140" s="33"/>
      <c r="M140" s="27">
        <f t="shared" si="0"/>
        <v>32</v>
      </c>
      <c r="N140" s="28">
        <f t="shared" si="1"/>
        <v>6.25E-2</v>
      </c>
      <c r="P140" s="29">
        <v>32</v>
      </c>
      <c r="Q140" s="30" t="s">
        <v>527</v>
      </c>
      <c r="R140" s="34"/>
      <c r="U140" t="str">
        <f ca="1">IFERROR(__xludf.DUMMYFUNCTION("IFERROR(SUM(FILTER('Form Responses (Power-up data)'!$C$2:$C1000, LOWER('Form Responses (Power-up data)'!$B$2:$B1000) = LOWER($B140))), 0)"),"0")</f>
        <v>0</v>
      </c>
      <c r="V140" s="27">
        <v>32</v>
      </c>
      <c r="W140" t="str">
        <f ca="1">IFERROR(__xludf.DUMMYFUNCTION("COUNT(FILTER('Form Responses (Power-up data)'!$C$2:$C1000, LOWER('Form Responses (Power-up data)'!$B$2:$B1000) = LOWER($B140)))"),"0")</f>
        <v>0</v>
      </c>
      <c r="X140" s="27">
        <v>1</v>
      </c>
      <c r="Y140" s="30" t="s">
        <v>659</v>
      </c>
    </row>
    <row r="141" spans="1:25" ht="12.75" x14ac:dyDescent="0.2">
      <c r="A141" s="11">
        <v>140</v>
      </c>
      <c r="B141" s="4" t="s">
        <v>173</v>
      </c>
      <c r="C141">
        <v>12.4</v>
      </c>
      <c r="D141">
        <v>14.2</v>
      </c>
      <c r="E141">
        <v>16.100000000000001</v>
      </c>
      <c r="F141" s="24"/>
      <c r="G141" s="14" t="str">
        <f ca="1">IFERROR(__xludf.DUMMYFUNCTION("FILTER('Base Stats'!$C$2:$C1000, LOWER('Base Stats'!$B$2:$B1000) = LOWER($B141))"),"30")</f>
        <v>30</v>
      </c>
      <c r="H141">
        <v>1104</v>
      </c>
      <c r="I141" t="str">
        <f ca="1">IFERROR(__xludf.DUMMYFUNCTION("FLOOR(0.7903* (FILTER('Go Base Stats'!$C$2:$C1000, 'Go Base Stats'!$A$2:$A1000 = $A141)+15))"),"59")</f>
        <v>59</v>
      </c>
      <c r="J141" s="33"/>
      <c r="K141" s="33"/>
      <c r="L141" s="33"/>
      <c r="M141" s="27">
        <f t="shared" si="0"/>
        <v>16</v>
      </c>
      <c r="N141" s="28">
        <f t="shared" si="1"/>
        <v>0.11250000000000004</v>
      </c>
      <c r="P141" s="29">
        <v>16</v>
      </c>
      <c r="Q141" s="30" t="s">
        <v>527</v>
      </c>
      <c r="R141" s="34"/>
      <c r="U141" t="str">
        <f ca="1">IFERROR(__xludf.DUMMYFUNCTION("IFERROR(SUM(FILTER('Form Responses (Power-up data)'!$C$2:$C1000, LOWER('Form Responses (Power-up data)'!$B$2:$B1000) = LOWER($B141))), 0)"),"0")</f>
        <v>0</v>
      </c>
      <c r="V141" s="27">
        <v>16</v>
      </c>
      <c r="W141" t="str">
        <f ca="1">IFERROR(__xludf.DUMMYFUNCTION("COUNT(FILTER('Form Responses (Power-up data)'!$C$2:$C1000, LOWER('Form Responses (Power-up data)'!$B$2:$B1000) = LOWER($B141)))"),"0")</f>
        <v>0</v>
      </c>
      <c r="X141" s="27">
        <v>1</v>
      </c>
      <c r="Y141" s="30" t="s">
        <v>659</v>
      </c>
    </row>
    <row r="142" spans="1:25" ht="12.75" x14ac:dyDescent="0.2">
      <c r="A142" s="11">
        <v>141</v>
      </c>
      <c r="B142" s="4" t="s">
        <v>174</v>
      </c>
      <c r="C142">
        <v>26.1</v>
      </c>
      <c r="D142">
        <v>28.5</v>
      </c>
      <c r="E142">
        <v>31</v>
      </c>
      <c r="F142" s="24">
        <f>ROUND(D142/D141, 1)</f>
        <v>2</v>
      </c>
      <c r="G142" s="14" t="str">
        <f ca="1">IFERROR(__xludf.DUMMYFUNCTION("FILTER('Base Stats'!$C$2:$C1000, LOWER('Base Stats'!$B$2:$B1000) = LOWER($B142))"),"60")</f>
        <v>60</v>
      </c>
      <c r="H142">
        <v>2130</v>
      </c>
      <c r="I142" t="str">
        <f ca="1">IFERROR(__xludf.DUMMYFUNCTION("FLOOR(0.7903* (FILTER('Go Base Stats'!$C$2:$C1000, 'Go Base Stats'!$A$2:$A1000 = $A142)+15))"),"106")</f>
        <v>106</v>
      </c>
      <c r="J142" s="33"/>
      <c r="K142" s="33"/>
      <c r="L142" s="33"/>
      <c r="M142" s="27">
        <f t="shared" si="0"/>
        <v>30</v>
      </c>
      <c r="N142" s="28">
        <f t="shared" si="1"/>
        <v>0.05</v>
      </c>
      <c r="P142" s="29">
        <v>30</v>
      </c>
      <c r="Q142" s="30" t="s">
        <v>527</v>
      </c>
      <c r="R142" s="34"/>
      <c r="U142" t="str">
        <f ca="1">IFERROR(__xludf.DUMMYFUNCTION("IFERROR(SUM(FILTER('Form Responses (Power-up data)'!$C$2:$C1000, LOWER('Form Responses (Power-up data)'!$B$2:$B1000) = LOWER($B142))), 0)"),"0")</f>
        <v>0</v>
      </c>
      <c r="V142" s="27">
        <v>30</v>
      </c>
      <c r="W142" t="str">
        <f ca="1">IFERROR(__xludf.DUMMYFUNCTION("COUNT(FILTER('Form Responses (Power-up data)'!$C$2:$C1000, LOWER('Form Responses (Power-up data)'!$B$2:$B1000) = LOWER($B142)))"),"0")</f>
        <v>0</v>
      </c>
      <c r="X142" s="27">
        <v>1</v>
      </c>
      <c r="Y142" s="30" t="s">
        <v>659</v>
      </c>
    </row>
    <row r="143" spans="1:25" ht="12.75" x14ac:dyDescent="0.2">
      <c r="A143" s="11">
        <v>142</v>
      </c>
      <c r="B143" s="4" t="s">
        <v>175</v>
      </c>
      <c r="C143">
        <v>26.6</v>
      </c>
      <c r="D143">
        <v>29</v>
      </c>
      <c r="E143">
        <v>31.5</v>
      </c>
      <c r="F143" s="24"/>
      <c r="G143" s="14" t="str">
        <f ca="1">IFERROR(__xludf.DUMMYFUNCTION("FILTER('Base Stats'!$C$2:$C1000, LOWER('Base Stats'!$B$2:$B1000) = LOWER($B143))"),"80")</f>
        <v>80</v>
      </c>
      <c r="H143">
        <v>2165</v>
      </c>
      <c r="I143" t="str">
        <f ca="1">IFERROR(__xludf.DUMMYFUNCTION("FLOOR(0.7903* (FILTER('Go Base Stats'!$C$2:$C1000, 'Go Base Stats'!$A$2:$A1000 = $A143)+15))"),"138")</f>
        <v>138</v>
      </c>
      <c r="J143" s="33"/>
      <c r="K143" s="33"/>
      <c r="L143" s="33"/>
      <c r="M143" s="27">
        <f t="shared" si="0"/>
        <v>29.9</v>
      </c>
      <c r="N143" s="28">
        <f t="shared" si="1"/>
        <v>3.0100334448160487E-2</v>
      </c>
      <c r="P143" s="29">
        <v>29.88888889</v>
      </c>
      <c r="Q143" s="30" t="s">
        <v>527</v>
      </c>
      <c r="R143" s="34"/>
      <c r="U143" t="str">
        <f ca="1">IFERROR(__xludf.DUMMYFUNCTION("IFERROR(SUM(FILTER('Form Responses (Power-up data)'!$C$2:$C1000, LOWER('Form Responses (Power-up data)'!$B$2:$B1000) = LOWER($B143))), 0)"),"0")</f>
        <v>0</v>
      </c>
      <c r="V143" s="27">
        <v>269</v>
      </c>
      <c r="W143" t="str">
        <f ca="1">IFERROR(__xludf.DUMMYFUNCTION("COUNT(FILTER('Form Responses (Power-up data)'!$C$2:$C1000, LOWER('Form Responses (Power-up data)'!$B$2:$B1000) = LOWER($B143)))"),"0")</f>
        <v>0</v>
      </c>
      <c r="X143" s="27">
        <v>9</v>
      </c>
      <c r="Y143" s="30" t="s">
        <v>659</v>
      </c>
    </row>
    <row r="144" spans="1:25" ht="12.75" x14ac:dyDescent="0.2">
      <c r="A144" s="11">
        <v>143</v>
      </c>
      <c r="B144" s="4" t="s">
        <v>176</v>
      </c>
      <c r="C144">
        <v>39.299999999999997</v>
      </c>
      <c r="D144">
        <v>42.2</v>
      </c>
      <c r="E144">
        <v>45.3</v>
      </c>
      <c r="F144" s="24"/>
      <c r="G144" s="14" t="str">
        <f ca="1">IFERROR(__xludf.DUMMYFUNCTION("FILTER('Base Stats'!$C$2:$C1000, LOWER('Base Stats'!$B$2:$B1000) = LOWER($B144))"),"160")</f>
        <v>160</v>
      </c>
      <c r="H144">
        <v>3112</v>
      </c>
      <c r="I144" t="str">
        <f ca="1">IFERROR(__xludf.DUMMYFUNCTION("FLOOR(0.7903* (FILTER('Go Base Stats'!$C$2:$C1000, 'Go Base Stats'!$A$2:$A1000 = $A144)+15))"),"264")</f>
        <v>264</v>
      </c>
      <c r="J144" s="33"/>
      <c r="K144" s="33"/>
      <c r="L144" s="33"/>
      <c r="M144" s="27">
        <f t="shared" si="0"/>
        <v>44.6</v>
      </c>
      <c r="N144" s="28">
        <f t="shared" si="1"/>
        <v>5.381165919282508E-2</v>
      </c>
      <c r="P144" s="29">
        <v>44.6</v>
      </c>
      <c r="Q144" s="30" t="s">
        <v>527</v>
      </c>
      <c r="R144" s="34"/>
      <c r="U144" t="str">
        <f ca="1">IFERROR(__xludf.DUMMYFUNCTION("IFERROR(SUM(FILTER('Form Responses (Power-up data)'!$C$2:$C1000, LOWER('Form Responses (Power-up data)'!$B$2:$B1000) = LOWER($B144))), 0)"),"0")</f>
        <v>0</v>
      </c>
      <c r="V144" s="27">
        <v>669</v>
      </c>
      <c r="W144" t="str">
        <f ca="1">IFERROR(__xludf.DUMMYFUNCTION("COUNT(FILTER('Form Responses (Power-up data)'!$C$2:$C1000, LOWER('Form Responses (Power-up data)'!$B$2:$B1000) = LOWER($B144)))"),"0")</f>
        <v>0</v>
      </c>
      <c r="X144" s="27">
        <v>15</v>
      </c>
      <c r="Y144" s="30" t="s">
        <v>659</v>
      </c>
    </row>
    <row r="145" spans="1:25" ht="12.75" x14ac:dyDescent="0.2">
      <c r="A145" s="11">
        <v>144</v>
      </c>
      <c r="B145" s="4" t="s">
        <v>177</v>
      </c>
      <c r="C145">
        <v>37.6</v>
      </c>
      <c r="D145">
        <v>40.4</v>
      </c>
      <c r="E145">
        <v>43.3</v>
      </c>
      <c r="F145" s="24"/>
      <c r="G145" s="14" t="str">
        <f ca="1">IFERROR(__xludf.DUMMYFUNCTION("FILTER('Base Stats'!$C$2:$C1000, LOWER('Base Stats'!$B$2:$B1000) = LOWER($B145))"),"90")</f>
        <v>90</v>
      </c>
      <c r="H145">
        <v>2978</v>
      </c>
      <c r="I145" t="str">
        <f ca="1">IFERROR(__xludf.DUMMYFUNCTION("FLOOR(0.7903* (FILTER('Go Base Stats'!$C$2:$C1000, 'Go Base Stats'!$A$2:$A1000 = $A145)+15))"),"154")</f>
        <v>154</v>
      </c>
      <c r="J145" s="33"/>
      <c r="K145" s="33"/>
      <c r="L145" s="33"/>
      <c r="M145" s="27" t="e">
        <f t="shared" si="0"/>
        <v>#VALUE!</v>
      </c>
      <c r="N145" s="28" t="e">
        <f t="shared" si="1"/>
        <v>#VALUE!</v>
      </c>
      <c r="P145" s="29" t="s">
        <v>527</v>
      </c>
      <c r="Q145" s="30" t="s">
        <v>527</v>
      </c>
      <c r="R145" s="34"/>
      <c r="U145" t="str">
        <f ca="1">IFERROR(__xludf.DUMMYFUNCTION("IFERROR(SUM(FILTER('Form Responses (Power-up data)'!$C$2:$C1000, LOWER('Form Responses (Power-up data)'!$B$2:$B1000) = LOWER($B145))), 0)"),"0")</f>
        <v>0</v>
      </c>
      <c r="V145" s="27">
        <v>0</v>
      </c>
      <c r="W145" t="str">
        <f ca="1">IFERROR(__xludf.DUMMYFUNCTION("COUNT(FILTER('Form Responses (Power-up data)'!$C$2:$C1000, LOWER('Form Responses (Power-up data)'!$B$2:$B1000) = LOWER($B145)))"),"0")</f>
        <v>0</v>
      </c>
      <c r="X145" s="27">
        <v>0</v>
      </c>
      <c r="Y145" s="30" t="s">
        <v>659</v>
      </c>
    </row>
    <row r="146" spans="1:25" ht="12.75" x14ac:dyDescent="0.2">
      <c r="A146" s="11">
        <v>145</v>
      </c>
      <c r="B146" s="4" t="s">
        <v>178</v>
      </c>
      <c r="C146">
        <v>39.4</v>
      </c>
      <c r="D146">
        <v>42.3</v>
      </c>
      <c r="E146">
        <v>45.3</v>
      </c>
      <c r="F146" s="24"/>
      <c r="G146" s="14" t="str">
        <f ca="1">IFERROR(__xludf.DUMMYFUNCTION("FILTER('Base Stats'!$C$2:$C1000, LOWER('Base Stats'!$B$2:$B1000) = LOWER($B146))"),"90")</f>
        <v>90</v>
      </c>
      <c r="H146">
        <v>3114</v>
      </c>
      <c r="I146" t="str">
        <f ca="1">IFERROR(__xludf.DUMMYFUNCTION("FLOOR(0.7903* (FILTER('Go Base Stats'!$C$2:$C1000, 'Go Base Stats'!$A$2:$A1000 = $A146)+15))"),"154")</f>
        <v>154</v>
      </c>
      <c r="J146" s="33"/>
      <c r="K146" s="33"/>
      <c r="L146" s="33"/>
      <c r="M146" s="27" t="e">
        <f t="shared" si="0"/>
        <v>#VALUE!</v>
      </c>
      <c r="N146" s="28" t="e">
        <f t="shared" si="1"/>
        <v>#VALUE!</v>
      </c>
      <c r="P146" s="29" t="s">
        <v>527</v>
      </c>
      <c r="Q146" s="30" t="s">
        <v>527</v>
      </c>
      <c r="R146" s="34"/>
      <c r="U146" t="str">
        <f ca="1">IFERROR(__xludf.DUMMYFUNCTION("IFERROR(SUM(FILTER('Form Responses (Power-up data)'!$C$2:$C1000, LOWER('Form Responses (Power-up data)'!$B$2:$B1000) = LOWER($B146))), 0)"),"0")</f>
        <v>0</v>
      </c>
      <c r="V146" s="27">
        <v>0</v>
      </c>
      <c r="W146" t="str">
        <f ca="1">IFERROR(__xludf.DUMMYFUNCTION("COUNT(FILTER('Form Responses (Power-up data)'!$C$2:$C1000, LOWER('Form Responses (Power-up data)'!$B$2:$B1000) = LOWER($B146)))"),"0")</f>
        <v>0</v>
      </c>
      <c r="X146" s="27">
        <v>0</v>
      </c>
      <c r="Y146" s="30" t="s">
        <v>659</v>
      </c>
    </row>
    <row r="147" spans="1:25" ht="12.75" x14ac:dyDescent="0.2">
      <c r="A147" s="11">
        <v>146</v>
      </c>
      <c r="B147" s="4" t="s">
        <v>179</v>
      </c>
      <c r="C147">
        <v>41.1</v>
      </c>
      <c r="D147">
        <v>44.1</v>
      </c>
      <c r="E147">
        <v>47.2</v>
      </c>
      <c r="F147" s="24"/>
      <c r="G147" s="14" t="str">
        <f ca="1">IFERROR(__xludf.DUMMYFUNCTION("FILTER('Base Stats'!$C$2:$C1000, LOWER('Base Stats'!$B$2:$B1000) = LOWER($B147))"),"90")</f>
        <v>90</v>
      </c>
      <c r="H147">
        <v>3240</v>
      </c>
      <c r="I147" t="str">
        <f ca="1">IFERROR(__xludf.DUMMYFUNCTION("FLOOR(0.7903* (FILTER('Go Base Stats'!$C$2:$C1000, 'Go Base Stats'!$A$2:$A1000 = $A147)+15))"),"154")</f>
        <v>154</v>
      </c>
      <c r="J147" s="33"/>
      <c r="K147" s="33"/>
      <c r="L147" s="33"/>
      <c r="M147" s="27" t="e">
        <f t="shared" si="0"/>
        <v>#VALUE!</v>
      </c>
      <c r="N147" s="28" t="e">
        <f t="shared" si="1"/>
        <v>#VALUE!</v>
      </c>
      <c r="P147" s="29" t="s">
        <v>527</v>
      </c>
      <c r="Q147" s="30" t="s">
        <v>527</v>
      </c>
      <c r="R147" s="34"/>
      <c r="U147" t="str">
        <f ca="1">IFERROR(__xludf.DUMMYFUNCTION("IFERROR(SUM(FILTER('Form Responses (Power-up data)'!$C$2:$C1000, LOWER('Form Responses (Power-up data)'!$B$2:$B1000) = LOWER($B147))), 0)"),"0")</f>
        <v>0</v>
      </c>
      <c r="V147" s="27">
        <v>0</v>
      </c>
      <c r="W147" t="str">
        <f ca="1">IFERROR(__xludf.DUMMYFUNCTION("COUNT(FILTER('Form Responses (Power-up data)'!$C$2:$C1000, LOWER('Form Responses (Power-up data)'!$B$2:$B1000) = LOWER($B147)))"),"0")</f>
        <v>0</v>
      </c>
      <c r="X147" s="27">
        <v>0</v>
      </c>
      <c r="Y147" s="30" t="s">
        <v>659</v>
      </c>
    </row>
    <row r="148" spans="1:25" ht="12.75" x14ac:dyDescent="0.2">
      <c r="A148" s="11">
        <v>147</v>
      </c>
      <c r="B148" s="4" t="s">
        <v>180</v>
      </c>
      <c r="C148">
        <v>11.1</v>
      </c>
      <c r="D148">
        <v>12.6</v>
      </c>
      <c r="E148">
        <v>14.3</v>
      </c>
      <c r="F148" s="24"/>
      <c r="G148" s="14" t="str">
        <f ca="1">IFERROR(__xludf.DUMMYFUNCTION("FILTER('Base Stats'!$C$2:$C1000, LOWER('Base Stats'!$B$2:$B1000) = LOWER($B148))"),"41")</f>
        <v>41</v>
      </c>
      <c r="H148">
        <v>983</v>
      </c>
      <c r="I148" t="str">
        <f ca="1">IFERROR(__xludf.DUMMYFUNCTION("FLOOR(0.7903* (FILTER('Go Base Stats'!$C$2:$C1000, 'Go Base Stats'!$A$2:$A1000 = $A148)+15))"),"76")</f>
        <v>76</v>
      </c>
      <c r="J148" s="33"/>
      <c r="K148" s="33"/>
      <c r="L148" s="33"/>
      <c r="M148" s="27">
        <f t="shared" si="0"/>
        <v>13</v>
      </c>
      <c r="N148" s="28">
        <f t="shared" si="1"/>
        <v>3.0769230769230795E-2</v>
      </c>
      <c r="P148" s="29">
        <v>13</v>
      </c>
      <c r="Q148" s="30" t="s">
        <v>527</v>
      </c>
      <c r="R148" s="34"/>
      <c r="U148" t="str">
        <f ca="1">IFERROR(__xludf.DUMMYFUNCTION("IFERROR(SUM(FILTER('Form Responses (Power-up data)'!$C$2:$C1000, LOWER('Form Responses (Power-up data)'!$B$2:$B1000) = LOWER($B148))), 0)"),"0")</f>
        <v>0</v>
      </c>
      <c r="V148" s="27">
        <v>13</v>
      </c>
      <c r="W148" t="str">
        <f ca="1">IFERROR(__xludf.DUMMYFUNCTION("COUNT(FILTER('Form Responses (Power-up data)'!$C$2:$C1000, LOWER('Form Responses (Power-up data)'!$B$2:$B1000) = LOWER($B148)))"),"0")</f>
        <v>0</v>
      </c>
      <c r="X148" s="27">
        <v>1</v>
      </c>
      <c r="Y148" s="30" t="s">
        <v>659</v>
      </c>
    </row>
    <row r="149" spans="1:25" ht="12.75" x14ac:dyDescent="0.2">
      <c r="A149" s="11">
        <v>148</v>
      </c>
      <c r="B149" s="4" t="s">
        <v>181</v>
      </c>
      <c r="C149">
        <v>21</v>
      </c>
      <c r="D149">
        <v>23.2</v>
      </c>
      <c r="E149">
        <v>25.4</v>
      </c>
      <c r="F149" s="24">
        <f t="shared" ref="F149:F150" si="18">ROUND(D149/D148, 1)</f>
        <v>1.8</v>
      </c>
      <c r="G149" s="14" t="str">
        <f ca="1">IFERROR(__xludf.DUMMYFUNCTION("FILTER('Base Stats'!$C$2:$C1000, LOWER('Base Stats'!$B$2:$B1000) = LOWER($B149))"),"61")</f>
        <v>61</v>
      </c>
      <c r="H149">
        <v>1747</v>
      </c>
      <c r="I149" t="str">
        <f ca="1">IFERROR(__xludf.DUMMYFUNCTION("FLOOR(0.7903* (FILTER('Go Base Stats'!$C$2:$C1000, 'Go Base Stats'!$A$2:$A1000 = $A149)+15))"),"108")</f>
        <v>108</v>
      </c>
      <c r="J149" s="33"/>
      <c r="K149" s="33"/>
      <c r="L149" s="33"/>
      <c r="M149" s="27">
        <f t="shared" si="0"/>
        <v>25</v>
      </c>
      <c r="N149" s="28">
        <f t="shared" si="1"/>
        <v>7.2000000000000022E-2</v>
      </c>
      <c r="P149" s="29">
        <v>25</v>
      </c>
      <c r="Q149" s="30">
        <v>2.60130719</v>
      </c>
      <c r="R149" s="34"/>
      <c r="U149" t="str">
        <f ca="1">IFERROR(__xludf.DUMMYFUNCTION("IFERROR(SUM(FILTER('Form Responses (Power-up data)'!$C$2:$C1000, LOWER('Form Responses (Power-up data)'!$B$2:$B1000) = LOWER($B149))), 0)"),"0")</f>
        <v>0</v>
      </c>
      <c r="V149" s="27">
        <v>25</v>
      </c>
      <c r="W149" t="str">
        <f ca="1">IFERROR(__xludf.DUMMYFUNCTION("COUNT(FILTER('Form Responses (Power-up data)'!$C$2:$C1000, LOWER('Form Responses (Power-up data)'!$B$2:$B1000) = LOWER($B149)))"),"0")</f>
        <v>0</v>
      </c>
      <c r="X149" s="27">
        <v>1</v>
      </c>
      <c r="Y149" s="30" t="s">
        <v>712</v>
      </c>
    </row>
    <row r="150" spans="1:25" ht="12.75" x14ac:dyDescent="0.2">
      <c r="A150" s="11">
        <v>149</v>
      </c>
      <c r="B150" s="4" t="s">
        <v>182</v>
      </c>
      <c r="C150">
        <v>44.6</v>
      </c>
      <c r="D150">
        <v>47.7</v>
      </c>
      <c r="E150">
        <v>50.9</v>
      </c>
      <c r="F150" s="24">
        <f t="shared" si="18"/>
        <v>2.1</v>
      </c>
      <c r="G150" s="14" t="str">
        <f ca="1">IFERROR(__xludf.DUMMYFUNCTION("FILTER('Base Stats'!$C$2:$C1000, LOWER('Base Stats'!$B$2:$B1000) = LOWER($B150))"),"91")</f>
        <v>91</v>
      </c>
      <c r="H150">
        <v>3500</v>
      </c>
      <c r="I150" t="str">
        <f ca="1">IFERROR(__xludf.DUMMYFUNCTION("FLOOR(0.7903* (FILTER('Go Base Stats'!$C$2:$C1000, 'Go Base Stats'!$A$2:$A1000 = $A150)+15))"),"155")</f>
        <v>155</v>
      </c>
      <c r="J150" s="33"/>
      <c r="K150" s="33"/>
      <c r="L150" s="33"/>
      <c r="M150" s="27">
        <f t="shared" si="0"/>
        <v>44.8</v>
      </c>
      <c r="N150" s="28">
        <f t="shared" si="1"/>
        <v>6.4732142857142988E-2</v>
      </c>
      <c r="P150" s="29">
        <v>44.777777780000001</v>
      </c>
      <c r="Q150" s="30" t="s">
        <v>527</v>
      </c>
      <c r="R150" s="42"/>
      <c r="U150" t="str">
        <f ca="1">IFERROR(__xludf.DUMMYFUNCTION("IFERROR(SUM(FILTER('Form Responses (Power-up data)'!$C$2:$C1000, LOWER('Form Responses (Power-up data)'!$B$2:$B1000) = LOWER($B150))), 0)"),"0")</f>
        <v>0</v>
      </c>
      <c r="V150" s="27">
        <v>403</v>
      </c>
      <c r="W150" t="str">
        <f ca="1">IFERROR(__xludf.DUMMYFUNCTION("COUNT(FILTER('Form Responses (Power-up data)'!$C$2:$C1000, LOWER('Form Responses (Power-up data)'!$B$2:$B1000) = LOWER($B150)))"),"0")</f>
        <v>0</v>
      </c>
      <c r="X150" s="27">
        <v>9</v>
      </c>
      <c r="Y150" s="30" t="s">
        <v>659</v>
      </c>
    </row>
    <row r="151" spans="1:25" ht="12.75" x14ac:dyDescent="0.2">
      <c r="A151" s="11">
        <v>150</v>
      </c>
      <c r="B151" s="4" t="s">
        <v>183</v>
      </c>
      <c r="C151">
        <v>53.4</v>
      </c>
      <c r="D151">
        <v>56.8</v>
      </c>
      <c r="E151">
        <v>60.3</v>
      </c>
      <c r="F151" s="24"/>
      <c r="G151" s="14" t="str">
        <f ca="1">IFERROR(__xludf.DUMMYFUNCTION("FILTER('Base Stats'!$C$2:$C1000, LOWER('Base Stats'!$B$2:$B1000) = LOWER($B151))"),"106")</f>
        <v>106</v>
      </c>
      <c r="H151">
        <v>4144</v>
      </c>
      <c r="I151" t="str">
        <f ca="1">IFERROR(__xludf.DUMMYFUNCTION("FLOOR(0.7903* (FILTER('Go Base Stats'!$C$2:$C1000, 'Go Base Stats'!$A$2:$A1000 = $A151)+15))"),"179")</f>
        <v>179</v>
      </c>
      <c r="J151" s="33"/>
      <c r="K151" s="33"/>
      <c r="L151" s="33"/>
      <c r="M151" s="27" t="e">
        <f t="shared" si="0"/>
        <v>#VALUE!</v>
      </c>
      <c r="N151" s="28" t="e">
        <f t="shared" si="1"/>
        <v>#VALUE!</v>
      </c>
      <c r="P151" s="29" t="s">
        <v>527</v>
      </c>
      <c r="Q151" s="30" t="s">
        <v>527</v>
      </c>
      <c r="R151" s="34"/>
      <c r="U151" t="str">
        <f ca="1">IFERROR(__xludf.DUMMYFUNCTION("IFERROR(SUM(FILTER('Form Responses (Power-up data)'!$C$2:$C1000, LOWER('Form Responses (Power-up data)'!$B$2:$B1000) = LOWER($B151))), 0)"),"0")</f>
        <v>0</v>
      </c>
      <c r="V151" s="27">
        <v>0</v>
      </c>
      <c r="W151" t="str">
        <f ca="1">IFERROR(__xludf.DUMMYFUNCTION("COUNT(FILTER('Form Responses (Power-up data)'!$C$2:$C1000, LOWER('Form Responses (Power-up data)'!$B$2:$B1000) = LOWER($B151)))"),"0")</f>
        <v>0</v>
      </c>
      <c r="X151" s="27">
        <v>0</v>
      </c>
      <c r="Y151" s="30" t="s">
        <v>659</v>
      </c>
    </row>
    <row r="152" spans="1:25" ht="12.75" x14ac:dyDescent="0.2">
      <c r="A152" s="44">
        <v>151</v>
      </c>
      <c r="B152" s="4" t="s">
        <v>184</v>
      </c>
      <c r="C152">
        <v>41.9</v>
      </c>
      <c r="D152">
        <v>44.9</v>
      </c>
      <c r="E152">
        <v>48</v>
      </c>
      <c r="F152" s="24"/>
      <c r="G152" s="14" t="str">
        <f ca="1">IFERROR(__xludf.DUMMYFUNCTION("FILTER('Base Stats'!$C$2:$C1000, LOWER('Base Stats'!$B$2:$B1000) = LOWER($B152))"),"100")</f>
        <v>100</v>
      </c>
      <c r="H152">
        <v>3299</v>
      </c>
      <c r="I152" t="str">
        <f ca="1">IFERROR(__xludf.DUMMYFUNCTION("FLOOR(0.7903* (FILTER('Go Base Stats'!$C$2:$C1000, 'Go Base Stats'!$A$2:$A1000 = $A152)+15))"),"169")</f>
        <v>169</v>
      </c>
      <c r="J152" s="33"/>
      <c r="K152" s="33"/>
      <c r="L152" s="33"/>
      <c r="M152" s="27" t="e">
        <f t="shared" si="0"/>
        <v>#VALUE!</v>
      </c>
      <c r="N152" s="28" t="e">
        <f t="shared" si="1"/>
        <v>#VALUE!</v>
      </c>
      <c r="P152" s="29" t="s">
        <v>527</v>
      </c>
      <c r="Q152" s="30" t="s">
        <v>527</v>
      </c>
      <c r="R152" s="34"/>
      <c r="U152" t="str">
        <f ca="1">IFERROR(__xludf.DUMMYFUNCTION("IFERROR(SUM(FILTER('Form Responses (Power-up data)'!$C$2:$C1000, LOWER('Form Responses (Power-up data)'!$B$2:$B1000) = LOWER($B152))), 0)"),"0")</f>
        <v>0</v>
      </c>
      <c r="V152" s="27">
        <v>0</v>
      </c>
      <c r="W152" t="str">
        <f ca="1">IFERROR(__xludf.DUMMYFUNCTION("COUNT(FILTER('Form Responses (Power-up data)'!$C$2:$C1000, LOWER('Form Responses (Power-up data)'!$B$2:$B1000) = LOWER($B152)))"),"0")</f>
        <v>0</v>
      </c>
      <c r="X152" s="27">
        <v>0</v>
      </c>
      <c r="Y152" s="30" t="s">
        <v>659</v>
      </c>
    </row>
    <row r="153" spans="1:25" ht="12.75" x14ac:dyDescent="0.2">
      <c r="A153" s="32"/>
      <c r="B153" s="32"/>
      <c r="F153" s="24"/>
      <c r="G153" s="24"/>
      <c r="H153" s="24"/>
      <c r="I153" s="24"/>
      <c r="J153" s="33"/>
      <c r="K153" s="33"/>
      <c r="L153" s="33"/>
      <c r="M153" s="24"/>
      <c r="N153" s="28"/>
      <c r="P153" s="32"/>
      <c r="R153" s="34"/>
    </row>
    <row r="154" spans="1:25" ht="12.75" x14ac:dyDescent="0.2">
      <c r="A154" s="32"/>
      <c r="B154" s="32"/>
      <c r="F154" s="24"/>
      <c r="G154" s="24"/>
      <c r="H154" s="24"/>
      <c r="I154" s="24"/>
      <c r="J154" s="33"/>
      <c r="K154" s="33"/>
      <c r="L154" s="33"/>
      <c r="M154" s="24"/>
      <c r="N154" s="28"/>
      <c r="P154" s="32"/>
      <c r="R154" s="34"/>
    </row>
    <row r="155" spans="1:25" ht="12.75" x14ac:dyDescent="0.2">
      <c r="A155" s="32"/>
      <c r="B155" s="32"/>
      <c r="F155" s="24"/>
      <c r="G155" s="24"/>
      <c r="H155" s="24"/>
      <c r="I155" s="24"/>
      <c r="J155" s="33"/>
      <c r="K155" s="33"/>
      <c r="L155" s="33"/>
      <c r="M155" s="24"/>
      <c r="N155" s="28"/>
      <c r="P155" s="32"/>
      <c r="R155" s="34"/>
    </row>
    <row r="156" spans="1:25" ht="12.75" x14ac:dyDescent="0.2">
      <c r="A156" s="32"/>
      <c r="B156" s="32"/>
      <c r="F156" s="24"/>
      <c r="G156" s="24"/>
      <c r="H156" s="24"/>
      <c r="I156" s="24"/>
      <c r="J156" s="33"/>
      <c r="K156" s="33"/>
      <c r="L156" s="33"/>
      <c r="M156" s="24"/>
      <c r="N156" s="28"/>
      <c r="P156" s="32"/>
      <c r="R156" s="34"/>
    </row>
    <row r="157" spans="1:25" ht="12.75" x14ac:dyDescent="0.2">
      <c r="A157" s="32"/>
      <c r="B157" s="32"/>
      <c r="F157" s="24"/>
      <c r="G157" s="24"/>
      <c r="H157" s="24"/>
      <c r="I157" s="24"/>
      <c r="J157" s="33"/>
      <c r="K157" s="33"/>
      <c r="L157" s="33"/>
      <c r="M157" s="24"/>
      <c r="N157" s="28"/>
      <c r="P157" s="32"/>
      <c r="R157" s="34"/>
    </row>
    <row r="158" spans="1:25" ht="12.75" x14ac:dyDescent="0.2">
      <c r="A158" s="32"/>
      <c r="B158" s="32"/>
      <c r="F158" s="24"/>
      <c r="G158" s="24"/>
      <c r="H158" s="24"/>
      <c r="I158" s="24"/>
      <c r="J158" s="33"/>
      <c r="K158" s="33"/>
      <c r="L158" s="33"/>
      <c r="M158" s="24"/>
      <c r="N158" s="28"/>
      <c r="P158" s="32"/>
      <c r="R158" s="34"/>
    </row>
    <row r="159" spans="1:25" ht="12.75" x14ac:dyDescent="0.2">
      <c r="A159" s="32"/>
      <c r="B159" s="32"/>
      <c r="F159" s="24"/>
      <c r="G159" s="24"/>
      <c r="H159" s="24"/>
      <c r="I159" s="24"/>
      <c r="J159" s="33"/>
      <c r="K159" s="33"/>
      <c r="L159" s="33"/>
      <c r="M159" s="24"/>
      <c r="N159" s="28"/>
      <c r="P159" s="32"/>
      <c r="R159" s="34"/>
    </row>
    <row r="160" spans="1:25" ht="12.75" x14ac:dyDescent="0.2">
      <c r="A160" s="32"/>
      <c r="B160" s="32"/>
      <c r="F160" s="24"/>
      <c r="G160" s="24"/>
      <c r="H160" s="24"/>
      <c r="I160" s="24"/>
      <c r="J160" s="33"/>
      <c r="K160" s="33"/>
      <c r="L160" s="33"/>
      <c r="M160" s="24"/>
      <c r="N160" s="28"/>
      <c r="P160" s="32"/>
      <c r="R160" s="34"/>
    </row>
    <row r="161" spans="1:18" ht="12.75" x14ac:dyDescent="0.2">
      <c r="A161" s="32"/>
      <c r="B161" s="32"/>
      <c r="F161" s="24"/>
      <c r="G161" s="24"/>
      <c r="H161" s="24"/>
      <c r="I161" s="24"/>
      <c r="J161" s="33"/>
      <c r="K161" s="33"/>
      <c r="L161" s="33"/>
      <c r="M161" s="24"/>
      <c r="N161" s="28"/>
      <c r="P161" s="32"/>
      <c r="R161" s="34"/>
    </row>
    <row r="162" spans="1:18" ht="12.75" x14ac:dyDescent="0.2">
      <c r="A162" s="32"/>
      <c r="B162" s="32"/>
      <c r="F162" s="24"/>
      <c r="G162" s="24"/>
      <c r="H162" s="24"/>
      <c r="I162" s="24"/>
      <c r="J162" s="33"/>
      <c r="K162" s="33"/>
      <c r="L162" s="33"/>
      <c r="M162" s="24"/>
      <c r="N162" s="28"/>
      <c r="P162" s="32"/>
      <c r="R162" s="34"/>
    </row>
    <row r="163" spans="1:18" ht="12.75" x14ac:dyDescent="0.2">
      <c r="A163" s="32"/>
      <c r="B163" s="32"/>
      <c r="F163" s="24"/>
      <c r="G163" s="24"/>
      <c r="H163" s="24"/>
      <c r="I163" s="24"/>
      <c r="J163" s="33"/>
      <c r="K163" s="33"/>
      <c r="L163" s="33"/>
      <c r="M163" s="24"/>
      <c r="N163" s="28"/>
      <c r="P163" s="32"/>
      <c r="R163" s="34"/>
    </row>
    <row r="164" spans="1:18" ht="12.75" x14ac:dyDescent="0.2">
      <c r="A164" s="32"/>
      <c r="B164" s="32"/>
      <c r="F164" s="24"/>
      <c r="G164" s="24"/>
      <c r="H164" s="24"/>
      <c r="I164" s="24"/>
      <c r="J164" s="33"/>
      <c r="K164" s="33"/>
      <c r="L164" s="33"/>
      <c r="M164" s="24"/>
      <c r="N164" s="28"/>
      <c r="P164" s="32"/>
      <c r="R164" s="34"/>
    </row>
    <row r="165" spans="1:18" ht="12.75" x14ac:dyDescent="0.2">
      <c r="A165" s="32"/>
      <c r="B165" s="32"/>
      <c r="F165" s="24"/>
      <c r="G165" s="24"/>
      <c r="H165" s="24"/>
      <c r="I165" s="24"/>
      <c r="J165" s="33"/>
      <c r="K165" s="33"/>
      <c r="L165" s="33"/>
      <c r="M165" s="24"/>
      <c r="N165" s="28"/>
      <c r="P165" s="32"/>
      <c r="R165" s="34"/>
    </row>
    <row r="166" spans="1:18" ht="12.75" x14ac:dyDescent="0.2">
      <c r="A166" s="32"/>
      <c r="B166" s="32"/>
      <c r="F166" s="24"/>
      <c r="G166" s="24"/>
      <c r="H166" s="24"/>
      <c r="I166" s="24"/>
      <c r="J166" s="33"/>
      <c r="K166" s="33"/>
      <c r="L166" s="33"/>
      <c r="M166" s="24"/>
      <c r="N166" s="28"/>
      <c r="P166" s="32"/>
      <c r="R166" s="34"/>
    </row>
    <row r="167" spans="1:18" ht="12.75" x14ac:dyDescent="0.2">
      <c r="A167" s="32"/>
      <c r="B167" s="32"/>
      <c r="F167" s="24"/>
      <c r="G167" s="24"/>
      <c r="H167" s="24"/>
      <c r="I167" s="24"/>
      <c r="J167" s="33"/>
      <c r="K167" s="33"/>
      <c r="L167" s="33"/>
      <c r="M167" s="24"/>
      <c r="N167" s="28"/>
      <c r="P167" s="32"/>
      <c r="R167" s="34"/>
    </row>
    <row r="168" spans="1:18" ht="12.75" x14ac:dyDescent="0.2">
      <c r="A168" s="32"/>
      <c r="B168" s="32"/>
      <c r="F168" s="24"/>
      <c r="G168" s="24"/>
      <c r="H168" s="24"/>
      <c r="I168" s="24"/>
      <c r="J168" s="33"/>
      <c r="K168" s="33"/>
      <c r="L168" s="33"/>
      <c r="M168" s="24"/>
      <c r="N168" s="28"/>
      <c r="P168" s="32"/>
      <c r="R168" s="34"/>
    </row>
    <row r="169" spans="1:18" ht="12.75" x14ac:dyDescent="0.2">
      <c r="A169" s="32"/>
      <c r="B169" s="32"/>
      <c r="F169" s="24"/>
      <c r="G169" s="24"/>
      <c r="H169" s="24"/>
      <c r="I169" s="24"/>
      <c r="J169" s="33"/>
      <c r="K169" s="33"/>
      <c r="L169" s="33"/>
      <c r="M169" s="24"/>
      <c r="N169" s="28"/>
      <c r="P169" s="32"/>
      <c r="R169" s="34"/>
    </row>
    <row r="170" spans="1:18" ht="12.75" x14ac:dyDescent="0.2">
      <c r="A170" s="32"/>
      <c r="B170" s="32"/>
      <c r="F170" s="24"/>
      <c r="G170" s="24"/>
      <c r="H170" s="24"/>
      <c r="I170" s="24"/>
      <c r="J170" s="33"/>
      <c r="K170" s="33"/>
      <c r="L170" s="33"/>
      <c r="M170" s="24"/>
      <c r="N170" s="28"/>
      <c r="P170" s="32"/>
      <c r="R170" s="34"/>
    </row>
    <row r="171" spans="1:18" ht="12.75" x14ac:dyDescent="0.2">
      <c r="A171" s="32"/>
      <c r="B171" s="32"/>
      <c r="F171" s="24"/>
      <c r="G171" s="24"/>
      <c r="H171" s="24"/>
      <c r="I171" s="24"/>
      <c r="J171" s="33"/>
      <c r="K171" s="33"/>
      <c r="L171" s="33"/>
      <c r="M171" s="24"/>
      <c r="N171" s="28"/>
      <c r="P171" s="32"/>
      <c r="R171" s="34"/>
    </row>
    <row r="172" spans="1:18" ht="12.75" x14ac:dyDescent="0.2">
      <c r="A172" s="32"/>
      <c r="B172" s="32"/>
      <c r="F172" s="24"/>
      <c r="G172" s="24"/>
      <c r="H172" s="24"/>
      <c r="I172" s="24"/>
      <c r="J172" s="33"/>
      <c r="K172" s="33"/>
      <c r="L172" s="33"/>
      <c r="M172" s="24"/>
      <c r="N172" s="28"/>
      <c r="P172" s="32"/>
      <c r="R172" s="34"/>
    </row>
    <row r="173" spans="1:18" ht="12.75" x14ac:dyDescent="0.2">
      <c r="A173" s="32"/>
      <c r="B173" s="32"/>
      <c r="F173" s="24"/>
      <c r="G173" s="24"/>
      <c r="H173" s="24"/>
      <c r="I173" s="24"/>
      <c r="J173" s="33"/>
      <c r="K173" s="33"/>
      <c r="L173" s="33"/>
      <c r="M173" s="24"/>
      <c r="N173" s="28"/>
      <c r="P173" s="32"/>
      <c r="R173" s="34"/>
    </row>
    <row r="174" spans="1:18" ht="12.75" x14ac:dyDescent="0.2">
      <c r="A174" s="32"/>
      <c r="B174" s="32"/>
      <c r="F174" s="24"/>
      <c r="G174" s="24"/>
      <c r="H174" s="24"/>
      <c r="I174" s="24"/>
      <c r="J174" s="33"/>
      <c r="K174" s="33"/>
      <c r="L174" s="33"/>
      <c r="M174" s="24"/>
      <c r="N174" s="28"/>
      <c r="P174" s="32"/>
      <c r="R174" s="34"/>
    </row>
    <row r="175" spans="1:18" ht="12.75" x14ac:dyDescent="0.2">
      <c r="A175" s="32"/>
      <c r="B175" s="32"/>
      <c r="F175" s="24"/>
      <c r="G175" s="24"/>
      <c r="H175" s="24"/>
      <c r="I175" s="24"/>
      <c r="J175" s="33"/>
      <c r="K175" s="33"/>
      <c r="L175" s="33"/>
      <c r="M175" s="24"/>
      <c r="N175" s="28"/>
      <c r="P175" s="32"/>
      <c r="R175" s="34"/>
    </row>
    <row r="176" spans="1:18" ht="12.75" x14ac:dyDescent="0.2">
      <c r="A176" s="32"/>
      <c r="B176" s="32"/>
      <c r="F176" s="24"/>
      <c r="G176" s="24"/>
      <c r="H176" s="24"/>
      <c r="I176" s="24"/>
      <c r="J176" s="33"/>
      <c r="K176" s="33"/>
      <c r="L176" s="33"/>
      <c r="M176" s="24"/>
      <c r="N176" s="28"/>
      <c r="P176" s="32"/>
      <c r="R176" s="34"/>
    </row>
    <row r="177" spans="1:18" ht="12.75" x14ac:dyDescent="0.2">
      <c r="A177" s="32"/>
      <c r="B177" s="32"/>
      <c r="F177" s="24"/>
      <c r="G177" s="24"/>
      <c r="H177" s="24"/>
      <c r="I177" s="24"/>
      <c r="J177" s="33"/>
      <c r="K177" s="33"/>
      <c r="L177" s="33"/>
      <c r="M177" s="24"/>
      <c r="N177" s="28"/>
      <c r="P177" s="32"/>
      <c r="R177" s="34"/>
    </row>
    <row r="178" spans="1:18" ht="12.75" x14ac:dyDescent="0.2">
      <c r="A178" s="32"/>
      <c r="B178" s="32"/>
      <c r="F178" s="24"/>
      <c r="G178" s="24"/>
      <c r="H178" s="24"/>
      <c r="I178" s="24"/>
      <c r="J178" s="33"/>
      <c r="K178" s="33"/>
      <c r="L178" s="33"/>
      <c r="M178" s="24"/>
      <c r="N178" s="28"/>
      <c r="P178" s="32"/>
      <c r="R178" s="34"/>
    </row>
    <row r="179" spans="1:18" ht="12.75" x14ac:dyDescent="0.2">
      <c r="A179" s="32"/>
      <c r="B179" s="32"/>
      <c r="F179" s="24"/>
      <c r="G179" s="24"/>
      <c r="H179" s="24"/>
      <c r="I179" s="24"/>
      <c r="J179" s="33"/>
      <c r="K179" s="33"/>
      <c r="L179" s="33"/>
      <c r="M179" s="24"/>
      <c r="N179" s="28"/>
      <c r="P179" s="32"/>
      <c r="R179" s="34"/>
    </row>
    <row r="180" spans="1:18" ht="12.75" x14ac:dyDescent="0.2">
      <c r="A180" s="32"/>
      <c r="B180" s="32"/>
      <c r="F180" s="24"/>
      <c r="G180" s="24"/>
      <c r="H180" s="24"/>
      <c r="I180" s="24"/>
      <c r="J180" s="33"/>
      <c r="K180" s="33"/>
      <c r="L180" s="33"/>
      <c r="M180" s="24"/>
      <c r="N180" s="28"/>
      <c r="P180" s="32"/>
      <c r="R180" s="34"/>
    </row>
    <row r="181" spans="1:18" ht="12.75" x14ac:dyDescent="0.2">
      <c r="A181" s="32"/>
      <c r="B181" s="32"/>
      <c r="F181" s="24"/>
      <c r="G181" s="24"/>
      <c r="H181" s="24"/>
      <c r="I181" s="24"/>
      <c r="J181" s="33"/>
      <c r="K181" s="33"/>
      <c r="L181" s="33"/>
      <c r="M181" s="24"/>
      <c r="N181" s="28"/>
      <c r="P181" s="32"/>
      <c r="R181" s="34"/>
    </row>
    <row r="182" spans="1:18" ht="12.75" x14ac:dyDescent="0.2">
      <c r="A182" s="32"/>
      <c r="B182" s="32"/>
      <c r="F182" s="24"/>
      <c r="G182" s="24"/>
      <c r="H182" s="24"/>
      <c r="I182" s="24"/>
      <c r="J182" s="33"/>
      <c r="K182" s="33"/>
      <c r="L182" s="33"/>
      <c r="M182" s="24"/>
      <c r="N182" s="28"/>
      <c r="P182" s="32"/>
      <c r="R182" s="34"/>
    </row>
    <row r="183" spans="1:18" ht="12.75" x14ac:dyDescent="0.2">
      <c r="A183" s="32"/>
      <c r="B183" s="32"/>
      <c r="F183" s="24"/>
      <c r="G183" s="24"/>
      <c r="H183" s="24"/>
      <c r="I183" s="24"/>
      <c r="J183" s="33"/>
      <c r="K183" s="33"/>
      <c r="L183" s="33"/>
      <c r="M183" s="24"/>
      <c r="N183" s="28"/>
      <c r="P183" s="32"/>
      <c r="R183" s="34"/>
    </row>
    <row r="184" spans="1:18" ht="12.75" x14ac:dyDescent="0.2">
      <c r="A184" s="32"/>
      <c r="B184" s="32"/>
      <c r="F184" s="24"/>
      <c r="G184" s="24"/>
      <c r="H184" s="24"/>
      <c r="I184" s="24"/>
      <c r="J184" s="33"/>
      <c r="K184" s="33"/>
      <c r="L184" s="33"/>
      <c r="M184" s="24"/>
      <c r="N184" s="28"/>
      <c r="P184" s="32"/>
      <c r="R184" s="34"/>
    </row>
    <row r="185" spans="1:18" ht="12.75" x14ac:dyDescent="0.2">
      <c r="A185" s="32"/>
      <c r="B185" s="32"/>
      <c r="F185" s="24"/>
      <c r="G185" s="24"/>
      <c r="H185" s="24"/>
      <c r="I185" s="24"/>
      <c r="J185" s="33"/>
      <c r="K185" s="33"/>
      <c r="L185" s="33"/>
      <c r="M185" s="24"/>
      <c r="N185" s="28"/>
      <c r="P185" s="32"/>
      <c r="R185" s="34"/>
    </row>
    <row r="186" spans="1:18" ht="12.75" x14ac:dyDescent="0.2">
      <c r="A186" s="32"/>
      <c r="B186" s="32"/>
      <c r="F186" s="24"/>
      <c r="G186" s="24"/>
      <c r="H186" s="24"/>
      <c r="I186" s="24"/>
      <c r="J186" s="33"/>
      <c r="K186" s="33"/>
      <c r="L186" s="33"/>
      <c r="M186" s="24"/>
      <c r="N186" s="28"/>
      <c r="P186" s="32"/>
      <c r="R186" s="34"/>
    </row>
    <row r="187" spans="1:18" ht="12.75" x14ac:dyDescent="0.2">
      <c r="A187" s="32"/>
      <c r="B187" s="32"/>
      <c r="F187" s="24"/>
      <c r="G187" s="24"/>
      <c r="H187" s="24"/>
      <c r="I187" s="24"/>
      <c r="J187" s="33"/>
      <c r="K187" s="33"/>
      <c r="L187" s="33"/>
      <c r="M187" s="24"/>
      <c r="N187" s="28"/>
      <c r="P187" s="32"/>
      <c r="R187" s="34"/>
    </row>
    <row r="188" spans="1:18" ht="12.75" x14ac:dyDescent="0.2">
      <c r="A188" s="32"/>
      <c r="B188" s="32"/>
      <c r="F188" s="24"/>
      <c r="G188" s="24"/>
      <c r="H188" s="24"/>
      <c r="I188" s="24"/>
      <c r="J188" s="33"/>
      <c r="K188" s="33"/>
      <c r="L188" s="33"/>
      <c r="M188" s="24"/>
      <c r="N188" s="28"/>
      <c r="P188" s="32"/>
      <c r="R188" s="34"/>
    </row>
    <row r="189" spans="1:18" ht="12.75" x14ac:dyDescent="0.2">
      <c r="A189" s="32"/>
      <c r="B189" s="32"/>
      <c r="F189" s="24"/>
      <c r="G189" s="24"/>
      <c r="H189" s="24"/>
      <c r="I189" s="24"/>
      <c r="J189" s="33"/>
      <c r="K189" s="33"/>
      <c r="L189" s="33"/>
      <c r="M189" s="24"/>
      <c r="N189" s="28"/>
      <c r="P189" s="32"/>
      <c r="R189" s="34"/>
    </row>
    <row r="190" spans="1:18" ht="12.75" x14ac:dyDescent="0.2">
      <c r="A190" s="32"/>
      <c r="B190" s="32"/>
      <c r="F190" s="24"/>
      <c r="G190" s="24"/>
      <c r="H190" s="24"/>
      <c r="I190" s="24"/>
      <c r="J190" s="33"/>
      <c r="K190" s="33"/>
      <c r="L190" s="33"/>
      <c r="M190" s="24"/>
      <c r="N190" s="28"/>
      <c r="P190" s="32"/>
      <c r="R190" s="34"/>
    </row>
    <row r="191" spans="1:18" ht="12.75" x14ac:dyDescent="0.2">
      <c r="A191" s="32"/>
      <c r="B191" s="32"/>
      <c r="F191" s="24"/>
      <c r="G191" s="24"/>
      <c r="H191" s="24"/>
      <c r="I191" s="24"/>
      <c r="J191" s="33"/>
      <c r="K191" s="33"/>
      <c r="L191" s="33"/>
      <c r="M191" s="24"/>
      <c r="N191" s="28"/>
      <c r="P191" s="32"/>
      <c r="R191" s="34"/>
    </row>
    <row r="192" spans="1:18" ht="12.75" x14ac:dyDescent="0.2">
      <c r="A192" s="32"/>
      <c r="B192" s="32"/>
      <c r="F192" s="24"/>
      <c r="G192" s="24"/>
      <c r="H192" s="24"/>
      <c r="I192" s="24"/>
      <c r="J192" s="33"/>
      <c r="K192" s="33"/>
      <c r="L192" s="33"/>
      <c r="M192" s="24"/>
      <c r="N192" s="28"/>
      <c r="P192" s="32"/>
      <c r="R192" s="34"/>
    </row>
    <row r="193" spans="1:18" ht="12.75" x14ac:dyDescent="0.2">
      <c r="A193" s="32"/>
      <c r="B193" s="32"/>
      <c r="F193" s="24"/>
      <c r="G193" s="24"/>
      <c r="H193" s="24"/>
      <c r="I193" s="24"/>
      <c r="J193" s="33"/>
      <c r="K193" s="33"/>
      <c r="L193" s="33"/>
      <c r="M193" s="24"/>
      <c r="N193" s="28"/>
      <c r="P193" s="32"/>
      <c r="R193" s="34"/>
    </row>
    <row r="194" spans="1:18" ht="12.75" x14ac:dyDescent="0.2">
      <c r="A194" s="32"/>
      <c r="B194" s="32"/>
      <c r="F194" s="24"/>
      <c r="G194" s="24"/>
      <c r="H194" s="24"/>
      <c r="I194" s="24"/>
      <c r="J194" s="33"/>
      <c r="K194" s="33"/>
      <c r="L194" s="33"/>
      <c r="M194" s="24"/>
      <c r="N194" s="28"/>
      <c r="P194" s="32"/>
      <c r="R194" s="34"/>
    </row>
    <row r="195" spans="1:18" ht="12.75" x14ac:dyDescent="0.2">
      <c r="A195" s="32"/>
      <c r="B195" s="32"/>
      <c r="F195" s="24"/>
      <c r="G195" s="24"/>
      <c r="H195" s="24"/>
      <c r="I195" s="24"/>
      <c r="J195" s="33"/>
      <c r="K195" s="33"/>
      <c r="L195" s="33"/>
      <c r="M195" s="24"/>
      <c r="N195" s="28"/>
      <c r="P195" s="32"/>
      <c r="R195" s="34"/>
    </row>
    <row r="196" spans="1:18" ht="12.75" x14ac:dyDescent="0.2">
      <c r="A196" s="32"/>
      <c r="B196" s="32"/>
      <c r="F196" s="24"/>
      <c r="G196" s="24"/>
      <c r="H196" s="24"/>
      <c r="I196" s="24"/>
      <c r="J196" s="33"/>
      <c r="K196" s="33"/>
      <c r="L196" s="33"/>
      <c r="M196" s="24"/>
      <c r="N196" s="28"/>
      <c r="P196" s="32"/>
      <c r="R196" s="34"/>
    </row>
    <row r="197" spans="1:18" ht="12.75" x14ac:dyDescent="0.2">
      <c r="A197" s="32"/>
      <c r="B197" s="32"/>
      <c r="F197" s="24"/>
      <c r="G197" s="24"/>
      <c r="H197" s="24"/>
      <c r="I197" s="24"/>
      <c r="J197" s="33"/>
      <c r="K197" s="33"/>
      <c r="L197" s="33"/>
      <c r="M197" s="24"/>
      <c r="N197" s="28"/>
      <c r="P197" s="32"/>
      <c r="R197" s="34"/>
    </row>
    <row r="198" spans="1:18" ht="12.75" x14ac:dyDescent="0.2">
      <c r="A198" s="32"/>
      <c r="B198" s="32"/>
      <c r="F198" s="24"/>
      <c r="G198" s="24"/>
      <c r="H198" s="24"/>
      <c r="I198" s="24"/>
      <c r="J198" s="33"/>
      <c r="K198" s="33"/>
      <c r="L198" s="33"/>
      <c r="M198" s="24"/>
      <c r="N198" s="28"/>
      <c r="P198" s="32"/>
      <c r="R198" s="34"/>
    </row>
    <row r="199" spans="1:18" ht="12.75" x14ac:dyDescent="0.2">
      <c r="A199" s="32"/>
      <c r="B199" s="32"/>
      <c r="F199" s="24"/>
      <c r="G199" s="24"/>
      <c r="H199" s="24"/>
      <c r="I199" s="24"/>
      <c r="J199" s="33"/>
      <c r="K199" s="33"/>
      <c r="L199" s="33"/>
      <c r="M199" s="24"/>
      <c r="N199" s="28"/>
      <c r="P199" s="32"/>
      <c r="R199" s="34"/>
    </row>
    <row r="200" spans="1:18" ht="12.75" x14ac:dyDescent="0.2">
      <c r="A200" s="32"/>
      <c r="B200" s="32"/>
      <c r="F200" s="24"/>
      <c r="G200" s="24"/>
      <c r="H200" s="24"/>
      <c r="I200" s="24"/>
      <c r="J200" s="33"/>
      <c r="K200" s="33"/>
      <c r="L200" s="33"/>
      <c r="M200" s="24"/>
      <c r="N200" s="28"/>
      <c r="P200" s="32"/>
      <c r="R200" s="34"/>
    </row>
    <row r="201" spans="1:18" ht="12.75" x14ac:dyDescent="0.2">
      <c r="A201" s="32"/>
      <c r="B201" s="32"/>
      <c r="F201" s="24"/>
      <c r="G201" s="24"/>
      <c r="H201" s="24"/>
      <c r="I201" s="24"/>
      <c r="J201" s="33"/>
      <c r="K201" s="33"/>
      <c r="L201" s="33"/>
      <c r="M201" s="24"/>
      <c r="N201" s="28"/>
      <c r="P201" s="32"/>
      <c r="R201" s="34"/>
    </row>
    <row r="202" spans="1:18" ht="12.75" x14ac:dyDescent="0.2">
      <c r="A202" s="32"/>
      <c r="B202" s="32"/>
      <c r="F202" s="24"/>
      <c r="G202" s="24"/>
      <c r="H202" s="24"/>
      <c r="I202" s="24"/>
      <c r="J202" s="33"/>
      <c r="K202" s="33"/>
      <c r="L202" s="33"/>
      <c r="M202" s="24"/>
      <c r="N202" s="28"/>
      <c r="P202" s="32"/>
      <c r="R202" s="34"/>
    </row>
    <row r="203" spans="1:18" ht="12.75" x14ac:dyDescent="0.2">
      <c r="A203" s="32"/>
      <c r="B203" s="32"/>
      <c r="F203" s="24"/>
      <c r="G203" s="24"/>
      <c r="H203" s="24"/>
      <c r="I203" s="24"/>
      <c r="J203" s="33"/>
      <c r="K203" s="33"/>
      <c r="L203" s="33"/>
      <c r="M203" s="24"/>
      <c r="N203" s="28"/>
      <c r="P203" s="32"/>
      <c r="R203" s="34"/>
    </row>
    <row r="204" spans="1:18" ht="12.75" x14ac:dyDescent="0.2">
      <c r="A204" s="32"/>
      <c r="B204" s="32"/>
      <c r="F204" s="24"/>
      <c r="G204" s="24"/>
      <c r="H204" s="24"/>
      <c r="I204" s="24"/>
      <c r="J204" s="33"/>
      <c r="K204" s="33"/>
      <c r="L204" s="33"/>
      <c r="M204" s="24"/>
      <c r="N204" s="28"/>
      <c r="P204" s="32"/>
      <c r="R204" s="34"/>
    </row>
    <row r="205" spans="1:18" ht="12.75" x14ac:dyDescent="0.2">
      <c r="A205" s="32"/>
      <c r="B205" s="32"/>
      <c r="F205" s="24"/>
      <c r="G205" s="24"/>
      <c r="H205" s="24"/>
      <c r="I205" s="24"/>
      <c r="J205" s="33"/>
      <c r="K205" s="33"/>
      <c r="L205" s="33"/>
      <c r="M205" s="24"/>
      <c r="N205" s="28"/>
      <c r="P205" s="32"/>
      <c r="R205" s="34"/>
    </row>
    <row r="206" spans="1:18" ht="12.75" x14ac:dyDescent="0.2">
      <c r="A206" s="32"/>
      <c r="B206" s="32"/>
      <c r="F206" s="24"/>
      <c r="G206" s="24"/>
      <c r="H206" s="24"/>
      <c r="I206" s="24"/>
      <c r="J206" s="33"/>
      <c r="K206" s="33"/>
      <c r="L206" s="33"/>
      <c r="M206" s="24"/>
      <c r="N206" s="28"/>
      <c r="P206" s="32"/>
      <c r="R206" s="34"/>
    </row>
    <row r="207" spans="1:18" ht="12.75" x14ac:dyDescent="0.2">
      <c r="A207" s="32"/>
      <c r="B207" s="32"/>
      <c r="F207" s="24"/>
      <c r="G207" s="24"/>
      <c r="H207" s="24"/>
      <c r="I207" s="24"/>
      <c r="J207" s="33"/>
      <c r="K207" s="33"/>
      <c r="L207" s="33"/>
      <c r="M207" s="24"/>
      <c r="N207" s="28"/>
      <c r="P207" s="32"/>
      <c r="R207" s="34"/>
    </row>
    <row r="208" spans="1:18" ht="12.75" x14ac:dyDescent="0.2">
      <c r="A208" s="32"/>
      <c r="B208" s="32"/>
      <c r="F208" s="24"/>
      <c r="G208" s="24"/>
      <c r="H208" s="24"/>
      <c r="I208" s="24"/>
      <c r="J208" s="33"/>
      <c r="K208" s="33"/>
      <c r="L208" s="33"/>
      <c r="M208" s="24"/>
      <c r="N208" s="28"/>
      <c r="P208" s="32"/>
      <c r="R208" s="34"/>
    </row>
    <row r="209" spans="1:18" ht="12.75" x14ac:dyDescent="0.2">
      <c r="A209" s="32"/>
      <c r="B209" s="32"/>
      <c r="F209" s="24"/>
      <c r="G209" s="24"/>
      <c r="H209" s="24"/>
      <c r="I209" s="24"/>
      <c r="J209" s="33"/>
      <c r="K209" s="33"/>
      <c r="L209" s="33"/>
      <c r="M209" s="24"/>
      <c r="N209" s="28"/>
      <c r="P209" s="32"/>
      <c r="R209" s="34"/>
    </row>
    <row r="210" spans="1:18" ht="12.75" x14ac:dyDescent="0.2">
      <c r="A210" s="32"/>
      <c r="B210" s="32"/>
      <c r="F210" s="24"/>
      <c r="G210" s="24"/>
      <c r="H210" s="24"/>
      <c r="I210" s="24"/>
      <c r="J210" s="33"/>
      <c r="K210" s="33"/>
      <c r="L210" s="33"/>
      <c r="M210" s="24"/>
      <c r="N210" s="28"/>
      <c r="P210" s="32"/>
      <c r="R210" s="34"/>
    </row>
    <row r="211" spans="1:18" ht="12.75" x14ac:dyDescent="0.2">
      <c r="A211" s="32"/>
      <c r="B211" s="32"/>
      <c r="F211" s="24"/>
      <c r="G211" s="24"/>
      <c r="H211" s="24"/>
      <c r="I211" s="24"/>
      <c r="J211" s="33"/>
      <c r="K211" s="33"/>
      <c r="L211" s="33"/>
      <c r="M211" s="24"/>
      <c r="N211" s="28"/>
      <c r="P211" s="32"/>
      <c r="R211" s="34"/>
    </row>
    <row r="212" spans="1:18" ht="12.75" x14ac:dyDescent="0.2">
      <c r="A212" s="32"/>
      <c r="B212" s="32"/>
      <c r="F212" s="24"/>
      <c r="G212" s="24"/>
      <c r="H212" s="24"/>
      <c r="I212" s="24"/>
      <c r="J212" s="33"/>
      <c r="K212" s="33"/>
      <c r="L212" s="33"/>
      <c r="M212" s="24"/>
      <c r="N212" s="28"/>
      <c r="P212" s="32"/>
      <c r="R212" s="34"/>
    </row>
    <row r="213" spans="1:18" ht="12.75" x14ac:dyDescent="0.2">
      <c r="A213" s="32"/>
      <c r="B213" s="32"/>
      <c r="F213" s="24"/>
      <c r="G213" s="24"/>
      <c r="H213" s="24"/>
      <c r="I213" s="24"/>
      <c r="J213" s="33"/>
      <c r="K213" s="33"/>
      <c r="L213" s="33"/>
      <c r="M213" s="24"/>
      <c r="N213" s="28"/>
      <c r="P213" s="32"/>
      <c r="R213" s="34"/>
    </row>
    <row r="214" spans="1:18" ht="12.75" x14ac:dyDescent="0.2">
      <c r="A214" s="32"/>
      <c r="B214" s="32"/>
      <c r="F214" s="24"/>
      <c r="G214" s="24"/>
      <c r="H214" s="24"/>
      <c r="I214" s="24"/>
      <c r="J214" s="33"/>
      <c r="K214" s="33"/>
      <c r="L214" s="33"/>
      <c r="M214" s="24"/>
      <c r="N214" s="28"/>
      <c r="P214" s="32"/>
      <c r="R214" s="34"/>
    </row>
    <row r="215" spans="1:18" ht="12.75" x14ac:dyDescent="0.2">
      <c r="A215" s="32"/>
      <c r="B215" s="32"/>
      <c r="F215" s="24"/>
      <c r="G215" s="24"/>
      <c r="H215" s="24"/>
      <c r="I215" s="24"/>
      <c r="J215" s="33"/>
      <c r="K215" s="33"/>
      <c r="L215" s="33"/>
      <c r="M215" s="24"/>
      <c r="N215" s="28"/>
      <c r="P215" s="32"/>
      <c r="R215" s="34"/>
    </row>
    <row r="216" spans="1:18" ht="12.75" x14ac:dyDescent="0.2">
      <c r="A216" s="32"/>
      <c r="B216" s="32"/>
      <c r="F216" s="24"/>
      <c r="G216" s="24"/>
      <c r="H216" s="24"/>
      <c r="I216" s="24"/>
      <c r="J216" s="33"/>
      <c r="K216" s="33"/>
      <c r="L216" s="33"/>
      <c r="M216" s="24"/>
      <c r="N216" s="28"/>
      <c r="P216" s="32"/>
      <c r="R216" s="34"/>
    </row>
    <row r="217" spans="1:18" ht="12.75" x14ac:dyDescent="0.2">
      <c r="A217" s="32"/>
      <c r="B217" s="32"/>
      <c r="F217" s="24"/>
      <c r="G217" s="24"/>
      <c r="H217" s="24"/>
      <c r="I217" s="24"/>
      <c r="J217" s="33"/>
      <c r="K217" s="33"/>
      <c r="L217" s="33"/>
      <c r="M217" s="24"/>
      <c r="N217" s="28"/>
      <c r="P217" s="32"/>
      <c r="R217" s="34"/>
    </row>
    <row r="218" spans="1:18" ht="12.75" x14ac:dyDescent="0.2">
      <c r="A218" s="32"/>
      <c r="B218" s="32"/>
      <c r="F218" s="24"/>
      <c r="G218" s="24"/>
      <c r="H218" s="24"/>
      <c r="I218" s="24"/>
      <c r="J218" s="33"/>
      <c r="K218" s="33"/>
      <c r="L218" s="33"/>
      <c r="M218" s="24"/>
      <c r="N218" s="28"/>
      <c r="P218" s="32"/>
      <c r="R218" s="34"/>
    </row>
    <row r="219" spans="1:18" ht="12.75" x14ac:dyDescent="0.2">
      <c r="A219" s="32"/>
      <c r="B219" s="32"/>
      <c r="F219" s="24"/>
      <c r="G219" s="24"/>
      <c r="H219" s="24"/>
      <c r="I219" s="24"/>
      <c r="J219" s="33"/>
      <c r="K219" s="33"/>
      <c r="L219" s="33"/>
      <c r="M219" s="24"/>
      <c r="N219" s="28"/>
      <c r="P219" s="32"/>
      <c r="R219" s="34"/>
    </row>
    <row r="220" spans="1:18" ht="12.75" x14ac:dyDescent="0.2">
      <c r="A220" s="32"/>
      <c r="B220" s="32"/>
      <c r="F220" s="24"/>
      <c r="G220" s="24"/>
      <c r="H220" s="24"/>
      <c r="I220" s="24"/>
      <c r="J220" s="33"/>
      <c r="K220" s="33"/>
      <c r="L220" s="33"/>
      <c r="M220" s="24"/>
      <c r="N220" s="28"/>
      <c r="P220" s="32"/>
      <c r="R220" s="34"/>
    </row>
    <row r="221" spans="1:18" ht="12.75" x14ac:dyDescent="0.2">
      <c r="A221" s="32"/>
      <c r="B221" s="32"/>
      <c r="F221" s="24"/>
      <c r="G221" s="24"/>
      <c r="H221" s="24"/>
      <c r="I221" s="24"/>
      <c r="J221" s="33"/>
      <c r="K221" s="33"/>
      <c r="L221" s="33"/>
      <c r="M221" s="24"/>
      <c r="N221" s="28"/>
      <c r="P221" s="32"/>
      <c r="R221" s="34"/>
    </row>
    <row r="222" spans="1:18" ht="12.75" x14ac:dyDescent="0.2">
      <c r="A222" s="32"/>
      <c r="B222" s="32"/>
      <c r="F222" s="24"/>
      <c r="G222" s="24"/>
      <c r="H222" s="24"/>
      <c r="I222" s="24"/>
      <c r="J222" s="33"/>
      <c r="K222" s="33"/>
      <c r="L222" s="33"/>
      <c r="M222" s="24"/>
      <c r="N222" s="28"/>
      <c r="P222" s="32"/>
      <c r="R222" s="34"/>
    </row>
    <row r="223" spans="1:18" ht="12.75" x14ac:dyDescent="0.2">
      <c r="A223" s="32"/>
      <c r="B223" s="32"/>
      <c r="F223" s="24"/>
      <c r="G223" s="24"/>
      <c r="H223" s="24"/>
      <c r="I223" s="24"/>
      <c r="J223" s="33"/>
      <c r="K223" s="33"/>
      <c r="L223" s="33"/>
      <c r="M223" s="24"/>
      <c r="N223" s="28"/>
      <c r="P223" s="32"/>
      <c r="R223" s="34"/>
    </row>
    <row r="224" spans="1:18" ht="12.75" x14ac:dyDescent="0.2">
      <c r="A224" s="32"/>
      <c r="B224" s="32"/>
      <c r="F224" s="24"/>
      <c r="G224" s="24"/>
      <c r="H224" s="24"/>
      <c r="I224" s="24"/>
      <c r="J224" s="33"/>
      <c r="K224" s="33"/>
      <c r="L224" s="33"/>
      <c r="M224" s="24"/>
      <c r="N224" s="28"/>
      <c r="P224" s="32"/>
      <c r="R224" s="34"/>
    </row>
    <row r="225" spans="1:18" ht="12.75" x14ac:dyDescent="0.2">
      <c r="A225" s="32"/>
      <c r="B225" s="32"/>
      <c r="F225" s="24"/>
      <c r="G225" s="24"/>
      <c r="H225" s="24"/>
      <c r="I225" s="24"/>
      <c r="J225" s="33"/>
      <c r="K225" s="33"/>
      <c r="L225" s="33"/>
      <c r="M225" s="24"/>
      <c r="N225" s="28"/>
      <c r="P225" s="32"/>
      <c r="R225" s="34"/>
    </row>
    <row r="226" spans="1:18" ht="12.75" x14ac:dyDescent="0.2">
      <c r="A226" s="32"/>
      <c r="B226" s="32"/>
      <c r="F226" s="24"/>
      <c r="G226" s="24"/>
      <c r="H226" s="24"/>
      <c r="I226" s="24"/>
      <c r="J226" s="33"/>
      <c r="K226" s="33"/>
      <c r="L226" s="33"/>
      <c r="M226" s="24"/>
      <c r="N226" s="28"/>
      <c r="P226" s="32"/>
      <c r="R226" s="34"/>
    </row>
    <row r="227" spans="1:18" ht="12.75" x14ac:dyDescent="0.2">
      <c r="A227" s="32"/>
      <c r="B227" s="32"/>
      <c r="F227" s="24"/>
      <c r="G227" s="24"/>
      <c r="H227" s="24"/>
      <c r="I227" s="24"/>
      <c r="J227" s="33"/>
      <c r="K227" s="33"/>
      <c r="L227" s="33"/>
      <c r="M227" s="24"/>
      <c r="N227" s="28"/>
      <c r="P227" s="32"/>
      <c r="R227" s="34"/>
    </row>
    <row r="228" spans="1:18" ht="12.75" x14ac:dyDescent="0.2">
      <c r="A228" s="32"/>
      <c r="B228" s="32"/>
      <c r="F228" s="24"/>
      <c r="G228" s="24"/>
      <c r="H228" s="24"/>
      <c r="I228" s="24"/>
      <c r="J228" s="33"/>
      <c r="K228" s="33"/>
      <c r="L228" s="33"/>
      <c r="M228" s="24"/>
      <c r="N228" s="28"/>
      <c r="P228" s="32"/>
      <c r="R228" s="34"/>
    </row>
    <row r="229" spans="1:18" ht="12.75" x14ac:dyDescent="0.2">
      <c r="A229" s="32"/>
      <c r="B229" s="32"/>
      <c r="F229" s="24"/>
      <c r="G229" s="24"/>
      <c r="H229" s="24"/>
      <c r="I229" s="24"/>
      <c r="J229" s="33"/>
      <c r="K229" s="33"/>
      <c r="L229" s="33"/>
      <c r="M229" s="24"/>
      <c r="N229" s="28"/>
      <c r="P229" s="32"/>
      <c r="R229" s="34"/>
    </row>
    <row r="230" spans="1:18" ht="12.75" x14ac:dyDescent="0.2">
      <c r="A230" s="32"/>
      <c r="B230" s="32"/>
      <c r="F230" s="24"/>
      <c r="G230" s="24"/>
      <c r="H230" s="24"/>
      <c r="I230" s="24"/>
      <c r="J230" s="33"/>
      <c r="K230" s="33"/>
      <c r="L230" s="33"/>
      <c r="M230" s="24"/>
      <c r="N230" s="28"/>
      <c r="P230" s="32"/>
      <c r="R230" s="34"/>
    </row>
    <row r="231" spans="1:18" ht="12.75" x14ac:dyDescent="0.2">
      <c r="A231" s="32"/>
      <c r="B231" s="32"/>
      <c r="F231" s="24"/>
      <c r="G231" s="24"/>
      <c r="H231" s="24"/>
      <c r="I231" s="24"/>
      <c r="J231" s="33"/>
      <c r="K231" s="33"/>
      <c r="L231" s="33"/>
      <c r="M231" s="24"/>
      <c r="N231" s="28"/>
      <c r="P231" s="32"/>
      <c r="R231" s="34"/>
    </row>
    <row r="232" spans="1:18" ht="12.75" x14ac:dyDescent="0.2">
      <c r="A232" s="32"/>
      <c r="B232" s="32"/>
      <c r="F232" s="24"/>
      <c r="G232" s="24"/>
      <c r="H232" s="24"/>
      <c r="I232" s="24"/>
      <c r="J232" s="33"/>
      <c r="K232" s="33"/>
      <c r="L232" s="33"/>
      <c r="M232" s="24"/>
      <c r="N232" s="28"/>
      <c r="P232" s="32"/>
      <c r="R232" s="34"/>
    </row>
    <row r="233" spans="1:18" ht="12.75" x14ac:dyDescent="0.2">
      <c r="A233" s="32"/>
      <c r="B233" s="32"/>
      <c r="F233" s="24"/>
      <c r="G233" s="24"/>
      <c r="H233" s="24"/>
      <c r="I233" s="24"/>
      <c r="J233" s="33"/>
      <c r="K233" s="33"/>
      <c r="L233" s="33"/>
      <c r="M233" s="24"/>
      <c r="N233" s="28"/>
      <c r="P233" s="32"/>
      <c r="R233" s="34"/>
    </row>
    <row r="234" spans="1:18" ht="12.75" x14ac:dyDescent="0.2">
      <c r="A234" s="32"/>
      <c r="B234" s="32"/>
      <c r="F234" s="24"/>
      <c r="G234" s="24"/>
      <c r="H234" s="24"/>
      <c r="I234" s="24"/>
      <c r="J234" s="33"/>
      <c r="K234" s="33"/>
      <c r="L234" s="33"/>
      <c r="M234" s="24"/>
      <c r="N234" s="28"/>
      <c r="P234" s="32"/>
      <c r="R234" s="34"/>
    </row>
    <row r="235" spans="1:18" ht="12.75" x14ac:dyDescent="0.2">
      <c r="A235" s="32"/>
      <c r="B235" s="32"/>
      <c r="F235" s="24"/>
      <c r="G235" s="24"/>
      <c r="H235" s="24"/>
      <c r="I235" s="24"/>
      <c r="J235" s="33"/>
      <c r="K235" s="33"/>
      <c r="L235" s="33"/>
      <c r="M235" s="24"/>
      <c r="N235" s="28"/>
      <c r="P235" s="32"/>
      <c r="R235" s="34"/>
    </row>
    <row r="236" spans="1:18" ht="12.75" x14ac:dyDescent="0.2">
      <c r="A236" s="32"/>
      <c r="B236" s="32"/>
      <c r="F236" s="24"/>
      <c r="G236" s="24"/>
      <c r="H236" s="24"/>
      <c r="I236" s="24"/>
      <c r="J236" s="33"/>
      <c r="K236" s="33"/>
      <c r="L236" s="33"/>
      <c r="M236" s="24"/>
      <c r="N236" s="28"/>
      <c r="P236" s="32"/>
      <c r="R236" s="34"/>
    </row>
    <row r="237" spans="1:18" ht="12.75" x14ac:dyDescent="0.2">
      <c r="A237" s="32"/>
      <c r="B237" s="32"/>
      <c r="F237" s="24"/>
      <c r="G237" s="24"/>
      <c r="H237" s="24"/>
      <c r="I237" s="24"/>
      <c r="J237" s="33"/>
      <c r="K237" s="33"/>
      <c r="L237" s="33"/>
      <c r="M237" s="24"/>
      <c r="N237" s="28"/>
      <c r="P237" s="32"/>
      <c r="R237" s="34"/>
    </row>
    <row r="238" spans="1:18" ht="12.75" x14ac:dyDescent="0.2">
      <c r="A238" s="32"/>
      <c r="B238" s="32"/>
      <c r="F238" s="24"/>
      <c r="G238" s="24"/>
      <c r="H238" s="24"/>
      <c r="I238" s="24"/>
      <c r="J238" s="33"/>
      <c r="K238" s="33"/>
      <c r="L238" s="33"/>
      <c r="M238" s="24"/>
      <c r="N238" s="28"/>
      <c r="P238" s="32"/>
      <c r="R238" s="34"/>
    </row>
    <row r="239" spans="1:18" ht="12.75" x14ac:dyDescent="0.2">
      <c r="A239" s="32"/>
      <c r="B239" s="32"/>
      <c r="F239" s="24"/>
      <c r="G239" s="24"/>
      <c r="H239" s="24"/>
      <c r="I239" s="24"/>
      <c r="J239" s="33"/>
      <c r="K239" s="33"/>
      <c r="L239" s="33"/>
      <c r="M239" s="24"/>
      <c r="N239" s="28"/>
      <c r="P239" s="32"/>
      <c r="R239" s="34"/>
    </row>
    <row r="240" spans="1:18" ht="12.75" x14ac:dyDescent="0.2">
      <c r="A240" s="32"/>
      <c r="B240" s="32"/>
      <c r="F240" s="24"/>
      <c r="G240" s="24"/>
      <c r="H240" s="24"/>
      <c r="I240" s="24"/>
      <c r="J240" s="33"/>
      <c r="K240" s="33"/>
      <c r="L240" s="33"/>
      <c r="M240" s="24"/>
      <c r="N240" s="28"/>
      <c r="P240" s="32"/>
      <c r="R240" s="34"/>
    </row>
    <row r="241" spans="1:18" ht="12.75" x14ac:dyDescent="0.2">
      <c r="A241" s="32"/>
      <c r="B241" s="32"/>
      <c r="F241" s="24"/>
      <c r="G241" s="24"/>
      <c r="H241" s="24"/>
      <c r="I241" s="24"/>
      <c r="J241" s="33"/>
      <c r="K241" s="33"/>
      <c r="L241" s="33"/>
      <c r="M241" s="24"/>
      <c r="N241" s="28"/>
      <c r="P241" s="32"/>
      <c r="R241" s="34"/>
    </row>
    <row r="242" spans="1:18" ht="12.75" x14ac:dyDescent="0.2">
      <c r="A242" s="32"/>
      <c r="B242" s="32"/>
      <c r="F242" s="24"/>
      <c r="G242" s="24"/>
      <c r="H242" s="24"/>
      <c r="I242" s="24"/>
      <c r="J242" s="33"/>
      <c r="K242" s="33"/>
      <c r="L242" s="33"/>
      <c r="M242" s="24"/>
      <c r="N242" s="28"/>
      <c r="P242" s="32"/>
      <c r="R242" s="34"/>
    </row>
    <row r="243" spans="1:18" ht="12.75" x14ac:dyDescent="0.2">
      <c r="A243" s="32"/>
      <c r="B243" s="32"/>
      <c r="F243" s="24"/>
      <c r="G243" s="24"/>
      <c r="H243" s="24"/>
      <c r="I243" s="24"/>
      <c r="J243" s="33"/>
      <c r="K243" s="33"/>
      <c r="L243" s="33"/>
      <c r="M243" s="24"/>
      <c r="N243" s="28"/>
      <c r="P243" s="32"/>
      <c r="R243" s="34"/>
    </row>
    <row r="244" spans="1:18" ht="12.75" x14ac:dyDescent="0.2">
      <c r="A244" s="32"/>
      <c r="B244" s="32"/>
      <c r="F244" s="24"/>
      <c r="G244" s="24"/>
      <c r="H244" s="24"/>
      <c r="I244" s="24"/>
      <c r="J244" s="33"/>
      <c r="K244" s="33"/>
      <c r="L244" s="33"/>
      <c r="M244" s="24"/>
      <c r="N244" s="28"/>
      <c r="P244" s="32"/>
      <c r="R244" s="34"/>
    </row>
    <row r="245" spans="1:18" ht="12.75" x14ac:dyDescent="0.2">
      <c r="A245" s="32"/>
      <c r="B245" s="32"/>
      <c r="F245" s="24"/>
      <c r="G245" s="24"/>
      <c r="H245" s="24"/>
      <c r="I245" s="24"/>
      <c r="J245" s="33"/>
      <c r="K245" s="33"/>
      <c r="L245" s="33"/>
      <c r="M245" s="24"/>
      <c r="N245" s="28"/>
      <c r="P245" s="32"/>
      <c r="R245" s="34"/>
    </row>
    <row r="246" spans="1:18" ht="12.75" x14ac:dyDescent="0.2">
      <c r="A246" s="32"/>
      <c r="B246" s="32"/>
      <c r="F246" s="24"/>
      <c r="G246" s="24"/>
      <c r="H246" s="24"/>
      <c r="I246" s="24"/>
      <c r="J246" s="33"/>
      <c r="K246" s="33"/>
      <c r="L246" s="33"/>
      <c r="M246" s="24"/>
      <c r="N246" s="28"/>
      <c r="P246" s="32"/>
      <c r="R246" s="34"/>
    </row>
    <row r="247" spans="1:18" ht="12.75" x14ac:dyDescent="0.2">
      <c r="A247" s="32"/>
      <c r="B247" s="32"/>
      <c r="F247" s="24"/>
      <c r="G247" s="24"/>
      <c r="H247" s="24"/>
      <c r="I247" s="24"/>
      <c r="J247" s="33"/>
      <c r="K247" s="33"/>
      <c r="L247" s="33"/>
      <c r="M247" s="24"/>
      <c r="N247" s="28"/>
      <c r="P247" s="32"/>
      <c r="R247" s="34"/>
    </row>
    <row r="248" spans="1:18" ht="12.75" x14ac:dyDescent="0.2">
      <c r="A248" s="32"/>
      <c r="B248" s="32"/>
      <c r="F248" s="24"/>
      <c r="G248" s="24"/>
      <c r="H248" s="24"/>
      <c r="I248" s="24"/>
      <c r="J248" s="33"/>
      <c r="K248" s="33"/>
      <c r="L248" s="33"/>
      <c r="M248" s="24"/>
      <c r="N248" s="28"/>
      <c r="P248" s="32"/>
      <c r="R248" s="34"/>
    </row>
    <row r="249" spans="1:18" ht="12.75" x14ac:dyDescent="0.2">
      <c r="A249" s="32"/>
      <c r="B249" s="32"/>
      <c r="F249" s="24"/>
      <c r="G249" s="24"/>
      <c r="H249" s="24"/>
      <c r="I249" s="24"/>
      <c r="J249" s="33"/>
      <c r="K249" s="33"/>
      <c r="L249" s="33"/>
      <c r="M249" s="24"/>
      <c r="N249" s="28"/>
      <c r="P249" s="32"/>
      <c r="R249" s="34"/>
    </row>
    <row r="250" spans="1:18" ht="12.75" x14ac:dyDescent="0.2">
      <c r="A250" s="32"/>
      <c r="B250" s="32"/>
      <c r="F250" s="24"/>
      <c r="G250" s="24"/>
      <c r="H250" s="24"/>
      <c r="I250" s="24"/>
      <c r="J250" s="33"/>
      <c r="K250" s="33"/>
      <c r="L250" s="33"/>
      <c r="M250" s="24"/>
      <c r="N250" s="28"/>
      <c r="P250" s="32"/>
      <c r="R250" s="34"/>
    </row>
    <row r="251" spans="1:18" ht="12.75" x14ac:dyDescent="0.2">
      <c r="A251" s="32"/>
      <c r="B251" s="32"/>
      <c r="F251" s="24"/>
      <c r="G251" s="24"/>
      <c r="H251" s="24"/>
      <c r="I251" s="24"/>
      <c r="J251" s="33"/>
      <c r="K251" s="33"/>
      <c r="L251" s="33"/>
      <c r="M251" s="24"/>
      <c r="N251" s="28"/>
      <c r="P251" s="32"/>
      <c r="R251" s="34"/>
    </row>
    <row r="252" spans="1:18" ht="12.75" x14ac:dyDescent="0.2">
      <c r="A252" s="32"/>
      <c r="B252" s="32"/>
      <c r="F252" s="24"/>
      <c r="G252" s="24"/>
      <c r="H252" s="24"/>
      <c r="I252" s="24"/>
      <c r="J252" s="33"/>
      <c r="K252" s="33"/>
      <c r="L252" s="33"/>
      <c r="M252" s="24"/>
      <c r="N252" s="28"/>
      <c r="P252" s="32"/>
      <c r="R252" s="34"/>
    </row>
    <row r="253" spans="1:18" ht="12.75" x14ac:dyDescent="0.2">
      <c r="A253" s="32"/>
      <c r="B253" s="32"/>
      <c r="F253" s="24"/>
      <c r="G253" s="24"/>
      <c r="H253" s="24"/>
      <c r="I253" s="24"/>
      <c r="J253" s="33"/>
      <c r="K253" s="33"/>
      <c r="L253" s="33"/>
      <c r="M253" s="24"/>
      <c r="N253" s="28"/>
      <c r="P253" s="32"/>
      <c r="R253" s="34"/>
    </row>
    <row r="254" spans="1:18" ht="12.75" x14ac:dyDescent="0.2">
      <c r="A254" s="32"/>
      <c r="B254" s="32"/>
      <c r="F254" s="24"/>
      <c r="G254" s="24"/>
      <c r="H254" s="24"/>
      <c r="I254" s="24"/>
      <c r="J254" s="33"/>
      <c r="K254" s="33"/>
      <c r="L254" s="33"/>
      <c r="M254" s="24"/>
      <c r="N254" s="28"/>
      <c r="P254" s="32"/>
      <c r="R254" s="34"/>
    </row>
    <row r="255" spans="1:18" ht="12.75" x14ac:dyDescent="0.2">
      <c r="A255" s="32"/>
      <c r="B255" s="32"/>
      <c r="F255" s="24"/>
      <c r="G255" s="24"/>
      <c r="H255" s="24"/>
      <c r="I255" s="24"/>
      <c r="J255" s="33"/>
      <c r="K255" s="33"/>
      <c r="L255" s="33"/>
      <c r="M255" s="24"/>
      <c r="N255" s="28"/>
      <c r="P255" s="32"/>
      <c r="R255" s="34"/>
    </row>
    <row r="256" spans="1:18" ht="12.75" x14ac:dyDescent="0.2">
      <c r="A256" s="32"/>
      <c r="B256" s="32"/>
      <c r="F256" s="24"/>
      <c r="G256" s="24"/>
      <c r="H256" s="24"/>
      <c r="I256" s="24"/>
      <c r="J256" s="33"/>
      <c r="K256" s="33"/>
      <c r="L256" s="33"/>
      <c r="M256" s="24"/>
      <c r="N256" s="28"/>
      <c r="P256" s="32"/>
      <c r="R256" s="34"/>
    </row>
    <row r="257" spans="1:18" ht="12.75" x14ac:dyDescent="0.2">
      <c r="A257" s="32"/>
      <c r="B257" s="32"/>
      <c r="F257" s="24"/>
      <c r="G257" s="24"/>
      <c r="H257" s="24"/>
      <c r="I257" s="24"/>
      <c r="J257" s="33"/>
      <c r="K257" s="33"/>
      <c r="L257" s="33"/>
      <c r="M257" s="24"/>
      <c r="N257" s="28"/>
      <c r="P257" s="32"/>
      <c r="R257" s="34"/>
    </row>
    <row r="258" spans="1:18" ht="12.75" x14ac:dyDescent="0.2">
      <c r="A258" s="32"/>
      <c r="B258" s="32"/>
      <c r="F258" s="24"/>
      <c r="G258" s="24"/>
      <c r="H258" s="24"/>
      <c r="I258" s="24"/>
      <c r="J258" s="33"/>
      <c r="K258" s="33"/>
      <c r="L258" s="33"/>
      <c r="M258" s="24"/>
      <c r="N258" s="28"/>
      <c r="P258" s="32"/>
      <c r="R258" s="34"/>
    </row>
    <row r="259" spans="1:18" ht="12.75" x14ac:dyDescent="0.2">
      <c r="A259" s="32"/>
      <c r="B259" s="32"/>
      <c r="F259" s="24"/>
      <c r="G259" s="24"/>
      <c r="H259" s="24"/>
      <c r="I259" s="24"/>
      <c r="J259" s="33"/>
      <c r="K259" s="33"/>
      <c r="L259" s="33"/>
      <c r="M259" s="24"/>
      <c r="N259" s="28"/>
      <c r="P259" s="32"/>
      <c r="R259" s="34"/>
    </row>
    <row r="260" spans="1:18" ht="12.75" x14ac:dyDescent="0.2">
      <c r="A260" s="32"/>
      <c r="B260" s="32"/>
      <c r="F260" s="24"/>
      <c r="G260" s="24"/>
      <c r="H260" s="24"/>
      <c r="I260" s="24"/>
      <c r="J260" s="33"/>
      <c r="K260" s="33"/>
      <c r="L260" s="33"/>
      <c r="M260" s="24"/>
      <c r="N260" s="28"/>
      <c r="P260" s="32"/>
      <c r="R260" s="34"/>
    </row>
    <row r="261" spans="1:18" ht="12.75" x14ac:dyDescent="0.2">
      <c r="A261" s="32"/>
      <c r="B261" s="32"/>
      <c r="F261" s="24"/>
      <c r="G261" s="24"/>
      <c r="H261" s="24"/>
      <c r="I261" s="24"/>
      <c r="J261" s="33"/>
      <c r="K261" s="33"/>
      <c r="L261" s="33"/>
      <c r="M261" s="24"/>
      <c r="N261" s="28"/>
      <c r="P261" s="32"/>
      <c r="R261" s="34"/>
    </row>
    <row r="262" spans="1:18" ht="12.75" x14ac:dyDescent="0.2">
      <c r="A262" s="32"/>
      <c r="B262" s="32"/>
      <c r="F262" s="24"/>
      <c r="G262" s="24"/>
      <c r="H262" s="24"/>
      <c r="I262" s="24"/>
      <c r="J262" s="33"/>
      <c r="K262" s="33"/>
      <c r="L262" s="33"/>
      <c r="M262" s="24"/>
      <c r="N262" s="28"/>
      <c r="P262" s="32"/>
      <c r="R262" s="34"/>
    </row>
    <row r="263" spans="1:18" ht="12.75" x14ac:dyDescent="0.2">
      <c r="A263" s="32"/>
      <c r="B263" s="32"/>
      <c r="F263" s="24"/>
      <c r="G263" s="24"/>
      <c r="H263" s="24"/>
      <c r="I263" s="24"/>
      <c r="J263" s="33"/>
      <c r="K263" s="33"/>
      <c r="L263" s="33"/>
      <c r="M263" s="24"/>
      <c r="N263" s="28"/>
      <c r="P263" s="32"/>
      <c r="R263" s="34"/>
    </row>
    <row r="264" spans="1:18" ht="12.75" x14ac:dyDescent="0.2">
      <c r="A264" s="32"/>
      <c r="B264" s="32"/>
      <c r="F264" s="24"/>
      <c r="G264" s="24"/>
      <c r="H264" s="24"/>
      <c r="I264" s="24"/>
      <c r="J264" s="33"/>
      <c r="K264" s="33"/>
      <c r="L264" s="33"/>
      <c r="M264" s="24"/>
      <c r="N264" s="28"/>
      <c r="P264" s="32"/>
      <c r="R264" s="34"/>
    </row>
    <row r="265" spans="1:18" ht="12.75" x14ac:dyDescent="0.2">
      <c r="A265" s="32"/>
      <c r="B265" s="32"/>
      <c r="F265" s="24"/>
      <c r="G265" s="24"/>
      <c r="H265" s="24"/>
      <c r="I265" s="24"/>
      <c r="J265" s="33"/>
      <c r="K265" s="33"/>
      <c r="L265" s="33"/>
      <c r="M265" s="24"/>
      <c r="N265" s="28"/>
      <c r="P265" s="32"/>
      <c r="R265" s="34"/>
    </row>
    <row r="266" spans="1:18" ht="12.75" x14ac:dyDescent="0.2">
      <c r="A266" s="32"/>
      <c r="B266" s="32"/>
      <c r="F266" s="24"/>
      <c r="G266" s="24"/>
      <c r="H266" s="24"/>
      <c r="I266" s="24"/>
      <c r="J266" s="33"/>
      <c r="K266" s="33"/>
      <c r="L266" s="33"/>
      <c r="M266" s="24"/>
      <c r="N266" s="28"/>
      <c r="P266" s="32"/>
      <c r="R266" s="34"/>
    </row>
    <row r="267" spans="1:18" ht="12.75" x14ac:dyDescent="0.2">
      <c r="A267" s="32"/>
      <c r="B267" s="32"/>
      <c r="F267" s="24"/>
      <c r="G267" s="24"/>
      <c r="H267" s="24"/>
      <c r="I267" s="24"/>
      <c r="J267" s="33"/>
      <c r="K267" s="33"/>
      <c r="L267" s="33"/>
      <c r="M267" s="24"/>
      <c r="N267" s="28"/>
      <c r="P267" s="32"/>
      <c r="R267" s="34"/>
    </row>
    <row r="268" spans="1:18" ht="12.75" x14ac:dyDescent="0.2">
      <c r="A268" s="32"/>
      <c r="B268" s="32"/>
      <c r="F268" s="24"/>
      <c r="G268" s="24"/>
      <c r="H268" s="24"/>
      <c r="I268" s="24"/>
      <c r="J268" s="33"/>
      <c r="K268" s="33"/>
      <c r="L268" s="33"/>
      <c r="M268" s="24"/>
      <c r="N268" s="28"/>
      <c r="P268" s="32"/>
      <c r="R268" s="34"/>
    </row>
    <row r="269" spans="1:18" ht="12.75" x14ac:dyDescent="0.2">
      <c r="A269" s="32"/>
      <c r="B269" s="32"/>
      <c r="F269" s="24"/>
      <c r="G269" s="24"/>
      <c r="H269" s="24"/>
      <c r="I269" s="24"/>
      <c r="J269" s="33"/>
      <c r="K269" s="33"/>
      <c r="L269" s="33"/>
      <c r="M269" s="24"/>
      <c r="N269" s="28"/>
      <c r="P269" s="32"/>
      <c r="R269" s="34"/>
    </row>
    <row r="270" spans="1:18" ht="12.75" x14ac:dyDescent="0.2">
      <c r="A270" s="32"/>
      <c r="B270" s="32"/>
      <c r="F270" s="24"/>
      <c r="G270" s="24"/>
      <c r="H270" s="24"/>
      <c r="I270" s="24"/>
      <c r="J270" s="33"/>
      <c r="K270" s="33"/>
      <c r="L270" s="33"/>
      <c r="M270" s="24"/>
      <c r="N270" s="28"/>
      <c r="P270" s="32"/>
      <c r="R270" s="34"/>
    </row>
    <row r="271" spans="1:18" ht="12.75" x14ac:dyDescent="0.2">
      <c r="A271" s="32"/>
      <c r="B271" s="32"/>
      <c r="F271" s="24"/>
      <c r="G271" s="24"/>
      <c r="H271" s="24"/>
      <c r="I271" s="24"/>
      <c r="J271" s="33"/>
      <c r="K271" s="33"/>
      <c r="L271" s="33"/>
      <c r="M271" s="24"/>
      <c r="N271" s="28"/>
      <c r="P271" s="32"/>
      <c r="R271" s="34"/>
    </row>
    <row r="272" spans="1:18" ht="12.75" x14ac:dyDescent="0.2">
      <c r="A272" s="32"/>
      <c r="B272" s="32"/>
      <c r="F272" s="24"/>
      <c r="G272" s="24"/>
      <c r="H272" s="24"/>
      <c r="I272" s="24"/>
      <c r="J272" s="33"/>
      <c r="K272" s="33"/>
      <c r="L272" s="33"/>
      <c r="M272" s="24"/>
      <c r="N272" s="28"/>
      <c r="P272" s="32"/>
      <c r="R272" s="34"/>
    </row>
    <row r="273" spans="1:18" ht="12.75" x14ac:dyDescent="0.2">
      <c r="A273" s="32"/>
      <c r="B273" s="32"/>
      <c r="F273" s="24"/>
      <c r="G273" s="24"/>
      <c r="H273" s="24"/>
      <c r="I273" s="24"/>
      <c r="J273" s="33"/>
      <c r="K273" s="33"/>
      <c r="L273" s="33"/>
      <c r="M273" s="24"/>
      <c r="N273" s="28"/>
      <c r="P273" s="32"/>
      <c r="R273" s="34"/>
    </row>
    <row r="274" spans="1:18" ht="12.75" x14ac:dyDescent="0.2">
      <c r="A274" s="32"/>
      <c r="B274" s="32"/>
      <c r="F274" s="24"/>
      <c r="G274" s="24"/>
      <c r="H274" s="24"/>
      <c r="I274" s="24"/>
      <c r="J274" s="33"/>
      <c r="K274" s="33"/>
      <c r="L274" s="33"/>
      <c r="M274" s="24"/>
      <c r="N274" s="28"/>
      <c r="P274" s="32"/>
      <c r="R274" s="34"/>
    </row>
    <row r="275" spans="1:18" ht="12.75" x14ac:dyDescent="0.2">
      <c r="A275" s="32"/>
      <c r="B275" s="32"/>
      <c r="F275" s="24"/>
      <c r="G275" s="24"/>
      <c r="H275" s="24"/>
      <c r="I275" s="24"/>
      <c r="J275" s="33"/>
      <c r="K275" s="33"/>
      <c r="L275" s="33"/>
      <c r="M275" s="24"/>
      <c r="N275" s="28"/>
      <c r="P275" s="32"/>
      <c r="R275" s="34"/>
    </row>
    <row r="276" spans="1:18" ht="12.75" x14ac:dyDescent="0.2">
      <c r="A276" s="32"/>
      <c r="B276" s="32"/>
      <c r="F276" s="24"/>
      <c r="G276" s="24"/>
      <c r="H276" s="24"/>
      <c r="I276" s="24"/>
      <c r="J276" s="33"/>
      <c r="K276" s="33"/>
      <c r="L276" s="33"/>
      <c r="M276" s="24"/>
      <c r="N276" s="28"/>
      <c r="P276" s="32"/>
      <c r="R276" s="34"/>
    </row>
    <row r="277" spans="1:18" ht="12.75" x14ac:dyDescent="0.2">
      <c r="A277" s="32"/>
      <c r="B277" s="32"/>
      <c r="F277" s="24"/>
      <c r="G277" s="24"/>
      <c r="H277" s="24"/>
      <c r="I277" s="24"/>
      <c r="J277" s="33"/>
      <c r="K277" s="33"/>
      <c r="L277" s="33"/>
      <c r="M277" s="24"/>
      <c r="N277" s="28"/>
      <c r="P277" s="32"/>
      <c r="R277" s="34"/>
    </row>
    <row r="278" spans="1:18" ht="12.75" x14ac:dyDescent="0.2">
      <c r="A278" s="32"/>
      <c r="B278" s="32"/>
      <c r="F278" s="24"/>
      <c r="G278" s="24"/>
      <c r="H278" s="24"/>
      <c r="I278" s="24"/>
      <c r="J278" s="33"/>
      <c r="K278" s="33"/>
      <c r="L278" s="33"/>
      <c r="M278" s="24"/>
      <c r="N278" s="28"/>
      <c r="P278" s="32"/>
      <c r="R278" s="34"/>
    </row>
    <row r="279" spans="1:18" ht="12.75" x14ac:dyDescent="0.2">
      <c r="A279" s="32"/>
      <c r="B279" s="32"/>
      <c r="F279" s="24"/>
      <c r="G279" s="24"/>
      <c r="H279" s="24"/>
      <c r="I279" s="24"/>
      <c r="J279" s="33"/>
      <c r="K279" s="33"/>
      <c r="L279" s="33"/>
      <c r="M279" s="24"/>
      <c r="N279" s="28"/>
      <c r="P279" s="32"/>
      <c r="R279" s="34"/>
    </row>
    <row r="280" spans="1:18" ht="12.75" x14ac:dyDescent="0.2">
      <c r="A280" s="32"/>
      <c r="B280" s="32"/>
      <c r="F280" s="24"/>
      <c r="G280" s="24"/>
      <c r="H280" s="24"/>
      <c r="I280" s="24"/>
      <c r="J280" s="33"/>
      <c r="K280" s="33"/>
      <c r="L280" s="33"/>
      <c r="M280" s="24"/>
      <c r="N280" s="28"/>
      <c r="P280" s="32"/>
      <c r="R280" s="34"/>
    </row>
    <row r="281" spans="1:18" ht="12.75" x14ac:dyDescent="0.2">
      <c r="A281" s="32"/>
      <c r="B281" s="32"/>
      <c r="F281" s="24"/>
      <c r="G281" s="24"/>
      <c r="H281" s="24"/>
      <c r="I281" s="24"/>
      <c r="J281" s="33"/>
      <c r="K281" s="33"/>
      <c r="L281" s="33"/>
      <c r="M281" s="24"/>
      <c r="N281" s="28"/>
      <c r="P281" s="32"/>
      <c r="R281" s="34"/>
    </row>
    <row r="282" spans="1:18" ht="12.75" x14ac:dyDescent="0.2">
      <c r="A282" s="32"/>
      <c r="B282" s="32"/>
      <c r="F282" s="24"/>
      <c r="G282" s="24"/>
      <c r="H282" s="24"/>
      <c r="I282" s="24"/>
      <c r="J282" s="33"/>
      <c r="K282" s="33"/>
      <c r="L282" s="33"/>
      <c r="M282" s="24"/>
      <c r="N282" s="28"/>
      <c r="P282" s="32"/>
      <c r="R282" s="34"/>
    </row>
    <row r="283" spans="1:18" ht="12.75" x14ac:dyDescent="0.2">
      <c r="A283" s="32"/>
      <c r="B283" s="32"/>
      <c r="F283" s="24"/>
      <c r="G283" s="24"/>
      <c r="H283" s="24"/>
      <c r="I283" s="24"/>
      <c r="J283" s="33"/>
      <c r="K283" s="33"/>
      <c r="L283" s="33"/>
      <c r="M283" s="24"/>
      <c r="N283" s="28"/>
      <c r="P283" s="32"/>
      <c r="R283" s="34"/>
    </row>
    <row r="284" spans="1:18" ht="12.75" x14ac:dyDescent="0.2">
      <c r="A284" s="32"/>
      <c r="B284" s="32"/>
      <c r="F284" s="24"/>
      <c r="G284" s="24"/>
      <c r="H284" s="24"/>
      <c r="I284" s="24"/>
      <c r="J284" s="33"/>
      <c r="K284" s="33"/>
      <c r="L284" s="33"/>
      <c r="M284" s="24"/>
      <c r="N284" s="28"/>
      <c r="P284" s="32"/>
      <c r="R284" s="34"/>
    </row>
    <row r="285" spans="1:18" ht="12.75" x14ac:dyDescent="0.2">
      <c r="A285" s="32"/>
      <c r="B285" s="32"/>
      <c r="F285" s="24"/>
      <c r="G285" s="24"/>
      <c r="H285" s="24"/>
      <c r="I285" s="24"/>
      <c r="J285" s="33"/>
      <c r="K285" s="33"/>
      <c r="L285" s="33"/>
      <c r="M285" s="24"/>
      <c r="N285" s="28"/>
      <c r="P285" s="32"/>
      <c r="R285" s="34"/>
    </row>
    <row r="286" spans="1:18" ht="12.75" x14ac:dyDescent="0.2">
      <c r="A286" s="32"/>
      <c r="B286" s="32"/>
      <c r="F286" s="24"/>
      <c r="G286" s="24"/>
      <c r="H286" s="24"/>
      <c r="I286" s="24"/>
      <c r="J286" s="33"/>
      <c r="K286" s="33"/>
      <c r="L286" s="33"/>
      <c r="M286" s="24"/>
      <c r="N286" s="28"/>
      <c r="P286" s="32"/>
      <c r="R286" s="34"/>
    </row>
    <row r="287" spans="1:18" ht="12.75" x14ac:dyDescent="0.2">
      <c r="A287" s="32"/>
      <c r="B287" s="32"/>
      <c r="F287" s="24"/>
      <c r="G287" s="24"/>
      <c r="H287" s="24"/>
      <c r="I287" s="24"/>
      <c r="J287" s="33"/>
      <c r="K287" s="33"/>
      <c r="L287" s="33"/>
      <c r="M287" s="24"/>
      <c r="N287" s="28"/>
      <c r="P287" s="32"/>
      <c r="R287" s="34"/>
    </row>
    <row r="288" spans="1:18" ht="12.75" x14ac:dyDescent="0.2">
      <c r="A288" s="32"/>
      <c r="B288" s="32"/>
      <c r="F288" s="24"/>
      <c r="G288" s="24"/>
      <c r="H288" s="24"/>
      <c r="I288" s="24"/>
      <c r="J288" s="33"/>
      <c r="K288" s="33"/>
      <c r="L288" s="33"/>
      <c r="M288" s="24"/>
      <c r="N288" s="28"/>
      <c r="P288" s="32"/>
      <c r="R288" s="34"/>
    </row>
    <row r="289" spans="1:18" ht="12.75" x14ac:dyDescent="0.2">
      <c r="A289" s="32"/>
      <c r="B289" s="32"/>
      <c r="F289" s="24"/>
      <c r="G289" s="24"/>
      <c r="H289" s="24"/>
      <c r="I289" s="24"/>
      <c r="J289" s="33"/>
      <c r="K289" s="33"/>
      <c r="L289" s="33"/>
      <c r="M289" s="24"/>
      <c r="N289" s="28"/>
      <c r="P289" s="32"/>
      <c r="R289" s="34"/>
    </row>
    <row r="290" spans="1:18" ht="12.75" x14ac:dyDescent="0.2">
      <c r="A290" s="32"/>
      <c r="B290" s="32"/>
      <c r="F290" s="24"/>
      <c r="G290" s="24"/>
      <c r="H290" s="24"/>
      <c r="I290" s="24"/>
      <c r="J290" s="33"/>
      <c r="K290" s="33"/>
      <c r="L290" s="33"/>
      <c r="M290" s="24"/>
      <c r="N290" s="28"/>
      <c r="P290" s="32"/>
      <c r="R290" s="34"/>
    </row>
    <row r="291" spans="1:18" ht="12.75" x14ac:dyDescent="0.2">
      <c r="A291" s="32"/>
      <c r="B291" s="32"/>
      <c r="F291" s="24"/>
      <c r="G291" s="24"/>
      <c r="H291" s="24"/>
      <c r="I291" s="24"/>
      <c r="J291" s="33"/>
      <c r="K291" s="33"/>
      <c r="L291" s="33"/>
      <c r="M291" s="24"/>
      <c r="N291" s="28"/>
      <c r="P291" s="32"/>
      <c r="R291" s="34"/>
    </row>
    <row r="292" spans="1:18" ht="12.75" x14ac:dyDescent="0.2">
      <c r="A292" s="32"/>
      <c r="B292" s="32"/>
      <c r="F292" s="24"/>
      <c r="G292" s="24"/>
      <c r="H292" s="24"/>
      <c r="I292" s="24"/>
      <c r="J292" s="33"/>
      <c r="K292" s="33"/>
      <c r="L292" s="33"/>
      <c r="M292" s="24"/>
      <c r="N292" s="28"/>
      <c r="P292" s="32"/>
      <c r="R292" s="34"/>
    </row>
    <row r="293" spans="1:18" ht="12.75" x14ac:dyDescent="0.2">
      <c r="A293" s="32"/>
      <c r="B293" s="32"/>
      <c r="F293" s="24"/>
      <c r="G293" s="24"/>
      <c r="H293" s="24"/>
      <c r="I293" s="24"/>
      <c r="J293" s="33"/>
      <c r="K293" s="33"/>
      <c r="L293" s="33"/>
      <c r="M293" s="24"/>
      <c r="N293" s="28"/>
      <c r="P293" s="32"/>
      <c r="R293" s="34"/>
    </row>
    <row r="294" spans="1:18" ht="12.75" x14ac:dyDescent="0.2">
      <c r="A294" s="32"/>
      <c r="B294" s="32"/>
      <c r="F294" s="24"/>
      <c r="G294" s="24"/>
      <c r="H294" s="24"/>
      <c r="I294" s="24"/>
      <c r="J294" s="33"/>
      <c r="K294" s="33"/>
      <c r="L294" s="33"/>
      <c r="M294" s="24"/>
      <c r="N294" s="28"/>
      <c r="P294" s="32"/>
      <c r="R294" s="34"/>
    </row>
    <row r="295" spans="1:18" ht="12.75" x14ac:dyDescent="0.2">
      <c r="A295" s="32"/>
      <c r="B295" s="32"/>
      <c r="F295" s="24"/>
      <c r="G295" s="24"/>
      <c r="H295" s="24"/>
      <c r="I295" s="24"/>
      <c r="J295" s="33"/>
      <c r="K295" s="33"/>
      <c r="L295" s="33"/>
      <c r="M295" s="24"/>
      <c r="N295" s="28"/>
      <c r="P295" s="32"/>
      <c r="R295" s="34"/>
    </row>
    <row r="296" spans="1:18" ht="12.75" x14ac:dyDescent="0.2">
      <c r="A296" s="32"/>
      <c r="B296" s="32"/>
      <c r="F296" s="24"/>
      <c r="G296" s="24"/>
      <c r="H296" s="24"/>
      <c r="I296" s="24"/>
      <c r="J296" s="33"/>
      <c r="K296" s="33"/>
      <c r="L296" s="33"/>
      <c r="M296" s="24"/>
      <c r="N296" s="28"/>
      <c r="P296" s="32"/>
      <c r="R296" s="34"/>
    </row>
    <row r="297" spans="1:18" ht="12.75" x14ac:dyDescent="0.2">
      <c r="A297" s="32"/>
      <c r="B297" s="32"/>
      <c r="F297" s="24"/>
      <c r="G297" s="24"/>
      <c r="H297" s="24"/>
      <c r="I297" s="24"/>
      <c r="J297" s="33"/>
      <c r="K297" s="33"/>
      <c r="L297" s="33"/>
      <c r="M297" s="24"/>
      <c r="N297" s="28"/>
      <c r="P297" s="32"/>
      <c r="R297" s="34"/>
    </row>
    <row r="298" spans="1:18" ht="12.75" x14ac:dyDescent="0.2">
      <c r="A298" s="32"/>
      <c r="B298" s="32"/>
      <c r="F298" s="24"/>
      <c r="G298" s="24"/>
      <c r="H298" s="24"/>
      <c r="I298" s="24"/>
      <c r="J298" s="33"/>
      <c r="K298" s="33"/>
      <c r="L298" s="33"/>
      <c r="M298" s="24"/>
      <c r="N298" s="28"/>
      <c r="P298" s="32"/>
      <c r="R298" s="34"/>
    </row>
    <row r="299" spans="1:18" ht="12.75" x14ac:dyDescent="0.2">
      <c r="A299" s="32"/>
      <c r="B299" s="32"/>
      <c r="F299" s="24"/>
      <c r="G299" s="24"/>
      <c r="H299" s="24"/>
      <c r="I299" s="24"/>
      <c r="J299" s="33"/>
      <c r="K299" s="33"/>
      <c r="L299" s="33"/>
      <c r="M299" s="24"/>
      <c r="N299" s="28"/>
      <c r="P299" s="32"/>
      <c r="R299" s="34"/>
    </row>
    <row r="300" spans="1:18" ht="12.75" x14ac:dyDescent="0.2">
      <c r="A300" s="32"/>
      <c r="B300" s="32"/>
      <c r="F300" s="24"/>
      <c r="G300" s="24"/>
      <c r="H300" s="24"/>
      <c r="I300" s="24"/>
      <c r="J300" s="33"/>
      <c r="K300" s="33"/>
      <c r="L300" s="33"/>
      <c r="M300" s="24"/>
      <c r="N300" s="28"/>
      <c r="P300" s="32"/>
      <c r="R300" s="34"/>
    </row>
    <row r="301" spans="1:18" ht="12.75" x14ac:dyDescent="0.2">
      <c r="A301" s="32"/>
      <c r="B301" s="32"/>
      <c r="F301" s="24"/>
      <c r="G301" s="24"/>
      <c r="H301" s="24"/>
      <c r="I301" s="24"/>
      <c r="J301" s="33"/>
      <c r="K301" s="33"/>
      <c r="L301" s="33"/>
      <c r="M301" s="24"/>
      <c r="N301" s="28"/>
      <c r="P301" s="32"/>
      <c r="R301" s="34"/>
    </row>
    <row r="302" spans="1:18" ht="12.75" x14ac:dyDescent="0.2">
      <c r="A302" s="32"/>
      <c r="B302" s="32"/>
      <c r="F302" s="24"/>
      <c r="G302" s="24"/>
      <c r="H302" s="24"/>
      <c r="I302" s="24"/>
      <c r="J302" s="33"/>
      <c r="K302" s="33"/>
      <c r="L302" s="33"/>
      <c r="M302" s="24"/>
      <c r="N302" s="28"/>
      <c r="P302" s="32"/>
      <c r="R302" s="34"/>
    </row>
    <row r="303" spans="1:18" ht="12.75" x14ac:dyDescent="0.2">
      <c r="A303" s="32"/>
      <c r="B303" s="32"/>
      <c r="F303" s="24"/>
      <c r="G303" s="24"/>
      <c r="H303" s="24"/>
      <c r="I303" s="24"/>
      <c r="J303" s="33"/>
      <c r="K303" s="33"/>
      <c r="L303" s="33"/>
      <c r="M303" s="24"/>
      <c r="N303" s="28"/>
      <c r="P303" s="32"/>
      <c r="R303" s="34"/>
    </row>
    <row r="304" spans="1:18" ht="12.75" x14ac:dyDescent="0.2">
      <c r="A304" s="32"/>
      <c r="B304" s="32"/>
      <c r="F304" s="24"/>
      <c r="G304" s="24"/>
      <c r="H304" s="24"/>
      <c r="I304" s="24"/>
      <c r="J304" s="33"/>
      <c r="K304" s="33"/>
      <c r="L304" s="33"/>
      <c r="M304" s="24"/>
      <c r="N304" s="28"/>
      <c r="P304" s="32"/>
      <c r="R304" s="34"/>
    </row>
    <row r="305" spans="1:18" ht="12.75" x14ac:dyDescent="0.2">
      <c r="A305" s="32"/>
      <c r="B305" s="32"/>
      <c r="F305" s="24"/>
      <c r="G305" s="24"/>
      <c r="H305" s="24"/>
      <c r="I305" s="24"/>
      <c r="J305" s="33"/>
      <c r="K305" s="33"/>
      <c r="L305" s="33"/>
      <c r="M305" s="24"/>
      <c r="N305" s="28"/>
      <c r="P305" s="32"/>
      <c r="R305" s="34"/>
    </row>
    <row r="306" spans="1:18" ht="12.75" x14ac:dyDescent="0.2">
      <c r="A306" s="32"/>
      <c r="B306" s="32"/>
      <c r="F306" s="24"/>
      <c r="G306" s="24"/>
      <c r="H306" s="24"/>
      <c r="I306" s="24"/>
      <c r="J306" s="33"/>
      <c r="K306" s="33"/>
      <c r="L306" s="33"/>
      <c r="M306" s="24"/>
      <c r="N306" s="28"/>
      <c r="P306" s="32"/>
      <c r="R306" s="34"/>
    </row>
    <row r="307" spans="1:18" ht="12.75" x14ac:dyDescent="0.2">
      <c r="A307" s="32"/>
      <c r="B307" s="32"/>
      <c r="F307" s="24"/>
      <c r="G307" s="24"/>
      <c r="H307" s="24"/>
      <c r="I307" s="24"/>
      <c r="J307" s="33"/>
      <c r="K307" s="33"/>
      <c r="L307" s="33"/>
      <c r="M307" s="24"/>
      <c r="N307" s="28"/>
      <c r="P307" s="32"/>
      <c r="R307" s="34"/>
    </row>
    <row r="308" spans="1:18" ht="12.75" x14ac:dyDescent="0.2">
      <c r="A308" s="32"/>
      <c r="B308" s="32"/>
      <c r="F308" s="24"/>
      <c r="G308" s="24"/>
      <c r="H308" s="24"/>
      <c r="I308" s="24"/>
      <c r="J308" s="33"/>
      <c r="K308" s="33"/>
      <c r="L308" s="33"/>
      <c r="M308" s="24"/>
      <c r="N308" s="28"/>
      <c r="P308" s="32"/>
      <c r="R308" s="34"/>
    </row>
    <row r="309" spans="1:18" ht="12.75" x14ac:dyDescent="0.2">
      <c r="A309" s="32"/>
      <c r="B309" s="32"/>
      <c r="F309" s="24"/>
      <c r="G309" s="24"/>
      <c r="H309" s="24"/>
      <c r="I309" s="24"/>
      <c r="J309" s="33"/>
      <c r="K309" s="33"/>
      <c r="L309" s="33"/>
      <c r="M309" s="24"/>
      <c r="N309" s="28"/>
      <c r="P309" s="32"/>
      <c r="R309" s="34"/>
    </row>
    <row r="310" spans="1:18" ht="12.75" x14ac:dyDescent="0.2">
      <c r="A310" s="32"/>
      <c r="B310" s="32"/>
      <c r="F310" s="24"/>
      <c r="G310" s="24"/>
      <c r="H310" s="24"/>
      <c r="I310" s="24"/>
      <c r="J310" s="33"/>
      <c r="K310" s="33"/>
      <c r="L310" s="33"/>
      <c r="M310" s="24"/>
      <c r="N310" s="28"/>
      <c r="P310" s="32"/>
      <c r="R310" s="34"/>
    </row>
    <row r="311" spans="1:18" ht="12.75" x14ac:dyDescent="0.2">
      <c r="A311" s="32"/>
      <c r="B311" s="32"/>
      <c r="F311" s="24"/>
      <c r="G311" s="24"/>
      <c r="H311" s="24"/>
      <c r="I311" s="24"/>
      <c r="J311" s="33"/>
      <c r="K311" s="33"/>
      <c r="L311" s="33"/>
      <c r="M311" s="24"/>
      <c r="N311" s="28"/>
      <c r="P311" s="32"/>
      <c r="R311" s="34"/>
    </row>
    <row r="312" spans="1:18" ht="12.75" x14ac:dyDescent="0.2">
      <c r="A312" s="32"/>
      <c r="B312" s="32"/>
      <c r="F312" s="24"/>
      <c r="G312" s="24"/>
      <c r="H312" s="24"/>
      <c r="I312" s="24"/>
      <c r="J312" s="33"/>
      <c r="K312" s="33"/>
      <c r="L312" s="33"/>
      <c r="M312" s="24"/>
      <c r="N312" s="28"/>
      <c r="P312" s="32"/>
      <c r="R312" s="34"/>
    </row>
    <row r="313" spans="1:18" ht="12.75" x14ac:dyDescent="0.2">
      <c r="A313" s="32"/>
      <c r="B313" s="32"/>
      <c r="F313" s="24"/>
      <c r="G313" s="24"/>
      <c r="H313" s="24"/>
      <c r="I313" s="24"/>
      <c r="J313" s="33"/>
      <c r="K313" s="33"/>
      <c r="L313" s="33"/>
      <c r="M313" s="24"/>
      <c r="N313" s="28"/>
      <c r="P313" s="32"/>
      <c r="R313" s="34"/>
    </row>
    <row r="314" spans="1:18" ht="12.75" x14ac:dyDescent="0.2">
      <c r="A314" s="32"/>
      <c r="B314" s="32"/>
      <c r="F314" s="24"/>
      <c r="G314" s="24"/>
      <c r="H314" s="24"/>
      <c r="I314" s="24"/>
      <c r="J314" s="33"/>
      <c r="K314" s="33"/>
      <c r="L314" s="33"/>
      <c r="M314" s="24"/>
      <c r="N314" s="28"/>
      <c r="P314" s="32"/>
      <c r="R314" s="34"/>
    </row>
    <row r="315" spans="1:18" ht="12.75" x14ac:dyDescent="0.2">
      <c r="A315" s="32"/>
      <c r="B315" s="32"/>
      <c r="F315" s="24"/>
      <c r="G315" s="24"/>
      <c r="H315" s="24"/>
      <c r="I315" s="24"/>
      <c r="J315" s="33"/>
      <c r="K315" s="33"/>
      <c r="L315" s="33"/>
      <c r="M315" s="24"/>
      <c r="N315" s="28"/>
      <c r="P315" s="32"/>
      <c r="R315" s="34"/>
    </row>
    <row r="316" spans="1:18" ht="12.75" x14ac:dyDescent="0.2">
      <c r="A316" s="32"/>
      <c r="B316" s="32"/>
      <c r="F316" s="24"/>
      <c r="G316" s="24"/>
      <c r="H316" s="24"/>
      <c r="I316" s="24"/>
      <c r="J316" s="33"/>
      <c r="K316" s="33"/>
      <c r="L316" s="33"/>
      <c r="M316" s="24"/>
      <c r="N316" s="28"/>
      <c r="P316" s="32"/>
      <c r="R316" s="34"/>
    </row>
    <row r="317" spans="1:18" ht="12.75" x14ac:dyDescent="0.2">
      <c r="A317" s="32"/>
      <c r="B317" s="32"/>
      <c r="F317" s="24"/>
      <c r="G317" s="24"/>
      <c r="H317" s="24"/>
      <c r="I317" s="24"/>
      <c r="J317" s="33"/>
      <c r="K317" s="33"/>
      <c r="L317" s="33"/>
      <c r="M317" s="24"/>
      <c r="N317" s="28"/>
      <c r="P317" s="32"/>
      <c r="R317" s="34"/>
    </row>
    <row r="318" spans="1:18" ht="12.75" x14ac:dyDescent="0.2">
      <c r="A318" s="32"/>
      <c r="B318" s="32"/>
      <c r="F318" s="24"/>
      <c r="G318" s="24"/>
      <c r="H318" s="24"/>
      <c r="I318" s="24"/>
      <c r="J318" s="33"/>
      <c r="K318" s="33"/>
      <c r="L318" s="33"/>
      <c r="M318" s="24"/>
      <c r="N318" s="28"/>
      <c r="P318" s="32"/>
      <c r="R318" s="34"/>
    </row>
    <row r="319" spans="1:18" ht="12.75" x14ac:dyDescent="0.2">
      <c r="A319" s="32"/>
      <c r="B319" s="32"/>
      <c r="F319" s="24"/>
      <c r="G319" s="24"/>
      <c r="H319" s="24"/>
      <c r="I319" s="24"/>
      <c r="J319" s="33"/>
      <c r="K319" s="33"/>
      <c r="L319" s="33"/>
      <c r="M319" s="24"/>
      <c r="N319" s="28"/>
      <c r="P319" s="32"/>
      <c r="R319" s="34"/>
    </row>
    <row r="320" spans="1:18" ht="12.75" x14ac:dyDescent="0.2">
      <c r="A320" s="32"/>
      <c r="B320" s="32"/>
      <c r="F320" s="24"/>
      <c r="G320" s="24"/>
      <c r="H320" s="24"/>
      <c r="I320" s="24"/>
      <c r="J320" s="33"/>
      <c r="K320" s="33"/>
      <c r="L320" s="33"/>
      <c r="M320" s="24"/>
      <c r="N320" s="28"/>
      <c r="P320" s="32"/>
      <c r="R320" s="34"/>
    </row>
    <row r="321" spans="1:18" ht="12.75" x14ac:dyDescent="0.2">
      <c r="A321" s="32"/>
      <c r="B321" s="32"/>
      <c r="F321" s="24"/>
      <c r="G321" s="24"/>
      <c r="H321" s="24"/>
      <c r="I321" s="24"/>
      <c r="J321" s="33"/>
      <c r="K321" s="33"/>
      <c r="L321" s="33"/>
      <c r="M321" s="24"/>
      <c r="N321" s="28"/>
      <c r="P321" s="32"/>
      <c r="R321" s="34"/>
    </row>
    <row r="322" spans="1:18" ht="12.75" x14ac:dyDescent="0.2">
      <c r="A322" s="32"/>
      <c r="B322" s="32"/>
      <c r="F322" s="24"/>
      <c r="G322" s="24"/>
      <c r="H322" s="24"/>
      <c r="I322" s="24"/>
      <c r="J322" s="33"/>
      <c r="K322" s="33"/>
      <c r="L322" s="33"/>
      <c r="M322" s="24"/>
      <c r="N322" s="28"/>
      <c r="P322" s="32"/>
      <c r="R322" s="34"/>
    </row>
    <row r="323" spans="1:18" ht="12.75" x14ac:dyDescent="0.2">
      <c r="A323" s="32"/>
      <c r="B323" s="32"/>
      <c r="F323" s="24"/>
      <c r="G323" s="24"/>
      <c r="H323" s="24"/>
      <c r="I323" s="24"/>
      <c r="J323" s="33"/>
      <c r="K323" s="33"/>
      <c r="L323" s="33"/>
      <c r="M323" s="24"/>
      <c r="N323" s="28"/>
      <c r="P323" s="32"/>
      <c r="R323" s="34"/>
    </row>
    <row r="324" spans="1:18" ht="12.75" x14ac:dyDescent="0.2">
      <c r="A324" s="32"/>
      <c r="B324" s="32"/>
      <c r="F324" s="24"/>
      <c r="G324" s="24"/>
      <c r="H324" s="24"/>
      <c r="I324" s="24"/>
      <c r="J324" s="33"/>
      <c r="K324" s="33"/>
      <c r="L324" s="33"/>
      <c r="M324" s="24"/>
      <c r="N324" s="28"/>
      <c r="P324" s="32"/>
      <c r="R324" s="34"/>
    </row>
    <row r="325" spans="1:18" ht="12.75" x14ac:dyDescent="0.2">
      <c r="A325" s="32"/>
      <c r="B325" s="32"/>
      <c r="F325" s="24"/>
      <c r="G325" s="24"/>
      <c r="H325" s="24"/>
      <c r="I325" s="24"/>
      <c r="J325" s="33"/>
      <c r="K325" s="33"/>
      <c r="L325" s="33"/>
      <c r="M325" s="24"/>
      <c r="N325" s="28"/>
      <c r="P325" s="32"/>
      <c r="R325" s="34"/>
    </row>
    <row r="326" spans="1:18" ht="12.75" x14ac:dyDescent="0.2">
      <c r="A326" s="32"/>
      <c r="B326" s="32"/>
      <c r="F326" s="24"/>
      <c r="G326" s="24"/>
      <c r="H326" s="24"/>
      <c r="I326" s="24"/>
      <c r="J326" s="33"/>
      <c r="K326" s="33"/>
      <c r="L326" s="33"/>
      <c r="M326" s="24"/>
      <c r="N326" s="28"/>
      <c r="P326" s="32"/>
      <c r="R326" s="34"/>
    </row>
    <row r="327" spans="1:18" ht="12.75" x14ac:dyDescent="0.2">
      <c r="A327" s="32"/>
      <c r="B327" s="32"/>
      <c r="F327" s="24"/>
      <c r="G327" s="24"/>
      <c r="H327" s="24"/>
      <c r="I327" s="24"/>
      <c r="J327" s="33"/>
      <c r="K327" s="33"/>
      <c r="L327" s="33"/>
      <c r="M327" s="24"/>
      <c r="N327" s="28"/>
      <c r="P327" s="32"/>
      <c r="R327" s="34"/>
    </row>
    <row r="328" spans="1:18" ht="12.75" x14ac:dyDescent="0.2">
      <c r="A328" s="32"/>
      <c r="B328" s="32"/>
      <c r="F328" s="24"/>
      <c r="G328" s="24"/>
      <c r="H328" s="24"/>
      <c r="I328" s="24"/>
      <c r="J328" s="33"/>
      <c r="K328" s="33"/>
      <c r="L328" s="33"/>
      <c r="M328" s="24"/>
      <c r="N328" s="28"/>
      <c r="P328" s="32"/>
      <c r="R328" s="34"/>
    </row>
    <row r="329" spans="1:18" ht="12.75" x14ac:dyDescent="0.2">
      <c r="A329" s="32"/>
      <c r="B329" s="32"/>
      <c r="F329" s="24"/>
      <c r="G329" s="24"/>
      <c r="H329" s="24"/>
      <c r="I329" s="24"/>
      <c r="J329" s="33"/>
      <c r="K329" s="33"/>
      <c r="L329" s="33"/>
      <c r="M329" s="24"/>
      <c r="N329" s="28"/>
      <c r="P329" s="32"/>
      <c r="R329" s="34"/>
    </row>
    <row r="330" spans="1:18" ht="12.75" x14ac:dyDescent="0.2">
      <c r="A330" s="32"/>
      <c r="B330" s="32"/>
      <c r="F330" s="24"/>
      <c r="G330" s="24"/>
      <c r="H330" s="24"/>
      <c r="I330" s="24"/>
      <c r="J330" s="33"/>
      <c r="K330" s="33"/>
      <c r="L330" s="33"/>
      <c r="M330" s="24"/>
      <c r="N330" s="28"/>
      <c r="P330" s="32"/>
      <c r="R330" s="34"/>
    </row>
    <row r="331" spans="1:18" ht="12.75" x14ac:dyDescent="0.2">
      <c r="A331" s="32"/>
      <c r="B331" s="32"/>
      <c r="F331" s="24"/>
      <c r="G331" s="24"/>
      <c r="H331" s="24"/>
      <c r="I331" s="24"/>
      <c r="J331" s="33"/>
      <c r="K331" s="33"/>
      <c r="L331" s="33"/>
      <c r="M331" s="24"/>
      <c r="N331" s="28"/>
      <c r="P331" s="32"/>
      <c r="R331" s="34"/>
    </row>
    <row r="332" spans="1:18" ht="12.75" x14ac:dyDescent="0.2">
      <c r="A332" s="32"/>
      <c r="B332" s="32"/>
      <c r="F332" s="24"/>
      <c r="G332" s="24"/>
      <c r="H332" s="24"/>
      <c r="I332" s="24"/>
      <c r="J332" s="33"/>
      <c r="K332" s="33"/>
      <c r="L332" s="33"/>
      <c r="M332" s="24"/>
      <c r="N332" s="28"/>
      <c r="P332" s="32"/>
      <c r="R332" s="34"/>
    </row>
    <row r="333" spans="1:18" ht="12.75" x14ac:dyDescent="0.2">
      <c r="A333" s="32"/>
      <c r="B333" s="32"/>
      <c r="F333" s="24"/>
      <c r="G333" s="24"/>
      <c r="H333" s="24"/>
      <c r="I333" s="24"/>
      <c r="J333" s="33"/>
      <c r="K333" s="33"/>
      <c r="L333" s="33"/>
      <c r="M333" s="24"/>
      <c r="N333" s="28"/>
      <c r="P333" s="32"/>
      <c r="R333" s="34"/>
    </row>
    <row r="334" spans="1:18" ht="12.75" x14ac:dyDescent="0.2">
      <c r="A334" s="32"/>
      <c r="B334" s="32"/>
      <c r="F334" s="24"/>
      <c r="G334" s="24"/>
      <c r="H334" s="24"/>
      <c r="I334" s="24"/>
      <c r="J334" s="33"/>
      <c r="K334" s="33"/>
      <c r="L334" s="33"/>
      <c r="M334" s="24"/>
      <c r="N334" s="28"/>
      <c r="P334" s="32"/>
      <c r="R334" s="34"/>
    </row>
    <row r="335" spans="1:18" ht="12.75" x14ac:dyDescent="0.2">
      <c r="A335" s="32"/>
      <c r="B335" s="32"/>
      <c r="F335" s="24"/>
      <c r="G335" s="24"/>
      <c r="H335" s="24"/>
      <c r="I335" s="24"/>
      <c r="J335" s="33"/>
      <c r="K335" s="33"/>
      <c r="L335" s="33"/>
      <c r="M335" s="24"/>
      <c r="N335" s="28"/>
      <c r="P335" s="32"/>
      <c r="R335" s="34"/>
    </row>
    <row r="336" spans="1:18" ht="12.75" x14ac:dyDescent="0.2">
      <c r="A336" s="32"/>
      <c r="B336" s="32"/>
      <c r="F336" s="24"/>
      <c r="G336" s="24"/>
      <c r="H336" s="24"/>
      <c r="I336" s="24"/>
      <c r="J336" s="33"/>
      <c r="K336" s="33"/>
      <c r="L336" s="33"/>
      <c r="M336" s="24"/>
      <c r="N336" s="28"/>
      <c r="P336" s="32"/>
      <c r="R336" s="34"/>
    </row>
    <row r="337" spans="1:18" ht="12.75" x14ac:dyDescent="0.2">
      <c r="A337" s="32"/>
      <c r="B337" s="32"/>
      <c r="F337" s="24"/>
      <c r="G337" s="24"/>
      <c r="H337" s="24"/>
      <c r="I337" s="24"/>
      <c r="J337" s="33"/>
      <c r="K337" s="33"/>
      <c r="L337" s="33"/>
      <c r="M337" s="24"/>
      <c r="N337" s="28"/>
      <c r="P337" s="32"/>
      <c r="R337" s="34"/>
    </row>
    <row r="338" spans="1:18" ht="12.75" x14ac:dyDescent="0.2">
      <c r="A338" s="32"/>
      <c r="B338" s="32"/>
      <c r="F338" s="24"/>
      <c r="G338" s="24"/>
      <c r="H338" s="24"/>
      <c r="I338" s="24"/>
      <c r="J338" s="33"/>
      <c r="K338" s="33"/>
      <c r="L338" s="33"/>
      <c r="M338" s="24"/>
      <c r="N338" s="28"/>
      <c r="P338" s="32"/>
      <c r="R338" s="34"/>
    </row>
    <row r="339" spans="1:18" ht="12.75" x14ac:dyDescent="0.2">
      <c r="A339" s="32"/>
      <c r="B339" s="32"/>
      <c r="F339" s="24"/>
      <c r="G339" s="24"/>
      <c r="H339" s="24"/>
      <c r="I339" s="24"/>
      <c r="J339" s="33"/>
      <c r="K339" s="33"/>
      <c r="L339" s="33"/>
      <c r="M339" s="24"/>
      <c r="N339" s="28"/>
      <c r="P339" s="32"/>
      <c r="R339" s="34"/>
    </row>
    <row r="340" spans="1:18" ht="12.75" x14ac:dyDescent="0.2">
      <c r="A340" s="32"/>
      <c r="B340" s="32"/>
      <c r="F340" s="24"/>
      <c r="G340" s="24"/>
      <c r="H340" s="24"/>
      <c r="I340" s="24"/>
      <c r="J340" s="33"/>
      <c r="K340" s="33"/>
      <c r="L340" s="33"/>
      <c r="M340" s="24"/>
      <c r="N340" s="28"/>
      <c r="P340" s="32"/>
      <c r="R340" s="34"/>
    </row>
    <row r="341" spans="1:18" ht="12.75" x14ac:dyDescent="0.2">
      <c r="A341" s="32"/>
      <c r="B341" s="32"/>
      <c r="F341" s="24"/>
      <c r="G341" s="24"/>
      <c r="H341" s="24"/>
      <c r="I341" s="24"/>
      <c r="J341" s="33"/>
      <c r="K341" s="33"/>
      <c r="L341" s="33"/>
      <c r="M341" s="24"/>
      <c r="N341" s="28"/>
      <c r="P341" s="32"/>
      <c r="R341" s="34"/>
    </row>
    <row r="342" spans="1:18" ht="12.75" x14ac:dyDescent="0.2">
      <c r="A342" s="32"/>
      <c r="B342" s="32"/>
      <c r="F342" s="24"/>
      <c r="G342" s="24"/>
      <c r="H342" s="24"/>
      <c r="I342" s="24"/>
      <c r="J342" s="33"/>
      <c r="K342" s="33"/>
      <c r="L342" s="33"/>
      <c r="M342" s="24"/>
      <c r="N342" s="28"/>
      <c r="P342" s="32"/>
      <c r="R342" s="34"/>
    </row>
    <row r="343" spans="1:18" ht="12.75" x14ac:dyDescent="0.2">
      <c r="A343" s="32"/>
      <c r="B343" s="32"/>
      <c r="F343" s="24"/>
      <c r="G343" s="24"/>
      <c r="H343" s="24"/>
      <c r="I343" s="24"/>
      <c r="J343" s="33"/>
      <c r="K343" s="33"/>
      <c r="L343" s="33"/>
      <c r="M343" s="24"/>
      <c r="N343" s="28"/>
      <c r="P343" s="32"/>
      <c r="R343" s="34"/>
    </row>
    <row r="344" spans="1:18" ht="12.75" x14ac:dyDescent="0.2">
      <c r="A344" s="32"/>
      <c r="B344" s="32"/>
      <c r="F344" s="24"/>
      <c r="G344" s="24"/>
      <c r="H344" s="24"/>
      <c r="I344" s="24"/>
      <c r="J344" s="33"/>
      <c r="K344" s="33"/>
      <c r="L344" s="33"/>
      <c r="M344" s="24"/>
      <c r="N344" s="28"/>
      <c r="P344" s="32"/>
      <c r="R344" s="34"/>
    </row>
    <row r="345" spans="1:18" ht="12.75" x14ac:dyDescent="0.2">
      <c r="A345" s="32"/>
      <c r="B345" s="32"/>
      <c r="F345" s="24"/>
      <c r="G345" s="24"/>
      <c r="H345" s="24"/>
      <c r="I345" s="24"/>
      <c r="J345" s="33"/>
      <c r="K345" s="33"/>
      <c r="L345" s="33"/>
      <c r="M345" s="24"/>
      <c r="N345" s="28"/>
      <c r="P345" s="32"/>
      <c r="R345" s="34"/>
    </row>
    <row r="346" spans="1:18" ht="12.75" x14ac:dyDescent="0.2">
      <c r="A346" s="32"/>
      <c r="B346" s="32"/>
      <c r="F346" s="24"/>
      <c r="G346" s="24"/>
      <c r="H346" s="24"/>
      <c r="I346" s="24"/>
      <c r="J346" s="33"/>
      <c r="K346" s="33"/>
      <c r="L346" s="33"/>
      <c r="M346" s="24"/>
      <c r="N346" s="28"/>
      <c r="P346" s="32"/>
      <c r="R346" s="34"/>
    </row>
    <row r="347" spans="1:18" ht="12.75" x14ac:dyDescent="0.2">
      <c r="A347" s="32"/>
      <c r="B347" s="32"/>
      <c r="F347" s="24"/>
      <c r="G347" s="24"/>
      <c r="H347" s="24"/>
      <c r="I347" s="24"/>
      <c r="J347" s="33"/>
      <c r="K347" s="33"/>
      <c r="L347" s="33"/>
      <c r="M347" s="24"/>
      <c r="N347" s="28"/>
      <c r="P347" s="32"/>
      <c r="R347" s="34"/>
    </row>
    <row r="348" spans="1:18" ht="12.75" x14ac:dyDescent="0.2">
      <c r="A348" s="32"/>
      <c r="B348" s="32"/>
      <c r="F348" s="24"/>
      <c r="G348" s="24"/>
      <c r="H348" s="24"/>
      <c r="I348" s="24"/>
      <c r="J348" s="33"/>
      <c r="K348" s="33"/>
      <c r="L348" s="33"/>
      <c r="M348" s="24"/>
      <c r="N348" s="28"/>
      <c r="P348" s="32"/>
      <c r="R348" s="34"/>
    </row>
    <row r="349" spans="1:18" ht="12.75" x14ac:dyDescent="0.2">
      <c r="A349" s="32"/>
      <c r="B349" s="32"/>
      <c r="F349" s="24"/>
      <c r="G349" s="24"/>
      <c r="H349" s="24"/>
      <c r="I349" s="24"/>
      <c r="J349" s="33"/>
      <c r="K349" s="33"/>
      <c r="L349" s="33"/>
      <c r="M349" s="24"/>
      <c r="N349" s="28"/>
      <c r="P349" s="32"/>
      <c r="R349" s="34"/>
    </row>
    <row r="350" spans="1:18" ht="12.75" x14ac:dyDescent="0.2">
      <c r="A350" s="32"/>
      <c r="B350" s="32"/>
      <c r="F350" s="24"/>
      <c r="G350" s="24"/>
      <c r="H350" s="24"/>
      <c r="I350" s="24"/>
      <c r="J350" s="33"/>
      <c r="K350" s="33"/>
      <c r="L350" s="33"/>
      <c r="M350" s="24"/>
      <c r="N350" s="28"/>
      <c r="P350" s="32"/>
      <c r="R350" s="34"/>
    </row>
    <row r="351" spans="1:18" ht="12.75" x14ac:dyDescent="0.2">
      <c r="A351" s="32"/>
      <c r="B351" s="32"/>
      <c r="F351" s="24"/>
      <c r="G351" s="24"/>
      <c r="H351" s="24"/>
      <c r="I351" s="24"/>
      <c r="J351" s="33"/>
      <c r="K351" s="33"/>
      <c r="L351" s="33"/>
      <c r="M351" s="24"/>
      <c r="N351" s="28"/>
      <c r="P351" s="32"/>
      <c r="R351" s="34"/>
    </row>
    <row r="352" spans="1:18" ht="12.75" x14ac:dyDescent="0.2">
      <c r="A352" s="32"/>
      <c r="B352" s="32"/>
      <c r="F352" s="24"/>
      <c r="G352" s="24"/>
      <c r="H352" s="24"/>
      <c r="I352" s="24"/>
      <c r="J352" s="33"/>
      <c r="K352" s="33"/>
      <c r="L352" s="33"/>
      <c r="M352" s="24"/>
      <c r="N352" s="28"/>
      <c r="P352" s="32"/>
      <c r="R352" s="34"/>
    </row>
    <row r="353" spans="1:18" ht="12.75" x14ac:dyDescent="0.2">
      <c r="A353" s="32"/>
      <c r="B353" s="32"/>
      <c r="F353" s="24"/>
      <c r="G353" s="24"/>
      <c r="H353" s="24"/>
      <c r="I353" s="24"/>
      <c r="J353" s="33"/>
      <c r="K353" s="33"/>
      <c r="L353" s="33"/>
      <c r="M353" s="24"/>
      <c r="N353" s="28"/>
      <c r="P353" s="32"/>
      <c r="R353" s="34"/>
    </row>
    <row r="354" spans="1:18" ht="12.75" x14ac:dyDescent="0.2">
      <c r="A354" s="32"/>
      <c r="B354" s="32"/>
      <c r="F354" s="24"/>
      <c r="G354" s="24"/>
      <c r="H354" s="24"/>
      <c r="I354" s="24"/>
      <c r="J354" s="33"/>
      <c r="K354" s="33"/>
      <c r="L354" s="33"/>
      <c r="M354" s="24"/>
      <c r="N354" s="28"/>
      <c r="P354" s="32"/>
      <c r="R354" s="34"/>
    </row>
    <row r="355" spans="1:18" ht="12.75" x14ac:dyDescent="0.2">
      <c r="A355" s="32"/>
      <c r="B355" s="32"/>
      <c r="F355" s="24"/>
      <c r="G355" s="24"/>
      <c r="H355" s="24"/>
      <c r="I355" s="24"/>
      <c r="J355" s="33"/>
      <c r="K355" s="33"/>
      <c r="L355" s="33"/>
      <c r="M355" s="24"/>
      <c r="N355" s="28"/>
      <c r="P355" s="32"/>
      <c r="R355" s="34"/>
    </row>
    <row r="356" spans="1:18" ht="12.75" x14ac:dyDescent="0.2">
      <c r="A356" s="32"/>
      <c r="B356" s="32"/>
      <c r="F356" s="24"/>
      <c r="G356" s="24"/>
      <c r="H356" s="24"/>
      <c r="I356" s="24"/>
      <c r="J356" s="33"/>
      <c r="K356" s="33"/>
      <c r="L356" s="33"/>
      <c r="M356" s="24"/>
      <c r="N356" s="28"/>
      <c r="P356" s="32"/>
      <c r="R356" s="34"/>
    </row>
    <row r="357" spans="1:18" ht="12.75" x14ac:dyDescent="0.2">
      <c r="A357" s="32"/>
      <c r="B357" s="32"/>
      <c r="F357" s="24"/>
      <c r="G357" s="24"/>
      <c r="H357" s="24"/>
      <c r="I357" s="24"/>
      <c r="J357" s="33"/>
      <c r="K357" s="33"/>
      <c r="L357" s="33"/>
      <c r="M357" s="24"/>
      <c r="N357" s="28"/>
      <c r="P357" s="32"/>
      <c r="R357" s="34"/>
    </row>
    <row r="358" spans="1:18" ht="12.75" x14ac:dyDescent="0.2">
      <c r="A358" s="32"/>
      <c r="B358" s="32"/>
      <c r="F358" s="24"/>
      <c r="G358" s="24"/>
      <c r="H358" s="24"/>
      <c r="I358" s="24"/>
      <c r="J358" s="33"/>
      <c r="K358" s="33"/>
      <c r="L358" s="33"/>
      <c r="M358" s="24"/>
      <c r="N358" s="28"/>
      <c r="P358" s="32"/>
      <c r="R358" s="34"/>
    </row>
    <row r="359" spans="1:18" ht="12.75" x14ac:dyDescent="0.2">
      <c r="A359" s="32"/>
      <c r="B359" s="32"/>
      <c r="F359" s="24"/>
      <c r="G359" s="24"/>
      <c r="H359" s="24"/>
      <c r="I359" s="24"/>
      <c r="J359" s="33"/>
      <c r="K359" s="33"/>
      <c r="L359" s="33"/>
      <c r="M359" s="24"/>
      <c r="N359" s="28"/>
      <c r="P359" s="32"/>
      <c r="R359" s="34"/>
    </row>
    <row r="360" spans="1:18" ht="12.75" x14ac:dyDescent="0.2">
      <c r="A360" s="32"/>
      <c r="B360" s="32"/>
      <c r="F360" s="24"/>
      <c r="G360" s="24"/>
      <c r="H360" s="24"/>
      <c r="I360" s="24"/>
      <c r="J360" s="33"/>
      <c r="K360" s="33"/>
      <c r="L360" s="33"/>
      <c r="M360" s="24"/>
      <c r="N360" s="28"/>
      <c r="P360" s="32"/>
      <c r="R360" s="34"/>
    </row>
    <row r="361" spans="1:18" ht="12.75" x14ac:dyDescent="0.2">
      <c r="A361" s="32"/>
      <c r="B361" s="32"/>
      <c r="F361" s="24"/>
      <c r="G361" s="24"/>
      <c r="H361" s="24"/>
      <c r="I361" s="24"/>
      <c r="J361" s="33"/>
      <c r="K361" s="33"/>
      <c r="L361" s="33"/>
      <c r="M361" s="24"/>
      <c r="N361" s="28"/>
      <c r="P361" s="32"/>
      <c r="R361" s="34"/>
    </row>
    <row r="362" spans="1:18" ht="12.75" x14ac:dyDescent="0.2">
      <c r="A362" s="32"/>
      <c r="B362" s="32"/>
      <c r="F362" s="24"/>
      <c r="G362" s="24"/>
      <c r="H362" s="24"/>
      <c r="I362" s="24"/>
      <c r="J362" s="33"/>
      <c r="K362" s="33"/>
      <c r="L362" s="33"/>
      <c r="M362" s="24"/>
      <c r="N362" s="28"/>
      <c r="P362" s="32"/>
      <c r="R362" s="34"/>
    </row>
    <row r="363" spans="1:18" ht="12.75" x14ac:dyDescent="0.2">
      <c r="A363" s="32"/>
      <c r="B363" s="32"/>
      <c r="F363" s="24"/>
      <c r="G363" s="24"/>
      <c r="H363" s="24"/>
      <c r="I363" s="24"/>
      <c r="J363" s="33"/>
      <c r="K363" s="33"/>
      <c r="L363" s="33"/>
      <c r="M363" s="24"/>
      <c r="N363" s="28"/>
      <c r="P363" s="32"/>
      <c r="R363" s="34"/>
    </row>
    <row r="364" spans="1:18" ht="12.75" x14ac:dyDescent="0.2">
      <c r="A364" s="32"/>
      <c r="B364" s="32"/>
      <c r="F364" s="24"/>
      <c r="G364" s="24"/>
      <c r="H364" s="24"/>
      <c r="I364" s="24"/>
      <c r="J364" s="33"/>
      <c r="K364" s="33"/>
      <c r="L364" s="33"/>
      <c r="M364" s="24"/>
      <c r="N364" s="28"/>
      <c r="P364" s="32"/>
      <c r="R364" s="34"/>
    </row>
    <row r="365" spans="1:18" ht="12.75" x14ac:dyDescent="0.2">
      <c r="A365" s="32"/>
      <c r="B365" s="32"/>
      <c r="F365" s="24"/>
      <c r="G365" s="24"/>
      <c r="H365" s="24"/>
      <c r="I365" s="24"/>
      <c r="J365" s="33"/>
      <c r="K365" s="33"/>
      <c r="L365" s="33"/>
      <c r="M365" s="24"/>
      <c r="N365" s="28"/>
      <c r="P365" s="32"/>
      <c r="R365" s="34"/>
    </row>
    <row r="366" spans="1:18" ht="12.75" x14ac:dyDescent="0.2">
      <c r="A366" s="32"/>
      <c r="B366" s="32"/>
      <c r="F366" s="24"/>
      <c r="G366" s="24"/>
      <c r="H366" s="24"/>
      <c r="I366" s="24"/>
      <c r="J366" s="33"/>
      <c r="K366" s="33"/>
      <c r="L366" s="33"/>
      <c r="M366" s="24"/>
      <c r="N366" s="28"/>
      <c r="P366" s="32"/>
      <c r="R366" s="34"/>
    </row>
    <row r="367" spans="1:18" ht="12.75" x14ac:dyDescent="0.2">
      <c r="A367" s="32"/>
      <c r="B367" s="32"/>
      <c r="F367" s="24"/>
      <c r="G367" s="24"/>
      <c r="H367" s="24"/>
      <c r="I367" s="24"/>
      <c r="J367" s="33"/>
      <c r="K367" s="33"/>
      <c r="L367" s="33"/>
      <c r="M367" s="24"/>
      <c r="N367" s="28"/>
      <c r="P367" s="32"/>
      <c r="R367" s="34"/>
    </row>
    <row r="368" spans="1:18" ht="12.75" x14ac:dyDescent="0.2">
      <c r="A368" s="32"/>
      <c r="B368" s="32"/>
      <c r="F368" s="24"/>
      <c r="G368" s="24"/>
      <c r="H368" s="24"/>
      <c r="I368" s="24"/>
      <c r="J368" s="33"/>
      <c r="K368" s="33"/>
      <c r="L368" s="33"/>
      <c r="M368" s="24"/>
      <c r="N368" s="28"/>
      <c r="P368" s="32"/>
      <c r="R368" s="34"/>
    </row>
    <row r="369" spans="1:18" ht="12.75" x14ac:dyDescent="0.2">
      <c r="A369" s="32"/>
      <c r="B369" s="32"/>
      <c r="F369" s="24"/>
      <c r="G369" s="24"/>
      <c r="H369" s="24"/>
      <c r="I369" s="24"/>
      <c r="J369" s="33"/>
      <c r="K369" s="33"/>
      <c r="L369" s="33"/>
      <c r="M369" s="24"/>
      <c r="N369" s="28"/>
      <c r="P369" s="32"/>
      <c r="R369" s="34"/>
    </row>
    <row r="370" spans="1:18" ht="12.75" x14ac:dyDescent="0.2">
      <c r="A370" s="32"/>
      <c r="B370" s="32"/>
      <c r="F370" s="24"/>
      <c r="G370" s="24"/>
      <c r="H370" s="24"/>
      <c r="I370" s="24"/>
      <c r="J370" s="33"/>
      <c r="K370" s="33"/>
      <c r="L370" s="33"/>
      <c r="M370" s="24"/>
      <c r="N370" s="28"/>
      <c r="P370" s="32"/>
      <c r="R370" s="34"/>
    </row>
    <row r="371" spans="1:18" ht="12.75" x14ac:dyDescent="0.2">
      <c r="A371" s="32"/>
      <c r="B371" s="32"/>
      <c r="F371" s="24"/>
      <c r="G371" s="24"/>
      <c r="H371" s="24"/>
      <c r="I371" s="24"/>
      <c r="J371" s="33"/>
      <c r="K371" s="33"/>
      <c r="L371" s="33"/>
      <c r="M371" s="24"/>
      <c r="N371" s="28"/>
      <c r="P371" s="32"/>
      <c r="R371" s="34"/>
    </row>
    <row r="372" spans="1:18" ht="12.75" x14ac:dyDescent="0.2">
      <c r="A372" s="32"/>
      <c r="B372" s="32"/>
      <c r="F372" s="24"/>
      <c r="G372" s="24"/>
      <c r="H372" s="24"/>
      <c r="I372" s="24"/>
      <c r="J372" s="33"/>
      <c r="K372" s="33"/>
      <c r="L372" s="33"/>
      <c r="M372" s="24"/>
      <c r="N372" s="28"/>
      <c r="P372" s="32"/>
      <c r="R372" s="34"/>
    </row>
    <row r="373" spans="1:18" ht="12.75" x14ac:dyDescent="0.2">
      <c r="A373" s="32"/>
      <c r="B373" s="32"/>
      <c r="F373" s="24"/>
      <c r="G373" s="24"/>
      <c r="H373" s="24"/>
      <c r="I373" s="24"/>
      <c r="J373" s="33"/>
      <c r="K373" s="33"/>
      <c r="L373" s="33"/>
      <c r="M373" s="24"/>
      <c r="N373" s="28"/>
      <c r="P373" s="32"/>
      <c r="R373" s="34"/>
    </row>
    <row r="374" spans="1:18" ht="12.75" x14ac:dyDescent="0.2">
      <c r="A374" s="32"/>
      <c r="B374" s="32"/>
      <c r="F374" s="24"/>
      <c r="G374" s="24"/>
      <c r="H374" s="24"/>
      <c r="I374" s="24"/>
      <c r="J374" s="33"/>
      <c r="K374" s="33"/>
      <c r="L374" s="33"/>
      <c r="M374" s="24"/>
      <c r="N374" s="28"/>
      <c r="P374" s="32"/>
      <c r="R374" s="34"/>
    </row>
    <row r="375" spans="1:18" ht="12.75" x14ac:dyDescent="0.2">
      <c r="A375" s="32"/>
      <c r="B375" s="32"/>
      <c r="F375" s="24"/>
      <c r="G375" s="24"/>
      <c r="H375" s="24"/>
      <c r="I375" s="24"/>
      <c r="J375" s="33"/>
      <c r="K375" s="33"/>
      <c r="L375" s="33"/>
      <c r="M375" s="24"/>
      <c r="N375" s="28"/>
      <c r="P375" s="32"/>
      <c r="R375" s="34"/>
    </row>
    <row r="376" spans="1:18" ht="12.75" x14ac:dyDescent="0.2">
      <c r="A376" s="32"/>
      <c r="B376" s="32"/>
      <c r="F376" s="24"/>
      <c r="G376" s="24"/>
      <c r="H376" s="24"/>
      <c r="I376" s="24"/>
      <c r="J376" s="33"/>
      <c r="K376" s="33"/>
      <c r="L376" s="33"/>
      <c r="M376" s="24"/>
      <c r="N376" s="28"/>
      <c r="P376" s="32"/>
      <c r="R376" s="34"/>
    </row>
    <row r="377" spans="1:18" ht="12.75" x14ac:dyDescent="0.2">
      <c r="A377" s="32"/>
      <c r="B377" s="32"/>
      <c r="F377" s="24"/>
      <c r="G377" s="24"/>
      <c r="H377" s="24"/>
      <c r="I377" s="24"/>
      <c r="J377" s="33"/>
      <c r="K377" s="33"/>
      <c r="L377" s="33"/>
      <c r="M377" s="24"/>
      <c r="N377" s="28"/>
      <c r="P377" s="32"/>
      <c r="R377" s="34"/>
    </row>
    <row r="378" spans="1:18" ht="12.75" x14ac:dyDescent="0.2">
      <c r="A378" s="32"/>
      <c r="B378" s="32"/>
      <c r="F378" s="24"/>
      <c r="G378" s="24"/>
      <c r="H378" s="24"/>
      <c r="I378" s="24"/>
      <c r="J378" s="33"/>
      <c r="K378" s="33"/>
      <c r="L378" s="33"/>
      <c r="M378" s="24"/>
      <c r="N378" s="28"/>
      <c r="P378" s="32"/>
      <c r="R378" s="34"/>
    </row>
    <row r="379" spans="1:18" ht="12.75" x14ac:dyDescent="0.2">
      <c r="A379" s="32"/>
      <c r="B379" s="32"/>
      <c r="F379" s="24"/>
      <c r="G379" s="24"/>
      <c r="H379" s="24"/>
      <c r="I379" s="24"/>
      <c r="J379" s="33"/>
      <c r="K379" s="33"/>
      <c r="L379" s="33"/>
      <c r="M379" s="24"/>
      <c r="N379" s="28"/>
      <c r="P379" s="32"/>
      <c r="R379" s="34"/>
    </row>
    <row r="380" spans="1:18" ht="12.75" x14ac:dyDescent="0.2">
      <c r="A380" s="32"/>
      <c r="B380" s="32"/>
      <c r="F380" s="24"/>
      <c r="G380" s="24"/>
      <c r="H380" s="24"/>
      <c r="I380" s="24"/>
      <c r="J380" s="33"/>
      <c r="K380" s="33"/>
      <c r="L380" s="33"/>
      <c r="M380" s="24"/>
      <c r="N380" s="28"/>
      <c r="P380" s="32"/>
      <c r="R380" s="34"/>
    </row>
    <row r="381" spans="1:18" ht="12.75" x14ac:dyDescent="0.2">
      <c r="A381" s="32"/>
      <c r="B381" s="32"/>
      <c r="F381" s="24"/>
      <c r="G381" s="24"/>
      <c r="H381" s="24"/>
      <c r="I381" s="24"/>
      <c r="J381" s="33"/>
      <c r="K381" s="33"/>
      <c r="L381" s="33"/>
      <c r="M381" s="24"/>
      <c r="N381" s="28"/>
      <c r="P381" s="32"/>
      <c r="R381" s="34"/>
    </row>
    <row r="382" spans="1:18" ht="12.75" x14ac:dyDescent="0.2">
      <c r="A382" s="32"/>
      <c r="B382" s="32"/>
      <c r="F382" s="24"/>
      <c r="G382" s="24"/>
      <c r="H382" s="24"/>
      <c r="I382" s="24"/>
      <c r="J382" s="33"/>
      <c r="K382" s="33"/>
      <c r="L382" s="33"/>
      <c r="M382" s="24"/>
      <c r="N382" s="28"/>
      <c r="P382" s="32"/>
      <c r="R382" s="34"/>
    </row>
    <row r="383" spans="1:18" ht="12.75" x14ac:dyDescent="0.2">
      <c r="A383" s="32"/>
      <c r="B383" s="32"/>
      <c r="F383" s="24"/>
      <c r="G383" s="24"/>
      <c r="H383" s="24"/>
      <c r="I383" s="24"/>
      <c r="J383" s="33"/>
      <c r="K383" s="33"/>
      <c r="L383" s="33"/>
      <c r="M383" s="24"/>
      <c r="N383" s="28"/>
      <c r="P383" s="32"/>
      <c r="R383" s="34"/>
    </row>
    <row r="384" spans="1:18" ht="12.75" x14ac:dyDescent="0.2">
      <c r="A384" s="32"/>
      <c r="B384" s="32"/>
      <c r="F384" s="24"/>
      <c r="G384" s="24"/>
      <c r="H384" s="24"/>
      <c r="I384" s="24"/>
      <c r="J384" s="33"/>
      <c r="K384" s="33"/>
      <c r="L384" s="33"/>
      <c r="M384" s="24"/>
      <c r="N384" s="28"/>
      <c r="P384" s="32"/>
      <c r="R384" s="34"/>
    </row>
    <row r="385" spans="1:18" ht="12.75" x14ac:dyDescent="0.2">
      <c r="A385" s="32"/>
      <c r="B385" s="32"/>
      <c r="F385" s="24"/>
      <c r="G385" s="24"/>
      <c r="H385" s="24"/>
      <c r="I385" s="24"/>
      <c r="J385" s="33"/>
      <c r="K385" s="33"/>
      <c r="L385" s="33"/>
      <c r="M385" s="24"/>
      <c r="N385" s="28"/>
      <c r="P385" s="32"/>
      <c r="R385" s="34"/>
    </row>
    <row r="386" spans="1:18" ht="12.75" x14ac:dyDescent="0.2">
      <c r="A386" s="32"/>
      <c r="B386" s="32"/>
      <c r="F386" s="24"/>
      <c r="G386" s="24"/>
      <c r="H386" s="24"/>
      <c r="I386" s="24"/>
      <c r="J386" s="33"/>
      <c r="K386" s="33"/>
      <c r="L386" s="33"/>
      <c r="M386" s="24"/>
      <c r="N386" s="28"/>
      <c r="P386" s="32"/>
      <c r="R386" s="34"/>
    </row>
    <row r="387" spans="1:18" ht="12.75" x14ac:dyDescent="0.2">
      <c r="A387" s="32"/>
      <c r="B387" s="32"/>
      <c r="F387" s="24"/>
      <c r="G387" s="24"/>
      <c r="H387" s="24"/>
      <c r="I387" s="24"/>
      <c r="J387" s="33"/>
      <c r="K387" s="33"/>
      <c r="L387" s="33"/>
      <c r="M387" s="24"/>
      <c r="N387" s="28"/>
      <c r="P387" s="32"/>
      <c r="R387" s="34"/>
    </row>
    <row r="388" spans="1:18" ht="12.75" x14ac:dyDescent="0.2">
      <c r="A388" s="32"/>
      <c r="B388" s="32"/>
      <c r="F388" s="24"/>
      <c r="G388" s="24"/>
      <c r="H388" s="24"/>
      <c r="I388" s="24"/>
      <c r="J388" s="33"/>
      <c r="K388" s="33"/>
      <c r="L388" s="33"/>
      <c r="M388" s="24"/>
      <c r="N388" s="28"/>
      <c r="P388" s="32"/>
      <c r="R388" s="34"/>
    </row>
    <row r="389" spans="1:18" ht="12.75" x14ac:dyDescent="0.2">
      <c r="A389" s="32"/>
      <c r="B389" s="32"/>
      <c r="F389" s="24"/>
      <c r="G389" s="24"/>
      <c r="H389" s="24"/>
      <c r="I389" s="24"/>
      <c r="J389" s="33"/>
      <c r="K389" s="33"/>
      <c r="L389" s="33"/>
      <c r="M389" s="24"/>
      <c r="N389" s="28"/>
      <c r="P389" s="32"/>
      <c r="R389" s="34"/>
    </row>
    <row r="390" spans="1:18" ht="12.75" x14ac:dyDescent="0.2">
      <c r="A390" s="32"/>
      <c r="B390" s="32"/>
      <c r="F390" s="24"/>
      <c r="G390" s="24"/>
      <c r="H390" s="24"/>
      <c r="I390" s="24"/>
      <c r="J390" s="33"/>
      <c r="K390" s="33"/>
      <c r="L390" s="33"/>
      <c r="M390" s="24"/>
      <c r="N390" s="28"/>
      <c r="P390" s="32"/>
      <c r="R390" s="34"/>
    </row>
    <row r="391" spans="1:18" ht="12.75" x14ac:dyDescent="0.2">
      <c r="A391" s="32"/>
      <c r="B391" s="32"/>
      <c r="F391" s="24"/>
      <c r="G391" s="24"/>
      <c r="H391" s="24"/>
      <c r="I391" s="24"/>
      <c r="J391" s="33"/>
      <c r="K391" s="33"/>
      <c r="L391" s="33"/>
      <c r="M391" s="24"/>
      <c r="N391" s="28"/>
      <c r="P391" s="32"/>
      <c r="R391" s="34"/>
    </row>
    <row r="392" spans="1:18" ht="12.75" x14ac:dyDescent="0.2">
      <c r="A392" s="32"/>
      <c r="B392" s="32"/>
      <c r="F392" s="24"/>
      <c r="G392" s="24"/>
      <c r="H392" s="24"/>
      <c r="I392" s="24"/>
      <c r="J392" s="33"/>
      <c r="K392" s="33"/>
      <c r="L392" s="33"/>
      <c r="M392" s="24"/>
      <c r="N392" s="28"/>
      <c r="P392" s="32"/>
      <c r="R392" s="34"/>
    </row>
    <row r="393" spans="1:18" ht="12.75" x14ac:dyDescent="0.2">
      <c r="A393" s="32"/>
      <c r="B393" s="32"/>
      <c r="F393" s="24"/>
      <c r="G393" s="24"/>
      <c r="H393" s="24"/>
      <c r="I393" s="24"/>
      <c r="J393" s="33"/>
      <c r="K393" s="33"/>
      <c r="L393" s="33"/>
      <c r="M393" s="24"/>
      <c r="N393" s="28"/>
      <c r="P393" s="32"/>
      <c r="R393" s="34"/>
    </row>
    <row r="394" spans="1:18" ht="12.75" x14ac:dyDescent="0.2">
      <c r="A394" s="32"/>
      <c r="B394" s="32"/>
      <c r="F394" s="24"/>
      <c r="G394" s="24"/>
      <c r="H394" s="24"/>
      <c r="I394" s="24"/>
      <c r="J394" s="33"/>
      <c r="K394" s="33"/>
      <c r="L394" s="33"/>
      <c r="M394" s="24"/>
      <c r="N394" s="28"/>
      <c r="P394" s="32"/>
      <c r="R394" s="34"/>
    </row>
    <row r="395" spans="1:18" ht="12.75" x14ac:dyDescent="0.2">
      <c r="A395" s="32"/>
      <c r="B395" s="32"/>
      <c r="F395" s="24"/>
      <c r="G395" s="24"/>
      <c r="H395" s="24"/>
      <c r="I395" s="24"/>
      <c r="J395" s="33"/>
      <c r="K395" s="33"/>
      <c r="L395" s="33"/>
      <c r="M395" s="24"/>
      <c r="N395" s="28"/>
      <c r="P395" s="32"/>
      <c r="R395" s="34"/>
    </row>
    <row r="396" spans="1:18" ht="12.75" x14ac:dyDescent="0.2">
      <c r="A396" s="32"/>
      <c r="B396" s="32"/>
      <c r="F396" s="24"/>
      <c r="G396" s="24"/>
      <c r="H396" s="24"/>
      <c r="I396" s="24"/>
      <c r="J396" s="33"/>
      <c r="K396" s="33"/>
      <c r="L396" s="33"/>
      <c r="M396" s="24"/>
      <c r="N396" s="28"/>
      <c r="P396" s="32"/>
      <c r="R396" s="34"/>
    </row>
    <row r="397" spans="1:18" ht="12.75" x14ac:dyDescent="0.2">
      <c r="A397" s="32"/>
      <c r="B397" s="32"/>
      <c r="F397" s="24"/>
      <c r="G397" s="24"/>
      <c r="H397" s="24"/>
      <c r="I397" s="24"/>
      <c r="J397" s="33"/>
      <c r="K397" s="33"/>
      <c r="L397" s="33"/>
      <c r="M397" s="24"/>
      <c r="N397" s="28"/>
      <c r="P397" s="32"/>
      <c r="R397" s="34"/>
    </row>
    <row r="398" spans="1:18" ht="12.75" x14ac:dyDescent="0.2">
      <c r="A398" s="32"/>
      <c r="B398" s="32"/>
      <c r="F398" s="24"/>
      <c r="G398" s="24"/>
      <c r="H398" s="24"/>
      <c r="I398" s="24"/>
      <c r="J398" s="33"/>
      <c r="K398" s="33"/>
      <c r="L398" s="33"/>
      <c r="M398" s="24"/>
      <c r="N398" s="28"/>
      <c r="P398" s="32"/>
      <c r="R398" s="34"/>
    </row>
    <row r="399" spans="1:18" ht="12.75" x14ac:dyDescent="0.2">
      <c r="A399" s="32"/>
      <c r="B399" s="32"/>
      <c r="F399" s="24"/>
      <c r="G399" s="24"/>
      <c r="H399" s="24"/>
      <c r="I399" s="24"/>
      <c r="J399" s="33"/>
      <c r="K399" s="33"/>
      <c r="L399" s="33"/>
      <c r="M399" s="24"/>
      <c r="N399" s="28"/>
      <c r="P399" s="32"/>
      <c r="R399" s="34"/>
    </row>
    <row r="400" spans="1:18" ht="12.75" x14ac:dyDescent="0.2">
      <c r="A400" s="32"/>
      <c r="B400" s="32"/>
      <c r="F400" s="24"/>
      <c r="G400" s="24"/>
      <c r="H400" s="24"/>
      <c r="I400" s="24"/>
      <c r="J400" s="33"/>
      <c r="K400" s="33"/>
      <c r="L400" s="33"/>
      <c r="M400" s="24"/>
      <c r="N400" s="28"/>
      <c r="P400" s="32"/>
      <c r="R400" s="34"/>
    </row>
    <row r="401" spans="1:18" ht="12.75" x14ac:dyDescent="0.2">
      <c r="A401" s="32"/>
      <c r="B401" s="32"/>
      <c r="F401" s="24"/>
      <c r="G401" s="24"/>
      <c r="H401" s="24"/>
      <c r="I401" s="24"/>
      <c r="J401" s="33"/>
      <c r="K401" s="33"/>
      <c r="L401" s="33"/>
      <c r="M401" s="24"/>
      <c r="N401" s="28"/>
      <c r="P401" s="32"/>
      <c r="R401" s="34"/>
    </row>
    <row r="402" spans="1:18" ht="12.75" x14ac:dyDescent="0.2">
      <c r="A402" s="32"/>
      <c r="B402" s="32"/>
      <c r="F402" s="24"/>
      <c r="G402" s="24"/>
      <c r="H402" s="24"/>
      <c r="I402" s="24"/>
      <c r="J402" s="33"/>
      <c r="K402" s="33"/>
      <c r="L402" s="33"/>
      <c r="M402" s="24"/>
      <c r="N402" s="28"/>
      <c r="P402" s="32"/>
      <c r="R402" s="34"/>
    </row>
    <row r="403" spans="1:18" ht="12.75" x14ac:dyDescent="0.2">
      <c r="A403" s="32"/>
      <c r="B403" s="32"/>
      <c r="F403" s="24"/>
      <c r="G403" s="24"/>
      <c r="H403" s="24"/>
      <c r="I403" s="24"/>
      <c r="J403" s="33"/>
      <c r="K403" s="33"/>
      <c r="L403" s="33"/>
      <c r="M403" s="24"/>
      <c r="N403" s="28"/>
      <c r="P403" s="32"/>
      <c r="R403" s="34"/>
    </row>
    <row r="404" spans="1:18" ht="12.75" x14ac:dyDescent="0.2">
      <c r="A404" s="32"/>
      <c r="B404" s="32"/>
      <c r="F404" s="24"/>
      <c r="G404" s="24"/>
      <c r="H404" s="24"/>
      <c r="I404" s="24"/>
      <c r="J404" s="33"/>
      <c r="K404" s="33"/>
      <c r="L404" s="33"/>
      <c r="M404" s="24"/>
      <c r="N404" s="28"/>
      <c r="P404" s="32"/>
      <c r="R404" s="34"/>
    </row>
    <row r="405" spans="1:18" ht="12.75" x14ac:dyDescent="0.2">
      <c r="A405" s="32"/>
      <c r="B405" s="32"/>
      <c r="F405" s="24"/>
      <c r="G405" s="24"/>
      <c r="H405" s="24"/>
      <c r="I405" s="24"/>
      <c r="J405" s="33"/>
      <c r="K405" s="33"/>
      <c r="L405" s="33"/>
      <c r="M405" s="24"/>
      <c r="N405" s="28"/>
      <c r="P405" s="32"/>
      <c r="R405" s="34"/>
    </row>
    <row r="406" spans="1:18" ht="12.75" x14ac:dyDescent="0.2">
      <c r="A406" s="32"/>
      <c r="B406" s="32"/>
      <c r="F406" s="24"/>
      <c r="G406" s="24"/>
      <c r="H406" s="24"/>
      <c r="I406" s="24"/>
      <c r="J406" s="33"/>
      <c r="K406" s="33"/>
      <c r="L406" s="33"/>
      <c r="M406" s="24"/>
      <c r="N406" s="28"/>
      <c r="P406" s="32"/>
      <c r="R406" s="34"/>
    </row>
    <row r="407" spans="1:18" ht="12.75" x14ac:dyDescent="0.2">
      <c r="A407" s="32"/>
      <c r="B407" s="32"/>
      <c r="F407" s="24"/>
      <c r="G407" s="24"/>
      <c r="H407" s="24"/>
      <c r="I407" s="24"/>
      <c r="J407" s="33"/>
      <c r="K407" s="33"/>
      <c r="L407" s="33"/>
      <c r="M407" s="24"/>
      <c r="N407" s="28"/>
      <c r="P407" s="32"/>
      <c r="R407" s="34"/>
    </row>
    <row r="408" spans="1:18" ht="12.75" x14ac:dyDescent="0.2">
      <c r="A408" s="32"/>
      <c r="B408" s="32"/>
      <c r="F408" s="24"/>
      <c r="G408" s="24"/>
      <c r="H408" s="24"/>
      <c r="I408" s="24"/>
      <c r="J408" s="33"/>
      <c r="K408" s="33"/>
      <c r="L408" s="33"/>
      <c r="M408" s="24"/>
      <c r="N408" s="28"/>
      <c r="P408" s="32"/>
      <c r="R408" s="34"/>
    </row>
    <row r="409" spans="1:18" ht="12.75" x14ac:dyDescent="0.2">
      <c r="A409" s="32"/>
      <c r="B409" s="32"/>
      <c r="F409" s="24"/>
      <c r="G409" s="24"/>
      <c r="H409" s="24"/>
      <c r="I409" s="24"/>
      <c r="J409" s="33"/>
      <c r="K409" s="33"/>
      <c r="L409" s="33"/>
      <c r="M409" s="24"/>
      <c r="N409" s="28"/>
      <c r="P409" s="32"/>
      <c r="R409" s="34"/>
    </row>
    <row r="410" spans="1:18" ht="12.75" x14ac:dyDescent="0.2">
      <c r="A410" s="32"/>
      <c r="B410" s="32"/>
      <c r="F410" s="24"/>
      <c r="G410" s="24"/>
      <c r="H410" s="24"/>
      <c r="I410" s="24"/>
      <c r="J410" s="33"/>
      <c r="K410" s="33"/>
      <c r="L410" s="33"/>
      <c r="M410" s="24"/>
      <c r="N410" s="28"/>
      <c r="P410" s="32"/>
      <c r="R410" s="34"/>
    </row>
    <row r="411" spans="1:18" ht="12.75" x14ac:dyDescent="0.2">
      <c r="A411" s="32"/>
      <c r="B411" s="32"/>
      <c r="F411" s="24"/>
      <c r="G411" s="24"/>
      <c r="H411" s="24"/>
      <c r="I411" s="24"/>
      <c r="J411" s="33"/>
      <c r="K411" s="33"/>
      <c r="L411" s="33"/>
      <c r="M411" s="24"/>
      <c r="N411" s="28"/>
      <c r="P411" s="32"/>
      <c r="R411" s="34"/>
    </row>
    <row r="412" spans="1:18" ht="12.75" x14ac:dyDescent="0.2">
      <c r="A412" s="32"/>
      <c r="B412" s="32"/>
      <c r="F412" s="24"/>
      <c r="G412" s="24"/>
      <c r="H412" s="24"/>
      <c r="I412" s="24"/>
      <c r="J412" s="33"/>
      <c r="K412" s="33"/>
      <c r="L412" s="33"/>
      <c r="M412" s="24"/>
      <c r="N412" s="28"/>
      <c r="P412" s="32"/>
      <c r="R412" s="34"/>
    </row>
    <row r="413" spans="1:18" ht="12.75" x14ac:dyDescent="0.2">
      <c r="A413" s="32"/>
      <c r="B413" s="32"/>
      <c r="F413" s="24"/>
      <c r="G413" s="24"/>
      <c r="H413" s="24"/>
      <c r="I413" s="24"/>
      <c r="J413" s="33"/>
      <c r="K413" s="33"/>
      <c r="L413" s="33"/>
      <c r="M413" s="24"/>
      <c r="N413" s="28"/>
      <c r="P413" s="32"/>
      <c r="R413" s="34"/>
    </row>
    <row r="414" spans="1:18" ht="12.75" x14ac:dyDescent="0.2">
      <c r="A414" s="32"/>
      <c r="B414" s="32"/>
      <c r="F414" s="24"/>
      <c r="G414" s="24"/>
      <c r="H414" s="24"/>
      <c r="I414" s="24"/>
      <c r="J414" s="33"/>
      <c r="K414" s="33"/>
      <c r="L414" s="33"/>
      <c r="M414" s="24"/>
      <c r="N414" s="28"/>
      <c r="P414" s="32"/>
      <c r="R414" s="34"/>
    </row>
    <row r="415" spans="1:18" ht="12.75" x14ac:dyDescent="0.2">
      <c r="A415" s="32"/>
      <c r="B415" s="32"/>
      <c r="F415" s="24"/>
      <c r="G415" s="24"/>
      <c r="H415" s="24"/>
      <c r="I415" s="24"/>
      <c r="J415" s="33"/>
      <c r="K415" s="33"/>
      <c r="L415" s="33"/>
      <c r="M415" s="24"/>
      <c r="N415" s="28"/>
      <c r="P415" s="32"/>
      <c r="R415" s="34"/>
    </row>
    <row r="416" spans="1:18" ht="12.75" x14ac:dyDescent="0.2">
      <c r="A416" s="32"/>
      <c r="B416" s="32"/>
      <c r="F416" s="24"/>
      <c r="G416" s="24"/>
      <c r="H416" s="24"/>
      <c r="I416" s="24"/>
      <c r="J416" s="33"/>
      <c r="K416" s="33"/>
      <c r="L416" s="33"/>
      <c r="M416" s="24"/>
      <c r="N416" s="28"/>
      <c r="P416" s="32"/>
      <c r="R416" s="34"/>
    </row>
    <row r="417" spans="1:18" ht="12.75" x14ac:dyDescent="0.2">
      <c r="A417" s="32"/>
      <c r="B417" s="32"/>
      <c r="F417" s="24"/>
      <c r="G417" s="24"/>
      <c r="H417" s="24"/>
      <c r="I417" s="24"/>
      <c r="J417" s="33"/>
      <c r="K417" s="33"/>
      <c r="L417" s="33"/>
      <c r="M417" s="24"/>
      <c r="N417" s="28"/>
      <c r="P417" s="32"/>
      <c r="R417" s="34"/>
    </row>
    <row r="418" spans="1:18" ht="12.75" x14ac:dyDescent="0.2">
      <c r="A418" s="32"/>
      <c r="B418" s="32"/>
      <c r="F418" s="24"/>
      <c r="G418" s="24"/>
      <c r="H418" s="24"/>
      <c r="I418" s="24"/>
      <c r="J418" s="33"/>
      <c r="K418" s="33"/>
      <c r="L418" s="33"/>
      <c r="M418" s="24"/>
      <c r="N418" s="28"/>
      <c r="P418" s="32"/>
      <c r="R418" s="34"/>
    </row>
    <row r="419" spans="1:18" ht="12.75" x14ac:dyDescent="0.2">
      <c r="A419" s="32"/>
      <c r="B419" s="32"/>
      <c r="F419" s="24"/>
      <c r="G419" s="24"/>
      <c r="H419" s="24"/>
      <c r="I419" s="24"/>
      <c r="J419" s="33"/>
      <c r="K419" s="33"/>
      <c r="L419" s="33"/>
      <c r="M419" s="24"/>
      <c r="N419" s="28"/>
      <c r="P419" s="32"/>
      <c r="R419" s="34"/>
    </row>
    <row r="420" spans="1:18" ht="12.75" x14ac:dyDescent="0.2">
      <c r="A420" s="32"/>
      <c r="B420" s="32"/>
      <c r="F420" s="24"/>
      <c r="G420" s="24"/>
      <c r="H420" s="24"/>
      <c r="I420" s="24"/>
      <c r="J420" s="33"/>
      <c r="K420" s="33"/>
      <c r="L420" s="33"/>
      <c r="M420" s="24"/>
      <c r="N420" s="28"/>
      <c r="P420" s="32"/>
      <c r="R420" s="34"/>
    </row>
    <row r="421" spans="1:18" ht="12.75" x14ac:dyDescent="0.2">
      <c r="A421" s="32"/>
      <c r="B421" s="32"/>
      <c r="F421" s="24"/>
      <c r="G421" s="24"/>
      <c r="H421" s="24"/>
      <c r="I421" s="24"/>
      <c r="J421" s="33"/>
      <c r="K421" s="33"/>
      <c r="L421" s="33"/>
      <c r="M421" s="24"/>
      <c r="N421" s="28"/>
      <c r="P421" s="32"/>
      <c r="R421" s="34"/>
    </row>
    <row r="422" spans="1:18" ht="12.75" x14ac:dyDescent="0.2">
      <c r="A422" s="32"/>
      <c r="B422" s="32"/>
      <c r="F422" s="24"/>
      <c r="G422" s="24"/>
      <c r="H422" s="24"/>
      <c r="I422" s="24"/>
      <c r="J422" s="33"/>
      <c r="K422" s="33"/>
      <c r="L422" s="33"/>
      <c r="M422" s="24"/>
      <c r="N422" s="28"/>
      <c r="P422" s="32"/>
      <c r="R422" s="34"/>
    </row>
    <row r="423" spans="1:18" ht="12.75" x14ac:dyDescent="0.2">
      <c r="A423" s="32"/>
      <c r="B423" s="32"/>
      <c r="F423" s="24"/>
      <c r="G423" s="24"/>
      <c r="H423" s="24"/>
      <c r="I423" s="24"/>
      <c r="J423" s="33"/>
      <c r="K423" s="33"/>
      <c r="L423" s="33"/>
      <c r="M423" s="24"/>
      <c r="N423" s="28"/>
      <c r="P423" s="32"/>
      <c r="R423" s="34"/>
    </row>
    <row r="424" spans="1:18" ht="12.75" x14ac:dyDescent="0.2">
      <c r="A424" s="32"/>
      <c r="B424" s="32"/>
      <c r="F424" s="24"/>
      <c r="G424" s="24"/>
      <c r="H424" s="24"/>
      <c r="I424" s="24"/>
      <c r="J424" s="33"/>
      <c r="K424" s="33"/>
      <c r="L424" s="33"/>
      <c r="M424" s="24"/>
      <c r="N424" s="28"/>
      <c r="P424" s="32"/>
      <c r="R424" s="34"/>
    </row>
    <row r="425" spans="1:18" ht="12.75" x14ac:dyDescent="0.2">
      <c r="A425" s="32"/>
      <c r="B425" s="32"/>
      <c r="F425" s="24"/>
      <c r="G425" s="24"/>
      <c r="H425" s="24"/>
      <c r="I425" s="24"/>
      <c r="J425" s="33"/>
      <c r="K425" s="33"/>
      <c r="L425" s="33"/>
      <c r="M425" s="24"/>
      <c r="N425" s="28"/>
      <c r="P425" s="32"/>
      <c r="R425" s="34"/>
    </row>
    <row r="426" spans="1:18" ht="12.75" x14ac:dyDescent="0.2">
      <c r="A426" s="32"/>
      <c r="B426" s="32"/>
      <c r="F426" s="24"/>
      <c r="G426" s="24"/>
      <c r="H426" s="24"/>
      <c r="I426" s="24"/>
      <c r="J426" s="33"/>
      <c r="K426" s="33"/>
      <c r="L426" s="33"/>
      <c r="M426" s="24"/>
      <c r="N426" s="28"/>
      <c r="P426" s="32"/>
      <c r="R426" s="34"/>
    </row>
    <row r="427" spans="1:18" ht="12.75" x14ac:dyDescent="0.2">
      <c r="A427" s="32"/>
      <c r="B427" s="32"/>
      <c r="F427" s="24"/>
      <c r="G427" s="24"/>
      <c r="H427" s="24"/>
      <c r="I427" s="24"/>
      <c r="J427" s="33"/>
      <c r="K427" s="33"/>
      <c r="L427" s="33"/>
      <c r="M427" s="24"/>
      <c r="N427" s="28"/>
      <c r="P427" s="32"/>
      <c r="R427" s="34"/>
    </row>
    <row r="428" spans="1:18" ht="12.75" x14ac:dyDescent="0.2">
      <c r="A428" s="32"/>
      <c r="B428" s="32"/>
      <c r="F428" s="24"/>
      <c r="G428" s="24"/>
      <c r="H428" s="24"/>
      <c r="I428" s="24"/>
      <c r="J428" s="33"/>
      <c r="K428" s="33"/>
      <c r="L428" s="33"/>
      <c r="M428" s="24"/>
      <c r="N428" s="28"/>
      <c r="P428" s="32"/>
      <c r="R428" s="34"/>
    </row>
    <row r="429" spans="1:18" ht="12.75" x14ac:dyDescent="0.2">
      <c r="A429" s="32"/>
      <c r="B429" s="32"/>
      <c r="F429" s="24"/>
      <c r="G429" s="24"/>
      <c r="H429" s="24"/>
      <c r="I429" s="24"/>
      <c r="J429" s="33"/>
      <c r="K429" s="33"/>
      <c r="L429" s="33"/>
      <c r="M429" s="24"/>
      <c r="N429" s="28"/>
      <c r="P429" s="32"/>
      <c r="R429" s="34"/>
    </row>
    <row r="430" spans="1:18" ht="12.75" x14ac:dyDescent="0.2">
      <c r="A430" s="32"/>
      <c r="B430" s="32"/>
      <c r="F430" s="24"/>
      <c r="G430" s="24"/>
      <c r="H430" s="24"/>
      <c r="I430" s="24"/>
      <c r="J430" s="33"/>
      <c r="K430" s="33"/>
      <c r="L430" s="33"/>
      <c r="M430" s="24"/>
      <c r="N430" s="28"/>
      <c r="P430" s="32"/>
      <c r="R430" s="34"/>
    </row>
    <row r="431" spans="1:18" ht="12.75" x14ac:dyDescent="0.2">
      <c r="A431" s="32"/>
      <c r="B431" s="32"/>
      <c r="F431" s="24"/>
      <c r="G431" s="24"/>
      <c r="H431" s="24"/>
      <c r="I431" s="24"/>
      <c r="J431" s="33"/>
      <c r="K431" s="33"/>
      <c r="L431" s="33"/>
      <c r="M431" s="24"/>
      <c r="N431" s="28"/>
      <c r="P431" s="32"/>
      <c r="R431" s="34"/>
    </row>
    <row r="432" spans="1:18" ht="12.75" x14ac:dyDescent="0.2">
      <c r="A432" s="32"/>
      <c r="B432" s="32"/>
      <c r="F432" s="24"/>
      <c r="G432" s="24"/>
      <c r="H432" s="24"/>
      <c r="I432" s="24"/>
      <c r="J432" s="33"/>
      <c r="K432" s="33"/>
      <c r="L432" s="33"/>
      <c r="M432" s="24"/>
      <c r="N432" s="28"/>
      <c r="P432" s="32"/>
      <c r="R432" s="34"/>
    </row>
    <row r="433" spans="1:18" ht="12.75" x14ac:dyDescent="0.2">
      <c r="A433" s="32"/>
      <c r="B433" s="32"/>
      <c r="F433" s="24"/>
      <c r="G433" s="24"/>
      <c r="H433" s="24"/>
      <c r="I433" s="24"/>
      <c r="J433" s="33"/>
      <c r="K433" s="33"/>
      <c r="L433" s="33"/>
      <c r="M433" s="24"/>
      <c r="N433" s="28"/>
      <c r="P433" s="32"/>
      <c r="R433" s="34"/>
    </row>
    <row r="434" spans="1:18" ht="12.75" x14ac:dyDescent="0.2">
      <c r="A434" s="32"/>
      <c r="B434" s="32"/>
      <c r="F434" s="24"/>
      <c r="G434" s="24"/>
      <c r="H434" s="24"/>
      <c r="I434" s="24"/>
      <c r="J434" s="33"/>
      <c r="K434" s="33"/>
      <c r="L434" s="33"/>
      <c r="M434" s="24"/>
      <c r="N434" s="28"/>
      <c r="P434" s="32"/>
      <c r="R434" s="34"/>
    </row>
    <row r="435" spans="1:18" ht="12.75" x14ac:dyDescent="0.2">
      <c r="A435" s="32"/>
      <c r="B435" s="32"/>
      <c r="F435" s="24"/>
      <c r="G435" s="24"/>
      <c r="H435" s="24"/>
      <c r="I435" s="24"/>
      <c r="J435" s="33"/>
      <c r="K435" s="33"/>
      <c r="L435" s="33"/>
      <c r="M435" s="24"/>
      <c r="N435" s="28"/>
      <c r="P435" s="32"/>
      <c r="R435" s="34"/>
    </row>
    <row r="436" spans="1:18" ht="12.75" x14ac:dyDescent="0.2">
      <c r="A436" s="32"/>
      <c r="B436" s="32"/>
      <c r="F436" s="24"/>
      <c r="G436" s="24"/>
      <c r="H436" s="24"/>
      <c r="I436" s="24"/>
      <c r="J436" s="33"/>
      <c r="K436" s="33"/>
      <c r="L436" s="33"/>
      <c r="M436" s="24"/>
      <c r="N436" s="28"/>
      <c r="P436" s="32"/>
      <c r="R436" s="34"/>
    </row>
    <row r="437" spans="1:18" ht="12.75" x14ac:dyDescent="0.2">
      <c r="A437" s="32"/>
      <c r="B437" s="32"/>
      <c r="F437" s="24"/>
      <c r="G437" s="24"/>
      <c r="H437" s="24"/>
      <c r="I437" s="24"/>
      <c r="J437" s="33"/>
      <c r="K437" s="33"/>
      <c r="L437" s="33"/>
      <c r="M437" s="24"/>
      <c r="N437" s="28"/>
      <c r="P437" s="32"/>
      <c r="R437" s="34"/>
    </row>
    <row r="438" spans="1:18" ht="12.75" x14ac:dyDescent="0.2">
      <c r="A438" s="32"/>
      <c r="B438" s="32"/>
      <c r="F438" s="24"/>
      <c r="G438" s="24"/>
      <c r="H438" s="24"/>
      <c r="I438" s="24"/>
      <c r="J438" s="33"/>
      <c r="K438" s="33"/>
      <c r="L438" s="33"/>
      <c r="M438" s="24"/>
      <c r="N438" s="28"/>
      <c r="P438" s="32"/>
      <c r="R438" s="34"/>
    </row>
    <row r="439" spans="1:18" ht="12.75" x14ac:dyDescent="0.2">
      <c r="A439" s="32"/>
      <c r="B439" s="32"/>
      <c r="F439" s="24"/>
      <c r="G439" s="24"/>
      <c r="H439" s="24"/>
      <c r="I439" s="24"/>
      <c r="J439" s="33"/>
      <c r="K439" s="33"/>
      <c r="L439" s="33"/>
      <c r="M439" s="24"/>
      <c r="N439" s="28"/>
      <c r="P439" s="32"/>
      <c r="R439" s="34"/>
    </row>
    <row r="440" spans="1:18" ht="12.75" x14ac:dyDescent="0.2">
      <c r="A440" s="32"/>
      <c r="B440" s="32"/>
      <c r="F440" s="24"/>
      <c r="G440" s="24"/>
      <c r="H440" s="24"/>
      <c r="I440" s="24"/>
      <c r="J440" s="33"/>
      <c r="K440" s="33"/>
      <c r="L440" s="33"/>
      <c r="M440" s="24"/>
      <c r="N440" s="28"/>
      <c r="P440" s="32"/>
      <c r="R440" s="34"/>
    </row>
    <row r="441" spans="1:18" ht="12.75" x14ac:dyDescent="0.2">
      <c r="A441" s="32"/>
      <c r="B441" s="32"/>
      <c r="F441" s="24"/>
      <c r="G441" s="24"/>
      <c r="H441" s="24"/>
      <c r="I441" s="24"/>
      <c r="J441" s="33"/>
      <c r="K441" s="33"/>
      <c r="L441" s="33"/>
      <c r="M441" s="24"/>
      <c r="N441" s="28"/>
      <c r="P441" s="32"/>
      <c r="R441" s="34"/>
    </row>
    <row r="442" spans="1:18" ht="12.75" x14ac:dyDescent="0.2">
      <c r="A442" s="32"/>
      <c r="B442" s="32"/>
      <c r="F442" s="24"/>
      <c r="G442" s="24"/>
      <c r="H442" s="24"/>
      <c r="I442" s="24"/>
      <c r="J442" s="33"/>
      <c r="K442" s="33"/>
      <c r="L442" s="33"/>
      <c r="M442" s="24"/>
      <c r="N442" s="28"/>
      <c r="P442" s="32"/>
      <c r="R442" s="34"/>
    </row>
    <row r="443" spans="1:18" ht="12.75" x14ac:dyDescent="0.2">
      <c r="A443" s="32"/>
      <c r="B443" s="32"/>
      <c r="F443" s="24"/>
      <c r="G443" s="24"/>
      <c r="H443" s="24"/>
      <c r="I443" s="24"/>
      <c r="J443" s="33"/>
      <c r="K443" s="33"/>
      <c r="L443" s="33"/>
      <c r="M443" s="24"/>
      <c r="N443" s="28"/>
      <c r="P443" s="32"/>
      <c r="R443" s="34"/>
    </row>
    <row r="444" spans="1:18" ht="12.75" x14ac:dyDescent="0.2">
      <c r="A444" s="32"/>
      <c r="B444" s="32"/>
      <c r="F444" s="24"/>
      <c r="G444" s="24"/>
      <c r="H444" s="24"/>
      <c r="I444" s="24"/>
      <c r="J444" s="33"/>
      <c r="K444" s="33"/>
      <c r="L444" s="33"/>
      <c r="M444" s="24"/>
      <c r="N444" s="28"/>
      <c r="P444" s="32"/>
      <c r="R444" s="34"/>
    </row>
    <row r="445" spans="1:18" ht="12.75" x14ac:dyDescent="0.2">
      <c r="A445" s="32"/>
      <c r="B445" s="32"/>
      <c r="F445" s="24"/>
      <c r="G445" s="24"/>
      <c r="H445" s="24"/>
      <c r="I445" s="24"/>
      <c r="J445" s="33"/>
      <c r="K445" s="33"/>
      <c r="L445" s="33"/>
      <c r="M445" s="24"/>
      <c r="N445" s="28"/>
      <c r="P445" s="32"/>
      <c r="R445" s="34"/>
    </row>
    <row r="446" spans="1:18" ht="12.75" x14ac:dyDescent="0.2">
      <c r="A446" s="32"/>
      <c r="B446" s="32"/>
      <c r="F446" s="24"/>
      <c r="G446" s="24"/>
      <c r="H446" s="24"/>
      <c r="I446" s="24"/>
      <c r="J446" s="33"/>
      <c r="K446" s="33"/>
      <c r="L446" s="33"/>
      <c r="M446" s="24"/>
      <c r="N446" s="28"/>
      <c r="P446" s="32"/>
      <c r="R446" s="34"/>
    </row>
    <row r="447" spans="1:18" ht="12.75" x14ac:dyDescent="0.2">
      <c r="A447" s="32"/>
      <c r="B447" s="32"/>
      <c r="F447" s="24"/>
      <c r="G447" s="24"/>
      <c r="H447" s="24"/>
      <c r="I447" s="24"/>
      <c r="J447" s="33"/>
      <c r="K447" s="33"/>
      <c r="L447" s="33"/>
      <c r="M447" s="24"/>
      <c r="N447" s="28"/>
      <c r="P447" s="32"/>
      <c r="R447" s="34"/>
    </row>
    <row r="448" spans="1:18" ht="12.75" x14ac:dyDescent="0.2">
      <c r="A448" s="32"/>
      <c r="B448" s="32"/>
      <c r="F448" s="24"/>
      <c r="G448" s="24"/>
      <c r="H448" s="24"/>
      <c r="I448" s="24"/>
      <c r="J448" s="33"/>
      <c r="K448" s="33"/>
      <c r="L448" s="33"/>
      <c r="M448" s="24"/>
      <c r="N448" s="28"/>
      <c r="P448" s="32"/>
      <c r="R448" s="34"/>
    </row>
    <row r="449" spans="1:18" ht="12.75" x14ac:dyDescent="0.2">
      <c r="A449" s="32"/>
      <c r="B449" s="32"/>
      <c r="F449" s="24"/>
      <c r="G449" s="24"/>
      <c r="H449" s="24"/>
      <c r="I449" s="24"/>
      <c r="J449" s="33"/>
      <c r="K449" s="33"/>
      <c r="L449" s="33"/>
      <c r="M449" s="24"/>
      <c r="N449" s="28"/>
      <c r="P449" s="32"/>
      <c r="R449" s="34"/>
    </row>
    <row r="450" spans="1:18" ht="12.75" x14ac:dyDescent="0.2">
      <c r="A450" s="32"/>
      <c r="B450" s="32"/>
      <c r="F450" s="24"/>
      <c r="G450" s="24"/>
      <c r="H450" s="24"/>
      <c r="I450" s="24"/>
      <c r="J450" s="33"/>
      <c r="K450" s="33"/>
      <c r="L450" s="33"/>
      <c r="M450" s="24"/>
      <c r="N450" s="28"/>
      <c r="P450" s="32"/>
      <c r="R450" s="34"/>
    </row>
    <row r="451" spans="1:18" ht="12.75" x14ac:dyDescent="0.2">
      <c r="A451" s="32"/>
      <c r="B451" s="32"/>
      <c r="F451" s="24"/>
      <c r="G451" s="24"/>
      <c r="H451" s="24"/>
      <c r="I451" s="24"/>
      <c r="J451" s="33"/>
      <c r="K451" s="33"/>
      <c r="L451" s="33"/>
      <c r="M451" s="24"/>
      <c r="N451" s="28"/>
      <c r="P451" s="32"/>
      <c r="R451" s="34"/>
    </row>
    <row r="452" spans="1:18" ht="12.75" x14ac:dyDescent="0.2">
      <c r="A452" s="32"/>
      <c r="B452" s="32"/>
      <c r="F452" s="24"/>
      <c r="G452" s="24"/>
      <c r="H452" s="24"/>
      <c r="I452" s="24"/>
      <c r="J452" s="33"/>
      <c r="K452" s="33"/>
      <c r="L452" s="33"/>
      <c r="M452" s="24"/>
      <c r="N452" s="28"/>
      <c r="P452" s="32"/>
      <c r="R452" s="34"/>
    </row>
    <row r="453" spans="1:18" ht="12.75" x14ac:dyDescent="0.2">
      <c r="A453" s="32"/>
      <c r="B453" s="32"/>
      <c r="F453" s="24"/>
      <c r="G453" s="24"/>
      <c r="H453" s="24"/>
      <c r="I453" s="24"/>
      <c r="J453" s="33"/>
      <c r="K453" s="33"/>
      <c r="L453" s="33"/>
      <c r="M453" s="24"/>
      <c r="N453" s="28"/>
      <c r="P453" s="32"/>
      <c r="R453" s="34"/>
    </row>
    <row r="454" spans="1:18" ht="12.75" x14ac:dyDescent="0.2">
      <c r="A454" s="32"/>
      <c r="B454" s="32"/>
      <c r="F454" s="24"/>
      <c r="G454" s="24"/>
      <c r="H454" s="24"/>
      <c r="I454" s="24"/>
      <c r="J454" s="33"/>
      <c r="K454" s="33"/>
      <c r="L454" s="33"/>
      <c r="M454" s="24"/>
      <c r="N454" s="28"/>
      <c r="P454" s="32"/>
      <c r="R454" s="34"/>
    </row>
    <row r="455" spans="1:18" ht="12.75" x14ac:dyDescent="0.2">
      <c r="A455" s="32"/>
      <c r="B455" s="32"/>
      <c r="F455" s="24"/>
      <c r="G455" s="24"/>
      <c r="H455" s="24"/>
      <c r="I455" s="24"/>
      <c r="J455" s="33"/>
      <c r="K455" s="33"/>
      <c r="L455" s="33"/>
      <c r="M455" s="24"/>
      <c r="N455" s="28"/>
      <c r="P455" s="32"/>
      <c r="R455" s="34"/>
    </row>
    <row r="456" spans="1:18" ht="12.75" x14ac:dyDescent="0.2">
      <c r="A456" s="32"/>
      <c r="B456" s="32"/>
      <c r="F456" s="24"/>
      <c r="G456" s="24"/>
      <c r="H456" s="24"/>
      <c r="I456" s="24"/>
      <c r="J456" s="33"/>
      <c r="K456" s="33"/>
      <c r="L456" s="33"/>
      <c r="M456" s="24"/>
      <c r="N456" s="28"/>
      <c r="P456" s="32"/>
      <c r="R456" s="34"/>
    </row>
    <row r="457" spans="1:18" ht="12.75" x14ac:dyDescent="0.2">
      <c r="A457" s="32"/>
      <c r="B457" s="32"/>
      <c r="F457" s="24"/>
      <c r="G457" s="24"/>
      <c r="H457" s="24"/>
      <c r="I457" s="24"/>
      <c r="J457" s="33"/>
      <c r="K457" s="33"/>
      <c r="L457" s="33"/>
      <c r="M457" s="24"/>
      <c r="N457" s="28"/>
      <c r="P457" s="32"/>
      <c r="R457" s="34"/>
    </row>
    <row r="458" spans="1:18" ht="12.75" x14ac:dyDescent="0.2">
      <c r="A458" s="32"/>
      <c r="B458" s="32"/>
      <c r="F458" s="24"/>
      <c r="G458" s="24"/>
      <c r="H458" s="24"/>
      <c r="I458" s="24"/>
      <c r="J458" s="33"/>
      <c r="K458" s="33"/>
      <c r="L458" s="33"/>
      <c r="M458" s="24"/>
      <c r="N458" s="28"/>
      <c r="P458" s="32"/>
      <c r="R458" s="34"/>
    </row>
    <row r="459" spans="1:18" ht="12.75" x14ac:dyDescent="0.2">
      <c r="A459" s="32"/>
      <c r="B459" s="32"/>
      <c r="F459" s="24"/>
      <c r="G459" s="24"/>
      <c r="H459" s="24"/>
      <c r="I459" s="24"/>
      <c r="J459" s="33"/>
      <c r="K459" s="33"/>
      <c r="L459" s="33"/>
      <c r="M459" s="24"/>
      <c r="N459" s="28"/>
      <c r="P459" s="32"/>
      <c r="R459" s="34"/>
    </row>
    <row r="460" spans="1:18" ht="12.75" x14ac:dyDescent="0.2">
      <c r="A460" s="32"/>
      <c r="B460" s="32"/>
      <c r="F460" s="24"/>
      <c r="G460" s="24"/>
      <c r="H460" s="24"/>
      <c r="I460" s="24"/>
      <c r="J460" s="33"/>
      <c r="K460" s="33"/>
      <c r="L460" s="33"/>
      <c r="M460" s="24"/>
      <c r="N460" s="28"/>
      <c r="P460" s="32"/>
      <c r="R460" s="34"/>
    </row>
    <row r="461" spans="1:18" ht="12.75" x14ac:dyDescent="0.2">
      <c r="A461" s="32"/>
      <c r="B461" s="32"/>
      <c r="F461" s="24"/>
      <c r="G461" s="24"/>
      <c r="H461" s="24"/>
      <c r="I461" s="24"/>
      <c r="J461" s="33"/>
      <c r="K461" s="33"/>
      <c r="L461" s="33"/>
      <c r="M461" s="24"/>
      <c r="N461" s="28"/>
      <c r="P461" s="32"/>
      <c r="R461" s="34"/>
    </row>
    <row r="462" spans="1:18" ht="12.75" x14ac:dyDescent="0.2">
      <c r="A462" s="32"/>
      <c r="B462" s="32"/>
      <c r="F462" s="24"/>
      <c r="G462" s="24"/>
      <c r="H462" s="24"/>
      <c r="I462" s="24"/>
      <c r="J462" s="33"/>
      <c r="K462" s="33"/>
      <c r="L462" s="33"/>
      <c r="M462" s="24"/>
      <c r="N462" s="28"/>
      <c r="P462" s="32"/>
      <c r="R462" s="34"/>
    </row>
    <row r="463" spans="1:18" ht="12.75" x14ac:dyDescent="0.2">
      <c r="A463" s="32"/>
      <c r="B463" s="32"/>
      <c r="F463" s="24"/>
      <c r="G463" s="24"/>
      <c r="H463" s="24"/>
      <c r="I463" s="24"/>
      <c r="J463" s="33"/>
      <c r="K463" s="33"/>
      <c r="L463" s="33"/>
      <c r="M463" s="24"/>
      <c r="N463" s="28"/>
      <c r="P463" s="32"/>
      <c r="R463" s="34"/>
    </row>
    <row r="464" spans="1:18" ht="12.75" x14ac:dyDescent="0.2">
      <c r="A464" s="32"/>
      <c r="B464" s="32"/>
      <c r="F464" s="24"/>
      <c r="G464" s="24"/>
      <c r="H464" s="24"/>
      <c r="I464" s="24"/>
      <c r="J464" s="33"/>
      <c r="K464" s="33"/>
      <c r="L464" s="33"/>
      <c r="M464" s="24"/>
      <c r="N464" s="28"/>
      <c r="P464" s="32"/>
      <c r="R464" s="34"/>
    </row>
    <row r="465" spans="1:18" ht="12.75" x14ac:dyDescent="0.2">
      <c r="A465" s="32"/>
      <c r="B465" s="32"/>
      <c r="F465" s="24"/>
      <c r="G465" s="24"/>
      <c r="H465" s="24"/>
      <c r="I465" s="24"/>
      <c r="J465" s="33"/>
      <c r="K465" s="33"/>
      <c r="L465" s="33"/>
      <c r="M465" s="24"/>
      <c r="N465" s="28"/>
      <c r="P465" s="32"/>
      <c r="R465" s="34"/>
    </row>
    <row r="466" spans="1:18" ht="12.75" x14ac:dyDescent="0.2">
      <c r="A466" s="32"/>
      <c r="B466" s="32"/>
      <c r="F466" s="24"/>
      <c r="G466" s="24"/>
      <c r="H466" s="24"/>
      <c r="I466" s="24"/>
      <c r="J466" s="33"/>
      <c r="K466" s="33"/>
      <c r="L466" s="33"/>
      <c r="M466" s="24"/>
      <c r="N466" s="28"/>
      <c r="P466" s="32"/>
      <c r="R466" s="34"/>
    </row>
    <row r="467" spans="1:18" ht="12.75" x14ac:dyDescent="0.2">
      <c r="A467" s="32"/>
      <c r="B467" s="32"/>
      <c r="F467" s="24"/>
      <c r="G467" s="24"/>
      <c r="H467" s="24"/>
      <c r="I467" s="24"/>
      <c r="J467" s="33"/>
      <c r="K467" s="33"/>
      <c r="L467" s="33"/>
      <c r="M467" s="24"/>
      <c r="N467" s="28"/>
      <c r="P467" s="32"/>
      <c r="R467" s="34"/>
    </row>
    <row r="468" spans="1:18" ht="12.75" x14ac:dyDescent="0.2">
      <c r="A468" s="32"/>
      <c r="B468" s="32"/>
      <c r="F468" s="24"/>
      <c r="G468" s="24"/>
      <c r="H468" s="24"/>
      <c r="I468" s="24"/>
      <c r="J468" s="33"/>
      <c r="K468" s="33"/>
      <c r="L468" s="33"/>
      <c r="M468" s="24"/>
      <c r="N468" s="28"/>
      <c r="P468" s="32"/>
      <c r="R468" s="34"/>
    </row>
    <row r="469" spans="1:18" ht="12.75" x14ac:dyDescent="0.2">
      <c r="A469" s="32"/>
      <c r="B469" s="32"/>
      <c r="F469" s="24"/>
      <c r="G469" s="24"/>
      <c r="H469" s="24"/>
      <c r="I469" s="24"/>
      <c r="J469" s="33"/>
      <c r="K469" s="33"/>
      <c r="L469" s="33"/>
      <c r="M469" s="24"/>
      <c r="N469" s="28"/>
      <c r="P469" s="32"/>
      <c r="R469" s="34"/>
    </row>
    <row r="470" spans="1:18" ht="12.75" x14ac:dyDescent="0.2">
      <c r="A470" s="32"/>
      <c r="B470" s="32"/>
      <c r="F470" s="24"/>
      <c r="G470" s="24"/>
      <c r="H470" s="24"/>
      <c r="I470" s="24"/>
      <c r="J470" s="33"/>
      <c r="K470" s="33"/>
      <c r="L470" s="33"/>
      <c r="M470" s="24"/>
      <c r="N470" s="28"/>
      <c r="P470" s="32"/>
      <c r="R470" s="34"/>
    </row>
    <row r="471" spans="1:18" ht="12.75" x14ac:dyDescent="0.2">
      <c r="A471" s="32"/>
      <c r="B471" s="32"/>
      <c r="F471" s="24"/>
      <c r="G471" s="24"/>
      <c r="H471" s="24"/>
      <c r="I471" s="24"/>
      <c r="J471" s="33"/>
      <c r="K471" s="33"/>
      <c r="L471" s="33"/>
      <c r="M471" s="24"/>
      <c r="N471" s="28"/>
      <c r="P471" s="32"/>
      <c r="R471" s="34"/>
    </row>
    <row r="472" spans="1:18" ht="12.75" x14ac:dyDescent="0.2">
      <c r="A472" s="32"/>
      <c r="B472" s="32"/>
      <c r="F472" s="24"/>
      <c r="G472" s="24"/>
      <c r="H472" s="24"/>
      <c r="I472" s="24"/>
      <c r="J472" s="33"/>
      <c r="K472" s="33"/>
      <c r="L472" s="33"/>
      <c r="M472" s="24"/>
      <c r="N472" s="28"/>
      <c r="P472" s="32"/>
      <c r="R472" s="34"/>
    </row>
    <row r="473" spans="1:18" ht="12.75" x14ac:dyDescent="0.2">
      <c r="A473" s="32"/>
      <c r="B473" s="32"/>
      <c r="F473" s="24"/>
      <c r="G473" s="24"/>
      <c r="H473" s="24"/>
      <c r="I473" s="24"/>
      <c r="J473" s="33"/>
      <c r="K473" s="33"/>
      <c r="L473" s="33"/>
      <c r="M473" s="24"/>
      <c r="N473" s="28"/>
      <c r="P473" s="32"/>
      <c r="R473" s="34"/>
    </row>
    <row r="474" spans="1:18" ht="12.75" x14ac:dyDescent="0.2">
      <c r="A474" s="32"/>
      <c r="B474" s="32"/>
      <c r="F474" s="24"/>
      <c r="G474" s="24"/>
      <c r="H474" s="24"/>
      <c r="I474" s="24"/>
      <c r="J474" s="33"/>
      <c r="K474" s="33"/>
      <c r="L474" s="33"/>
      <c r="M474" s="24"/>
      <c r="N474" s="28"/>
      <c r="P474" s="32"/>
      <c r="R474" s="34"/>
    </row>
    <row r="475" spans="1:18" ht="12.75" x14ac:dyDescent="0.2">
      <c r="A475" s="32"/>
      <c r="B475" s="32"/>
      <c r="F475" s="24"/>
      <c r="G475" s="24"/>
      <c r="H475" s="24"/>
      <c r="I475" s="24"/>
      <c r="J475" s="33"/>
      <c r="K475" s="33"/>
      <c r="L475" s="33"/>
      <c r="M475" s="24"/>
      <c r="N475" s="28"/>
      <c r="P475" s="32"/>
      <c r="R475" s="34"/>
    </row>
    <row r="476" spans="1:18" ht="12.75" x14ac:dyDescent="0.2">
      <c r="A476" s="32"/>
      <c r="B476" s="32"/>
      <c r="F476" s="24"/>
      <c r="G476" s="24"/>
      <c r="H476" s="24"/>
      <c r="I476" s="24"/>
      <c r="J476" s="33"/>
      <c r="K476" s="33"/>
      <c r="L476" s="33"/>
      <c r="M476" s="24"/>
      <c r="N476" s="28"/>
      <c r="P476" s="32"/>
      <c r="R476" s="34"/>
    </row>
    <row r="477" spans="1:18" ht="12.75" x14ac:dyDescent="0.2">
      <c r="A477" s="32"/>
      <c r="B477" s="32"/>
      <c r="F477" s="24"/>
      <c r="G477" s="24"/>
      <c r="H477" s="24"/>
      <c r="I477" s="24"/>
      <c r="J477" s="33"/>
      <c r="K477" s="33"/>
      <c r="L477" s="33"/>
      <c r="M477" s="24"/>
      <c r="N477" s="28"/>
      <c r="P477" s="32"/>
      <c r="R477" s="34"/>
    </row>
    <row r="478" spans="1:18" ht="12.75" x14ac:dyDescent="0.2">
      <c r="A478" s="32"/>
      <c r="B478" s="32"/>
      <c r="F478" s="24"/>
      <c r="G478" s="24"/>
      <c r="H478" s="24"/>
      <c r="I478" s="24"/>
      <c r="J478" s="33"/>
      <c r="K478" s="33"/>
      <c r="L478" s="33"/>
      <c r="M478" s="24"/>
      <c r="N478" s="28"/>
      <c r="P478" s="32"/>
      <c r="R478" s="34"/>
    </row>
    <row r="479" spans="1:18" ht="12.75" x14ac:dyDescent="0.2">
      <c r="A479" s="32"/>
      <c r="B479" s="32"/>
      <c r="F479" s="24"/>
      <c r="G479" s="24"/>
      <c r="H479" s="24"/>
      <c r="I479" s="24"/>
      <c r="J479" s="33"/>
      <c r="K479" s="33"/>
      <c r="L479" s="33"/>
      <c r="M479" s="24"/>
      <c r="N479" s="28"/>
      <c r="P479" s="32"/>
      <c r="R479" s="34"/>
    </row>
    <row r="480" spans="1:18" ht="12.75" x14ac:dyDescent="0.2">
      <c r="A480" s="32"/>
      <c r="B480" s="32"/>
      <c r="F480" s="24"/>
      <c r="G480" s="24"/>
      <c r="H480" s="24"/>
      <c r="I480" s="24"/>
      <c r="J480" s="33"/>
      <c r="K480" s="33"/>
      <c r="L480" s="33"/>
      <c r="M480" s="24"/>
      <c r="N480" s="28"/>
      <c r="P480" s="32"/>
      <c r="R480" s="34"/>
    </row>
    <row r="481" spans="1:18" ht="12.75" x14ac:dyDescent="0.2">
      <c r="A481" s="32"/>
      <c r="B481" s="32"/>
      <c r="F481" s="24"/>
      <c r="G481" s="24"/>
      <c r="H481" s="24"/>
      <c r="I481" s="24"/>
      <c r="J481" s="33"/>
      <c r="K481" s="33"/>
      <c r="L481" s="33"/>
      <c r="M481" s="24"/>
      <c r="N481" s="28"/>
      <c r="P481" s="32"/>
      <c r="R481" s="34"/>
    </row>
    <row r="482" spans="1:18" ht="12.75" x14ac:dyDescent="0.2">
      <c r="A482" s="32"/>
      <c r="B482" s="32"/>
      <c r="F482" s="24"/>
      <c r="G482" s="24"/>
      <c r="H482" s="24"/>
      <c r="I482" s="24"/>
      <c r="J482" s="33"/>
      <c r="K482" s="33"/>
      <c r="L482" s="33"/>
      <c r="M482" s="24"/>
      <c r="N482" s="28"/>
      <c r="P482" s="32"/>
      <c r="R482" s="34"/>
    </row>
    <row r="483" spans="1:18" ht="12.75" x14ac:dyDescent="0.2">
      <c r="A483" s="32"/>
      <c r="B483" s="32"/>
      <c r="F483" s="24"/>
      <c r="G483" s="24"/>
      <c r="H483" s="24"/>
      <c r="I483" s="24"/>
      <c r="J483" s="33"/>
      <c r="K483" s="33"/>
      <c r="L483" s="33"/>
      <c r="M483" s="24"/>
      <c r="N483" s="28"/>
      <c r="P483" s="32"/>
      <c r="R483" s="34"/>
    </row>
    <row r="484" spans="1:18" ht="12.75" x14ac:dyDescent="0.2">
      <c r="A484" s="32"/>
      <c r="B484" s="32"/>
      <c r="F484" s="24"/>
      <c r="G484" s="24"/>
      <c r="H484" s="24"/>
      <c r="I484" s="24"/>
      <c r="J484" s="33"/>
      <c r="K484" s="33"/>
      <c r="L484" s="33"/>
      <c r="M484" s="24"/>
      <c r="N484" s="28"/>
      <c r="P484" s="32"/>
      <c r="R484" s="34"/>
    </row>
    <row r="485" spans="1:18" ht="12.75" x14ac:dyDescent="0.2">
      <c r="A485" s="32"/>
      <c r="B485" s="32"/>
      <c r="F485" s="24"/>
      <c r="G485" s="24"/>
      <c r="H485" s="24"/>
      <c r="I485" s="24"/>
      <c r="J485" s="33"/>
      <c r="K485" s="33"/>
      <c r="L485" s="33"/>
      <c r="M485" s="24"/>
      <c r="N485" s="28"/>
      <c r="P485" s="32"/>
      <c r="R485" s="34"/>
    </row>
    <row r="486" spans="1:18" ht="12.75" x14ac:dyDescent="0.2">
      <c r="A486" s="32"/>
      <c r="B486" s="32"/>
      <c r="F486" s="24"/>
      <c r="G486" s="24"/>
      <c r="H486" s="24"/>
      <c r="I486" s="24"/>
      <c r="J486" s="33"/>
      <c r="K486" s="33"/>
      <c r="L486" s="33"/>
      <c r="M486" s="24"/>
      <c r="N486" s="28"/>
      <c r="P486" s="32"/>
      <c r="R486" s="34"/>
    </row>
    <row r="487" spans="1:18" ht="12.75" x14ac:dyDescent="0.2">
      <c r="A487" s="32"/>
      <c r="B487" s="32"/>
      <c r="F487" s="24"/>
      <c r="G487" s="24"/>
      <c r="H487" s="24"/>
      <c r="I487" s="24"/>
      <c r="J487" s="33"/>
      <c r="K487" s="33"/>
      <c r="L487" s="33"/>
      <c r="M487" s="24"/>
      <c r="N487" s="28"/>
      <c r="P487" s="32"/>
      <c r="R487" s="34"/>
    </row>
    <row r="488" spans="1:18" ht="12.75" x14ac:dyDescent="0.2">
      <c r="A488" s="32"/>
      <c r="B488" s="32"/>
      <c r="F488" s="24"/>
      <c r="G488" s="24"/>
      <c r="H488" s="24"/>
      <c r="I488" s="24"/>
      <c r="J488" s="33"/>
      <c r="K488" s="33"/>
      <c r="L488" s="33"/>
      <c r="M488" s="24"/>
      <c r="N488" s="28"/>
      <c r="P488" s="32"/>
      <c r="R488" s="34"/>
    </row>
    <row r="489" spans="1:18" ht="12.75" x14ac:dyDescent="0.2">
      <c r="A489" s="32"/>
      <c r="B489" s="32"/>
      <c r="F489" s="24"/>
      <c r="G489" s="24"/>
      <c r="H489" s="24"/>
      <c r="I489" s="24"/>
      <c r="J489" s="33"/>
      <c r="K489" s="33"/>
      <c r="L489" s="33"/>
      <c r="M489" s="24"/>
      <c r="N489" s="28"/>
      <c r="P489" s="32"/>
      <c r="R489" s="34"/>
    </row>
    <row r="490" spans="1:18" ht="12.75" x14ac:dyDescent="0.2">
      <c r="A490" s="32"/>
      <c r="B490" s="32"/>
      <c r="F490" s="24"/>
      <c r="G490" s="24"/>
      <c r="H490" s="24"/>
      <c r="I490" s="24"/>
      <c r="J490" s="33"/>
      <c r="K490" s="33"/>
      <c r="L490" s="33"/>
      <c r="M490" s="24"/>
      <c r="N490" s="28"/>
      <c r="P490" s="32"/>
      <c r="R490" s="34"/>
    </row>
    <row r="491" spans="1:18" ht="12.75" x14ac:dyDescent="0.2">
      <c r="A491" s="32"/>
      <c r="B491" s="32"/>
      <c r="F491" s="24"/>
      <c r="G491" s="24"/>
      <c r="H491" s="24"/>
      <c r="I491" s="24"/>
      <c r="J491" s="33"/>
      <c r="K491" s="33"/>
      <c r="L491" s="33"/>
      <c r="M491" s="24"/>
      <c r="N491" s="28"/>
      <c r="P491" s="32"/>
      <c r="R491" s="34"/>
    </row>
    <row r="492" spans="1:18" ht="12.75" x14ac:dyDescent="0.2">
      <c r="A492" s="32"/>
      <c r="B492" s="32"/>
      <c r="F492" s="24"/>
      <c r="G492" s="24"/>
      <c r="H492" s="24"/>
      <c r="I492" s="24"/>
      <c r="J492" s="33"/>
      <c r="K492" s="33"/>
      <c r="L492" s="33"/>
      <c r="M492" s="24"/>
      <c r="N492" s="28"/>
      <c r="P492" s="32"/>
      <c r="R492" s="34"/>
    </row>
    <row r="493" spans="1:18" ht="12.75" x14ac:dyDescent="0.2">
      <c r="A493" s="32"/>
      <c r="B493" s="32"/>
      <c r="F493" s="24"/>
      <c r="G493" s="24"/>
      <c r="H493" s="24"/>
      <c r="I493" s="24"/>
      <c r="J493" s="33"/>
      <c r="K493" s="33"/>
      <c r="L493" s="33"/>
      <c r="M493" s="24"/>
      <c r="N493" s="28"/>
      <c r="P493" s="32"/>
      <c r="R493" s="34"/>
    </row>
    <row r="494" spans="1:18" ht="12.75" x14ac:dyDescent="0.2">
      <c r="A494" s="32"/>
      <c r="B494" s="32"/>
      <c r="F494" s="24"/>
      <c r="G494" s="24"/>
      <c r="H494" s="24"/>
      <c r="I494" s="24"/>
      <c r="J494" s="33"/>
      <c r="K494" s="33"/>
      <c r="L494" s="33"/>
      <c r="M494" s="24"/>
      <c r="N494" s="28"/>
      <c r="P494" s="32"/>
      <c r="R494" s="34"/>
    </row>
    <row r="495" spans="1:18" ht="12.75" x14ac:dyDescent="0.2">
      <c r="A495" s="32"/>
      <c r="B495" s="32"/>
      <c r="F495" s="24"/>
      <c r="G495" s="24"/>
      <c r="H495" s="24"/>
      <c r="I495" s="24"/>
      <c r="J495" s="33"/>
      <c r="K495" s="33"/>
      <c r="L495" s="33"/>
      <c r="M495" s="24"/>
      <c r="N495" s="28"/>
      <c r="P495" s="32"/>
      <c r="R495" s="34"/>
    </row>
    <row r="496" spans="1:18" ht="12.75" x14ac:dyDescent="0.2">
      <c r="A496" s="32"/>
      <c r="B496" s="32"/>
      <c r="F496" s="24"/>
      <c r="G496" s="24"/>
      <c r="H496" s="24"/>
      <c r="I496" s="24"/>
      <c r="J496" s="33"/>
      <c r="K496" s="33"/>
      <c r="L496" s="33"/>
      <c r="M496" s="24"/>
      <c r="N496" s="28"/>
      <c r="P496" s="32"/>
      <c r="R496" s="34"/>
    </row>
    <row r="497" spans="1:18" ht="12.75" x14ac:dyDescent="0.2">
      <c r="A497" s="32"/>
      <c r="B497" s="32"/>
      <c r="F497" s="24"/>
      <c r="G497" s="24"/>
      <c r="H497" s="24"/>
      <c r="I497" s="24"/>
      <c r="J497" s="33"/>
      <c r="K497" s="33"/>
      <c r="L497" s="33"/>
      <c r="M497" s="24"/>
      <c r="N497" s="28"/>
      <c r="P497" s="32"/>
      <c r="R497" s="34"/>
    </row>
    <row r="498" spans="1:18" ht="12.75" x14ac:dyDescent="0.2">
      <c r="A498" s="32"/>
      <c r="B498" s="32"/>
      <c r="F498" s="24"/>
      <c r="G498" s="24"/>
      <c r="H498" s="24"/>
      <c r="I498" s="24"/>
      <c r="J498" s="33"/>
      <c r="K498" s="33"/>
      <c r="L498" s="33"/>
      <c r="M498" s="24"/>
      <c r="N498" s="28"/>
      <c r="P498" s="32"/>
      <c r="R498" s="34"/>
    </row>
    <row r="499" spans="1:18" ht="12.75" x14ac:dyDescent="0.2">
      <c r="A499" s="32"/>
      <c r="B499" s="32"/>
      <c r="F499" s="24"/>
      <c r="G499" s="24"/>
      <c r="H499" s="24"/>
      <c r="I499" s="24"/>
      <c r="J499" s="33"/>
      <c r="K499" s="33"/>
      <c r="L499" s="33"/>
      <c r="M499" s="24"/>
      <c r="N499" s="28"/>
      <c r="P499" s="32"/>
      <c r="R499" s="34"/>
    </row>
    <row r="500" spans="1:18" ht="12.75" x14ac:dyDescent="0.2">
      <c r="A500" s="32"/>
      <c r="B500" s="32"/>
      <c r="F500" s="24"/>
      <c r="G500" s="24"/>
      <c r="H500" s="24"/>
      <c r="I500" s="24"/>
      <c r="J500" s="33"/>
      <c r="K500" s="33"/>
      <c r="L500" s="33"/>
      <c r="M500" s="24"/>
      <c r="N500" s="28"/>
      <c r="P500" s="32"/>
      <c r="R500" s="34"/>
    </row>
    <row r="501" spans="1:18" ht="12.75" x14ac:dyDescent="0.2">
      <c r="A501" s="32"/>
      <c r="B501" s="32"/>
      <c r="F501" s="24"/>
      <c r="G501" s="24"/>
      <c r="H501" s="24"/>
      <c r="I501" s="24"/>
      <c r="J501" s="33"/>
      <c r="K501" s="33"/>
      <c r="L501" s="33"/>
      <c r="M501" s="24"/>
      <c r="N501" s="28"/>
      <c r="P501" s="32"/>
      <c r="R501" s="34"/>
    </row>
    <row r="502" spans="1:18" ht="12.75" x14ac:dyDescent="0.2">
      <c r="A502" s="32"/>
      <c r="B502" s="32"/>
      <c r="F502" s="24"/>
      <c r="G502" s="24"/>
      <c r="H502" s="24"/>
      <c r="I502" s="24"/>
      <c r="J502" s="33"/>
      <c r="K502" s="33"/>
      <c r="L502" s="33"/>
      <c r="M502" s="24"/>
      <c r="N502" s="28"/>
      <c r="P502" s="32"/>
      <c r="R502" s="34"/>
    </row>
    <row r="503" spans="1:18" ht="12.75" x14ac:dyDescent="0.2">
      <c r="A503" s="32"/>
      <c r="B503" s="32"/>
      <c r="F503" s="24"/>
      <c r="G503" s="24"/>
      <c r="H503" s="24"/>
      <c r="I503" s="24"/>
      <c r="J503" s="33"/>
      <c r="K503" s="33"/>
      <c r="L503" s="33"/>
      <c r="M503" s="24"/>
      <c r="N503" s="28"/>
      <c r="P503" s="32"/>
      <c r="R503" s="34"/>
    </row>
    <row r="504" spans="1:18" ht="12.75" x14ac:dyDescent="0.2">
      <c r="A504" s="32"/>
      <c r="B504" s="32"/>
      <c r="F504" s="24"/>
      <c r="G504" s="24"/>
      <c r="H504" s="24"/>
      <c r="I504" s="24"/>
      <c r="J504" s="33"/>
      <c r="K504" s="33"/>
      <c r="L504" s="33"/>
      <c r="M504" s="24"/>
      <c r="N504" s="28"/>
      <c r="P504" s="32"/>
      <c r="R504" s="34"/>
    </row>
    <row r="505" spans="1:18" ht="12.75" x14ac:dyDescent="0.2">
      <c r="A505" s="32"/>
      <c r="B505" s="32"/>
      <c r="F505" s="24"/>
      <c r="G505" s="24"/>
      <c r="H505" s="24"/>
      <c r="I505" s="24"/>
      <c r="J505" s="33"/>
      <c r="K505" s="33"/>
      <c r="L505" s="33"/>
      <c r="M505" s="24"/>
      <c r="N505" s="28"/>
      <c r="P505" s="32"/>
      <c r="R505" s="34"/>
    </row>
    <row r="506" spans="1:18" ht="12.75" x14ac:dyDescent="0.2">
      <c r="A506" s="32"/>
      <c r="B506" s="32"/>
      <c r="F506" s="24"/>
      <c r="G506" s="24"/>
      <c r="H506" s="24"/>
      <c r="I506" s="24"/>
      <c r="J506" s="33"/>
      <c r="K506" s="33"/>
      <c r="L506" s="33"/>
      <c r="M506" s="24"/>
      <c r="N506" s="28"/>
      <c r="P506" s="32"/>
      <c r="R506" s="34"/>
    </row>
    <row r="507" spans="1:18" ht="12.75" x14ac:dyDescent="0.2">
      <c r="A507" s="32"/>
      <c r="B507" s="32"/>
      <c r="F507" s="24"/>
      <c r="G507" s="24"/>
      <c r="H507" s="24"/>
      <c r="I507" s="24"/>
      <c r="J507" s="33"/>
      <c r="K507" s="33"/>
      <c r="L507" s="33"/>
      <c r="M507" s="24"/>
      <c r="N507" s="28"/>
      <c r="P507" s="32"/>
      <c r="R507" s="34"/>
    </row>
    <row r="508" spans="1:18" ht="12.75" x14ac:dyDescent="0.2">
      <c r="A508" s="32"/>
      <c r="B508" s="32"/>
      <c r="F508" s="24"/>
      <c r="G508" s="24"/>
      <c r="H508" s="24"/>
      <c r="I508" s="24"/>
      <c r="J508" s="33"/>
      <c r="K508" s="33"/>
      <c r="L508" s="33"/>
      <c r="M508" s="24"/>
      <c r="N508" s="28"/>
      <c r="P508" s="32"/>
      <c r="R508" s="34"/>
    </row>
    <row r="509" spans="1:18" ht="12.75" x14ac:dyDescent="0.2">
      <c r="A509" s="32"/>
      <c r="B509" s="32"/>
      <c r="F509" s="24"/>
      <c r="G509" s="24"/>
      <c r="H509" s="24"/>
      <c r="I509" s="24"/>
      <c r="J509" s="33"/>
      <c r="K509" s="33"/>
      <c r="L509" s="33"/>
      <c r="M509" s="24"/>
      <c r="N509" s="28"/>
      <c r="P509" s="32"/>
      <c r="R509" s="34"/>
    </row>
    <row r="510" spans="1:18" ht="12.75" x14ac:dyDescent="0.2">
      <c r="A510" s="32"/>
      <c r="B510" s="32"/>
      <c r="F510" s="24"/>
      <c r="G510" s="24"/>
      <c r="H510" s="24"/>
      <c r="I510" s="24"/>
      <c r="J510" s="33"/>
      <c r="K510" s="33"/>
      <c r="L510" s="33"/>
      <c r="M510" s="24"/>
      <c r="N510" s="28"/>
      <c r="P510" s="32"/>
      <c r="R510" s="34"/>
    </row>
    <row r="511" spans="1:18" ht="12.75" x14ac:dyDescent="0.2">
      <c r="A511" s="32"/>
      <c r="B511" s="32"/>
      <c r="F511" s="24"/>
      <c r="G511" s="24"/>
      <c r="H511" s="24"/>
      <c r="I511" s="24"/>
      <c r="J511" s="33"/>
      <c r="K511" s="33"/>
      <c r="L511" s="33"/>
      <c r="M511" s="24"/>
      <c r="N511" s="28"/>
      <c r="P511" s="32"/>
      <c r="R511" s="34"/>
    </row>
    <row r="512" spans="1:18" ht="12.75" x14ac:dyDescent="0.2">
      <c r="A512" s="32"/>
      <c r="B512" s="32"/>
      <c r="F512" s="24"/>
      <c r="G512" s="24"/>
      <c r="H512" s="24"/>
      <c r="I512" s="24"/>
      <c r="J512" s="33"/>
      <c r="K512" s="33"/>
      <c r="L512" s="33"/>
      <c r="M512" s="24"/>
      <c r="N512" s="28"/>
      <c r="P512" s="32"/>
      <c r="R512" s="34"/>
    </row>
    <row r="513" spans="1:18" ht="12.75" x14ac:dyDescent="0.2">
      <c r="A513" s="32"/>
      <c r="B513" s="32"/>
      <c r="F513" s="24"/>
      <c r="G513" s="24"/>
      <c r="H513" s="24"/>
      <c r="I513" s="24"/>
      <c r="J513" s="33"/>
      <c r="K513" s="33"/>
      <c r="L513" s="33"/>
      <c r="M513" s="24"/>
      <c r="N513" s="28"/>
      <c r="P513" s="32"/>
      <c r="R513" s="34"/>
    </row>
    <row r="514" spans="1:18" ht="12.75" x14ac:dyDescent="0.2">
      <c r="A514" s="32"/>
      <c r="B514" s="32"/>
      <c r="F514" s="24"/>
      <c r="G514" s="24"/>
      <c r="H514" s="24"/>
      <c r="I514" s="24"/>
      <c r="J514" s="33"/>
      <c r="K514" s="33"/>
      <c r="L514" s="33"/>
      <c r="M514" s="24"/>
      <c r="N514" s="28"/>
      <c r="P514" s="32"/>
      <c r="R514" s="34"/>
    </row>
    <row r="515" spans="1:18" ht="12.75" x14ac:dyDescent="0.2">
      <c r="A515" s="32"/>
      <c r="B515" s="32"/>
      <c r="F515" s="24"/>
      <c r="G515" s="24"/>
      <c r="H515" s="24"/>
      <c r="I515" s="24"/>
      <c r="J515" s="33"/>
      <c r="K515" s="33"/>
      <c r="L515" s="33"/>
      <c r="M515" s="24"/>
      <c r="N515" s="28"/>
      <c r="P515" s="32"/>
      <c r="R515" s="34"/>
    </row>
    <row r="516" spans="1:18" ht="12.75" x14ac:dyDescent="0.2">
      <c r="A516" s="32"/>
      <c r="B516" s="32"/>
      <c r="F516" s="24"/>
      <c r="G516" s="24"/>
      <c r="H516" s="24"/>
      <c r="I516" s="24"/>
      <c r="J516" s="33"/>
      <c r="K516" s="33"/>
      <c r="L516" s="33"/>
      <c r="M516" s="24"/>
      <c r="N516" s="28"/>
      <c r="P516" s="32"/>
      <c r="R516" s="34"/>
    </row>
    <row r="517" spans="1:18" ht="12.75" x14ac:dyDescent="0.2">
      <c r="A517" s="32"/>
      <c r="B517" s="32"/>
      <c r="F517" s="24"/>
      <c r="G517" s="24"/>
      <c r="H517" s="24"/>
      <c r="I517" s="24"/>
      <c r="J517" s="33"/>
      <c r="K517" s="33"/>
      <c r="L517" s="33"/>
      <c r="M517" s="24"/>
      <c r="N517" s="28"/>
      <c r="P517" s="32"/>
      <c r="R517" s="34"/>
    </row>
    <row r="518" spans="1:18" ht="12.75" x14ac:dyDescent="0.2">
      <c r="A518" s="32"/>
      <c r="B518" s="32"/>
      <c r="F518" s="24"/>
      <c r="G518" s="24"/>
      <c r="H518" s="24"/>
      <c r="I518" s="24"/>
      <c r="J518" s="33"/>
      <c r="K518" s="33"/>
      <c r="L518" s="33"/>
      <c r="M518" s="24"/>
      <c r="N518" s="28"/>
      <c r="P518" s="32"/>
      <c r="R518" s="34"/>
    </row>
    <row r="519" spans="1:18" ht="12.75" x14ac:dyDescent="0.2">
      <c r="A519" s="32"/>
      <c r="B519" s="32"/>
      <c r="F519" s="24"/>
      <c r="G519" s="24"/>
      <c r="H519" s="24"/>
      <c r="I519" s="24"/>
      <c r="J519" s="33"/>
      <c r="K519" s="33"/>
      <c r="L519" s="33"/>
      <c r="M519" s="24"/>
      <c r="N519" s="28"/>
      <c r="P519" s="32"/>
      <c r="R519" s="34"/>
    </row>
    <row r="520" spans="1:18" ht="12.75" x14ac:dyDescent="0.2">
      <c r="A520" s="32"/>
      <c r="B520" s="32"/>
      <c r="F520" s="24"/>
      <c r="G520" s="24"/>
      <c r="H520" s="24"/>
      <c r="I520" s="24"/>
      <c r="J520" s="33"/>
      <c r="K520" s="33"/>
      <c r="L520" s="33"/>
      <c r="M520" s="24"/>
      <c r="N520" s="28"/>
      <c r="P520" s="32"/>
      <c r="R520" s="34"/>
    </row>
    <row r="521" spans="1:18" ht="12.75" x14ac:dyDescent="0.2">
      <c r="A521" s="32"/>
      <c r="B521" s="32"/>
      <c r="F521" s="24"/>
      <c r="G521" s="24"/>
      <c r="H521" s="24"/>
      <c r="I521" s="24"/>
      <c r="J521" s="33"/>
      <c r="K521" s="33"/>
      <c r="L521" s="33"/>
      <c r="M521" s="24"/>
      <c r="N521" s="28"/>
      <c r="P521" s="32"/>
      <c r="R521" s="34"/>
    </row>
    <row r="522" spans="1:18" ht="12.75" x14ac:dyDescent="0.2">
      <c r="A522" s="32"/>
      <c r="B522" s="32"/>
      <c r="F522" s="24"/>
      <c r="G522" s="24"/>
      <c r="H522" s="24"/>
      <c r="I522" s="24"/>
      <c r="J522" s="33"/>
      <c r="K522" s="33"/>
      <c r="L522" s="33"/>
      <c r="M522" s="24"/>
      <c r="N522" s="28"/>
      <c r="P522" s="32"/>
      <c r="R522" s="34"/>
    </row>
    <row r="523" spans="1:18" ht="12.75" x14ac:dyDescent="0.2">
      <c r="A523" s="32"/>
      <c r="B523" s="32"/>
      <c r="F523" s="24"/>
      <c r="G523" s="24"/>
      <c r="H523" s="24"/>
      <c r="I523" s="24"/>
      <c r="J523" s="33"/>
      <c r="K523" s="33"/>
      <c r="L523" s="33"/>
      <c r="M523" s="24"/>
      <c r="N523" s="28"/>
      <c r="P523" s="32"/>
      <c r="R523" s="34"/>
    </row>
    <row r="524" spans="1:18" ht="12.75" x14ac:dyDescent="0.2">
      <c r="A524" s="32"/>
      <c r="B524" s="32"/>
      <c r="F524" s="24"/>
      <c r="G524" s="24"/>
      <c r="H524" s="24"/>
      <c r="I524" s="24"/>
      <c r="J524" s="33"/>
      <c r="K524" s="33"/>
      <c r="L524" s="33"/>
      <c r="M524" s="24"/>
      <c r="N524" s="28"/>
      <c r="P524" s="32"/>
      <c r="R524" s="34"/>
    </row>
    <row r="525" spans="1:18" ht="12.75" x14ac:dyDescent="0.2">
      <c r="A525" s="32"/>
      <c r="B525" s="32"/>
      <c r="F525" s="24"/>
      <c r="G525" s="24"/>
      <c r="H525" s="24"/>
      <c r="I525" s="24"/>
      <c r="J525" s="33"/>
      <c r="K525" s="33"/>
      <c r="L525" s="33"/>
      <c r="M525" s="24"/>
      <c r="N525" s="28"/>
      <c r="P525" s="32"/>
      <c r="R525" s="34"/>
    </row>
    <row r="526" spans="1:18" ht="12.75" x14ac:dyDescent="0.2">
      <c r="A526" s="32"/>
      <c r="B526" s="32"/>
      <c r="F526" s="24"/>
      <c r="G526" s="24"/>
      <c r="H526" s="24"/>
      <c r="I526" s="24"/>
      <c r="J526" s="33"/>
      <c r="K526" s="33"/>
      <c r="L526" s="33"/>
      <c r="M526" s="24"/>
      <c r="N526" s="28"/>
      <c r="P526" s="32"/>
      <c r="R526" s="34"/>
    </row>
    <row r="527" spans="1:18" ht="12.75" x14ac:dyDescent="0.2">
      <c r="A527" s="32"/>
      <c r="B527" s="32"/>
      <c r="F527" s="24"/>
      <c r="G527" s="24"/>
      <c r="H527" s="24"/>
      <c r="I527" s="24"/>
      <c r="J527" s="33"/>
      <c r="K527" s="33"/>
      <c r="L527" s="33"/>
      <c r="M527" s="24"/>
      <c r="N527" s="28"/>
      <c r="P527" s="32"/>
      <c r="R527" s="34"/>
    </row>
    <row r="528" spans="1:18" ht="12.75" x14ac:dyDescent="0.2">
      <c r="A528" s="32"/>
      <c r="B528" s="32"/>
      <c r="F528" s="24"/>
      <c r="G528" s="24"/>
      <c r="H528" s="24"/>
      <c r="I528" s="24"/>
      <c r="J528" s="33"/>
      <c r="K528" s="33"/>
      <c r="L528" s="33"/>
      <c r="M528" s="24"/>
      <c r="N528" s="28"/>
      <c r="P528" s="32"/>
      <c r="R528" s="34"/>
    </row>
    <row r="529" spans="1:18" ht="12.75" x14ac:dyDescent="0.2">
      <c r="A529" s="32"/>
      <c r="B529" s="32"/>
      <c r="F529" s="24"/>
      <c r="G529" s="24"/>
      <c r="H529" s="24"/>
      <c r="I529" s="24"/>
      <c r="J529" s="33"/>
      <c r="K529" s="33"/>
      <c r="L529" s="33"/>
      <c r="M529" s="24"/>
      <c r="N529" s="28"/>
      <c r="P529" s="32"/>
      <c r="R529" s="34"/>
    </row>
    <row r="530" spans="1:18" ht="12.75" x14ac:dyDescent="0.2">
      <c r="A530" s="32"/>
      <c r="B530" s="32"/>
      <c r="F530" s="24"/>
      <c r="G530" s="24"/>
      <c r="H530" s="24"/>
      <c r="I530" s="24"/>
      <c r="J530" s="33"/>
      <c r="K530" s="33"/>
      <c r="L530" s="33"/>
      <c r="M530" s="24"/>
      <c r="N530" s="28"/>
      <c r="P530" s="32"/>
      <c r="R530" s="34"/>
    </row>
    <row r="531" spans="1:18" ht="12.75" x14ac:dyDescent="0.2">
      <c r="A531" s="32"/>
      <c r="B531" s="32"/>
      <c r="F531" s="24"/>
      <c r="G531" s="24"/>
      <c r="H531" s="24"/>
      <c r="I531" s="24"/>
      <c r="J531" s="33"/>
      <c r="K531" s="33"/>
      <c r="L531" s="33"/>
      <c r="M531" s="24"/>
      <c r="N531" s="28"/>
      <c r="P531" s="32"/>
      <c r="R531" s="34"/>
    </row>
    <row r="532" spans="1:18" ht="12.75" x14ac:dyDescent="0.2">
      <c r="A532" s="32"/>
      <c r="B532" s="32"/>
      <c r="F532" s="24"/>
      <c r="G532" s="24"/>
      <c r="H532" s="24"/>
      <c r="I532" s="24"/>
      <c r="J532" s="33"/>
      <c r="K532" s="33"/>
      <c r="L532" s="33"/>
      <c r="M532" s="24"/>
      <c r="N532" s="28"/>
      <c r="P532" s="32"/>
      <c r="R532" s="34"/>
    </row>
    <row r="533" spans="1:18" ht="12.75" x14ac:dyDescent="0.2">
      <c r="A533" s="32"/>
      <c r="B533" s="32"/>
      <c r="F533" s="24"/>
      <c r="G533" s="24"/>
      <c r="H533" s="24"/>
      <c r="I533" s="24"/>
      <c r="J533" s="33"/>
      <c r="K533" s="33"/>
      <c r="L533" s="33"/>
      <c r="M533" s="24"/>
      <c r="N533" s="28"/>
      <c r="P533" s="32"/>
      <c r="R533" s="34"/>
    </row>
    <row r="534" spans="1:18" ht="12.75" x14ac:dyDescent="0.2">
      <c r="A534" s="32"/>
      <c r="B534" s="32"/>
      <c r="F534" s="24"/>
      <c r="G534" s="24"/>
      <c r="H534" s="24"/>
      <c r="I534" s="24"/>
      <c r="J534" s="33"/>
      <c r="K534" s="33"/>
      <c r="L534" s="33"/>
      <c r="M534" s="24"/>
      <c r="N534" s="28"/>
      <c r="P534" s="32"/>
      <c r="R534" s="34"/>
    </row>
    <row r="535" spans="1:18" ht="12.75" x14ac:dyDescent="0.2">
      <c r="A535" s="32"/>
      <c r="B535" s="32"/>
      <c r="F535" s="24"/>
      <c r="G535" s="24"/>
      <c r="H535" s="24"/>
      <c r="I535" s="24"/>
      <c r="J535" s="33"/>
      <c r="K535" s="33"/>
      <c r="L535" s="33"/>
      <c r="M535" s="24"/>
      <c r="N535" s="28"/>
      <c r="P535" s="32"/>
      <c r="R535" s="34"/>
    </row>
    <row r="536" spans="1:18" ht="12.75" x14ac:dyDescent="0.2">
      <c r="A536" s="32"/>
      <c r="B536" s="32"/>
      <c r="F536" s="24"/>
      <c r="G536" s="24"/>
      <c r="H536" s="24"/>
      <c r="I536" s="24"/>
      <c r="J536" s="33"/>
      <c r="K536" s="33"/>
      <c r="L536" s="33"/>
      <c r="M536" s="24"/>
      <c r="N536" s="28"/>
      <c r="P536" s="32"/>
      <c r="R536" s="34"/>
    </row>
    <row r="537" spans="1:18" ht="12.75" x14ac:dyDescent="0.2">
      <c r="A537" s="32"/>
      <c r="B537" s="32"/>
      <c r="F537" s="24"/>
      <c r="G537" s="24"/>
      <c r="H537" s="24"/>
      <c r="I537" s="24"/>
      <c r="J537" s="33"/>
      <c r="K537" s="33"/>
      <c r="L537" s="33"/>
      <c r="M537" s="24"/>
      <c r="N537" s="28"/>
      <c r="P537" s="32"/>
      <c r="R537" s="34"/>
    </row>
    <row r="538" spans="1:18" ht="12.75" x14ac:dyDescent="0.2">
      <c r="A538" s="32"/>
      <c r="B538" s="32"/>
      <c r="F538" s="24"/>
      <c r="G538" s="24"/>
      <c r="H538" s="24"/>
      <c r="I538" s="24"/>
      <c r="J538" s="33"/>
      <c r="K538" s="33"/>
      <c r="L538" s="33"/>
      <c r="M538" s="24"/>
      <c r="N538" s="28"/>
      <c r="P538" s="32"/>
      <c r="R538" s="34"/>
    </row>
    <row r="539" spans="1:18" ht="12.75" x14ac:dyDescent="0.2">
      <c r="A539" s="32"/>
      <c r="B539" s="32"/>
      <c r="F539" s="24"/>
      <c r="G539" s="24"/>
      <c r="H539" s="24"/>
      <c r="I539" s="24"/>
      <c r="J539" s="33"/>
      <c r="K539" s="33"/>
      <c r="L539" s="33"/>
      <c r="M539" s="24"/>
      <c r="N539" s="28"/>
      <c r="P539" s="32"/>
      <c r="R539" s="34"/>
    </row>
    <row r="540" spans="1:18" ht="12.75" x14ac:dyDescent="0.2">
      <c r="A540" s="32"/>
      <c r="B540" s="32"/>
      <c r="F540" s="24"/>
      <c r="G540" s="24"/>
      <c r="H540" s="24"/>
      <c r="I540" s="24"/>
      <c r="J540" s="33"/>
      <c r="K540" s="33"/>
      <c r="L540" s="33"/>
      <c r="M540" s="24"/>
      <c r="N540" s="28"/>
      <c r="P540" s="32"/>
      <c r="R540" s="34"/>
    </row>
    <row r="541" spans="1:18" ht="12.75" x14ac:dyDescent="0.2">
      <c r="A541" s="32"/>
      <c r="B541" s="32"/>
      <c r="F541" s="24"/>
      <c r="G541" s="24"/>
      <c r="H541" s="24"/>
      <c r="I541" s="24"/>
      <c r="J541" s="33"/>
      <c r="K541" s="33"/>
      <c r="L541" s="33"/>
      <c r="M541" s="24"/>
      <c r="N541" s="28"/>
      <c r="P541" s="32"/>
      <c r="R541" s="34"/>
    </row>
    <row r="542" spans="1:18" ht="12.75" x14ac:dyDescent="0.2">
      <c r="A542" s="32"/>
      <c r="B542" s="32"/>
      <c r="F542" s="24"/>
      <c r="G542" s="24"/>
      <c r="H542" s="24"/>
      <c r="I542" s="24"/>
      <c r="J542" s="33"/>
      <c r="K542" s="33"/>
      <c r="L542" s="33"/>
      <c r="M542" s="24"/>
      <c r="N542" s="28"/>
      <c r="P542" s="32"/>
      <c r="R542" s="34"/>
    </row>
    <row r="543" spans="1:18" ht="12.75" x14ac:dyDescent="0.2">
      <c r="A543" s="32"/>
      <c r="B543" s="32"/>
      <c r="F543" s="24"/>
      <c r="G543" s="24"/>
      <c r="H543" s="24"/>
      <c r="I543" s="24"/>
      <c r="J543" s="33"/>
      <c r="K543" s="33"/>
      <c r="L543" s="33"/>
      <c r="M543" s="24"/>
      <c r="N543" s="28"/>
      <c r="P543" s="32"/>
      <c r="R543" s="34"/>
    </row>
    <row r="544" spans="1:18" ht="12.75" x14ac:dyDescent="0.2">
      <c r="A544" s="32"/>
      <c r="B544" s="32"/>
      <c r="F544" s="24"/>
      <c r="G544" s="24"/>
      <c r="H544" s="24"/>
      <c r="I544" s="24"/>
      <c r="J544" s="33"/>
      <c r="K544" s="33"/>
      <c r="L544" s="33"/>
      <c r="M544" s="24"/>
      <c r="N544" s="28"/>
      <c r="P544" s="32"/>
      <c r="R544" s="34"/>
    </row>
    <row r="545" spans="1:18" ht="12.75" x14ac:dyDescent="0.2">
      <c r="A545" s="32"/>
      <c r="B545" s="32"/>
      <c r="F545" s="24"/>
      <c r="G545" s="24"/>
      <c r="H545" s="24"/>
      <c r="I545" s="24"/>
      <c r="J545" s="33"/>
      <c r="K545" s="33"/>
      <c r="L545" s="33"/>
      <c r="M545" s="24"/>
      <c r="N545" s="28"/>
      <c r="P545" s="32"/>
      <c r="R545" s="34"/>
    </row>
    <row r="546" spans="1:18" ht="12.75" x14ac:dyDescent="0.2">
      <c r="A546" s="32"/>
      <c r="B546" s="32"/>
      <c r="F546" s="24"/>
      <c r="G546" s="24"/>
      <c r="H546" s="24"/>
      <c r="I546" s="24"/>
      <c r="J546" s="33"/>
      <c r="K546" s="33"/>
      <c r="L546" s="33"/>
      <c r="M546" s="24"/>
      <c r="N546" s="28"/>
      <c r="P546" s="32"/>
      <c r="R546" s="34"/>
    </row>
    <row r="547" spans="1:18" ht="12.75" x14ac:dyDescent="0.2">
      <c r="A547" s="32"/>
      <c r="B547" s="32"/>
      <c r="F547" s="24"/>
      <c r="G547" s="24"/>
      <c r="H547" s="24"/>
      <c r="I547" s="24"/>
      <c r="J547" s="33"/>
      <c r="K547" s="33"/>
      <c r="L547" s="33"/>
      <c r="M547" s="24"/>
      <c r="N547" s="28"/>
      <c r="P547" s="32"/>
      <c r="R547" s="34"/>
    </row>
    <row r="548" spans="1:18" ht="12.75" x14ac:dyDescent="0.2">
      <c r="A548" s="32"/>
      <c r="B548" s="32"/>
      <c r="F548" s="24"/>
      <c r="G548" s="24"/>
      <c r="H548" s="24"/>
      <c r="I548" s="24"/>
      <c r="J548" s="33"/>
      <c r="K548" s="33"/>
      <c r="L548" s="33"/>
      <c r="M548" s="24"/>
      <c r="N548" s="28"/>
      <c r="P548" s="32"/>
      <c r="R548" s="34"/>
    </row>
    <row r="549" spans="1:18" ht="12.75" x14ac:dyDescent="0.2">
      <c r="A549" s="32"/>
      <c r="B549" s="32"/>
      <c r="F549" s="24"/>
      <c r="G549" s="24"/>
      <c r="H549" s="24"/>
      <c r="I549" s="24"/>
      <c r="J549" s="33"/>
      <c r="K549" s="33"/>
      <c r="L549" s="33"/>
      <c r="M549" s="24"/>
      <c r="N549" s="28"/>
      <c r="P549" s="32"/>
      <c r="R549" s="34"/>
    </row>
    <row r="550" spans="1:18" ht="12.75" x14ac:dyDescent="0.2">
      <c r="A550" s="32"/>
      <c r="B550" s="32"/>
      <c r="F550" s="24"/>
      <c r="G550" s="24"/>
      <c r="H550" s="24"/>
      <c r="I550" s="24"/>
      <c r="J550" s="33"/>
      <c r="K550" s="33"/>
      <c r="L550" s="33"/>
      <c r="M550" s="24"/>
      <c r="N550" s="28"/>
      <c r="P550" s="32"/>
      <c r="R550" s="34"/>
    </row>
    <row r="551" spans="1:18" ht="12.75" x14ac:dyDescent="0.2">
      <c r="A551" s="32"/>
      <c r="B551" s="32"/>
      <c r="F551" s="24"/>
      <c r="G551" s="24"/>
      <c r="H551" s="24"/>
      <c r="I551" s="24"/>
      <c r="J551" s="33"/>
      <c r="K551" s="33"/>
      <c r="L551" s="33"/>
      <c r="M551" s="24"/>
      <c r="N551" s="28"/>
      <c r="P551" s="32"/>
      <c r="R551" s="34"/>
    </row>
    <row r="552" spans="1:18" ht="12.75" x14ac:dyDescent="0.2">
      <c r="A552" s="32"/>
      <c r="B552" s="32"/>
      <c r="F552" s="24"/>
      <c r="G552" s="24"/>
      <c r="H552" s="24"/>
      <c r="I552" s="24"/>
      <c r="J552" s="33"/>
      <c r="K552" s="33"/>
      <c r="L552" s="33"/>
      <c r="M552" s="24"/>
      <c r="N552" s="28"/>
      <c r="P552" s="32"/>
      <c r="R552" s="34"/>
    </row>
    <row r="553" spans="1:18" ht="12.75" x14ac:dyDescent="0.2">
      <c r="A553" s="32"/>
      <c r="B553" s="32"/>
      <c r="F553" s="24"/>
      <c r="G553" s="24"/>
      <c r="H553" s="24"/>
      <c r="I553" s="24"/>
      <c r="J553" s="33"/>
      <c r="K553" s="33"/>
      <c r="L553" s="33"/>
      <c r="M553" s="24"/>
      <c r="N553" s="28"/>
      <c r="P553" s="32"/>
      <c r="R553" s="34"/>
    </row>
    <row r="554" spans="1:18" ht="12.75" x14ac:dyDescent="0.2">
      <c r="A554" s="32"/>
      <c r="B554" s="32"/>
      <c r="F554" s="24"/>
      <c r="G554" s="24"/>
      <c r="H554" s="24"/>
      <c r="I554" s="24"/>
      <c r="J554" s="33"/>
      <c r="K554" s="33"/>
      <c r="L554" s="33"/>
      <c r="M554" s="24"/>
      <c r="N554" s="28"/>
      <c r="P554" s="32"/>
      <c r="R554" s="34"/>
    </row>
    <row r="555" spans="1:18" ht="12.75" x14ac:dyDescent="0.2">
      <c r="A555" s="32"/>
      <c r="B555" s="32"/>
      <c r="F555" s="24"/>
      <c r="G555" s="24"/>
      <c r="H555" s="24"/>
      <c r="I555" s="24"/>
      <c r="J555" s="33"/>
      <c r="K555" s="33"/>
      <c r="L555" s="33"/>
      <c r="M555" s="24"/>
      <c r="N555" s="28"/>
      <c r="P555" s="32"/>
      <c r="R555" s="34"/>
    </row>
    <row r="556" spans="1:18" ht="12.75" x14ac:dyDescent="0.2">
      <c r="A556" s="32"/>
      <c r="B556" s="32"/>
      <c r="F556" s="24"/>
      <c r="G556" s="24"/>
      <c r="H556" s="24"/>
      <c r="I556" s="24"/>
      <c r="J556" s="33"/>
      <c r="K556" s="33"/>
      <c r="L556" s="33"/>
      <c r="M556" s="24"/>
      <c r="N556" s="28"/>
      <c r="P556" s="32"/>
      <c r="R556" s="34"/>
    </row>
    <row r="557" spans="1:18" ht="12.75" x14ac:dyDescent="0.2">
      <c r="A557" s="32"/>
      <c r="B557" s="32"/>
      <c r="F557" s="24"/>
      <c r="G557" s="24"/>
      <c r="H557" s="24"/>
      <c r="I557" s="24"/>
      <c r="J557" s="33"/>
      <c r="K557" s="33"/>
      <c r="L557" s="33"/>
      <c r="M557" s="24"/>
      <c r="N557" s="28"/>
      <c r="P557" s="32"/>
      <c r="R557" s="34"/>
    </row>
    <row r="558" spans="1:18" ht="12.75" x14ac:dyDescent="0.2">
      <c r="A558" s="32"/>
      <c r="B558" s="32"/>
      <c r="F558" s="24"/>
      <c r="G558" s="24"/>
      <c r="H558" s="24"/>
      <c r="I558" s="24"/>
      <c r="J558" s="33"/>
      <c r="K558" s="33"/>
      <c r="L558" s="33"/>
      <c r="M558" s="24"/>
      <c r="N558" s="28"/>
      <c r="P558" s="32"/>
      <c r="R558" s="34"/>
    </row>
    <row r="559" spans="1:18" ht="12.75" x14ac:dyDescent="0.2">
      <c r="A559" s="32"/>
      <c r="B559" s="32"/>
      <c r="F559" s="24"/>
      <c r="G559" s="24"/>
      <c r="H559" s="24"/>
      <c r="I559" s="24"/>
      <c r="J559" s="33"/>
      <c r="K559" s="33"/>
      <c r="L559" s="33"/>
      <c r="M559" s="24"/>
      <c r="N559" s="28"/>
      <c r="P559" s="32"/>
      <c r="R559" s="34"/>
    </row>
    <row r="560" spans="1:18" ht="12.75" x14ac:dyDescent="0.2">
      <c r="A560" s="32"/>
      <c r="B560" s="32"/>
      <c r="F560" s="24"/>
      <c r="G560" s="24"/>
      <c r="H560" s="24"/>
      <c r="I560" s="24"/>
      <c r="J560" s="33"/>
      <c r="K560" s="33"/>
      <c r="L560" s="33"/>
      <c r="M560" s="24"/>
      <c r="N560" s="28"/>
      <c r="P560" s="32"/>
      <c r="R560" s="34"/>
    </row>
    <row r="561" spans="1:18" ht="12.75" x14ac:dyDescent="0.2">
      <c r="A561" s="32"/>
      <c r="B561" s="32"/>
      <c r="F561" s="24"/>
      <c r="G561" s="24"/>
      <c r="H561" s="24"/>
      <c r="I561" s="24"/>
      <c r="J561" s="33"/>
      <c r="K561" s="33"/>
      <c r="L561" s="33"/>
      <c r="M561" s="24"/>
      <c r="N561" s="28"/>
      <c r="P561" s="32"/>
      <c r="R561" s="34"/>
    </row>
    <row r="562" spans="1:18" ht="12.75" x14ac:dyDescent="0.2">
      <c r="A562" s="32"/>
      <c r="B562" s="32"/>
      <c r="F562" s="24"/>
      <c r="G562" s="24"/>
      <c r="H562" s="24"/>
      <c r="I562" s="24"/>
      <c r="J562" s="33"/>
      <c r="K562" s="33"/>
      <c r="L562" s="33"/>
      <c r="M562" s="24"/>
      <c r="N562" s="28"/>
      <c r="P562" s="32"/>
      <c r="R562" s="34"/>
    </row>
    <row r="563" spans="1:18" ht="12.75" x14ac:dyDescent="0.2">
      <c r="A563" s="32"/>
      <c r="B563" s="32"/>
      <c r="F563" s="24"/>
      <c r="G563" s="24"/>
      <c r="H563" s="24"/>
      <c r="I563" s="24"/>
      <c r="J563" s="33"/>
      <c r="K563" s="33"/>
      <c r="L563" s="33"/>
      <c r="M563" s="24"/>
      <c r="N563" s="28"/>
      <c r="P563" s="32"/>
      <c r="R563" s="34"/>
    </row>
    <row r="564" spans="1:18" ht="12.75" x14ac:dyDescent="0.2">
      <c r="A564" s="32"/>
      <c r="B564" s="32"/>
      <c r="F564" s="24"/>
      <c r="G564" s="24"/>
      <c r="H564" s="24"/>
      <c r="I564" s="24"/>
      <c r="J564" s="33"/>
      <c r="K564" s="33"/>
      <c r="L564" s="33"/>
      <c r="M564" s="24"/>
      <c r="N564" s="28"/>
      <c r="P564" s="32"/>
      <c r="R564" s="34"/>
    </row>
    <row r="565" spans="1:18" ht="12.75" x14ac:dyDescent="0.2">
      <c r="A565" s="32"/>
      <c r="B565" s="32"/>
      <c r="F565" s="24"/>
      <c r="G565" s="24"/>
      <c r="H565" s="24"/>
      <c r="I565" s="24"/>
      <c r="J565" s="33"/>
      <c r="K565" s="33"/>
      <c r="L565" s="33"/>
      <c r="M565" s="24"/>
      <c r="N565" s="28"/>
      <c r="P565" s="32"/>
      <c r="R565" s="34"/>
    </row>
    <row r="566" spans="1:18" ht="12.75" x14ac:dyDescent="0.2">
      <c r="A566" s="32"/>
      <c r="B566" s="32"/>
      <c r="F566" s="24"/>
      <c r="G566" s="24"/>
      <c r="H566" s="24"/>
      <c r="I566" s="24"/>
      <c r="J566" s="33"/>
      <c r="K566" s="33"/>
      <c r="L566" s="33"/>
      <c r="M566" s="24"/>
      <c r="N566" s="28"/>
      <c r="P566" s="32"/>
      <c r="R566" s="34"/>
    </row>
    <row r="567" spans="1:18" ht="12.75" x14ac:dyDescent="0.2">
      <c r="A567" s="32"/>
      <c r="B567" s="32"/>
      <c r="F567" s="24"/>
      <c r="G567" s="24"/>
      <c r="H567" s="24"/>
      <c r="I567" s="24"/>
      <c r="J567" s="33"/>
      <c r="K567" s="33"/>
      <c r="L567" s="33"/>
      <c r="M567" s="24"/>
      <c r="N567" s="28"/>
      <c r="P567" s="32"/>
      <c r="R567" s="34"/>
    </row>
    <row r="568" spans="1:18" ht="12.75" x14ac:dyDescent="0.2">
      <c r="A568" s="32"/>
      <c r="B568" s="32"/>
      <c r="F568" s="24"/>
      <c r="G568" s="24"/>
      <c r="H568" s="24"/>
      <c r="I568" s="24"/>
      <c r="J568" s="33"/>
      <c r="K568" s="33"/>
      <c r="L568" s="33"/>
      <c r="M568" s="24"/>
      <c r="N568" s="28"/>
      <c r="P568" s="32"/>
      <c r="R568" s="34"/>
    </row>
    <row r="569" spans="1:18" ht="12.75" x14ac:dyDescent="0.2">
      <c r="A569" s="32"/>
      <c r="B569" s="32"/>
      <c r="F569" s="24"/>
      <c r="G569" s="24"/>
      <c r="H569" s="24"/>
      <c r="I569" s="24"/>
      <c r="J569" s="33"/>
      <c r="K569" s="33"/>
      <c r="L569" s="33"/>
      <c r="M569" s="24"/>
      <c r="N569" s="28"/>
      <c r="P569" s="32"/>
      <c r="R569" s="34"/>
    </row>
    <row r="570" spans="1:18" ht="12.75" x14ac:dyDescent="0.2">
      <c r="A570" s="32"/>
      <c r="B570" s="32"/>
      <c r="F570" s="24"/>
      <c r="G570" s="24"/>
      <c r="H570" s="24"/>
      <c r="I570" s="24"/>
      <c r="J570" s="33"/>
      <c r="K570" s="33"/>
      <c r="L570" s="33"/>
      <c r="M570" s="24"/>
      <c r="N570" s="28"/>
      <c r="P570" s="32"/>
      <c r="R570" s="34"/>
    </row>
    <row r="571" spans="1:18" ht="12.75" x14ac:dyDescent="0.2">
      <c r="A571" s="32"/>
      <c r="B571" s="32"/>
      <c r="F571" s="24"/>
      <c r="G571" s="24"/>
      <c r="H571" s="24"/>
      <c r="I571" s="24"/>
      <c r="J571" s="33"/>
      <c r="K571" s="33"/>
      <c r="L571" s="33"/>
      <c r="M571" s="24"/>
      <c r="N571" s="28"/>
      <c r="P571" s="32"/>
      <c r="R571" s="34"/>
    </row>
    <row r="572" spans="1:18" ht="12.75" x14ac:dyDescent="0.2">
      <c r="A572" s="32"/>
      <c r="B572" s="32"/>
      <c r="F572" s="24"/>
      <c r="G572" s="24"/>
      <c r="H572" s="24"/>
      <c r="I572" s="24"/>
      <c r="J572" s="33"/>
      <c r="K572" s="33"/>
      <c r="L572" s="33"/>
      <c r="M572" s="24"/>
      <c r="N572" s="28"/>
      <c r="P572" s="32"/>
      <c r="R572" s="34"/>
    </row>
    <row r="573" spans="1:18" ht="12.75" x14ac:dyDescent="0.2">
      <c r="A573" s="32"/>
      <c r="B573" s="32"/>
      <c r="F573" s="24"/>
      <c r="G573" s="24"/>
      <c r="H573" s="24"/>
      <c r="I573" s="24"/>
      <c r="J573" s="33"/>
      <c r="K573" s="33"/>
      <c r="L573" s="33"/>
      <c r="M573" s="24"/>
      <c r="N573" s="28"/>
      <c r="P573" s="32"/>
      <c r="R573" s="34"/>
    </row>
    <row r="574" spans="1:18" ht="12.75" x14ac:dyDescent="0.2">
      <c r="A574" s="32"/>
      <c r="B574" s="32"/>
      <c r="F574" s="24"/>
      <c r="G574" s="24"/>
      <c r="H574" s="24"/>
      <c r="I574" s="24"/>
      <c r="J574" s="33"/>
      <c r="K574" s="33"/>
      <c r="L574" s="33"/>
      <c r="M574" s="24"/>
      <c r="N574" s="28"/>
      <c r="P574" s="32"/>
      <c r="R574" s="34"/>
    </row>
    <row r="575" spans="1:18" ht="12.75" x14ac:dyDescent="0.2">
      <c r="A575" s="32"/>
      <c r="B575" s="32"/>
      <c r="F575" s="24"/>
      <c r="G575" s="24"/>
      <c r="H575" s="24"/>
      <c r="I575" s="24"/>
      <c r="J575" s="33"/>
      <c r="K575" s="33"/>
      <c r="L575" s="33"/>
      <c r="M575" s="24"/>
      <c r="N575" s="28"/>
      <c r="P575" s="32"/>
      <c r="R575" s="34"/>
    </row>
    <row r="576" spans="1:18" ht="12.75" x14ac:dyDescent="0.2">
      <c r="A576" s="32"/>
      <c r="B576" s="32"/>
      <c r="F576" s="24"/>
      <c r="G576" s="24"/>
      <c r="H576" s="24"/>
      <c r="I576" s="24"/>
      <c r="J576" s="33"/>
      <c r="K576" s="33"/>
      <c r="L576" s="33"/>
      <c r="M576" s="24"/>
      <c r="N576" s="28"/>
      <c r="P576" s="32"/>
      <c r="R576" s="34"/>
    </row>
    <row r="577" spans="1:18" ht="12.75" x14ac:dyDescent="0.2">
      <c r="A577" s="32"/>
      <c r="B577" s="32"/>
      <c r="F577" s="24"/>
      <c r="G577" s="24"/>
      <c r="H577" s="24"/>
      <c r="I577" s="24"/>
      <c r="J577" s="33"/>
      <c r="K577" s="33"/>
      <c r="L577" s="33"/>
      <c r="M577" s="24"/>
      <c r="N577" s="28"/>
      <c r="P577" s="32"/>
      <c r="R577" s="34"/>
    </row>
    <row r="578" spans="1:18" ht="12.75" x14ac:dyDescent="0.2">
      <c r="A578" s="32"/>
      <c r="B578" s="32"/>
      <c r="F578" s="24"/>
      <c r="G578" s="24"/>
      <c r="H578" s="24"/>
      <c r="I578" s="24"/>
      <c r="J578" s="33"/>
      <c r="K578" s="33"/>
      <c r="L578" s="33"/>
      <c r="M578" s="24"/>
      <c r="N578" s="28"/>
      <c r="P578" s="32"/>
      <c r="R578" s="34"/>
    </row>
    <row r="579" spans="1:18" ht="12.75" x14ac:dyDescent="0.2">
      <c r="A579" s="32"/>
      <c r="B579" s="32"/>
      <c r="F579" s="24"/>
      <c r="G579" s="24"/>
      <c r="H579" s="24"/>
      <c r="I579" s="24"/>
      <c r="J579" s="33"/>
      <c r="K579" s="33"/>
      <c r="L579" s="33"/>
      <c r="M579" s="24"/>
      <c r="N579" s="28"/>
      <c r="P579" s="32"/>
      <c r="R579" s="34"/>
    </row>
    <row r="580" spans="1:18" ht="12.75" x14ac:dyDescent="0.2">
      <c r="A580" s="32"/>
      <c r="B580" s="32"/>
      <c r="F580" s="24"/>
      <c r="G580" s="24"/>
      <c r="H580" s="24"/>
      <c r="I580" s="24"/>
      <c r="J580" s="33"/>
      <c r="K580" s="33"/>
      <c r="L580" s="33"/>
      <c r="M580" s="24"/>
      <c r="N580" s="28"/>
      <c r="P580" s="32"/>
      <c r="R580" s="34"/>
    </row>
    <row r="581" spans="1:18" ht="12.75" x14ac:dyDescent="0.2">
      <c r="A581" s="32"/>
      <c r="B581" s="32"/>
      <c r="F581" s="24"/>
      <c r="G581" s="24"/>
      <c r="H581" s="24"/>
      <c r="I581" s="24"/>
      <c r="J581" s="33"/>
      <c r="K581" s="33"/>
      <c r="L581" s="33"/>
      <c r="M581" s="24"/>
      <c r="N581" s="28"/>
      <c r="P581" s="32"/>
      <c r="R581" s="34"/>
    </row>
    <row r="582" spans="1:18" ht="12.75" x14ac:dyDescent="0.2">
      <c r="A582" s="32"/>
      <c r="B582" s="32"/>
      <c r="F582" s="24"/>
      <c r="G582" s="24"/>
      <c r="H582" s="24"/>
      <c r="I582" s="24"/>
      <c r="J582" s="33"/>
      <c r="K582" s="33"/>
      <c r="L582" s="33"/>
      <c r="M582" s="24"/>
      <c r="N582" s="28"/>
      <c r="P582" s="32"/>
      <c r="R582" s="34"/>
    </row>
    <row r="583" spans="1:18" ht="12.75" x14ac:dyDescent="0.2">
      <c r="A583" s="32"/>
      <c r="B583" s="32"/>
      <c r="F583" s="24"/>
      <c r="G583" s="24"/>
      <c r="H583" s="24"/>
      <c r="I583" s="24"/>
      <c r="J583" s="33"/>
      <c r="K583" s="33"/>
      <c r="L583" s="33"/>
      <c r="M583" s="24"/>
      <c r="N583" s="28"/>
      <c r="P583" s="32"/>
      <c r="R583" s="34"/>
    </row>
    <row r="584" spans="1:18" ht="12.75" x14ac:dyDescent="0.2">
      <c r="A584" s="32"/>
      <c r="B584" s="32"/>
      <c r="F584" s="24"/>
      <c r="G584" s="24"/>
      <c r="H584" s="24"/>
      <c r="I584" s="24"/>
      <c r="J584" s="33"/>
      <c r="K584" s="33"/>
      <c r="L584" s="33"/>
      <c r="M584" s="24"/>
      <c r="N584" s="28"/>
      <c r="P584" s="32"/>
      <c r="R584" s="34"/>
    </row>
    <row r="585" spans="1:18" ht="12.75" x14ac:dyDescent="0.2">
      <c r="A585" s="32"/>
      <c r="B585" s="32"/>
      <c r="F585" s="24"/>
      <c r="G585" s="24"/>
      <c r="H585" s="24"/>
      <c r="I585" s="24"/>
      <c r="J585" s="33"/>
      <c r="K585" s="33"/>
      <c r="L585" s="33"/>
      <c r="M585" s="24"/>
      <c r="N585" s="28"/>
      <c r="P585" s="32"/>
      <c r="R585" s="34"/>
    </row>
    <row r="586" spans="1:18" ht="12.75" x14ac:dyDescent="0.2">
      <c r="A586" s="32"/>
      <c r="B586" s="32"/>
      <c r="F586" s="24"/>
      <c r="G586" s="24"/>
      <c r="H586" s="24"/>
      <c r="I586" s="24"/>
      <c r="J586" s="33"/>
      <c r="K586" s="33"/>
      <c r="L586" s="33"/>
      <c r="M586" s="24"/>
      <c r="N586" s="28"/>
      <c r="P586" s="32"/>
      <c r="R586" s="34"/>
    </row>
    <row r="587" spans="1:18" ht="12.75" x14ac:dyDescent="0.2">
      <c r="A587" s="32"/>
      <c r="B587" s="32"/>
      <c r="F587" s="24"/>
      <c r="G587" s="24"/>
      <c r="H587" s="24"/>
      <c r="I587" s="24"/>
      <c r="J587" s="33"/>
      <c r="K587" s="33"/>
      <c r="L587" s="33"/>
      <c r="M587" s="24"/>
      <c r="N587" s="28"/>
      <c r="P587" s="32"/>
      <c r="R587" s="34"/>
    </row>
    <row r="588" spans="1:18" ht="12.75" x14ac:dyDescent="0.2">
      <c r="A588" s="32"/>
      <c r="B588" s="32"/>
      <c r="F588" s="24"/>
      <c r="G588" s="24"/>
      <c r="H588" s="24"/>
      <c r="I588" s="24"/>
      <c r="J588" s="33"/>
      <c r="K588" s="33"/>
      <c r="L588" s="33"/>
      <c r="M588" s="24"/>
      <c r="N588" s="28"/>
      <c r="P588" s="32"/>
      <c r="R588" s="34"/>
    </row>
    <row r="589" spans="1:18" ht="12.75" x14ac:dyDescent="0.2">
      <c r="A589" s="32"/>
      <c r="B589" s="32"/>
      <c r="F589" s="24"/>
      <c r="G589" s="24"/>
      <c r="H589" s="24"/>
      <c r="I589" s="24"/>
      <c r="J589" s="33"/>
      <c r="K589" s="33"/>
      <c r="L589" s="33"/>
      <c r="M589" s="24"/>
      <c r="N589" s="28"/>
      <c r="P589" s="32"/>
      <c r="R589" s="34"/>
    </row>
    <row r="590" spans="1:18" ht="12.75" x14ac:dyDescent="0.2">
      <c r="A590" s="32"/>
      <c r="B590" s="32"/>
      <c r="F590" s="24"/>
      <c r="G590" s="24"/>
      <c r="H590" s="24"/>
      <c r="I590" s="24"/>
      <c r="J590" s="33"/>
      <c r="K590" s="33"/>
      <c r="L590" s="33"/>
      <c r="M590" s="24"/>
      <c r="N590" s="28"/>
      <c r="P590" s="32"/>
      <c r="R590" s="34"/>
    </row>
    <row r="591" spans="1:18" ht="12.75" x14ac:dyDescent="0.2">
      <c r="A591" s="32"/>
      <c r="B591" s="32"/>
      <c r="F591" s="24"/>
      <c r="G591" s="24"/>
      <c r="H591" s="24"/>
      <c r="I591" s="24"/>
      <c r="J591" s="33"/>
      <c r="K591" s="33"/>
      <c r="L591" s="33"/>
      <c r="M591" s="24"/>
      <c r="N591" s="28"/>
      <c r="P591" s="32"/>
      <c r="R591" s="34"/>
    </row>
    <row r="592" spans="1:18" ht="12.75" x14ac:dyDescent="0.2">
      <c r="A592" s="32"/>
      <c r="B592" s="32"/>
      <c r="F592" s="24"/>
      <c r="G592" s="24"/>
      <c r="H592" s="24"/>
      <c r="I592" s="24"/>
      <c r="J592" s="33"/>
      <c r="K592" s="33"/>
      <c r="L592" s="33"/>
      <c r="M592" s="24"/>
      <c r="N592" s="28"/>
      <c r="P592" s="32"/>
      <c r="R592" s="34"/>
    </row>
    <row r="593" spans="1:18" ht="12.75" x14ac:dyDescent="0.2">
      <c r="A593" s="32"/>
      <c r="B593" s="32"/>
      <c r="F593" s="24"/>
      <c r="G593" s="24"/>
      <c r="H593" s="24"/>
      <c r="I593" s="24"/>
      <c r="J593" s="33"/>
      <c r="K593" s="33"/>
      <c r="L593" s="33"/>
      <c r="M593" s="24"/>
      <c r="N593" s="28"/>
      <c r="P593" s="32"/>
      <c r="R593" s="34"/>
    </row>
    <row r="594" spans="1:18" ht="12.75" x14ac:dyDescent="0.2">
      <c r="A594" s="32"/>
      <c r="B594" s="32"/>
      <c r="F594" s="24"/>
      <c r="G594" s="24"/>
      <c r="H594" s="24"/>
      <c r="I594" s="24"/>
      <c r="J594" s="33"/>
      <c r="K594" s="33"/>
      <c r="L594" s="33"/>
      <c r="M594" s="24"/>
      <c r="N594" s="28"/>
      <c r="P594" s="32"/>
      <c r="R594" s="34"/>
    </row>
    <row r="595" spans="1:18" ht="12.75" x14ac:dyDescent="0.2">
      <c r="A595" s="32"/>
      <c r="B595" s="32"/>
      <c r="F595" s="24"/>
      <c r="G595" s="24"/>
      <c r="H595" s="24"/>
      <c r="I595" s="24"/>
      <c r="J595" s="33"/>
      <c r="K595" s="33"/>
      <c r="L595" s="33"/>
      <c r="M595" s="24"/>
      <c r="N595" s="28"/>
      <c r="P595" s="32"/>
      <c r="R595" s="34"/>
    </row>
    <row r="596" spans="1:18" ht="12.75" x14ac:dyDescent="0.2">
      <c r="A596" s="32"/>
      <c r="B596" s="32"/>
      <c r="F596" s="24"/>
      <c r="G596" s="24"/>
      <c r="H596" s="24"/>
      <c r="I596" s="24"/>
      <c r="J596" s="33"/>
      <c r="K596" s="33"/>
      <c r="L596" s="33"/>
      <c r="M596" s="24"/>
      <c r="N596" s="28"/>
      <c r="P596" s="32"/>
      <c r="R596" s="34"/>
    </row>
    <row r="597" spans="1:18" ht="12.75" x14ac:dyDescent="0.2">
      <c r="A597" s="32"/>
      <c r="B597" s="32"/>
      <c r="F597" s="24"/>
      <c r="G597" s="24"/>
      <c r="H597" s="24"/>
      <c r="I597" s="24"/>
      <c r="J597" s="33"/>
      <c r="K597" s="33"/>
      <c r="L597" s="33"/>
      <c r="M597" s="24"/>
      <c r="N597" s="28"/>
      <c r="P597" s="32"/>
      <c r="R597" s="34"/>
    </row>
    <row r="598" spans="1:18" ht="12.75" x14ac:dyDescent="0.2">
      <c r="A598" s="32"/>
      <c r="B598" s="32"/>
      <c r="F598" s="24"/>
      <c r="G598" s="24"/>
      <c r="H598" s="24"/>
      <c r="I598" s="24"/>
      <c r="J598" s="33"/>
      <c r="K598" s="33"/>
      <c r="L598" s="33"/>
      <c r="M598" s="24"/>
      <c r="N598" s="28"/>
      <c r="P598" s="32"/>
      <c r="R598" s="34"/>
    </row>
    <row r="599" spans="1:18" ht="12.75" x14ac:dyDescent="0.2">
      <c r="A599" s="32"/>
      <c r="B599" s="32"/>
      <c r="F599" s="24"/>
      <c r="G599" s="24"/>
      <c r="H599" s="24"/>
      <c r="I599" s="24"/>
      <c r="J599" s="33"/>
      <c r="K599" s="33"/>
      <c r="L599" s="33"/>
      <c r="M599" s="24"/>
      <c r="N599" s="28"/>
      <c r="P599" s="32"/>
      <c r="R599" s="34"/>
    </row>
    <row r="600" spans="1:18" ht="12.75" x14ac:dyDescent="0.2">
      <c r="A600" s="32"/>
      <c r="B600" s="32"/>
      <c r="F600" s="24"/>
      <c r="G600" s="24"/>
      <c r="H600" s="24"/>
      <c r="I600" s="24"/>
      <c r="J600" s="33"/>
      <c r="K600" s="33"/>
      <c r="L600" s="33"/>
      <c r="M600" s="24"/>
      <c r="N600" s="28"/>
      <c r="P600" s="32"/>
      <c r="R600" s="34"/>
    </row>
    <row r="601" spans="1:18" ht="12.75" x14ac:dyDescent="0.2">
      <c r="A601" s="32"/>
      <c r="B601" s="32"/>
      <c r="F601" s="24"/>
      <c r="G601" s="24"/>
      <c r="H601" s="24"/>
      <c r="I601" s="24"/>
      <c r="J601" s="33"/>
      <c r="K601" s="33"/>
      <c r="L601" s="33"/>
      <c r="M601" s="24"/>
      <c r="N601" s="28"/>
      <c r="P601" s="32"/>
      <c r="R601" s="34"/>
    </row>
    <row r="602" spans="1:18" ht="12.75" x14ac:dyDescent="0.2">
      <c r="A602" s="32"/>
      <c r="B602" s="32"/>
      <c r="F602" s="24"/>
      <c r="G602" s="24"/>
      <c r="H602" s="24"/>
      <c r="I602" s="24"/>
      <c r="J602" s="33"/>
      <c r="K602" s="33"/>
      <c r="L602" s="33"/>
      <c r="M602" s="24"/>
      <c r="N602" s="28"/>
      <c r="P602" s="32"/>
      <c r="R602" s="34"/>
    </row>
    <row r="603" spans="1:18" ht="12.75" x14ac:dyDescent="0.2">
      <c r="A603" s="32"/>
      <c r="B603" s="32"/>
      <c r="F603" s="24"/>
      <c r="G603" s="24"/>
      <c r="H603" s="24"/>
      <c r="I603" s="24"/>
      <c r="J603" s="33"/>
      <c r="K603" s="33"/>
      <c r="L603" s="33"/>
      <c r="M603" s="24"/>
      <c r="N603" s="28"/>
      <c r="P603" s="32"/>
      <c r="R603" s="34"/>
    </row>
    <row r="604" spans="1:18" ht="12.75" x14ac:dyDescent="0.2">
      <c r="A604" s="32"/>
      <c r="B604" s="32"/>
      <c r="F604" s="24"/>
      <c r="G604" s="24"/>
      <c r="H604" s="24"/>
      <c r="I604" s="24"/>
      <c r="J604" s="33"/>
      <c r="K604" s="33"/>
      <c r="L604" s="33"/>
      <c r="M604" s="24"/>
      <c r="N604" s="28"/>
      <c r="P604" s="32"/>
      <c r="R604" s="34"/>
    </row>
    <row r="605" spans="1:18" ht="12.75" x14ac:dyDescent="0.2">
      <c r="A605" s="32"/>
      <c r="B605" s="32"/>
      <c r="F605" s="24"/>
      <c r="G605" s="24"/>
      <c r="H605" s="24"/>
      <c r="I605" s="24"/>
      <c r="J605" s="33"/>
      <c r="K605" s="33"/>
      <c r="L605" s="33"/>
      <c r="M605" s="24"/>
      <c r="N605" s="28"/>
      <c r="P605" s="32"/>
      <c r="R605" s="34"/>
    </row>
    <row r="606" spans="1:18" ht="12.75" x14ac:dyDescent="0.2">
      <c r="A606" s="32"/>
      <c r="B606" s="32"/>
      <c r="F606" s="24"/>
      <c r="G606" s="24"/>
      <c r="H606" s="24"/>
      <c r="I606" s="24"/>
      <c r="J606" s="33"/>
      <c r="K606" s="33"/>
      <c r="L606" s="33"/>
      <c r="M606" s="24"/>
      <c r="N606" s="28"/>
      <c r="P606" s="32"/>
      <c r="R606" s="34"/>
    </row>
    <row r="607" spans="1:18" ht="12.75" x14ac:dyDescent="0.2">
      <c r="A607" s="32"/>
      <c r="B607" s="32"/>
      <c r="F607" s="24"/>
      <c r="G607" s="24"/>
      <c r="H607" s="24"/>
      <c r="I607" s="24"/>
      <c r="J607" s="33"/>
      <c r="K607" s="33"/>
      <c r="L607" s="33"/>
      <c r="M607" s="24"/>
      <c r="N607" s="28"/>
      <c r="P607" s="32"/>
      <c r="R607" s="34"/>
    </row>
    <row r="608" spans="1:18" ht="12.75" x14ac:dyDescent="0.2">
      <c r="A608" s="32"/>
      <c r="B608" s="32"/>
      <c r="F608" s="24"/>
      <c r="G608" s="24"/>
      <c r="H608" s="24"/>
      <c r="I608" s="24"/>
      <c r="J608" s="33"/>
      <c r="K608" s="33"/>
      <c r="L608" s="33"/>
      <c r="M608" s="24"/>
      <c r="N608" s="28"/>
      <c r="P608" s="32"/>
      <c r="R608" s="34"/>
    </row>
    <row r="609" spans="1:18" ht="12.75" x14ac:dyDescent="0.2">
      <c r="A609" s="32"/>
      <c r="B609" s="32"/>
      <c r="F609" s="24"/>
      <c r="G609" s="24"/>
      <c r="H609" s="24"/>
      <c r="I609" s="24"/>
      <c r="J609" s="33"/>
      <c r="K609" s="33"/>
      <c r="L609" s="33"/>
      <c r="M609" s="24"/>
      <c r="N609" s="28"/>
      <c r="P609" s="32"/>
      <c r="R609" s="34"/>
    </row>
    <row r="610" spans="1:18" ht="12.75" x14ac:dyDescent="0.2">
      <c r="A610" s="32"/>
      <c r="B610" s="32"/>
      <c r="F610" s="24"/>
      <c r="G610" s="24"/>
      <c r="H610" s="24"/>
      <c r="I610" s="24"/>
      <c r="J610" s="33"/>
      <c r="K610" s="33"/>
      <c r="L610" s="33"/>
      <c r="M610" s="24"/>
      <c r="N610" s="28"/>
      <c r="P610" s="32"/>
      <c r="R610" s="34"/>
    </row>
    <row r="611" spans="1:18" ht="12.75" x14ac:dyDescent="0.2">
      <c r="A611" s="32"/>
      <c r="B611" s="32"/>
      <c r="F611" s="24"/>
      <c r="G611" s="24"/>
      <c r="H611" s="24"/>
      <c r="I611" s="24"/>
      <c r="J611" s="33"/>
      <c r="K611" s="33"/>
      <c r="L611" s="33"/>
      <c r="M611" s="24"/>
      <c r="N611" s="28"/>
      <c r="P611" s="32"/>
      <c r="R611" s="34"/>
    </row>
    <row r="612" spans="1:18" ht="12.75" x14ac:dyDescent="0.2">
      <c r="A612" s="32"/>
      <c r="B612" s="32"/>
      <c r="F612" s="24"/>
      <c r="G612" s="24"/>
      <c r="H612" s="24"/>
      <c r="I612" s="24"/>
      <c r="J612" s="33"/>
      <c r="K612" s="33"/>
      <c r="L612" s="33"/>
      <c r="M612" s="24"/>
      <c r="N612" s="28"/>
      <c r="P612" s="32"/>
      <c r="R612" s="34"/>
    </row>
    <row r="613" spans="1:18" ht="12.75" x14ac:dyDescent="0.2">
      <c r="A613" s="32"/>
      <c r="B613" s="32"/>
      <c r="F613" s="24"/>
      <c r="G613" s="24"/>
      <c r="H613" s="24"/>
      <c r="I613" s="24"/>
      <c r="J613" s="33"/>
      <c r="K613" s="33"/>
      <c r="L613" s="33"/>
      <c r="M613" s="24"/>
      <c r="N613" s="28"/>
      <c r="P613" s="32"/>
      <c r="R613" s="34"/>
    </row>
    <row r="614" spans="1:18" ht="12.75" x14ac:dyDescent="0.2">
      <c r="A614" s="32"/>
      <c r="B614" s="32"/>
      <c r="F614" s="24"/>
      <c r="G614" s="24"/>
      <c r="H614" s="24"/>
      <c r="I614" s="24"/>
      <c r="J614" s="33"/>
      <c r="K614" s="33"/>
      <c r="L614" s="33"/>
      <c r="M614" s="24"/>
      <c r="N614" s="28"/>
      <c r="P614" s="32"/>
      <c r="R614" s="34"/>
    </row>
    <row r="615" spans="1:18" ht="12.75" x14ac:dyDescent="0.2">
      <c r="A615" s="32"/>
      <c r="B615" s="32"/>
      <c r="F615" s="24"/>
      <c r="G615" s="24"/>
      <c r="H615" s="24"/>
      <c r="I615" s="24"/>
      <c r="J615" s="33"/>
      <c r="K615" s="33"/>
      <c r="L615" s="33"/>
      <c r="M615" s="24"/>
      <c r="N615" s="28"/>
      <c r="P615" s="32"/>
      <c r="R615" s="34"/>
    </row>
    <row r="616" spans="1:18" ht="12.75" x14ac:dyDescent="0.2">
      <c r="A616" s="32"/>
      <c r="B616" s="32"/>
      <c r="F616" s="24"/>
      <c r="G616" s="24"/>
      <c r="H616" s="24"/>
      <c r="I616" s="24"/>
      <c r="J616" s="33"/>
      <c r="K616" s="33"/>
      <c r="L616" s="33"/>
      <c r="M616" s="24"/>
      <c r="N616" s="28"/>
      <c r="P616" s="32"/>
      <c r="R616" s="34"/>
    </row>
    <row r="617" spans="1:18" ht="12.75" x14ac:dyDescent="0.2">
      <c r="A617" s="32"/>
      <c r="B617" s="32"/>
      <c r="F617" s="24"/>
      <c r="G617" s="24"/>
      <c r="H617" s="24"/>
      <c r="I617" s="24"/>
      <c r="J617" s="33"/>
      <c r="K617" s="33"/>
      <c r="L617" s="33"/>
      <c r="M617" s="24"/>
      <c r="N617" s="28"/>
      <c r="P617" s="32"/>
      <c r="R617" s="34"/>
    </row>
    <row r="618" spans="1:18" ht="12.75" x14ac:dyDescent="0.2">
      <c r="A618" s="32"/>
      <c r="B618" s="32"/>
      <c r="F618" s="24"/>
      <c r="G618" s="24"/>
      <c r="H618" s="24"/>
      <c r="I618" s="24"/>
      <c r="J618" s="33"/>
      <c r="K618" s="33"/>
      <c r="L618" s="33"/>
      <c r="M618" s="24"/>
      <c r="N618" s="28"/>
      <c r="P618" s="32"/>
      <c r="R618" s="34"/>
    </row>
    <row r="619" spans="1:18" ht="12.75" x14ac:dyDescent="0.2">
      <c r="A619" s="32"/>
      <c r="B619" s="32"/>
      <c r="F619" s="24"/>
      <c r="G619" s="24"/>
      <c r="H619" s="24"/>
      <c r="I619" s="24"/>
      <c r="J619" s="33"/>
      <c r="K619" s="33"/>
      <c r="L619" s="33"/>
      <c r="M619" s="24"/>
      <c r="N619" s="28"/>
      <c r="P619" s="32"/>
      <c r="R619" s="34"/>
    </row>
    <row r="620" spans="1:18" ht="12.75" x14ac:dyDescent="0.2">
      <c r="A620" s="32"/>
      <c r="B620" s="32"/>
      <c r="F620" s="24"/>
      <c r="G620" s="24"/>
      <c r="H620" s="24"/>
      <c r="I620" s="24"/>
      <c r="J620" s="33"/>
      <c r="K620" s="33"/>
      <c r="L620" s="33"/>
      <c r="M620" s="24"/>
      <c r="N620" s="28"/>
      <c r="P620" s="32"/>
      <c r="R620" s="34"/>
    </row>
    <row r="621" spans="1:18" ht="12.75" x14ac:dyDescent="0.2">
      <c r="A621" s="32"/>
      <c r="B621" s="32"/>
      <c r="F621" s="24"/>
      <c r="G621" s="24"/>
      <c r="H621" s="24"/>
      <c r="I621" s="24"/>
      <c r="J621" s="33"/>
      <c r="K621" s="33"/>
      <c r="L621" s="33"/>
      <c r="M621" s="24"/>
      <c r="N621" s="28"/>
      <c r="P621" s="32"/>
      <c r="R621" s="34"/>
    </row>
    <row r="622" spans="1:18" ht="12.75" x14ac:dyDescent="0.2">
      <c r="A622" s="32"/>
      <c r="B622" s="32"/>
      <c r="F622" s="24"/>
      <c r="G622" s="24"/>
      <c r="H622" s="24"/>
      <c r="I622" s="24"/>
      <c r="J622" s="33"/>
      <c r="K622" s="33"/>
      <c r="L622" s="33"/>
      <c r="M622" s="24"/>
      <c r="N622" s="28"/>
      <c r="P622" s="32"/>
      <c r="R622" s="34"/>
    </row>
    <row r="623" spans="1:18" ht="12.75" x14ac:dyDescent="0.2">
      <c r="A623" s="32"/>
      <c r="B623" s="32"/>
      <c r="F623" s="24"/>
      <c r="G623" s="24"/>
      <c r="H623" s="24"/>
      <c r="I623" s="24"/>
      <c r="J623" s="33"/>
      <c r="K623" s="33"/>
      <c r="L623" s="33"/>
      <c r="M623" s="24"/>
      <c r="N623" s="28"/>
      <c r="P623" s="32"/>
      <c r="R623" s="34"/>
    </row>
    <row r="624" spans="1:18" ht="12.75" x14ac:dyDescent="0.2">
      <c r="A624" s="32"/>
      <c r="B624" s="32"/>
      <c r="F624" s="24"/>
      <c r="G624" s="24"/>
      <c r="H624" s="24"/>
      <c r="I624" s="24"/>
      <c r="J624" s="33"/>
      <c r="K624" s="33"/>
      <c r="L624" s="33"/>
      <c r="M624" s="24"/>
      <c r="N624" s="28"/>
      <c r="P624" s="32"/>
      <c r="R624" s="34"/>
    </row>
    <row r="625" spans="1:18" ht="12.75" x14ac:dyDescent="0.2">
      <c r="A625" s="32"/>
      <c r="B625" s="32"/>
      <c r="F625" s="24"/>
      <c r="G625" s="24"/>
      <c r="H625" s="24"/>
      <c r="I625" s="24"/>
      <c r="J625" s="33"/>
      <c r="K625" s="33"/>
      <c r="L625" s="33"/>
      <c r="M625" s="24"/>
      <c r="N625" s="28"/>
      <c r="P625" s="32"/>
      <c r="R625" s="34"/>
    </row>
    <row r="626" spans="1:18" ht="12.75" x14ac:dyDescent="0.2">
      <c r="A626" s="32"/>
      <c r="B626" s="32"/>
      <c r="F626" s="24"/>
      <c r="G626" s="24"/>
      <c r="H626" s="24"/>
      <c r="I626" s="24"/>
      <c r="J626" s="33"/>
      <c r="K626" s="33"/>
      <c r="L626" s="33"/>
      <c r="M626" s="24"/>
      <c r="N626" s="28"/>
      <c r="P626" s="32"/>
      <c r="R626" s="34"/>
    </row>
    <row r="627" spans="1:18" ht="12.75" x14ac:dyDescent="0.2">
      <c r="A627" s="32"/>
      <c r="B627" s="32"/>
      <c r="F627" s="24"/>
      <c r="G627" s="24"/>
      <c r="H627" s="24"/>
      <c r="I627" s="24"/>
      <c r="J627" s="33"/>
      <c r="K627" s="33"/>
      <c r="L627" s="33"/>
      <c r="M627" s="24"/>
      <c r="N627" s="28"/>
      <c r="P627" s="32"/>
      <c r="R627" s="34"/>
    </row>
    <row r="628" spans="1:18" ht="12.75" x14ac:dyDescent="0.2">
      <c r="A628" s="32"/>
      <c r="B628" s="32"/>
      <c r="F628" s="24"/>
      <c r="G628" s="24"/>
      <c r="H628" s="24"/>
      <c r="I628" s="24"/>
      <c r="J628" s="33"/>
      <c r="K628" s="33"/>
      <c r="L628" s="33"/>
      <c r="M628" s="24"/>
      <c r="N628" s="28"/>
      <c r="P628" s="32"/>
      <c r="R628" s="34"/>
    </row>
    <row r="629" spans="1:18" ht="12.75" x14ac:dyDescent="0.2">
      <c r="A629" s="32"/>
      <c r="B629" s="32"/>
      <c r="F629" s="24"/>
      <c r="G629" s="24"/>
      <c r="H629" s="24"/>
      <c r="I629" s="24"/>
      <c r="J629" s="33"/>
      <c r="K629" s="33"/>
      <c r="L629" s="33"/>
      <c r="M629" s="24"/>
      <c r="N629" s="28"/>
      <c r="P629" s="32"/>
      <c r="R629" s="34"/>
    </row>
    <row r="630" spans="1:18" ht="12.75" x14ac:dyDescent="0.2">
      <c r="A630" s="32"/>
      <c r="B630" s="32"/>
      <c r="F630" s="24"/>
      <c r="G630" s="24"/>
      <c r="H630" s="24"/>
      <c r="I630" s="24"/>
      <c r="J630" s="33"/>
      <c r="K630" s="33"/>
      <c r="L630" s="33"/>
      <c r="M630" s="24"/>
      <c r="N630" s="28"/>
      <c r="P630" s="32"/>
      <c r="R630" s="34"/>
    </row>
    <row r="631" spans="1:18" ht="12.75" x14ac:dyDescent="0.2">
      <c r="A631" s="32"/>
      <c r="B631" s="32"/>
      <c r="F631" s="24"/>
      <c r="G631" s="24"/>
      <c r="H631" s="24"/>
      <c r="I631" s="24"/>
      <c r="J631" s="33"/>
      <c r="K631" s="33"/>
      <c r="L631" s="33"/>
      <c r="M631" s="24"/>
      <c r="N631" s="28"/>
      <c r="P631" s="32"/>
      <c r="R631" s="34"/>
    </row>
    <row r="632" spans="1:18" ht="12.75" x14ac:dyDescent="0.2">
      <c r="A632" s="32"/>
      <c r="B632" s="32"/>
      <c r="F632" s="24"/>
      <c r="G632" s="24"/>
      <c r="H632" s="24"/>
      <c r="I632" s="24"/>
      <c r="J632" s="33"/>
      <c r="K632" s="33"/>
      <c r="L632" s="33"/>
      <c r="M632" s="24"/>
      <c r="N632" s="28"/>
      <c r="P632" s="32"/>
      <c r="R632" s="34"/>
    </row>
    <row r="633" spans="1:18" ht="12.75" x14ac:dyDescent="0.2">
      <c r="A633" s="32"/>
      <c r="B633" s="32"/>
      <c r="F633" s="24"/>
      <c r="G633" s="24"/>
      <c r="H633" s="24"/>
      <c r="I633" s="24"/>
      <c r="J633" s="33"/>
      <c r="K633" s="33"/>
      <c r="L633" s="33"/>
      <c r="M633" s="24"/>
      <c r="N633" s="28"/>
      <c r="P633" s="32"/>
      <c r="R633" s="34"/>
    </row>
    <row r="634" spans="1:18" ht="12.75" x14ac:dyDescent="0.2">
      <c r="A634" s="32"/>
      <c r="B634" s="32"/>
      <c r="F634" s="24"/>
      <c r="G634" s="24"/>
      <c r="H634" s="24"/>
      <c r="I634" s="24"/>
      <c r="J634" s="33"/>
      <c r="K634" s="33"/>
      <c r="L634" s="33"/>
      <c r="M634" s="24"/>
      <c r="N634" s="28"/>
      <c r="P634" s="32"/>
      <c r="R634" s="34"/>
    </row>
    <row r="635" spans="1:18" ht="12.75" x14ac:dyDescent="0.2">
      <c r="A635" s="32"/>
      <c r="B635" s="32"/>
      <c r="F635" s="24"/>
      <c r="G635" s="24"/>
      <c r="H635" s="24"/>
      <c r="I635" s="24"/>
      <c r="J635" s="33"/>
      <c r="K635" s="33"/>
      <c r="L635" s="33"/>
      <c r="M635" s="24"/>
      <c r="N635" s="28"/>
      <c r="P635" s="32"/>
      <c r="R635" s="34"/>
    </row>
    <row r="636" spans="1:18" ht="12.75" x14ac:dyDescent="0.2">
      <c r="A636" s="32"/>
      <c r="B636" s="32"/>
      <c r="F636" s="24"/>
      <c r="G636" s="24"/>
      <c r="H636" s="24"/>
      <c r="I636" s="24"/>
      <c r="J636" s="33"/>
      <c r="K636" s="33"/>
      <c r="L636" s="33"/>
      <c r="M636" s="24"/>
      <c r="N636" s="28"/>
      <c r="P636" s="32"/>
      <c r="R636" s="34"/>
    </row>
    <row r="637" spans="1:18" ht="12.75" x14ac:dyDescent="0.2">
      <c r="A637" s="32"/>
      <c r="B637" s="32"/>
      <c r="F637" s="24"/>
      <c r="G637" s="24"/>
      <c r="H637" s="24"/>
      <c r="I637" s="24"/>
      <c r="J637" s="33"/>
      <c r="K637" s="33"/>
      <c r="L637" s="33"/>
      <c r="M637" s="24"/>
      <c r="N637" s="28"/>
      <c r="P637" s="32"/>
      <c r="R637" s="34"/>
    </row>
    <row r="638" spans="1:18" ht="12.75" x14ac:dyDescent="0.2">
      <c r="A638" s="32"/>
      <c r="B638" s="32"/>
      <c r="F638" s="24"/>
      <c r="G638" s="24"/>
      <c r="H638" s="24"/>
      <c r="I638" s="24"/>
      <c r="J638" s="33"/>
      <c r="K638" s="33"/>
      <c r="L638" s="33"/>
      <c r="M638" s="24"/>
      <c r="N638" s="28"/>
      <c r="P638" s="32"/>
      <c r="R638" s="34"/>
    </row>
    <row r="639" spans="1:18" ht="12.75" x14ac:dyDescent="0.2">
      <c r="A639" s="32"/>
      <c r="B639" s="32"/>
      <c r="F639" s="24"/>
      <c r="G639" s="24"/>
      <c r="H639" s="24"/>
      <c r="I639" s="24"/>
      <c r="J639" s="33"/>
      <c r="K639" s="33"/>
      <c r="L639" s="33"/>
      <c r="M639" s="24"/>
      <c r="N639" s="28"/>
      <c r="P639" s="32"/>
      <c r="R639" s="34"/>
    </row>
    <row r="640" spans="1:18" ht="12.75" x14ac:dyDescent="0.2">
      <c r="A640" s="32"/>
      <c r="B640" s="32"/>
      <c r="F640" s="24"/>
      <c r="G640" s="24"/>
      <c r="H640" s="24"/>
      <c r="I640" s="24"/>
      <c r="J640" s="33"/>
      <c r="K640" s="33"/>
      <c r="L640" s="33"/>
      <c r="M640" s="24"/>
      <c r="N640" s="28"/>
      <c r="P640" s="32"/>
      <c r="R640" s="34"/>
    </row>
    <row r="641" spans="1:18" ht="12.75" x14ac:dyDescent="0.2">
      <c r="A641" s="32"/>
      <c r="B641" s="32"/>
      <c r="F641" s="24"/>
      <c r="G641" s="24"/>
      <c r="H641" s="24"/>
      <c r="I641" s="24"/>
      <c r="J641" s="33"/>
      <c r="K641" s="33"/>
      <c r="L641" s="33"/>
      <c r="M641" s="24"/>
      <c r="N641" s="28"/>
      <c r="P641" s="32"/>
      <c r="R641" s="34"/>
    </row>
    <row r="642" spans="1:18" ht="12.75" x14ac:dyDescent="0.2">
      <c r="A642" s="32"/>
      <c r="B642" s="32"/>
      <c r="F642" s="24"/>
      <c r="G642" s="24"/>
      <c r="H642" s="24"/>
      <c r="I642" s="24"/>
      <c r="J642" s="33"/>
      <c r="K642" s="33"/>
      <c r="L642" s="33"/>
      <c r="M642" s="24"/>
      <c r="N642" s="28"/>
      <c r="P642" s="32"/>
      <c r="R642" s="34"/>
    </row>
    <row r="643" spans="1:18" ht="12.75" x14ac:dyDescent="0.2">
      <c r="A643" s="32"/>
      <c r="B643" s="32"/>
      <c r="F643" s="24"/>
      <c r="G643" s="24"/>
      <c r="H643" s="24"/>
      <c r="I643" s="24"/>
      <c r="J643" s="33"/>
      <c r="K643" s="33"/>
      <c r="L643" s="33"/>
      <c r="M643" s="24"/>
      <c r="N643" s="28"/>
      <c r="P643" s="32"/>
      <c r="R643" s="34"/>
    </row>
    <row r="644" spans="1:18" ht="12.75" x14ac:dyDescent="0.2">
      <c r="A644" s="32"/>
      <c r="B644" s="32"/>
      <c r="F644" s="24"/>
      <c r="G644" s="24"/>
      <c r="H644" s="24"/>
      <c r="I644" s="24"/>
      <c r="J644" s="33"/>
      <c r="K644" s="33"/>
      <c r="L644" s="33"/>
      <c r="M644" s="24"/>
      <c r="N644" s="28"/>
      <c r="P644" s="32"/>
      <c r="R644" s="34"/>
    </row>
    <row r="645" spans="1:18" ht="12.75" x14ac:dyDescent="0.2">
      <c r="A645" s="32"/>
      <c r="B645" s="32"/>
      <c r="F645" s="24"/>
      <c r="G645" s="24"/>
      <c r="H645" s="24"/>
      <c r="I645" s="24"/>
      <c r="J645" s="33"/>
      <c r="K645" s="33"/>
      <c r="L645" s="33"/>
      <c r="M645" s="24"/>
      <c r="N645" s="28"/>
      <c r="P645" s="32"/>
      <c r="R645" s="34"/>
    </row>
    <row r="646" spans="1:18" ht="12.75" x14ac:dyDescent="0.2">
      <c r="A646" s="32"/>
      <c r="B646" s="32"/>
      <c r="F646" s="24"/>
      <c r="G646" s="24"/>
      <c r="H646" s="24"/>
      <c r="I646" s="24"/>
      <c r="J646" s="33"/>
      <c r="K646" s="33"/>
      <c r="L646" s="33"/>
      <c r="M646" s="24"/>
      <c r="N646" s="28"/>
      <c r="P646" s="32"/>
      <c r="R646" s="34"/>
    </row>
    <row r="647" spans="1:18" ht="12.75" x14ac:dyDescent="0.2">
      <c r="A647" s="32"/>
      <c r="B647" s="32"/>
      <c r="F647" s="24"/>
      <c r="G647" s="24"/>
      <c r="H647" s="24"/>
      <c r="I647" s="24"/>
      <c r="J647" s="33"/>
      <c r="K647" s="33"/>
      <c r="L647" s="33"/>
      <c r="M647" s="24"/>
      <c r="N647" s="28"/>
      <c r="P647" s="32"/>
      <c r="R647" s="34"/>
    </row>
    <row r="648" spans="1:18" ht="12.75" x14ac:dyDescent="0.2">
      <c r="A648" s="32"/>
      <c r="B648" s="32"/>
      <c r="F648" s="24"/>
      <c r="G648" s="24"/>
      <c r="H648" s="24"/>
      <c r="I648" s="24"/>
      <c r="J648" s="33"/>
      <c r="K648" s="33"/>
      <c r="L648" s="33"/>
      <c r="M648" s="24"/>
      <c r="N648" s="28"/>
      <c r="P648" s="32"/>
      <c r="R648" s="34"/>
    </row>
    <row r="649" spans="1:18" ht="12.75" x14ac:dyDescent="0.2">
      <c r="A649" s="32"/>
      <c r="B649" s="32"/>
      <c r="F649" s="24"/>
      <c r="G649" s="24"/>
      <c r="H649" s="24"/>
      <c r="I649" s="24"/>
      <c r="J649" s="33"/>
      <c r="K649" s="33"/>
      <c r="L649" s="33"/>
      <c r="M649" s="24"/>
      <c r="N649" s="28"/>
      <c r="P649" s="32"/>
      <c r="R649" s="34"/>
    </row>
    <row r="650" spans="1:18" ht="12.75" x14ac:dyDescent="0.2">
      <c r="A650" s="32"/>
      <c r="B650" s="32"/>
      <c r="F650" s="24"/>
      <c r="G650" s="24"/>
      <c r="H650" s="24"/>
      <c r="I650" s="24"/>
      <c r="J650" s="33"/>
      <c r="K650" s="33"/>
      <c r="L650" s="33"/>
      <c r="M650" s="24"/>
      <c r="N650" s="28"/>
      <c r="P650" s="32"/>
      <c r="R650" s="34"/>
    </row>
    <row r="651" spans="1:18" ht="12.75" x14ac:dyDescent="0.2">
      <c r="A651" s="32"/>
      <c r="B651" s="32"/>
      <c r="F651" s="24"/>
      <c r="G651" s="24"/>
      <c r="H651" s="24"/>
      <c r="I651" s="24"/>
      <c r="J651" s="33"/>
      <c r="K651" s="33"/>
      <c r="L651" s="33"/>
      <c r="M651" s="24"/>
      <c r="N651" s="28"/>
      <c r="P651" s="32"/>
      <c r="R651" s="34"/>
    </row>
    <row r="652" spans="1:18" ht="12.75" x14ac:dyDescent="0.2">
      <c r="A652" s="32"/>
      <c r="B652" s="32"/>
      <c r="F652" s="24"/>
      <c r="G652" s="24"/>
      <c r="H652" s="24"/>
      <c r="I652" s="24"/>
      <c r="J652" s="33"/>
      <c r="K652" s="33"/>
      <c r="L652" s="33"/>
      <c r="M652" s="24"/>
      <c r="N652" s="28"/>
      <c r="P652" s="32"/>
      <c r="R652" s="34"/>
    </row>
    <row r="653" spans="1:18" ht="12.75" x14ac:dyDescent="0.2">
      <c r="A653" s="32"/>
      <c r="B653" s="32"/>
      <c r="F653" s="24"/>
      <c r="G653" s="24"/>
      <c r="H653" s="24"/>
      <c r="I653" s="24"/>
      <c r="J653" s="33"/>
      <c r="K653" s="33"/>
      <c r="L653" s="33"/>
      <c r="M653" s="24"/>
      <c r="N653" s="28"/>
      <c r="P653" s="32"/>
      <c r="R653" s="34"/>
    </row>
    <row r="654" spans="1:18" ht="12.75" x14ac:dyDescent="0.2">
      <c r="A654" s="32"/>
      <c r="B654" s="32"/>
      <c r="F654" s="24"/>
      <c r="G654" s="24"/>
      <c r="H654" s="24"/>
      <c r="I654" s="24"/>
      <c r="J654" s="33"/>
      <c r="K654" s="33"/>
      <c r="L654" s="33"/>
      <c r="M654" s="24"/>
      <c r="N654" s="28"/>
      <c r="P654" s="32"/>
      <c r="R654" s="34"/>
    </row>
    <row r="655" spans="1:18" ht="12.75" x14ac:dyDescent="0.2">
      <c r="A655" s="32"/>
      <c r="B655" s="32"/>
      <c r="F655" s="24"/>
      <c r="G655" s="24"/>
      <c r="H655" s="24"/>
      <c r="I655" s="24"/>
      <c r="J655" s="33"/>
      <c r="K655" s="33"/>
      <c r="L655" s="33"/>
      <c r="M655" s="24"/>
      <c r="N655" s="28"/>
      <c r="P655" s="32"/>
      <c r="R655" s="34"/>
    </row>
    <row r="656" spans="1:18" ht="12.75" x14ac:dyDescent="0.2">
      <c r="A656" s="32"/>
      <c r="B656" s="32"/>
      <c r="F656" s="24"/>
      <c r="G656" s="24"/>
      <c r="H656" s="24"/>
      <c r="I656" s="24"/>
      <c r="J656" s="33"/>
      <c r="K656" s="33"/>
      <c r="L656" s="33"/>
      <c r="M656" s="24"/>
      <c r="N656" s="28"/>
      <c r="P656" s="32"/>
      <c r="R656" s="34"/>
    </row>
    <row r="657" spans="1:18" ht="12.75" x14ac:dyDescent="0.2">
      <c r="A657" s="32"/>
      <c r="B657" s="32"/>
      <c r="F657" s="24"/>
      <c r="G657" s="24"/>
      <c r="H657" s="24"/>
      <c r="I657" s="24"/>
      <c r="J657" s="33"/>
      <c r="K657" s="33"/>
      <c r="L657" s="33"/>
      <c r="M657" s="24"/>
      <c r="N657" s="28"/>
      <c r="P657" s="32"/>
      <c r="R657" s="34"/>
    </row>
    <row r="658" spans="1:18" ht="12.75" x14ac:dyDescent="0.2">
      <c r="A658" s="32"/>
      <c r="B658" s="32"/>
      <c r="F658" s="24"/>
      <c r="G658" s="24"/>
      <c r="H658" s="24"/>
      <c r="I658" s="24"/>
      <c r="J658" s="33"/>
      <c r="K658" s="33"/>
      <c r="L658" s="33"/>
      <c r="M658" s="24"/>
      <c r="N658" s="28"/>
      <c r="P658" s="32"/>
      <c r="R658" s="34"/>
    </row>
    <row r="659" spans="1:18" ht="12.75" x14ac:dyDescent="0.2">
      <c r="A659" s="32"/>
      <c r="B659" s="32"/>
      <c r="F659" s="24"/>
      <c r="G659" s="24"/>
      <c r="H659" s="24"/>
      <c r="I659" s="24"/>
      <c r="J659" s="33"/>
      <c r="K659" s="33"/>
      <c r="L659" s="33"/>
      <c r="M659" s="24"/>
      <c r="N659" s="28"/>
      <c r="P659" s="32"/>
      <c r="R659" s="34"/>
    </row>
    <row r="660" spans="1:18" ht="12.75" x14ac:dyDescent="0.2">
      <c r="A660" s="32"/>
      <c r="B660" s="32"/>
      <c r="F660" s="24"/>
      <c r="G660" s="24"/>
      <c r="H660" s="24"/>
      <c r="I660" s="24"/>
      <c r="J660" s="33"/>
      <c r="K660" s="33"/>
      <c r="L660" s="33"/>
      <c r="M660" s="24"/>
      <c r="N660" s="28"/>
      <c r="P660" s="32"/>
      <c r="R660" s="34"/>
    </row>
    <row r="661" spans="1:18" ht="12.75" x14ac:dyDescent="0.2">
      <c r="A661" s="32"/>
      <c r="B661" s="32"/>
      <c r="F661" s="24"/>
      <c r="G661" s="24"/>
      <c r="H661" s="24"/>
      <c r="I661" s="24"/>
      <c r="J661" s="33"/>
      <c r="K661" s="33"/>
      <c r="L661" s="33"/>
      <c r="M661" s="24"/>
      <c r="N661" s="28"/>
      <c r="P661" s="32"/>
      <c r="R661" s="34"/>
    </row>
    <row r="662" spans="1:18" ht="12.75" x14ac:dyDescent="0.2">
      <c r="A662" s="32"/>
      <c r="B662" s="32"/>
      <c r="F662" s="24"/>
      <c r="G662" s="24"/>
      <c r="H662" s="24"/>
      <c r="I662" s="24"/>
      <c r="J662" s="33"/>
      <c r="K662" s="33"/>
      <c r="L662" s="33"/>
      <c r="M662" s="24"/>
      <c r="N662" s="28"/>
      <c r="P662" s="32"/>
      <c r="R662" s="34"/>
    </row>
    <row r="663" spans="1:18" ht="12.75" x14ac:dyDescent="0.2">
      <c r="A663" s="32"/>
      <c r="B663" s="32"/>
      <c r="F663" s="24"/>
      <c r="G663" s="24"/>
      <c r="H663" s="24"/>
      <c r="I663" s="24"/>
      <c r="J663" s="33"/>
      <c r="K663" s="33"/>
      <c r="L663" s="33"/>
      <c r="M663" s="24"/>
      <c r="N663" s="28"/>
      <c r="P663" s="32"/>
      <c r="R663" s="34"/>
    </row>
    <row r="664" spans="1:18" ht="12.75" x14ac:dyDescent="0.2">
      <c r="A664" s="32"/>
      <c r="B664" s="32"/>
      <c r="F664" s="24"/>
      <c r="G664" s="24"/>
      <c r="H664" s="24"/>
      <c r="I664" s="24"/>
      <c r="J664" s="33"/>
      <c r="K664" s="33"/>
      <c r="L664" s="33"/>
      <c r="M664" s="24"/>
      <c r="N664" s="28"/>
      <c r="P664" s="32"/>
      <c r="R664" s="34"/>
    </row>
    <row r="665" spans="1:18" ht="12.75" x14ac:dyDescent="0.2">
      <c r="A665" s="32"/>
      <c r="B665" s="32"/>
      <c r="F665" s="24"/>
      <c r="G665" s="24"/>
      <c r="H665" s="24"/>
      <c r="I665" s="24"/>
      <c r="J665" s="33"/>
      <c r="K665" s="33"/>
      <c r="L665" s="33"/>
      <c r="M665" s="24"/>
      <c r="N665" s="28"/>
      <c r="P665" s="32"/>
      <c r="R665" s="34"/>
    </row>
    <row r="666" spans="1:18" ht="12.75" x14ac:dyDescent="0.2">
      <c r="A666" s="32"/>
      <c r="B666" s="32"/>
      <c r="F666" s="24"/>
      <c r="G666" s="24"/>
      <c r="H666" s="24"/>
      <c r="I666" s="24"/>
      <c r="J666" s="33"/>
      <c r="K666" s="33"/>
      <c r="L666" s="33"/>
      <c r="M666" s="24"/>
      <c r="N666" s="28"/>
      <c r="P666" s="32"/>
      <c r="R666" s="34"/>
    </row>
    <row r="667" spans="1:18" ht="12.75" x14ac:dyDescent="0.2">
      <c r="A667" s="32"/>
      <c r="B667" s="32"/>
      <c r="F667" s="24"/>
      <c r="G667" s="24"/>
      <c r="H667" s="24"/>
      <c r="I667" s="24"/>
      <c r="J667" s="33"/>
      <c r="K667" s="33"/>
      <c r="L667" s="33"/>
      <c r="M667" s="24"/>
      <c r="N667" s="28"/>
      <c r="P667" s="32"/>
      <c r="R667" s="34"/>
    </row>
    <row r="668" spans="1:18" ht="12.75" x14ac:dyDescent="0.2">
      <c r="A668" s="32"/>
      <c r="B668" s="32"/>
      <c r="F668" s="24"/>
      <c r="G668" s="24"/>
      <c r="H668" s="24"/>
      <c r="I668" s="24"/>
      <c r="J668" s="33"/>
      <c r="K668" s="33"/>
      <c r="L668" s="33"/>
      <c r="M668" s="24"/>
      <c r="N668" s="28"/>
      <c r="P668" s="32"/>
      <c r="R668" s="34"/>
    </row>
    <row r="669" spans="1:18" ht="12.75" x14ac:dyDescent="0.2">
      <c r="A669" s="32"/>
      <c r="B669" s="32"/>
      <c r="F669" s="24"/>
      <c r="G669" s="24"/>
      <c r="H669" s="24"/>
      <c r="I669" s="24"/>
      <c r="J669" s="33"/>
      <c r="K669" s="33"/>
      <c r="L669" s="33"/>
      <c r="M669" s="24"/>
      <c r="N669" s="28"/>
      <c r="P669" s="32"/>
      <c r="R669" s="34"/>
    </row>
    <row r="670" spans="1:18" ht="12.75" x14ac:dyDescent="0.2">
      <c r="A670" s="32"/>
      <c r="B670" s="32"/>
      <c r="F670" s="24"/>
      <c r="G670" s="24"/>
      <c r="H670" s="24"/>
      <c r="I670" s="24"/>
      <c r="J670" s="33"/>
      <c r="K670" s="33"/>
      <c r="L670" s="33"/>
      <c r="M670" s="24"/>
      <c r="N670" s="28"/>
      <c r="P670" s="32"/>
      <c r="R670" s="34"/>
    </row>
    <row r="671" spans="1:18" ht="12.75" x14ac:dyDescent="0.2">
      <c r="A671" s="32"/>
      <c r="B671" s="32"/>
      <c r="F671" s="24"/>
      <c r="G671" s="24"/>
      <c r="H671" s="24"/>
      <c r="I671" s="24"/>
      <c r="J671" s="33"/>
      <c r="K671" s="33"/>
      <c r="L671" s="33"/>
      <c r="M671" s="24"/>
      <c r="N671" s="28"/>
      <c r="P671" s="32"/>
      <c r="R671" s="34"/>
    </row>
    <row r="672" spans="1:18" ht="12.75" x14ac:dyDescent="0.2">
      <c r="A672" s="32"/>
      <c r="B672" s="32"/>
      <c r="F672" s="24"/>
      <c r="G672" s="24"/>
      <c r="H672" s="24"/>
      <c r="I672" s="24"/>
      <c r="J672" s="33"/>
      <c r="K672" s="33"/>
      <c r="L672" s="33"/>
      <c r="M672" s="24"/>
      <c r="N672" s="28"/>
      <c r="P672" s="32"/>
      <c r="R672" s="34"/>
    </row>
    <row r="673" spans="1:18" ht="12.75" x14ac:dyDescent="0.2">
      <c r="A673" s="32"/>
      <c r="B673" s="32"/>
      <c r="F673" s="24"/>
      <c r="G673" s="24"/>
      <c r="H673" s="24"/>
      <c r="I673" s="24"/>
      <c r="J673" s="33"/>
      <c r="K673" s="33"/>
      <c r="L673" s="33"/>
      <c r="M673" s="24"/>
      <c r="N673" s="28"/>
      <c r="P673" s="32"/>
      <c r="R673" s="34"/>
    </row>
    <row r="674" spans="1:18" ht="12.75" x14ac:dyDescent="0.2">
      <c r="A674" s="32"/>
      <c r="B674" s="32"/>
      <c r="F674" s="24"/>
      <c r="G674" s="24"/>
      <c r="H674" s="24"/>
      <c r="I674" s="24"/>
      <c r="J674" s="33"/>
      <c r="K674" s="33"/>
      <c r="L674" s="33"/>
      <c r="M674" s="24"/>
      <c r="N674" s="28"/>
      <c r="P674" s="32"/>
      <c r="R674" s="34"/>
    </row>
    <row r="675" spans="1:18" ht="12.75" x14ac:dyDescent="0.2">
      <c r="A675" s="32"/>
      <c r="B675" s="32"/>
      <c r="F675" s="24"/>
      <c r="G675" s="24"/>
      <c r="H675" s="24"/>
      <c r="I675" s="24"/>
      <c r="J675" s="33"/>
      <c r="K675" s="33"/>
      <c r="L675" s="33"/>
      <c r="M675" s="24"/>
      <c r="N675" s="28"/>
      <c r="P675" s="32"/>
      <c r="R675" s="34"/>
    </row>
    <row r="676" spans="1:18" ht="12.75" x14ac:dyDescent="0.2">
      <c r="A676" s="32"/>
      <c r="B676" s="32"/>
      <c r="F676" s="24"/>
      <c r="G676" s="24"/>
      <c r="H676" s="24"/>
      <c r="I676" s="24"/>
      <c r="J676" s="33"/>
      <c r="K676" s="33"/>
      <c r="L676" s="33"/>
      <c r="M676" s="24"/>
      <c r="N676" s="28"/>
      <c r="P676" s="32"/>
      <c r="R676" s="34"/>
    </row>
    <row r="677" spans="1:18" ht="12.75" x14ac:dyDescent="0.2">
      <c r="A677" s="32"/>
      <c r="B677" s="32"/>
      <c r="F677" s="24"/>
      <c r="G677" s="24"/>
      <c r="H677" s="24"/>
      <c r="I677" s="24"/>
      <c r="J677" s="33"/>
      <c r="K677" s="33"/>
      <c r="L677" s="33"/>
      <c r="M677" s="24"/>
      <c r="N677" s="28"/>
      <c r="P677" s="32"/>
      <c r="R677" s="34"/>
    </row>
    <row r="678" spans="1:18" ht="12.75" x14ac:dyDescent="0.2">
      <c r="A678" s="32"/>
      <c r="B678" s="32"/>
      <c r="F678" s="24"/>
      <c r="G678" s="24"/>
      <c r="H678" s="24"/>
      <c r="I678" s="24"/>
      <c r="J678" s="33"/>
      <c r="K678" s="33"/>
      <c r="L678" s="33"/>
      <c r="M678" s="24"/>
      <c r="N678" s="28"/>
      <c r="P678" s="32"/>
      <c r="R678" s="34"/>
    </row>
    <row r="679" spans="1:18" ht="12.75" x14ac:dyDescent="0.2">
      <c r="A679" s="32"/>
      <c r="B679" s="32"/>
      <c r="F679" s="24"/>
      <c r="G679" s="24"/>
      <c r="H679" s="24"/>
      <c r="I679" s="24"/>
      <c r="J679" s="33"/>
      <c r="K679" s="33"/>
      <c r="L679" s="33"/>
      <c r="M679" s="24"/>
      <c r="N679" s="28"/>
      <c r="P679" s="32"/>
      <c r="R679" s="34"/>
    </row>
    <row r="680" spans="1:18" ht="12.75" x14ac:dyDescent="0.2">
      <c r="A680" s="32"/>
      <c r="B680" s="32"/>
      <c r="F680" s="24"/>
      <c r="G680" s="24"/>
      <c r="H680" s="24"/>
      <c r="I680" s="24"/>
      <c r="J680" s="33"/>
      <c r="K680" s="33"/>
      <c r="L680" s="33"/>
      <c r="M680" s="24"/>
      <c r="N680" s="28"/>
      <c r="P680" s="32"/>
      <c r="R680" s="34"/>
    </row>
    <row r="681" spans="1:18" ht="12.75" x14ac:dyDescent="0.2">
      <c r="A681" s="32"/>
      <c r="B681" s="32"/>
      <c r="F681" s="24"/>
      <c r="G681" s="24"/>
      <c r="H681" s="24"/>
      <c r="I681" s="24"/>
      <c r="J681" s="33"/>
      <c r="K681" s="33"/>
      <c r="L681" s="33"/>
      <c r="M681" s="24"/>
      <c r="N681" s="28"/>
      <c r="P681" s="32"/>
      <c r="R681" s="34"/>
    </row>
    <row r="682" spans="1:18" ht="12.75" x14ac:dyDescent="0.2">
      <c r="A682" s="32"/>
      <c r="B682" s="32"/>
      <c r="F682" s="24"/>
      <c r="G682" s="24"/>
      <c r="H682" s="24"/>
      <c r="I682" s="24"/>
      <c r="J682" s="33"/>
      <c r="K682" s="33"/>
      <c r="L682" s="33"/>
      <c r="M682" s="24"/>
      <c r="N682" s="28"/>
      <c r="P682" s="32"/>
      <c r="R682" s="34"/>
    </row>
    <row r="683" spans="1:18" ht="12.75" x14ac:dyDescent="0.2">
      <c r="A683" s="32"/>
      <c r="B683" s="32"/>
      <c r="F683" s="24"/>
      <c r="G683" s="24"/>
      <c r="H683" s="24"/>
      <c r="I683" s="24"/>
      <c r="J683" s="33"/>
      <c r="K683" s="33"/>
      <c r="L683" s="33"/>
      <c r="M683" s="24"/>
      <c r="N683" s="28"/>
      <c r="P683" s="32"/>
      <c r="R683" s="34"/>
    </row>
    <row r="684" spans="1:18" ht="12.75" x14ac:dyDescent="0.2">
      <c r="A684" s="32"/>
      <c r="B684" s="32"/>
      <c r="F684" s="24"/>
      <c r="G684" s="24"/>
      <c r="H684" s="24"/>
      <c r="I684" s="24"/>
      <c r="J684" s="33"/>
      <c r="K684" s="33"/>
      <c r="L684" s="33"/>
      <c r="M684" s="24"/>
      <c r="N684" s="28"/>
      <c r="P684" s="32"/>
      <c r="R684" s="34"/>
    </row>
    <row r="685" spans="1:18" ht="12.75" x14ac:dyDescent="0.2">
      <c r="A685" s="32"/>
      <c r="B685" s="32"/>
      <c r="F685" s="24"/>
      <c r="G685" s="24"/>
      <c r="H685" s="24"/>
      <c r="I685" s="24"/>
      <c r="J685" s="33"/>
      <c r="K685" s="33"/>
      <c r="L685" s="33"/>
      <c r="M685" s="24"/>
      <c r="N685" s="28"/>
      <c r="P685" s="32"/>
      <c r="R685" s="34"/>
    </row>
    <row r="686" spans="1:18" ht="12.75" x14ac:dyDescent="0.2">
      <c r="A686" s="32"/>
      <c r="B686" s="32"/>
      <c r="F686" s="24"/>
      <c r="G686" s="24"/>
      <c r="H686" s="24"/>
      <c r="I686" s="24"/>
      <c r="J686" s="33"/>
      <c r="K686" s="33"/>
      <c r="L686" s="33"/>
      <c r="M686" s="24"/>
      <c r="N686" s="28"/>
      <c r="P686" s="32"/>
      <c r="R686" s="34"/>
    </row>
    <row r="687" spans="1:18" ht="12.75" x14ac:dyDescent="0.2">
      <c r="A687" s="32"/>
      <c r="B687" s="32"/>
      <c r="F687" s="24"/>
      <c r="G687" s="24"/>
      <c r="H687" s="24"/>
      <c r="I687" s="24"/>
      <c r="J687" s="33"/>
      <c r="K687" s="33"/>
      <c r="L687" s="33"/>
      <c r="M687" s="24"/>
      <c r="N687" s="28"/>
      <c r="P687" s="32"/>
      <c r="R687" s="34"/>
    </row>
    <row r="688" spans="1:18" ht="12.75" x14ac:dyDescent="0.2">
      <c r="A688" s="32"/>
      <c r="B688" s="32"/>
      <c r="F688" s="24"/>
      <c r="G688" s="24"/>
      <c r="H688" s="24"/>
      <c r="I688" s="24"/>
      <c r="J688" s="33"/>
      <c r="K688" s="33"/>
      <c r="L688" s="33"/>
      <c r="M688" s="24"/>
      <c r="N688" s="28"/>
      <c r="P688" s="32"/>
      <c r="R688" s="34"/>
    </row>
    <row r="689" spans="1:18" ht="12.75" x14ac:dyDescent="0.2">
      <c r="A689" s="32"/>
      <c r="B689" s="32"/>
      <c r="F689" s="24"/>
      <c r="G689" s="24"/>
      <c r="H689" s="24"/>
      <c r="I689" s="24"/>
      <c r="J689" s="33"/>
      <c r="K689" s="33"/>
      <c r="L689" s="33"/>
      <c r="M689" s="24"/>
      <c r="N689" s="28"/>
      <c r="P689" s="32"/>
      <c r="R689" s="34"/>
    </row>
    <row r="690" spans="1:18" ht="12.75" x14ac:dyDescent="0.2">
      <c r="A690" s="32"/>
      <c r="B690" s="32"/>
      <c r="F690" s="24"/>
      <c r="G690" s="24"/>
      <c r="H690" s="24"/>
      <c r="I690" s="24"/>
      <c r="J690" s="33"/>
      <c r="K690" s="33"/>
      <c r="L690" s="33"/>
      <c r="M690" s="24"/>
      <c r="N690" s="28"/>
      <c r="P690" s="32"/>
      <c r="R690" s="34"/>
    </row>
    <row r="691" spans="1:18" ht="12.75" x14ac:dyDescent="0.2">
      <c r="A691" s="32"/>
      <c r="B691" s="32"/>
      <c r="F691" s="24"/>
      <c r="G691" s="24"/>
      <c r="H691" s="24"/>
      <c r="I691" s="24"/>
      <c r="J691" s="33"/>
      <c r="K691" s="33"/>
      <c r="L691" s="33"/>
      <c r="M691" s="24"/>
      <c r="N691" s="28"/>
      <c r="P691" s="32"/>
      <c r="R691" s="34"/>
    </row>
    <row r="692" spans="1:18" ht="12.75" x14ac:dyDescent="0.2">
      <c r="A692" s="32"/>
      <c r="B692" s="32"/>
      <c r="F692" s="24"/>
      <c r="G692" s="24"/>
      <c r="H692" s="24"/>
      <c r="I692" s="24"/>
      <c r="J692" s="33"/>
      <c r="K692" s="33"/>
      <c r="L692" s="33"/>
      <c r="M692" s="24"/>
      <c r="N692" s="28"/>
      <c r="P692" s="32"/>
      <c r="R692" s="34"/>
    </row>
    <row r="693" spans="1:18" ht="12.75" x14ac:dyDescent="0.2">
      <c r="A693" s="32"/>
      <c r="B693" s="32"/>
      <c r="F693" s="24"/>
      <c r="G693" s="24"/>
      <c r="H693" s="24"/>
      <c r="I693" s="24"/>
      <c r="J693" s="33"/>
      <c r="K693" s="33"/>
      <c r="L693" s="33"/>
      <c r="M693" s="24"/>
      <c r="N693" s="28"/>
      <c r="P693" s="32"/>
      <c r="R693" s="34"/>
    </row>
    <row r="694" spans="1:18" ht="12.75" x14ac:dyDescent="0.2">
      <c r="A694" s="32"/>
      <c r="B694" s="32"/>
      <c r="F694" s="24"/>
      <c r="G694" s="24"/>
      <c r="H694" s="24"/>
      <c r="I694" s="24"/>
      <c r="J694" s="33"/>
      <c r="K694" s="33"/>
      <c r="L694" s="33"/>
      <c r="M694" s="24"/>
      <c r="N694" s="28"/>
      <c r="P694" s="32"/>
      <c r="R694" s="34"/>
    </row>
    <row r="695" spans="1:18" ht="12.75" x14ac:dyDescent="0.2">
      <c r="A695" s="32"/>
      <c r="B695" s="32"/>
      <c r="F695" s="24"/>
      <c r="G695" s="24"/>
      <c r="H695" s="24"/>
      <c r="I695" s="24"/>
      <c r="J695" s="33"/>
      <c r="K695" s="33"/>
      <c r="L695" s="33"/>
      <c r="M695" s="24"/>
      <c r="N695" s="28"/>
      <c r="P695" s="32"/>
      <c r="R695" s="34"/>
    </row>
    <row r="696" spans="1:18" ht="12.75" x14ac:dyDescent="0.2">
      <c r="A696" s="32"/>
      <c r="B696" s="32"/>
      <c r="F696" s="24"/>
      <c r="G696" s="24"/>
      <c r="H696" s="24"/>
      <c r="I696" s="24"/>
      <c r="J696" s="33"/>
      <c r="K696" s="33"/>
      <c r="L696" s="33"/>
      <c r="M696" s="24"/>
      <c r="N696" s="28"/>
      <c r="P696" s="32"/>
      <c r="R696" s="34"/>
    </row>
    <row r="697" spans="1:18" ht="12.75" x14ac:dyDescent="0.2">
      <c r="A697" s="32"/>
      <c r="B697" s="32"/>
      <c r="F697" s="24"/>
      <c r="G697" s="24"/>
      <c r="H697" s="24"/>
      <c r="I697" s="24"/>
      <c r="J697" s="33"/>
      <c r="K697" s="33"/>
      <c r="L697" s="33"/>
      <c r="M697" s="24"/>
      <c r="N697" s="28"/>
      <c r="P697" s="32"/>
      <c r="R697" s="34"/>
    </row>
    <row r="698" spans="1:18" ht="12.75" x14ac:dyDescent="0.2">
      <c r="A698" s="32"/>
      <c r="B698" s="32"/>
      <c r="F698" s="24"/>
      <c r="G698" s="24"/>
      <c r="H698" s="24"/>
      <c r="I698" s="24"/>
      <c r="J698" s="33"/>
      <c r="K698" s="33"/>
      <c r="L698" s="33"/>
      <c r="M698" s="24"/>
      <c r="N698" s="28"/>
      <c r="P698" s="32"/>
      <c r="R698" s="34"/>
    </row>
    <row r="699" spans="1:18" ht="12.75" x14ac:dyDescent="0.2">
      <c r="A699" s="32"/>
      <c r="B699" s="32"/>
      <c r="F699" s="24"/>
      <c r="G699" s="24"/>
      <c r="H699" s="24"/>
      <c r="I699" s="24"/>
      <c r="J699" s="33"/>
      <c r="K699" s="33"/>
      <c r="L699" s="33"/>
      <c r="M699" s="24"/>
      <c r="N699" s="28"/>
      <c r="P699" s="32"/>
      <c r="R699" s="34"/>
    </row>
    <row r="700" spans="1:18" ht="12.75" x14ac:dyDescent="0.2">
      <c r="A700" s="32"/>
      <c r="B700" s="32"/>
      <c r="F700" s="24"/>
      <c r="G700" s="24"/>
      <c r="H700" s="24"/>
      <c r="I700" s="24"/>
      <c r="J700" s="33"/>
      <c r="K700" s="33"/>
      <c r="L700" s="33"/>
      <c r="M700" s="24"/>
      <c r="N700" s="28"/>
      <c r="P700" s="32"/>
      <c r="R700" s="34"/>
    </row>
    <row r="701" spans="1:18" ht="12.75" x14ac:dyDescent="0.2">
      <c r="A701" s="32"/>
      <c r="B701" s="32"/>
      <c r="F701" s="24"/>
      <c r="G701" s="24"/>
      <c r="H701" s="24"/>
      <c r="I701" s="24"/>
      <c r="J701" s="33"/>
      <c r="K701" s="33"/>
      <c r="L701" s="33"/>
      <c r="M701" s="24"/>
      <c r="N701" s="28"/>
      <c r="P701" s="32"/>
      <c r="R701" s="34"/>
    </row>
    <row r="702" spans="1:18" ht="12.75" x14ac:dyDescent="0.2">
      <c r="A702" s="32"/>
      <c r="B702" s="32"/>
      <c r="F702" s="24"/>
      <c r="G702" s="24"/>
      <c r="H702" s="24"/>
      <c r="I702" s="24"/>
      <c r="J702" s="33"/>
      <c r="K702" s="33"/>
      <c r="L702" s="33"/>
      <c r="M702" s="24"/>
      <c r="N702" s="28"/>
      <c r="P702" s="32"/>
      <c r="R702" s="34"/>
    </row>
    <row r="703" spans="1:18" ht="12.75" x14ac:dyDescent="0.2">
      <c r="A703" s="32"/>
      <c r="B703" s="32"/>
      <c r="F703" s="24"/>
      <c r="G703" s="24"/>
      <c r="H703" s="24"/>
      <c r="I703" s="24"/>
      <c r="J703" s="33"/>
      <c r="K703" s="33"/>
      <c r="L703" s="33"/>
      <c r="M703" s="24"/>
      <c r="N703" s="28"/>
      <c r="P703" s="32"/>
      <c r="R703" s="34"/>
    </row>
    <row r="704" spans="1:18" ht="12.75" x14ac:dyDescent="0.2">
      <c r="A704" s="32"/>
      <c r="B704" s="32"/>
      <c r="F704" s="24"/>
      <c r="G704" s="24"/>
      <c r="H704" s="24"/>
      <c r="I704" s="24"/>
      <c r="J704" s="33"/>
      <c r="K704" s="33"/>
      <c r="L704" s="33"/>
      <c r="M704" s="24"/>
      <c r="N704" s="28"/>
      <c r="P704" s="32"/>
      <c r="R704" s="34"/>
    </row>
    <row r="705" spans="1:18" ht="12.75" x14ac:dyDescent="0.2">
      <c r="A705" s="32"/>
      <c r="B705" s="32"/>
      <c r="F705" s="24"/>
      <c r="G705" s="24"/>
      <c r="H705" s="24"/>
      <c r="I705" s="24"/>
      <c r="J705" s="33"/>
      <c r="K705" s="33"/>
      <c r="L705" s="33"/>
      <c r="M705" s="24"/>
      <c r="N705" s="28"/>
      <c r="P705" s="32"/>
      <c r="R705" s="34"/>
    </row>
    <row r="706" spans="1:18" ht="12.75" x14ac:dyDescent="0.2">
      <c r="A706" s="32"/>
      <c r="B706" s="32"/>
      <c r="F706" s="24"/>
      <c r="G706" s="24"/>
      <c r="H706" s="24"/>
      <c r="I706" s="24"/>
      <c r="J706" s="33"/>
      <c r="K706" s="33"/>
      <c r="L706" s="33"/>
      <c r="M706" s="24"/>
      <c r="N706" s="28"/>
      <c r="P706" s="32"/>
      <c r="R706" s="34"/>
    </row>
    <row r="707" spans="1:18" ht="12.75" x14ac:dyDescent="0.2">
      <c r="A707" s="32"/>
      <c r="B707" s="32"/>
      <c r="F707" s="24"/>
      <c r="G707" s="24"/>
      <c r="H707" s="24"/>
      <c r="I707" s="24"/>
      <c r="J707" s="33"/>
      <c r="K707" s="33"/>
      <c r="L707" s="33"/>
      <c r="M707" s="24"/>
      <c r="N707" s="28"/>
      <c r="P707" s="32"/>
      <c r="R707" s="34"/>
    </row>
    <row r="708" spans="1:18" ht="12.75" x14ac:dyDescent="0.2">
      <c r="A708" s="32"/>
      <c r="B708" s="32"/>
      <c r="F708" s="24"/>
      <c r="G708" s="24"/>
      <c r="H708" s="24"/>
      <c r="I708" s="24"/>
      <c r="J708" s="33"/>
      <c r="K708" s="33"/>
      <c r="L708" s="33"/>
      <c r="M708" s="24"/>
      <c r="N708" s="28"/>
      <c r="P708" s="32"/>
      <c r="R708" s="34"/>
    </row>
    <row r="709" spans="1:18" ht="12.75" x14ac:dyDescent="0.2">
      <c r="A709" s="32"/>
      <c r="B709" s="32"/>
      <c r="F709" s="24"/>
      <c r="G709" s="24"/>
      <c r="H709" s="24"/>
      <c r="I709" s="24"/>
      <c r="J709" s="33"/>
      <c r="K709" s="33"/>
      <c r="L709" s="33"/>
      <c r="M709" s="24"/>
      <c r="N709" s="28"/>
      <c r="P709" s="32"/>
      <c r="R709" s="34"/>
    </row>
    <row r="710" spans="1:18" ht="12.75" x14ac:dyDescent="0.2">
      <c r="A710" s="32"/>
      <c r="B710" s="32"/>
      <c r="F710" s="24"/>
      <c r="G710" s="24"/>
      <c r="H710" s="24"/>
      <c r="I710" s="24"/>
      <c r="J710" s="33"/>
      <c r="K710" s="33"/>
      <c r="L710" s="33"/>
      <c r="M710" s="24"/>
      <c r="N710" s="28"/>
      <c r="P710" s="32"/>
      <c r="R710" s="34"/>
    </row>
    <row r="711" spans="1:18" ht="12.75" x14ac:dyDescent="0.2">
      <c r="A711" s="32"/>
      <c r="B711" s="32"/>
      <c r="F711" s="24"/>
      <c r="G711" s="24"/>
      <c r="H711" s="24"/>
      <c r="I711" s="24"/>
      <c r="J711" s="33"/>
      <c r="K711" s="33"/>
      <c r="L711" s="33"/>
      <c r="M711" s="24"/>
      <c r="N711" s="28"/>
      <c r="P711" s="32"/>
      <c r="R711" s="34"/>
    </row>
    <row r="712" spans="1:18" ht="12.75" x14ac:dyDescent="0.2">
      <c r="A712" s="32"/>
      <c r="B712" s="32"/>
      <c r="F712" s="24"/>
      <c r="G712" s="24"/>
      <c r="H712" s="24"/>
      <c r="I712" s="24"/>
      <c r="J712" s="33"/>
      <c r="K712" s="33"/>
      <c r="L712" s="33"/>
      <c r="M712" s="24"/>
      <c r="N712" s="28"/>
      <c r="P712" s="32"/>
      <c r="R712" s="34"/>
    </row>
    <row r="713" spans="1:18" ht="12.75" x14ac:dyDescent="0.2">
      <c r="A713" s="32"/>
      <c r="B713" s="32"/>
      <c r="F713" s="24"/>
      <c r="G713" s="24"/>
      <c r="H713" s="24"/>
      <c r="I713" s="24"/>
      <c r="J713" s="33"/>
      <c r="K713" s="33"/>
      <c r="L713" s="33"/>
      <c r="M713" s="24"/>
      <c r="N713" s="28"/>
      <c r="P713" s="32"/>
      <c r="R713" s="34"/>
    </row>
    <row r="714" spans="1:18" ht="12.75" x14ac:dyDescent="0.2">
      <c r="A714" s="32"/>
      <c r="B714" s="32"/>
      <c r="F714" s="24"/>
      <c r="G714" s="24"/>
      <c r="H714" s="24"/>
      <c r="I714" s="24"/>
      <c r="J714" s="33"/>
      <c r="K714" s="33"/>
      <c r="L714" s="33"/>
      <c r="M714" s="24"/>
      <c r="N714" s="28"/>
      <c r="P714" s="32"/>
      <c r="R714" s="34"/>
    </row>
    <row r="715" spans="1:18" ht="12.75" x14ac:dyDescent="0.2">
      <c r="A715" s="32"/>
      <c r="B715" s="32"/>
      <c r="F715" s="24"/>
      <c r="G715" s="24"/>
      <c r="H715" s="24"/>
      <c r="I715" s="24"/>
      <c r="J715" s="33"/>
      <c r="K715" s="33"/>
      <c r="L715" s="33"/>
      <c r="M715" s="24"/>
      <c r="N715" s="28"/>
      <c r="P715" s="32"/>
      <c r="R715" s="34"/>
    </row>
    <row r="716" spans="1:18" ht="12.75" x14ac:dyDescent="0.2">
      <c r="A716" s="32"/>
      <c r="B716" s="32"/>
      <c r="F716" s="24"/>
      <c r="G716" s="24"/>
      <c r="H716" s="24"/>
      <c r="I716" s="24"/>
      <c r="J716" s="33"/>
      <c r="K716" s="33"/>
      <c r="L716" s="33"/>
      <c r="M716" s="24"/>
      <c r="N716" s="28"/>
      <c r="P716" s="32"/>
      <c r="R716" s="34"/>
    </row>
    <row r="717" spans="1:18" ht="12.75" x14ac:dyDescent="0.2">
      <c r="A717" s="32"/>
      <c r="B717" s="32"/>
      <c r="F717" s="24"/>
      <c r="G717" s="24"/>
      <c r="H717" s="24"/>
      <c r="I717" s="24"/>
      <c r="J717" s="33"/>
      <c r="K717" s="33"/>
      <c r="L717" s="33"/>
      <c r="M717" s="24"/>
      <c r="N717" s="28"/>
      <c r="P717" s="32"/>
      <c r="R717" s="34"/>
    </row>
    <row r="718" spans="1:18" ht="12.75" x14ac:dyDescent="0.2">
      <c r="A718" s="32"/>
      <c r="B718" s="32"/>
      <c r="F718" s="24"/>
      <c r="G718" s="24"/>
      <c r="H718" s="24"/>
      <c r="I718" s="24"/>
      <c r="J718" s="33"/>
      <c r="K718" s="33"/>
      <c r="L718" s="33"/>
      <c r="M718" s="24"/>
      <c r="N718" s="28"/>
      <c r="P718" s="32"/>
      <c r="R718" s="34"/>
    </row>
    <row r="719" spans="1:18" ht="12.75" x14ac:dyDescent="0.2">
      <c r="A719" s="32"/>
      <c r="B719" s="32"/>
      <c r="F719" s="24"/>
      <c r="G719" s="24"/>
      <c r="H719" s="24"/>
      <c r="I719" s="24"/>
      <c r="J719" s="33"/>
      <c r="K719" s="33"/>
      <c r="L719" s="33"/>
      <c r="M719" s="24"/>
      <c r="N719" s="28"/>
      <c r="P719" s="32"/>
      <c r="R719" s="34"/>
    </row>
    <row r="720" spans="1:18" ht="12.75" x14ac:dyDescent="0.2">
      <c r="A720" s="32"/>
      <c r="B720" s="32"/>
      <c r="F720" s="24"/>
      <c r="G720" s="24"/>
      <c r="H720" s="24"/>
      <c r="I720" s="24"/>
      <c r="J720" s="33"/>
      <c r="K720" s="33"/>
      <c r="L720" s="33"/>
      <c r="M720" s="24"/>
      <c r="N720" s="28"/>
      <c r="P720" s="32"/>
      <c r="R720" s="34"/>
    </row>
    <row r="721" spans="1:18" ht="12.75" x14ac:dyDescent="0.2">
      <c r="A721" s="32"/>
      <c r="B721" s="32"/>
      <c r="F721" s="24"/>
      <c r="G721" s="24"/>
      <c r="H721" s="24"/>
      <c r="I721" s="24"/>
      <c r="J721" s="33"/>
      <c r="K721" s="33"/>
      <c r="L721" s="33"/>
      <c r="M721" s="24"/>
      <c r="N721" s="28"/>
      <c r="P721" s="32"/>
      <c r="R721" s="34"/>
    </row>
    <row r="722" spans="1:18" ht="12.75" x14ac:dyDescent="0.2">
      <c r="A722" s="32"/>
      <c r="B722" s="32"/>
      <c r="F722" s="24"/>
      <c r="G722" s="24"/>
      <c r="H722" s="24"/>
      <c r="I722" s="24"/>
      <c r="J722" s="33"/>
      <c r="K722" s="33"/>
      <c r="L722" s="33"/>
      <c r="M722" s="24"/>
      <c r="N722" s="28"/>
      <c r="P722" s="32"/>
      <c r="R722" s="34"/>
    </row>
    <row r="723" spans="1:18" ht="12.75" x14ac:dyDescent="0.2">
      <c r="A723" s="32"/>
      <c r="B723" s="32"/>
      <c r="F723" s="24"/>
      <c r="G723" s="24"/>
      <c r="H723" s="24"/>
      <c r="I723" s="24"/>
      <c r="J723" s="33"/>
      <c r="K723" s="33"/>
      <c r="L723" s="33"/>
      <c r="M723" s="24"/>
      <c r="N723" s="28"/>
      <c r="P723" s="32"/>
      <c r="R723" s="34"/>
    </row>
    <row r="724" spans="1:18" ht="12.75" x14ac:dyDescent="0.2">
      <c r="A724" s="32"/>
      <c r="B724" s="32"/>
      <c r="F724" s="24"/>
      <c r="G724" s="24"/>
      <c r="H724" s="24"/>
      <c r="I724" s="24"/>
      <c r="J724" s="33"/>
      <c r="K724" s="33"/>
      <c r="L724" s="33"/>
      <c r="M724" s="24"/>
      <c r="N724" s="28"/>
      <c r="P724" s="32"/>
      <c r="R724" s="34"/>
    </row>
    <row r="725" spans="1:18" ht="12.75" x14ac:dyDescent="0.2">
      <c r="A725" s="32"/>
      <c r="B725" s="32"/>
      <c r="F725" s="24"/>
      <c r="G725" s="24"/>
      <c r="H725" s="24"/>
      <c r="I725" s="24"/>
      <c r="J725" s="33"/>
      <c r="K725" s="33"/>
      <c r="L725" s="33"/>
      <c r="M725" s="24"/>
      <c r="N725" s="28"/>
      <c r="P725" s="32"/>
      <c r="R725" s="34"/>
    </row>
    <row r="726" spans="1:18" ht="12.75" x14ac:dyDescent="0.2">
      <c r="A726" s="32"/>
      <c r="B726" s="32"/>
      <c r="F726" s="24"/>
      <c r="G726" s="24"/>
      <c r="H726" s="24"/>
      <c r="I726" s="24"/>
      <c r="J726" s="33"/>
      <c r="K726" s="33"/>
      <c r="L726" s="33"/>
      <c r="M726" s="24"/>
      <c r="N726" s="28"/>
      <c r="P726" s="32"/>
      <c r="R726" s="34"/>
    </row>
    <row r="727" spans="1:18" ht="12.75" x14ac:dyDescent="0.2">
      <c r="A727" s="32"/>
      <c r="B727" s="32"/>
      <c r="F727" s="24"/>
      <c r="G727" s="24"/>
      <c r="H727" s="24"/>
      <c r="I727" s="24"/>
      <c r="J727" s="33"/>
      <c r="K727" s="33"/>
      <c r="L727" s="33"/>
      <c r="M727" s="24"/>
      <c r="N727" s="28"/>
      <c r="P727" s="32"/>
      <c r="R727" s="34"/>
    </row>
    <row r="728" spans="1:18" ht="12.75" x14ac:dyDescent="0.2">
      <c r="A728" s="32"/>
      <c r="B728" s="32"/>
      <c r="F728" s="24"/>
      <c r="G728" s="24"/>
      <c r="H728" s="24"/>
      <c r="I728" s="24"/>
      <c r="J728" s="33"/>
      <c r="K728" s="33"/>
      <c r="L728" s="33"/>
      <c r="M728" s="24"/>
      <c r="N728" s="28"/>
      <c r="P728" s="32"/>
      <c r="R728" s="34"/>
    </row>
    <row r="729" spans="1:18" ht="12.75" x14ac:dyDescent="0.2">
      <c r="A729" s="32"/>
      <c r="B729" s="32"/>
      <c r="F729" s="24"/>
      <c r="G729" s="24"/>
      <c r="H729" s="24"/>
      <c r="I729" s="24"/>
      <c r="J729" s="33"/>
      <c r="K729" s="33"/>
      <c r="L729" s="33"/>
      <c r="M729" s="24"/>
      <c r="N729" s="28"/>
      <c r="P729" s="32"/>
      <c r="R729" s="34"/>
    </row>
    <row r="730" spans="1:18" ht="12.75" x14ac:dyDescent="0.2">
      <c r="A730" s="32"/>
      <c r="B730" s="32"/>
      <c r="F730" s="24"/>
      <c r="G730" s="24"/>
      <c r="H730" s="24"/>
      <c r="I730" s="24"/>
      <c r="J730" s="33"/>
      <c r="K730" s="33"/>
      <c r="L730" s="33"/>
      <c r="M730" s="24"/>
      <c r="N730" s="28"/>
      <c r="P730" s="32"/>
      <c r="R730" s="34"/>
    </row>
    <row r="731" spans="1:18" ht="12.75" x14ac:dyDescent="0.2">
      <c r="A731" s="32"/>
      <c r="B731" s="32"/>
      <c r="F731" s="24"/>
      <c r="G731" s="24"/>
      <c r="H731" s="24"/>
      <c r="I731" s="24"/>
      <c r="J731" s="33"/>
      <c r="K731" s="33"/>
      <c r="L731" s="33"/>
      <c r="M731" s="24"/>
      <c r="N731" s="28"/>
      <c r="P731" s="32"/>
      <c r="R731" s="34"/>
    </row>
    <row r="732" spans="1:18" ht="12.75" x14ac:dyDescent="0.2">
      <c r="A732" s="32"/>
      <c r="B732" s="32"/>
      <c r="F732" s="24"/>
      <c r="G732" s="24"/>
      <c r="H732" s="24"/>
      <c r="I732" s="24"/>
      <c r="J732" s="33"/>
      <c r="K732" s="33"/>
      <c r="L732" s="33"/>
      <c r="M732" s="24"/>
      <c r="N732" s="28"/>
      <c r="P732" s="32"/>
      <c r="R732" s="34"/>
    </row>
    <row r="733" spans="1:18" ht="12.75" x14ac:dyDescent="0.2">
      <c r="A733" s="32"/>
      <c r="B733" s="32"/>
      <c r="F733" s="24"/>
      <c r="G733" s="24"/>
      <c r="H733" s="24"/>
      <c r="I733" s="24"/>
      <c r="J733" s="33"/>
      <c r="K733" s="33"/>
      <c r="L733" s="33"/>
      <c r="M733" s="24"/>
      <c r="N733" s="28"/>
      <c r="P733" s="32"/>
      <c r="R733" s="34"/>
    </row>
    <row r="734" spans="1:18" ht="12.75" x14ac:dyDescent="0.2">
      <c r="A734" s="32"/>
      <c r="B734" s="32"/>
      <c r="F734" s="24"/>
      <c r="G734" s="24"/>
      <c r="H734" s="24"/>
      <c r="I734" s="24"/>
      <c r="J734" s="33"/>
      <c r="K734" s="33"/>
      <c r="L734" s="33"/>
      <c r="M734" s="24"/>
      <c r="N734" s="28"/>
      <c r="P734" s="32"/>
      <c r="R734" s="34"/>
    </row>
    <row r="735" spans="1:18" ht="12.75" x14ac:dyDescent="0.2">
      <c r="A735" s="32"/>
      <c r="B735" s="32"/>
      <c r="F735" s="24"/>
      <c r="G735" s="24"/>
      <c r="H735" s="24"/>
      <c r="I735" s="24"/>
      <c r="J735" s="33"/>
      <c r="K735" s="33"/>
      <c r="L735" s="33"/>
      <c r="M735" s="24"/>
      <c r="N735" s="28"/>
      <c r="P735" s="32"/>
      <c r="R735" s="34"/>
    </row>
    <row r="736" spans="1:18" ht="12.75" x14ac:dyDescent="0.2">
      <c r="A736" s="32"/>
      <c r="B736" s="32"/>
      <c r="F736" s="24"/>
      <c r="G736" s="24"/>
      <c r="H736" s="24"/>
      <c r="I736" s="24"/>
      <c r="J736" s="33"/>
      <c r="K736" s="33"/>
      <c r="L736" s="33"/>
      <c r="M736" s="24"/>
      <c r="N736" s="28"/>
      <c r="P736" s="32"/>
      <c r="R736" s="34"/>
    </row>
    <row r="737" spans="1:18" ht="12.75" x14ac:dyDescent="0.2">
      <c r="A737" s="32"/>
      <c r="B737" s="32"/>
      <c r="F737" s="24"/>
      <c r="G737" s="24"/>
      <c r="H737" s="24"/>
      <c r="I737" s="24"/>
      <c r="J737" s="33"/>
      <c r="K737" s="33"/>
      <c r="L737" s="33"/>
      <c r="M737" s="24"/>
      <c r="N737" s="28"/>
      <c r="P737" s="32"/>
      <c r="R737" s="34"/>
    </row>
    <row r="738" spans="1:18" ht="12.75" x14ac:dyDescent="0.2">
      <c r="A738" s="32"/>
      <c r="B738" s="32"/>
      <c r="F738" s="24"/>
      <c r="G738" s="24"/>
      <c r="H738" s="24"/>
      <c r="I738" s="24"/>
      <c r="J738" s="33"/>
      <c r="K738" s="33"/>
      <c r="L738" s="33"/>
      <c r="M738" s="24"/>
      <c r="N738" s="28"/>
      <c r="P738" s="32"/>
      <c r="R738" s="34"/>
    </row>
    <row r="739" spans="1:18" ht="12.75" x14ac:dyDescent="0.2">
      <c r="A739" s="32"/>
      <c r="B739" s="32"/>
      <c r="F739" s="24"/>
      <c r="G739" s="24"/>
      <c r="H739" s="24"/>
      <c r="I739" s="24"/>
      <c r="J739" s="33"/>
      <c r="K739" s="33"/>
      <c r="L739" s="33"/>
      <c r="M739" s="24"/>
      <c r="N739" s="28"/>
      <c r="P739" s="32"/>
      <c r="R739" s="34"/>
    </row>
    <row r="740" spans="1:18" ht="12.75" x14ac:dyDescent="0.2">
      <c r="A740" s="32"/>
      <c r="B740" s="32"/>
      <c r="F740" s="24"/>
      <c r="G740" s="24"/>
      <c r="H740" s="24"/>
      <c r="I740" s="24"/>
      <c r="J740" s="33"/>
      <c r="K740" s="33"/>
      <c r="L740" s="33"/>
      <c r="M740" s="24"/>
      <c r="N740" s="28"/>
      <c r="P740" s="32"/>
      <c r="R740" s="34"/>
    </row>
    <row r="741" spans="1:18" ht="12.75" x14ac:dyDescent="0.2">
      <c r="A741" s="32"/>
      <c r="B741" s="32"/>
      <c r="F741" s="24"/>
      <c r="G741" s="24"/>
      <c r="H741" s="24"/>
      <c r="I741" s="24"/>
      <c r="J741" s="33"/>
      <c r="K741" s="33"/>
      <c r="L741" s="33"/>
      <c r="M741" s="24"/>
      <c r="N741" s="28"/>
      <c r="P741" s="32"/>
      <c r="R741" s="34"/>
    </row>
    <row r="742" spans="1:18" ht="12.75" x14ac:dyDescent="0.2">
      <c r="A742" s="32"/>
      <c r="B742" s="32"/>
      <c r="F742" s="24"/>
      <c r="G742" s="24"/>
      <c r="H742" s="24"/>
      <c r="I742" s="24"/>
      <c r="J742" s="33"/>
      <c r="K742" s="33"/>
      <c r="L742" s="33"/>
      <c r="M742" s="24"/>
      <c r="N742" s="28"/>
      <c r="P742" s="32"/>
      <c r="R742" s="34"/>
    </row>
    <row r="743" spans="1:18" ht="12.75" x14ac:dyDescent="0.2">
      <c r="A743" s="32"/>
      <c r="B743" s="32"/>
      <c r="F743" s="24"/>
      <c r="G743" s="24"/>
      <c r="H743" s="24"/>
      <c r="I743" s="24"/>
      <c r="J743" s="33"/>
      <c r="K743" s="33"/>
      <c r="L743" s="33"/>
      <c r="M743" s="24"/>
      <c r="N743" s="28"/>
      <c r="P743" s="32"/>
      <c r="R743" s="34"/>
    </row>
    <row r="744" spans="1:18" ht="12.75" x14ac:dyDescent="0.2">
      <c r="A744" s="32"/>
      <c r="B744" s="32"/>
      <c r="F744" s="24"/>
      <c r="G744" s="24"/>
      <c r="H744" s="24"/>
      <c r="I744" s="24"/>
      <c r="J744" s="33"/>
      <c r="K744" s="33"/>
      <c r="L744" s="33"/>
      <c r="M744" s="24"/>
      <c r="N744" s="28"/>
      <c r="P744" s="32"/>
      <c r="R744" s="34"/>
    </row>
    <row r="745" spans="1:18" ht="12.75" x14ac:dyDescent="0.2">
      <c r="A745" s="32"/>
      <c r="B745" s="32"/>
      <c r="F745" s="24"/>
      <c r="G745" s="24"/>
      <c r="H745" s="24"/>
      <c r="I745" s="24"/>
      <c r="J745" s="33"/>
      <c r="K745" s="33"/>
      <c r="L745" s="33"/>
      <c r="M745" s="24"/>
      <c r="N745" s="28"/>
      <c r="P745" s="32"/>
      <c r="R745" s="34"/>
    </row>
    <row r="746" spans="1:18" ht="12.75" x14ac:dyDescent="0.2">
      <c r="A746" s="32"/>
      <c r="B746" s="32"/>
      <c r="F746" s="24"/>
      <c r="G746" s="24"/>
      <c r="H746" s="24"/>
      <c r="I746" s="24"/>
      <c r="J746" s="33"/>
      <c r="K746" s="33"/>
      <c r="L746" s="33"/>
      <c r="M746" s="24"/>
      <c r="N746" s="28"/>
      <c r="P746" s="32"/>
      <c r="R746" s="34"/>
    </row>
    <row r="747" spans="1:18" ht="12.75" x14ac:dyDescent="0.2">
      <c r="A747" s="32"/>
      <c r="B747" s="32"/>
      <c r="F747" s="24"/>
      <c r="G747" s="24"/>
      <c r="H747" s="24"/>
      <c r="I747" s="24"/>
      <c r="J747" s="33"/>
      <c r="K747" s="33"/>
      <c r="L747" s="33"/>
      <c r="M747" s="24"/>
      <c r="N747" s="28"/>
      <c r="P747" s="32"/>
      <c r="R747" s="34"/>
    </row>
    <row r="748" spans="1:18" ht="12.75" x14ac:dyDescent="0.2">
      <c r="A748" s="32"/>
      <c r="B748" s="32"/>
      <c r="F748" s="24"/>
      <c r="G748" s="24"/>
      <c r="H748" s="24"/>
      <c r="I748" s="24"/>
      <c r="J748" s="33"/>
      <c r="K748" s="33"/>
      <c r="L748" s="33"/>
      <c r="M748" s="24"/>
      <c r="N748" s="28"/>
      <c r="P748" s="32"/>
      <c r="R748" s="34"/>
    </row>
    <row r="749" spans="1:18" ht="12.75" x14ac:dyDescent="0.2">
      <c r="A749" s="32"/>
      <c r="B749" s="32"/>
      <c r="F749" s="24"/>
      <c r="G749" s="24"/>
      <c r="H749" s="24"/>
      <c r="I749" s="24"/>
      <c r="J749" s="33"/>
      <c r="K749" s="33"/>
      <c r="L749" s="33"/>
      <c r="M749" s="24"/>
      <c r="N749" s="28"/>
      <c r="P749" s="32"/>
      <c r="R749" s="34"/>
    </row>
    <row r="750" spans="1:18" ht="12.75" x14ac:dyDescent="0.2">
      <c r="A750" s="32"/>
      <c r="B750" s="32"/>
      <c r="F750" s="24"/>
      <c r="G750" s="24"/>
      <c r="H750" s="24"/>
      <c r="I750" s="24"/>
      <c r="J750" s="33"/>
      <c r="K750" s="33"/>
      <c r="L750" s="33"/>
      <c r="M750" s="24"/>
      <c r="N750" s="28"/>
      <c r="P750" s="32"/>
      <c r="R750" s="34"/>
    </row>
    <row r="751" spans="1:18" ht="12.75" x14ac:dyDescent="0.2">
      <c r="A751" s="32"/>
      <c r="B751" s="32"/>
      <c r="F751" s="24"/>
      <c r="G751" s="24"/>
      <c r="H751" s="24"/>
      <c r="I751" s="24"/>
      <c r="J751" s="33"/>
      <c r="K751" s="33"/>
      <c r="L751" s="33"/>
      <c r="M751" s="24"/>
      <c r="N751" s="28"/>
      <c r="P751" s="32"/>
      <c r="R751" s="34"/>
    </row>
    <row r="752" spans="1:18" ht="12.75" x14ac:dyDescent="0.2">
      <c r="A752" s="32"/>
      <c r="B752" s="32"/>
      <c r="F752" s="24"/>
      <c r="G752" s="24"/>
      <c r="H752" s="24"/>
      <c r="I752" s="24"/>
      <c r="J752" s="33"/>
      <c r="K752" s="33"/>
      <c r="L752" s="33"/>
      <c r="M752" s="24"/>
      <c r="N752" s="28"/>
      <c r="P752" s="32"/>
      <c r="R752" s="34"/>
    </row>
    <row r="753" spans="1:18" ht="12.75" x14ac:dyDescent="0.2">
      <c r="A753" s="32"/>
      <c r="B753" s="32"/>
      <c r="F753" s="24"/>
      <c r="G753" s="24"/>
      <c r="H753" s="24"/>
      <c r="I753" s="24"/>
      <c r="J753" s="33"/>
      <c r="K753" s="33"/>
      <c r="L753" s="33"/>
      <c r="M753" s="24"/>
      <c r="N753" s="28"/>
      <c r="P753" s="32"/>
      <c r="R753" s="34"/>
    </row>
    <row r="754" spans="1:18" ht="12.75" x14ac:dyDescent="0.2">
      <c r="A754" s="32"/>
      <c r="B754" s="32"/>
      <c r="F754" s="24"/>
      <c r="G754" s="24"/>
      <c r="H754" s="24"/>
      <c r="I754" s="24"/>
      <c r="J754" s="33"/>
      <c r="K754" s="33"/>
      <c r="L754" s="33"/>
      <c r="M754" s="24"/>
      <c r="N754" s="28"/>
      <c r="P754" s="32"/>
      <c r="R754" s="34"/>
    </row>
    <row r="755" spans="1:18" ht="12.75" x14ac:dyDescent="0.2">
      <c r="A755" s="32"/>
      <c r="B755" s="32"/>
      <c r="F755" s="24"/>
      <c r="G755" s="24"/>
      <c r="H755" s="24"/>
      <c r="I755" s="24"/>
      <c r="J755" s="33"/>
      <c r="K755" s="33"/>
      <c r="L755" s="33"/>
      <c r="M755" s="24"/>
      <c r="N755" s="28"/>
      <c r="P755" s="32"/>
      <c r="R755" s="34"/>
    </row>
    <row r="756" spans="1:18" ht="12.75" x14ac:dyDescent="0.2">
      <c r="A756" s="32"/>
      <c r="B756" s="32"/>
      <c r="F756" s="24"/>
      <c r="G756" s="24"/>
      <c r="H756" s="24"/>
      <c r="I756" s="24"/>
      <c r="J756" s="33"/>
      <c r="K756" s="33"/>
      <c r="L756" s="33"/>
      <c r="M756" s="24"/>
      <c r="N756" s="28"/>
      <c r="P756" s="32"/>
      <c r="R756" s="34"/>
    </row>
    <row r="757" spans="1:18" ht="12.75" x14ac:dyDescent="0.2">
      <c r="A757" s="32"/>
      <c r="B757" s="32"/>
      <c r="F757" s="24"/>
      <c r="G757" s="24"/>
      <c r="H757" s="24"/>
      <c r="I757" s="24"/>
      <c r="J757" s="33"/>
      <c r="K757" s="33"/>
      <c r="L757" s="33"/>
      <c r="M757" s="24"/>
      <c r="N757" s="28"/>
      <c r="P757" s="32"/>
      <c r="R757" s="34"/>
    </row>
    <row r="758" spans="1:18" ht="12.75" x14ac:dyDescent="0.2">
      <c r="A758" s="32"/>
      <c r="B758" s="32"/>
      <c r="F758" s="24"/>
      <c r="G758" s="24"/>
      <c r="H758" s="24"/>
      <c r="I758" s="24"/>
      <c r="J758" s="33"/>
      <c r="K758" s="33"/>
      <c r="L758" s="33"/>
      <c r="M758" s="24"/>
      <c r="N758" s="28"/>
      <c r="P758" s="32"/>
      <c r="R758" s="34"/>
    </row>
    <row r="759" spans="1:18" ht="12.75" x14ac:dyDescent="0.2">
      <c r="A759" s="32"/>
      <c r="B759" s="32"/>
      <c r="F759" s="24"/>
      <c r="G759" s="24"/>
      <c r="H759" s="24"/>
      <c r="I759" s="24"/>
      <c r="J759" s="33"/>
      <c r="K759" s="33"/>
      <c r="L759" s="33"/>
      <c r="M759" s="24"/>
      <c r="N759" s="28"/>
      <c r="P759" s="32"/>
      <c r="R759" s="34"/>
    </row>
    <row r="760" spans="1:18" ht="12.75" x14ac:dyDescent="0.2">
      <c r="A760" s="32"/>
      <c r="B760" s="32"/>
      <c r="F760" s="24"/>
      <c r="G760" s="24"/>
      <c r="H760" s="24"/>
      <c r="I760" s="24"/>
      <c r="J760" s="33"/>
      <c r="K760" s="33"/>
      <c r="L760" s="33"/>
      <c r="M760" s="24"/>
      <c r="N760" s="28"/>
      <c r="P760" s="32"/>
      <c r="R760" s="34"/>
    </row>
    <row r="761" spans="1:18" ht="12.75" x14ac:dyDescent="0.2">
      <c r="A761" s="32"/>
      <c r="B761" s="32"/>
      <c r="F761" s="24"/>
      <c r="G761" s="24"/>
      <c r="H761" s="24"/>
      <c r="I761" s="24"/>
      <c r="J761" s="33"/>
      <c r="K761" s="33"/>
      <c r="L761" s="33"/>
      <c r="M761" s="24"/>
      <c r="N761" s="28"/>
      <c r="P761" s="32"/>
      <c r="R761" s="34"/>
    </row>
    <row r="762" spans="1:18" ht="12.75" x14ac:dyDescent="0.2">
      <c r="A762" s="32"/>
      <c r="B762" s="32"/>
      <c r="F762" s="24"/>
      <c r="G762" s="24"/>
      <c r="H762" s="24"/>
      <c r="I762" s="24"/>
      <c r="J762" s="33"/>
      <c r="K762" s="33"/>
      <c r="L762" s="33"/>
      <c r="M762" s="24"/>
      <c r="N762" s="28"/>
      <c r="P762" s="32"/>
      <c r="R762" s="34"/>
    </row>
    <row r="763" spans="1:18" ht="12.75" x14ac:dyDescent="0.2">
      <c r="A763" s="32"/>
      <c r="B763" s="32"/>
      <c r="F763" s="24"/>
      <c r="G763" s="24"/>
      <c r="H763" s="24"/>
      <c r="I763" s="24"/>
      <c r="J763" s="33"/>
      <c r="K763" s="33"/>
      <c r="L763" s="33"/>
      <c r="M763" s="24"/>
      <c r="N763" s="28"/>
      <c r="P763" s="32"/>
      <c r="R763" s="34"/>
    </row>
    <row r="764" spans="1:18" ht="12.75" x14ac:dyDescent="0.2">
      <c r="A764" s="32"/>
      <c r="B764" s="32"/>
      <c r="F764" s="24"/>
      <c r="G764" s="24"/>
      <c r="H764" s="24"/>
      <c r="I764" s="24"/>
      <c r="J764" s="33"/>
      <c r="K764" s="33"/>
      <c r="L764" s="33"/>
      <c r="M764" s="24"/>
      <c r="N764" s="28"/>
      <c r="P764" s="32"/>
      <c r="R764" s="34"/>
    </row>
    <row r="765" spans="1:18" ht="12.75" x14ac:dyDescent="0.2">
      <c r="A765" s="32"/>
      <c r="B765" s="32"/>
      <c r="F765" s="24"/>
      <c r="G765" s="24"/>
      <c r="H765" s="24"/>
      <c r="I765" s="24"/>
      <c r="J765" s="33"/>
      <c r="K765" s="33"/>
      <c r="L765" s="33"/>
      <c r="M765" s="24"/>
      <c r="N765" s="28"/>
      <c r="P765" s="32"/>
      <c r="R765" s="34"/>
    </row>
    <row r="766" spans="1:18" ht="12.75" x14ac:dyDescent="0.2">
      <c r="A766" s="32"/>
      <c r="B766" s="32"/>
      <c r="F766" s="24"/>
      <c r="G766" s="24"/>
      <c r="H766" s="24"/>
      <c r="I766" s="24"/>
      <c r="J766" s="33"/>
      <c r="K766" s="33"/>
      <c r="L766" s="33"/>
      <c r="M766" s="24"/>
      <c r="N766" s="28"/>
      <c r="P766" s="32"/>
      <c r="R766" s="34"/>
    </row>
    <row r="767" spans="1:18" ht="12.75" x14ac:dyDescent="0.2">
      <c r="A767" s="32"/>
      <c r="B767" s="32"/>
      <c r="F767" s="24"/>
      <c r="G767" s="24"/>
      <c r="H767" s="24"/>
      <c r="I767" s="24"/>
      <c r="J767" s="33"/>
      <c r="K767" s="33"/>
      <c r="L767" s="33"/>
      <c r="M767" s="24"/>
      <c r="N767" s="28"/>
      <c r="P767" s="32"/>
      <c r="R767" s="34"/>
    </row>
    <row r="768" spans="1:18" ht="12.75" x14ac:dyDescent="0.2">
      <c r="A768" s="32"/>
      <c r="B768" s="32"/>
      <c r="F768" s="24"/>
      <c r="G768" s="24"/>
      <c r="H768" s="24"/>
      <c r="I768" s="24"/>
      <c r="J768" s="33"/>
      <c r="K768" s="33"/>
      <c r="L768" s="33"/>
      <c r="M768" s="24"/>
      <c r="N768" s="28"/>
      <c r="P768" s="32"/>
      <c r="R768" s="34"/>
    </row>
    <row r="769" spans="1:18" ht="12.75" x14ac:dyDescent="0.2">
      <c r="A769" s="32"/>
      <c r="B769" s="32"/>
      <c r="F769" s="24"/>
      <c r="G769" s="24"/>
      <c r="H769" s="24"/>
      <c r="I769" s="24"/>
      <c r="J769" s="33"/>
      <c r="K769" s="33"/>
      <c r="L769" s="33"/>
      <c r="M769" s="24"/>
      <c r="N769" s="28"/>
      <c r="P769" s="32"/>
      <c r="R769" s="34"/>
    </row>
    <row r="770" spans="1:18" ht="12.75" x14ac:dyDescent="0.2">
      <c r="A770" s="32"/>
      <c r="B770" s="32"/>
      <c r="F770" s="24"/>
      <c r="G770" s="24"/>
      <c r="H770" s="24"/>
      <c r="I770" s="24"/>
      <c r="J770" s="33"/>
      <c r="K770" s="33"/>
      <c r="L770" s="33"/>
      <c r="M770" s="24"/>
      <c r="N770" s="28"/>
      <c r="P770" s="32"/>
      <c r="R770" s="34"/>
    </row>
    <row r="771" spans="1:18" ht="12.75" x14ac:dyDescent="0.2">
      <c r="A771" s="32"/>
      <c r="B771" s="32"/>
      <c r="F771" s="24"/>
      <c r="G771" s="24"/>
      <c r="H771" s="24"/>
      <c r="I771" s="24"/>
      <c r="J771" s="33"/>
      <c r="K771" s="33"/>
      <c r="L771" s="33"/>
      <c r="M771" s="24"/>
      <c r="N771" s="28"/>
      <c r="P771" s="32"/>
      <c r="R771" s="34"/>
    </row>
    <row r="772" spans="1:18" ht="12.75" x14ac:dyDescent="0.2">
      <c r="A772" s="32"/>
      <c r="B772" s="32"/>
      <c r="F772" s="24"/>
      <c r="G772" s="24"/>
      <c r="H772" s="24"/>
      <c r="I772" s="24"/>
      <c r="J772" s="33"/>
      <c r="K772" s="33"/>
      <c r="L772" s="33"/>
      <c r="M772" s="24"/>
      <c r="N772" s="28"/>
      <c r="P772" s="32"/>
      <c r="R772" s="34"/>
    </row>
    <row r="773" spans="1:18" ht="12.75" x14ac:dyDescent="0.2">
      <c r="A773" s="32"/>
      <c r="B773" s="32"/>
      <c r="F773" s="24"/>
      <c r="G773" s="24"/>
      <c r="H773" s="24"/>
      <c r="I773" s="24"/>
      <c r="J773" s="33"/>
      <c r="K773" s="33"/>
      <c r="L773" s="33"/>
      <c r="M773" s="24"/>
      <c r="N773" s="28"/>
      <c r="P773" s="32"/>
      <c r="R773" s="34"/>
    </row>
    <row r="774" spans="1:18" ht="12.75" x14ac:dyDescent="0.2">
      <c r="A774" s="32"/>
      <c r="B774" s="32"/>
      <c r="F774" s="24"/>
      <c r="G774" s="24"/>
      <c r="H774" s="24"/>
      <c r="I774" s="24"/>
      <c r="J774" s="33"/>
      <c r="K774" s="33"/>
      <c r="L774" s="33"/>
      <c r="M774" s="24"/>
      <c r="N774" s="28"/>
      <c r="P774" s="32"/>
      <c r="R774" s="34"/>
    </row>
    <row r="775" spans="1:18" ht="12.75" x14ac:dyDescent="0.2">
      <c r="A775" s="32"/>
      <c r="B775" s="32"/>
      <c r="F775" s="24"/>
      <c r="G775" s="24"/>
      <c r="H775" s="24"/>
      <c r="I775" s="24"/>
      <c r="J775" s="33"/>
      <c r="K775" s="33"/>
      <c r="L775" s="33"/>
      <c r="M775" s="24"/>
      <c r="N775" s="28"/>
      <c r="P775" s="32"/>
      <c r="R775" s="34"/>
    </row>
    <row r="776" spans="1:18" ht="12.75" x14ac:dyDescent="0.2">
      <c r="A776" s="32"/>
      <c r="B776" s="32"/>
      <c r="F776" s="24"/>
      <c r="G776" s="24"/>
      <c r="H776" s="24"/>
      <c r="I776" s="24"/>
      <c r="J776" s="33"/>
      <c r="K776" s="33"/>
      <c r="L776" s="33"/>
      <c r="M776" s="24"/>
      <c r="N776" s="28"/>
      <c r="P776" s="32"/>
      <c r="R776" s="34"/>
    </row>
    <row r="777" spans="1:18" ht="12.75" x14ac:dyDescent="0.2">
      <c r="A777" s="32"/>
      <c r="B777" s="32"/>
      <c r="F777" s="24"/>
      <c r="G777" s="24"/>
      <c r="H777" s="24"/>
      <c r="I777" s="24"/>
      <c r="J777" s="33"/>
      <c r="K777" s="33"/>
      <c r="L777" s="33"/>
      <c r="M777" s="24"/>
      <c r="N777" s="28"/>
      <c r="P777" s="32"/>
      <c r="R777" s="34"/>
    </row>
    <row r="778" spans="1:18" ht="12.75" x14ac:dyDescent="0.2">
      <c r="A778" s="32"/>
      <c r="B778" s="32"/>
      <c r="F778" s="24"/>
      <c r="G778" s="24"/>
      <c r="H778" s="24"/>
      <c r="I778" s="24"/>
      <c r="J778" s="33"/>
      <c r="K778" s="33"/>
      <c r="L778" s="33"/>
      <c r="M778" s="24"/>
      <c r="N778" s="28"/>
      <c r="P778" s="32"/>
      <c r="R778" s="34"/>
    </row>
    <row r="779" spans="1:18" ht="12.75" x14ac:dyDescent="0.2">
      <c r="A779" s="32"/>
      <c r="B779" s="32"/>
      <c r="F779" s="24"/>
      <c r="G779" s="24"/>
      <c r="H779" s="24"/>
      <c r="I779" s="24"/>
      <c r="J779" s="33"/>
      <c r="K779" s="33"/>
      <c r="L779" s="33"/>
      <c r="M779" s="24"/>
      <c r="N779" s="28"/>
      <c r="P779" s="32"/>
      <c r="R779" s="34"/>
    </row>
    <row r="780" spans="1:18" ht="12.75" x14ac:dyDescent="0.2">
      <c r="A780" s="32"/>
      <c r="B780" s="32"/>
      <c r="F780" s="24"/>
      <c r="G780" s="24"/>
      <c r="H780" s="24"/>
      <c r="I780" s="24"/>
      <c r="J780" s="33"/>
      <c r="K780" s="33"/>
      <c r="L780" s="33"/>
      <c r="M780" s="24"/>
      <c r="N780" s="28"/>
      <c r="P780" s="32"/>
      <c r="R780" s="34"/>
    </row>
    <row r="781" spans="1:18" ht="12.75" x14ac:dyDescent="0.2">
      <c r="A781" s="32"/>
      <c r="B781" s="32"/>
      <c r="F781" s="24"/>
      <c r="G781" s="24"/>
      <c r="H781" s="24"/>
      <c r="I781" s="24"/>
      <c r="J781" s="33"/>
      <c r="K781" s="33"/>
      <c r="L781" s="33"/>
      <c r="M781" s="24"/>
      <c r="N781" s="28"/>
      <c r="P781" s="32"/>
      <c r="R781" s="34"/>
    </row>
    <row r="782" spans="1:18" ht="12.75" x14ac:dyDescent="0.2">
      <c r="A782" s="32"/>
      <c r="B782" s="32"/>
      <c r="F782" s="24"/>
      <c r="G782" s="24"/>
      <c r="H782" s="24"/>
      <c r="I782" s="24"/>
      <c r="J782" s="33"/>
      <c r="K782" s="33"/>
      <c r="L782" s="33"/>
      <c r="M782" s="24"/>
      <c r="N782" s="28"/>
      <c r="P782" s="32"/>
      <c r="R782" s="34"/>
    </row>
    <row r="783" spans="1:18" ht="12.75" x14ac:dyDescent="0.2">
      <c r="A783" s="32"/>
      <c r="B783" s="32"/>
      <c r="F783" s="24"/>
      <c r="G783" s="24"/>
      <c r="H783" s="24"/>
      <c r="I783" s="24"/>
      <c r="J783" s="33"/>
      <c r="K783" s="33"/>
      <c r="L783" s="33"/>
      <c r="M783" s="24"/>
      <c r="N783" s="28"/>
      <c r="P783" s="32"/>
      <c r="R783" s="34"/>
    </row>
    <row r="784" spans="1:18" ht="12.75" x14ac:dyDescent="0.2">
      <c r="A784" s="32"/>
      <c r="B784" s="32"/>
      <c r="F784" s="24"/>
      <c r="G784" s="24"/>
      <c r="H784" s="24"/>
      <c r="I784" s="24"/>
      <c r="J784" s="33"/>
      <c r="K784" s="33"/>
      <c r="L784" s="33"/>
      <c r="M784" s="24"/>
      <c r="N784" s="28"/>
      <c r="P784" s="32"/>
      <c r="R784" s="34"/>
    </row>
    <row r="785" spans="1:18" ht="12.75" x14ac:dyDescent="0.2">
      <c r="A785" s="32"/>
      <c r="B785" s="32"/>
      <c r="F785" s="24"/>
      <c r="G785" s="24"/>
      <c r="H785" s="24"/>
      <c r="I785" s="24"/>
      <c r="J785" s="33"/>
      <c r="K785" s="33"/>
      <c r="L785" s="33"/>
      <c r="M785" s="24"/>
      <c r="N785" s="28"/>
      <c r="P785" s="32"/>
      <c r="R785" s="34"/>
    </row>
    <row r="786" spans="1:18" ht="12.75" x14ac:dyDescent="0.2">
      <c r="A786" s="32"/>
      <c r="B786" s="32"/>
      <c r="F786" s="24"/>
      <c r="G786" s="24"/>
      <c r="H786" s="24"/>
      <c r="I786" s="24"/>
      <c r="J786" s="33"/>
      <c r="K786" s="33"/>
      <c r="L786" s="33"/>
      <c r="M786" s="24"/>
      <c r="N786" s="28"/>
      <c r="P786" s="32"/>
      <c r="R786" s="34"/>
    </row>
    <row r="787" spans="1:18" ht="12.75" x14ac:dyDescent="0.2">
      <c r="A787" s="32"/>
      <c r="B787" s="32"/>
      <c r="F787" s="24"/>
      <c r="G787" s="24"/>
      <c r="H787" s="24"/>
      <c r="I787" s="24"/>
      <c r="J787" s="33"/>
      <c r="K787" s="33"/>
      <c r="L787" s="33"/>
      <c r="M787" s="24"/>
      <c r="N787" s="28"/>
      <c r="P787" s="32"/>
      <c r="R787" s="34"/>
    </row>
    <row r="788" spans="1:18" ht="12.75" x14ac:dyDescent="0.2">
      <c r="A788" s="32"/>
      <c r="B788" s="32"/>
      <c r="F788" s="24"/>
      <c r="G788" s="24"/>
      <c r="H788" s="24"/>
      <c r="I788" s="24"/>
      <c r="J788" s="33"/>
      <c r="K788" s="33"/>
      <c r="L788" s="33"/>
      <c r="M788" s="24"/>
      <c r="N788" s="28"/>
      <c r="P788" s="32"/>
      <c r="R788" s="34"/>
    </row>
    <row r="789" spans="1:18" ht="12.75" x14ac:dyDescent="0.2">
      <c r="A789" s="32"/>
      <c r="B789" s="32"/>
      <c r="F789" s="24"/>
      <c r="G789" s="24"/>
      <c r="H789" s="24"/>
      <c r="I789" s="24"/>
      <c r="J789" s="33"/>
      <c r="K789" s="33"/>
      <c r="L789" s="33"/>
      <c r="M789" s="24"/>
      <c r="N789" s="28"/>
      <c r="P789" s="32"/>
      <c r="R789" s="34"/>
    </row>
    <row r="790" spans="1:18" ht="12.75" x14ac:dyDescent="0.2">
      <c r="A790" s="32"/>
      <c r="B790" s="32"/>
      <c r="F790" s="24"/>
      <c r="G790" s="24"/>
      <c r="H790" s="24"/>
      <c r="I790" s="24"/>
      <c r="J790" s="33"/>
      <c r="K790" s="33"/>
      <c r="L790" s="33"/>
      <c r="M790" s="24"/>
      <c r="N790" s="28"/>
      <c r="P790" s="32"/>
      <c r="R790" s="34"/>
    </row>
    <row r="791" spans="1:18" ht="12.75" x14ac:dyDescent="0.2">
      <c r="A791" s="32"/>
      <c r="B791" s="32"/>
      <c r="F791" s="24"/>
      <c r="G791" s="24"/>
      <c r="H791" s="24"/>
      <c r="I791" s="24"/>
      <c r="J791" s="33"/>
      <c r="K791" s="33"/>
      <c r="L791" s="33"/>
      <c r="M791" s="24"/>
      <c r="N791" s="28"/>
      <c r="P791" s="32"/>
      <c r="R791" s="34"/>
    </row>
    <row r="792" spans="1:18" ht="12.75" x14ac:dyDescent="0.2">
      <c r="A792" s="32"/>
      <c r="B792" s="32"/>
      <c r="F792" s="24"/>
      <c r="G792" s="24"/>
      <c r="H792" s="24"/>
      <c r="I792" s="24"/>
      <c r="J792" s="33"/>
      <c r="K792" s="33"/>
      <c r="L792" s="33"/>
      <c r="M792" s="24"/>
      <c r="N792" s="28"/>
      <c r="P792" s="32"/>
      <c r="R792" s="34"/>
    </row>
    <row r="793" spans="1:18" ht="12.75" x14ac:dyDescent="0.2">
      <c r="A793" s="32"/>
      <c r="B793" s="32"/>
      <c r="F793" s="24"/>
      <c r="G793" s="24"/>
      <c r="H793" s="24"/>
      <c r="I793" s="24"/>
      <c r="J793" s="33"/>
      <c r="K793" s="33"/>
      <c r="L793" s="33"/>
      <c r="M793" s="24"/>
      <c r="N793" s="28"/>
      <c r="P793" s="32"/>
      <c r="R793" s="34"/>
    </row>
    <row r="794" spans="1:18" ht="12.75" x14ac:dyDescent="0.2">
      <c r="A794" s="32"/>
      <c r="B794" s="32"/>
      <c r="F794" s="24"/>
      <c r="G794" s="24"/>
      <c r="H794" s="24"/>
      <c r="I794" s="24"/>
      <c r="J794" s="33"/>
      <c r="K794" s="33"/>
      <c r="L794" s="33"/>
      <c r="M794" s="24"/>
      <c r="N794" s="28"/>
      <c r="P794" s="32"/>
      <c r="R794" s="34"/>
    </row>
    <row r="795" spans="1:18" ht="12.75" x14ac:dyDescent="0.2">
      <c r="A795" s="32"/>
      <c r="B795" s="32"/>
      <c r="F795" s="24"/>
      <c r="G795" s="24"/>
      <c r="H795" s="24"/>
      <c r="I795" s="24"/>
      <c r="J795" s="33"/>
      <c r="K795" s="33"/>
      <c r="L795" s="33"/>
      <c r="M795" s="24"/>
      <c r="N795" s="28"/>
      <c r="P795" s="32"/>
      <c r="R795" s="34"/>
    </row>
    <row r="796" spans="1:18" ht="12.75" x14ac:dyDescent="0.2">
      <c r="A796" s="32"/>
      <c r="B796" s="32"/>
      <c r="F796" s="24"/>
      <c r="G796" s="24"/>
      <c r="H796" s="24"/>
      <c r="I796" s="24"/>
      <c r="J796" s="33"/>
      <c r="K796" s="33"/>
      <c r="L796" s="33"/>
      <c r="M796" s="24"/>
      <c r="N796" s="28"/>
      <c r="P796" s="32"/>
      <c r="R796" s="34"/>
    </row>
    <row r="797" spans="1:18" ht="12.75" x14ac:dyDescent="0.2">
      <c r="A797" s="32"/>
      <c r="B797" s="32"/>
      <c r="F797" s="24"/>
      <c r="G797" s="24"/>
      <c r="H797" s="24"/>
      <c r="I797" s="24"/>
      <c r="J797" s="33"/>
      <c r="K797" s="33"/>
      <c r="L797" s="33"/>
      <c r="M797" s="24"/>
      <c r="N797" s="28"/>
      <c r="P797" s="32"/>
      <c r="R797" s="34"/>
    </row>
    <row r="798" spans="1:18" ht="12.75" x14ac:dyDescent="0.2">
      <c r="A798" s="32"/>
      <c r="B798" s="32"/>
      <c r="F798" s="24"/>
      <c r="G798" s="24"/>
      <c r="H798" s="24"/>
      <c r="I798" s="24"/>
      <c r="J798" s="33"/>
      <c r="K798" s="33"/>
      <c r="L798" s="33"/>
      <c r="M798" s="24"/>
      <c r="N798" s="28"/>
      <c r="P798" s="32"/>
      <c r="R798" s="34"/>
    </row>
    <row r="799" spans="1:18" ht="12.75" x14ac:dyDescent="0.2">
      <c r="A799" s="32"/>
      <c r="B799" s="32"/>
      <c r="F799" s="24"/>
      <c r="G799" s="24"/>
      <c r="H799" s="24"/>
      <c r="I799" s="24"/>
      <c r="J799" s="33"/>
      <c r="K799" s="33"/>
      <c r="L799" s="33"/>
      <c r="M799" s="24"/>
      <c r="N799" s="28"/>
      <c r="P799" s="32"/>
      <c r="R799" s="34"/>
    </row>
    <row r="800" spans="1:18" ht="12.75" x14ac:dyDescent="0.2">
      <c r="A800" s="32"/>
      <c r="B800" s="32"/>
      <c r="F800" s="24"/>
      <c r="G800" s="24"/>
      <c r="H800" s="24"/>
      <c r="I800" s="24"/>
      <c r="J800" s="33"/>
      <c r="K800" s="33"/>
      <c r="L800" s="33"/>
      <c r="M800" s="24"/>
      <c r="N800" s="28"/>
      <c r="P800" s="32"/>
      <c r="R800" s="34"/>
    </row>
    <row r="801" spans="1:18" ht="12.75" x14ac:dyDescent="0.2">
      <c r="A801" s="32"/>
      <c r="B801" s="32"/>
      <c r="F801" s="24"/>
      <c r="G801" s="24"/>
      <c r="H801" s="24"/>
      <c r="I801" s="24"/>
      <c r="J801" s="33"/>
      <c r="K801" s="33"/>
      <c r="L801" s="33"/>
      <c r="M801" s="24"/>
      <c r="N801" s="28"/>
      <c r="P801" s="32"/>
      <c r="R801" s="34"/>
    </row>
    <row r="802" spans="1:18" ht="12.75" x14ac:dyDescent="0.2">
      <c r="A802" s="32"/>
      <c r="B802" s="32"/>
      <c r="F802" s="24"/>
      <c r="G802" s="24"/>
      <c r="H802" s="24"/>
      <c r="I802" s="24"/>
      <c r="J802" s="33"/>
      <c r="K802" s="33"/>
      <c r="L802" s="33"/>
      <c r="M802" s="24"/>
      <c r="N802" s="28"/>
      <c r="P802" s="32"/>
      <c r="R802" s="34"/>
    </row>
    <row r="803" spans="1:18" ht="12.75" x14ac:dyDescent="0.2">
      <c r="A803" s="32"/>
      <c r="B803" s="32"/>
      <c r="F803" s="24"/>
      <c r="G803" s="24"/>
      <c r="H803" s="24"/>
      <c r="I803" s="24"/>
      <c r="J803" s="33"/>
      <c r="K803" s="33"/>
      <c r="L803" s="33"/>
      <c r="M803" s="24"/>
      <c r="N803" s="28"/>
      <c r="P803" s="32"/>
      <c r="R803" s="34"/>
    </row>
    <row r="804" spans="1:18" ht="12.75" x14ac:dyDescent="0.2">
      <c r="A804" s="32"/>
      <c r="B804" s="32"/>
      <c r="F804" s="24"/>
      <c r="G804" s="24"/>
      <c r="H804" s="24"/>
      <c r="I804" s="24"/>
      <c r="J804" s="33"/>
      <c r="K804" s="33"/>
      <c r="L804" s="33"/>
      <c r="M804" s="24"/>
      <c r="N804" s="28"/>
      <c r="P804" s="32"/>
      <c r="R804" s="34"/>
    </row>
    <row r="805" spans="1:18" ht="12.75" x14ac:dyDescent="0.2">
      <c r="A805" s="32"/>
      <c r="B805" s="32"/>
      <c r="F805" s="24"/>
      <c r="G805" s="24"/>
      <c r="H805" s="24"/>
      <c r="I805" s="24"/>
      <c r="J805" s="33"/>
      <c r="K805" s="33"/>
      <c r="L805" s="33"/>
      <c r="M805" s="24"/>
      <c r="N805" s="28"/>
      <c r="P805" s="32"/>
      <c r="R805" s="34"/>
    </row>
    <row r="806" spans="1:18" ht="12.75" x14ac:dyDescent="0.2">
      <c r="A806" s="32"/>
      <c r="B806" s="32"/>
      <c r="F806" s="24"/>
      <c r="G806" s="24"/>
      <c r="H806" s="24"/>
      <c r="I806" s="24"/>
      <c r="J806" s="33"/>
      <c r="K806" s="33"/>
      <c r="L806" s="33"/>
      <c r="M806" s="24"/>
      <c r="N806" s="28"/>
      <c r="P806" s="32"/>
      <c r="R806" s="34"/>
    </row>
    <row r="807" spans="1:18" ht="12.75" x14ac:dyDescent="0.2">
      <c r="A807" s="32"/>
      <c r="B807" s="32"/>
      <c r="F807" s="24"/>
      <c r="G807" s="24"/>
      <c r="H807" s="24"/>
      <c r="I807" s="24"/>
      <c r="J807" s="33"/>
      <c r="K807" s="33"/>
      <c r="L807" s="33"/>
      <c r="M807" s="24"/>
      <c r="N807" s="28"/>
      <c r="P807" s="32"/>
      <c r="R807" s="34"/>
    </row>
    <row r="808" spans="1:18" ht="12.75" x14ac:dyDescent="0.2">
      <c r="A808" s="32"/>
      <c r="B808" s="32"/>
      <c r="F808" s="24"/>
      <c r="G808" s="24"/>
      <c r="H808" s="24"/>
      <c r="I808" s="24"/>
      <c r="J808" s="33"/>
      <c r="K808" s="33"/>
      <c r="L808" s="33"/>
      <c r="M808" s="24"/>
      <c r="N808" s="28"/>
      <c r="P808" s="32"/>
      <c r="R808" s="34"/>
    </row>
    <row r="809" spans="1:18" ht="12.75" x14ac:dyDescent="0.2">
      <c r="A809" s="32"/>
      <c r="B809" s="32"/>
      <c r="F809" s="24"/>
      <c r="G809" s="24"/>
      <c r="H809" s="24"/>
      <c r="I809" s="24"/>
      <c r="J809" s="33"/>
      <c r="K809" s="33"/>
      <c r="L809" s="33"/>
      <c r="M809" s="24"/>
      <c r="N809" s="28"/>
      <c r="P809" s="32"/>
      <c r="R809" s="34"/>
    </row>
    <row r="810" spans="1:18" ht="12.75" x14ac:dyDescent="0.2">
      <c r="A810" s="32"/>
      <c r="B810" s="32"/>
      <c r="F810" s="24"/>
      <c r="G810" s="24"/>
      <c r="H810" s="24"/>
      <c r="I810" s="24"/>
      <c r="J810" s="33"/>
      <c r="K810" s="33"/>
      <c r="L810" s="33"/>
      <c r="M810" s="24"/>
      <c r="N810" s="28"/>
      <c r="P810" s="32"/>
      <c r="R810" s="34"/>
    </row>
    <row r="811" spans="1:18" ht="12.75" x14ac:dyDescent="0.2">
      <c r="A811" s="32"/>
      <c r="B811" s="32"/>
      <c r="F811" s="24"/>
      <c r="G811" s="24"/>
      <c r="H811" s="24"/>
      <c r="I811" s="24"/>
      <c r="J811" s="33"/>
      <c r="K811" s="33"/>
      <c r="L811" s="33"/>
      <c r="M811" s="24"/>
      <c r="N811" s="28"/>
      <c r="P811" s="32"/>
      <c r="R811" s="34"/>
    </row>
    <row r="812" spans="1:18" ht="12.75" x14ac:dyDescent="0.2">
      <c r="A812" s="32"/>
      <c r="B812" s="32"/>
      <c r="F812" s="24"/>
      <c r="G812" s="24"/>
      <c r="H812" s="24"/>
      <c r="I812" s="24"/>
      <c r="J812" s="33"/>
      <c r="K812" s="33"/>
      <c r="L812" s="33"/>
      <c r="M812" s="24"/>
      <c r="N812" s="28"/>
      <c r="P812" s="32"/>
      <c r="R812" s="34"/>
    </row>
    <row r="813" spans="1:18" ht="12.75" x14ac:dyDescent="0.2">
      <c r="A813" s="32"/>
      <c r="B813" s="32"/>
      <c r="F813" s="24"/>
      <c r="G813" s="24"/>
      <c r="H813" s="24"/>
      <c r="I813" s="24"/>
      <c r="J813" s="33"/>
      <c r="K813" s="33"/>
      <c r="L813" s="33"/>
      <c r="M813" s="24"/>
      <c r="N813" s="28"/>
      <c r="P813" s="32"/>
      <c r="R813" s="34"/>
    </row>
    <row r="814" spans="1:18" ht="12.75" x14ac:dyDescent="0.2">
      <c r="A814" s="32"/>
      <c r="B814" s="32"/>
      <c r="F814" s="24"/>
      <c r="G814" s="24"/>
      <c r="H814" s="24"/>
      <c r="I814" s="24"/>
      <c r="J814" s="33"/>
      <c r="K814" s="33"/>
      <c r="L814" s="33"/>
      <c r="M814" s="24"/>
      <c r="N814" s="28"/>
      <c r="P814" s="32"/>
      <c r="R814" s="34"/>
    </row>
    <row r="815" spans="1:18" ht="12.75" x14ac:dyDescent="0.2">
      <c r="A815" s="32"/>
      <c r="B815" s="32"/>
      <c r="F815" s="24"/>
      <c r="G815" s="24"/>
      <c r="H815" s="24"/>
      <c r="I815" s="24"/>
      <c r="J815" s="33"/>
      <c r="K815" s="33"/>
      <c r="L815" s="33"/>
      <c r="M815" s="24"/>
      <c r="N815" s="28"/>
      <c r="P815" s="32"/>
      <c r="R815" s="34"/>
    </row>
    <row r="816" spans="1:18" ht="12.75" x14ac:dyDescent="0.2">
      <c r="A816" s="32"/>
      <c r="B816" s="32"/>
      <c r="F816" s="24"/>
      <c r="G816" s="24"/>
      <c r="H816" s="24"/>
      <c r="I816" s="24"/>
      <c r="J816" s="33"/>
      <c r="K816" s="33"/>
      <c r="L816" s="33"/>
      <c r="M816" s="24"/>
      <c r="N816" s="28"/>
      <c r="P816" s="32"/>
      <c r="R816" s="34"/>
    </row>
    <row r="817" spans="1:18" ht="12.75" x14ac:dyDescent="0.2">
      <c r="A817" s="32"/>
      <c r="B817" s="32"/>
      <c r="F817" s="24"/>
      <c r="G817" s="24"/>
      <c r="H817" s="24"/>
      <c r="I817" s="24"/>
      <c r="J817" s="33"/>
      <c r="K817" s="33"/>
      <c r="L817" s="33"/>
      <c r="M817" s="24"/>
      <c r="N817" s="28"/>
      <c r="P817" s="32"/>
      <c r="R817" s="34"/>
    </row>
    <row r="818" spans="1:18" ht="12.75" x14ac:dyDescent="0.2">
      <c r="A818" s="32"/>
      <c r="B818" s="32"/>
      <c r="F818" s="24"/>
      <c r="G818" s="24"/>
      <c r="H818" s="24"/>
      <c r="I818" s="24"/>
      <c r="J818" s="33"/>
      <c r="K818" s="33"/>
      <c r="L818" s="33"/>
      <c r="M818" s="24"/>
      <c r="N818" s="28"/>
      <c r="P818" s="32"/>
      <c r="R818" s="34"/>
    </row>
    <row r="819" spans="1:18" ht="12.75" x14ac:dyDescent="0.2">
      <c r="A819" s="32"/>
      <c r="B819" s="32"/>
      <c r="F819" s="24"/>
      <c r="G819" s="24"/>
      <c r="H819" s="24"/>
      <c r="I819" s="24"/>
      <c r="J819" s="33"/>
      <c r="K819" s="33"/>
      <c r="L819" s="33"/>
      <c r="M819" s="24"/>
      <c r="N819" s="28"/>
      <c r="P819" s="32"/>
      <c r="R819" s="34"/>
    </row>
    <row r="820" spans="1:18" ht="12.75" x14ac:dyDescent="0.2">
      <c r="A820" s="32"/>
      <c r="B820" s="32"/>
      <c r="F820" s="24"/>
      <c r="G820" s="24"/>
      <c r="H820" s="24"/>
      <c r="I820" s="24"/>
      <c r="J820" s="33"/>
      <c r="K820" s="33"/>
      <c r="L820" s="33"/>
      <c r="M820" s="24"/>
      <c r="N820" s="28"/>
      <c r="P820" s="32"/>
      <c r="R820" s="34"/>
    </row>
    <row r="821" spans="1:18" ht="12.75" x14ac:dyDescent="0.2">
      <c r="A821" s="32"/>
      <c r="B821" s="32"/>
      <c r="F821" s="24"/>
      <c r="G821" s="24"/>
      <c r="H821" s="24"/>
      <c r="I821" s="24"/>
      <c r="J821" s="33"/>
      <c r="K821" s="33"/>
      <c r="L821" s="33"/>
      <c r="M821" s="24"/>
      <c r="N821" s="28"/>
      <c r="P821" s="32"/>
      <c r="R821" s="34"/>
    </row>
    <row r="822" spans="1:18" ht="12.75" x14ac:dyDescent="0.2">
      <c r="A822" s="32"/>
      <c r="B822" s="32"/>
      <c r="F822" s="24"/>
      <c r="G822" s="24"/>
      <c r="H822" s="24"/>
      <c r="I822" s="24"/>
      <c r="J822" s="33"/>
      <c r="K822" s="33"/>
      <c r="L822" s="33"/>
      <c r="M822" s="24"/>
      <c r="N822" s="28"/>
      <c r="P822" s="32"/>
      <c r="R822" s="34"/>
    </row>
    <row r="823" spans="1:18" ht="12.75" x14ac:dyDescent="0.2">
      <c r="A823" s="32"/>
      <c r="B823" s="32"/>
      <c r="F823" s="24"/>
      <c r="G823" s="24"/>
      <c r="H823" s="24"/>
      <c r="I823" s="24"/>
      <c r="J823" s="33"/>
      <c r="K823" s="33"/>
      <c r="L823" s="33"/>
      <c r="M823" s="24"/>
      <c r="N823" s="28"/>
      <c r="P823" s="32"/>
      <c r="R823" s="34"/>
    </row>
    <row r="824" spans="1:18" ht="12.75" x14ac:dyDescent="0.2">
      <c r="A824" s="32"/>
      <c r="B824" s="32"/>
      <c r="F824" s="24"/>
      <c r="G824" s="24"/>
      <c r="H824" s="24"/>
      <c r="I824" s="24"/>
      <c r="J824" s="33"/>
      <c r="K824" s="33"/>
      <c r="L824" s="33"/>
      <c r="M824" s="24"/>
      <c r="N824" s="28"/>
      <c r="P824" s="32"/>
      <c r="R824" s="34"/>
    </row>
    <row r="825" spans="1:18" ht="12.75" x14ac:dyDescent="0.2">
      <c r="A825" s="32"/>
      <c r="B825" s="32"/>
      <c r="F825" s="24"/>
      <c r="G825" s="24"/>
      <c r="H825" s="24"/>
      <c r="I825" s="24"/>
      <c r="J825" s="33"/>
      <c r="K825" s="33"/>
      <c r="L825" s="33"/>
      <c r="M825" s="24"/>
      <c r="N825" s="28"/>
      <c r="P825" s="32"/>
      <c r="R825" s="34"/>
    </row>
    <row r="826" spans="1:18" ht="12.75" x14ac:dyDescent="0.2">
      <c r="A826" s="32"/>
      <c r="B826" s="32"/>
      <c r="F826" s="24"/>
      <c r="G826" s="24"/>
      <c r="H826" s="24"/>
      <c r="I826" s="24"/>
      <c r="J826" s="33"/>
      <c r="K826" s="33"/>
      <c r="L826" s="33"/>
      <c r="M826" s="24"/>
      <c r="N826" s="28"/>
      <c r="P826" s="32"/>
      <c r="R826" s="34"/>
    </row>
    <row r="827" spans="1:18" ht="12.75" x14ac:dyDescent="0.2">
      <c r="A827" s="32"/>
      <c r="B827" s="32"/>
      <c r="F827" s="24"/>
      <c r="G827" s="24"/>
      <c r="H827" s="24"/>
      <c r="I827" s="24"/>
      <c r="J827" s="33"/>
      <c r="K827" s="33"/>
      <c r="L827" s="33"/>
      <c r="M827" s="24"/>
      <c r="N827" s="28"/>
      <c r="P827" s="32"/>
      <c r="R827" s="34"/>
    </row>
    <row r="828" spans="1:18" ht="12.75" x14ac:dyDescent="0.2">
      <c r="A828" s="32"/>
      <c r="B828" s="32"/>
      <c r="F828" s="24"/>
      <c r="G828" s="24"/>
      <c r="H828" s="24"/>
      <c r="I828" s="24"/>
      <c r="J828" s="33"/>
      <c r="K828" s="33"/>
      <c r="L828" s="33"/>
      <c r="M828" s="24"/>
      <c r="N828" s="28"/>
      <c r="P828" s="32"/>
      <c r="R828" s="34"/>
    </row>
    <row r="829" spans="1:18" ht="12.75" x14ac:dyDescent="0.2">
      <c r="A829" s="32"/>
      <c r="B829" s="32"/>
      <c r="F829" s="24"/>
      <c r="G829" s="24"/>
      <c r="H829" s="24"/>
      <c r="I829" s="24"/>
      <c r="J829" s="33"/>
      <c r="K829" s="33"/>
      <c r="L829" s="33"/>
      <c r="M829" s="24"/>
      <c r="N829" s="28"/>
      <c r="P829" s="32"/>
      <c r="R829" s="34"/>
    </row>
    <row r="830" spans="1:18" ht="12.75" x14ac:dyDescent="0.2">
      <c r="A830" s="32"/>
      <c r="B830" s="32"/>
      <c r="F830" s="24"/>
      <c r="G830" s="24"/>
      <c r="H830" s="24"/>
      <c r="I830" s="24"/>
      <c r="J830" s="33"/>
      <c r="K830" s="33"/>
      <c r="L830" s="33"/>
      <c r="M830" s="24"/>
      <c r="N830" s="28"/>
      <c r="P830" s="32"/>
      <c r="R830" s="34"/>
    </row>
    <row r="831" spans="1:18" ht="12.75" x14ac:dyDescent="0.2">
      <c r="A831" s="32"/>
      <c r="B831" s="32"/>
      <c r="F831" s="24"/>
      <c r="G831" s="24"/>
      <c r="H831" s="24"/>
      <c r="I831" s="24"/>
      <c r="J831" s="33"/>
      <c r="K831" s="33"/>
      <c r="L831" s="33"/>
      <c r="M831" s="24"/>
      <c r="N831" s="28"/>
      <c r="P831" s="32"/>
      <c r="R831" s="34"/>
    </row>
    <row r="832" spans="1:18" ht="12.75" x14ac:dyDescent="0.2">
      <c r="A832" s="32"/>
      <c r="B832" s="32"/>
      <c r="F832" s="24"/>
      <c r="G832" s="24"/>
      <c r="H832" s="24"/>
      <c r="I832" s="24"/>
      <c r="J832" s="33"/>
      <c r="K832" s="33"/>
      <c r="L832" s="33"/>
      <c r="M832" s="24"/>
      <c r="N832" s="28"/>
      <c r="P832" s="32"/>
      <c r="R832" s="34"/>
    </row>
    <row r="833" spans="1:18" ht="12.75" x14ac:dyDescent="0.2">
      <c r="A833" s="32"/>
      <c r="B833" s="32"/>
      <c r="F833" s="24"/>
      <c r="G833" s="24"/>
      <c r="H833" s="24"/>
      <c r="I833" s="24"/>
      <c r="J833" s="33"/>
      <c r="K833" s="33"/>
      <c r="L833" s="33"/>
      <c r="M833" s="24"/>
      <c r="N833" s="28"/>
      <c r="P833" s="32"/>
      <c r="R833" s="34"/>
    </row>
    <row r="834" spans="1:18" ht="12.75" x14ac:dyDescent="0.2">
      <c r="A834" s="32"/>
      <c r="B834" s="32"/>
      <c r="F834" s="24"/>
      <c r="G834" s="24"/>
      <c r="H834" s="24"/>
      <c r="I834" s="24"/>
      <c r="J834" s="33"/>
      <c r="K834" s="33"/>
      <c r="L834" s="33"/>
      <c r="M834" s="24"/>
      <c r="N834" s="28"/>
      <c r="P834" s="32"/>
      <c r="R834" s="34"/>
    </row>
    <row r="835" spans="1:18" ht="12.75" x14ac:dyDescent="0.2">
      <c r="A835" s="32"/>
      <c r="B835" s="32"/>
      <c r="F835" s="24"/>
      <c r="G835" s="24"/>
      <c r="H835" s="24"/>
      <c r="I835" s="24"/>
      <c r="J835" s="33"/>
      <c r="K835" s="33"/>
      <c r="L835" s="33"/>
      <c r="M835" s="24"/>
      <c r="N835" s="28"/>
      <c r="P835" s="32"/>
      <c r="R835" s="34"/>
    </row>
    <row r="836" spans="1:18" ht="12.75" x14ac:dyDescent="0.2">
      <c r="A836" s="32"/>
      <c r="B836" s="32"/>
      <c r="F836" s="24"/>
      <c r="G836" s="24"/>
      <c r="H836" s="24"/>
      <c r="I836" s="24"/>
      <c r="J836" s="33"/>
      <c r="K836" s="33"/>
      <c r="L836" s="33"/>
      <c r="M836" s="24"/>
      <c r="N836" s="28"/>
      <c r="P836" s="32"/>
      <c r="R836" s="34"/>
    </row>
    <row r="837" spans="1:18" ht="12.75" x14ac:dyDescent="0.2">
      <c r="A837" s="32"/>
      <c r="B837" s="32"/>
      <c r="F837" s="24"/>
      <c r="G837" s="24"/>
      <c r="H837" s="24"/>
      <c r="I837" s="24"/>
      <c r="J837" s="33"/>
      <c r="K837" s="33"/>
      <c r="L837" s="33"/>
      <c r="M837" s="24"/>
      <c r="N837" s="28"/>
      <c r="P837" s="32"/>
      <c r="R837" s="34"/>
    </row>
    <row r="838" spans="1:18" ht="12.75" x14ac:dyDescent="0.2">
      <c r="A838" s="32"/>
      <c r="B838" s="32"/>
      <c r="F838" s="24"/>
      <c r="G838" s="24"/>
      <c r="H838" s="24"/>
      <c r="I838" s="24"/>
      <c r="J838" s="33"/>
      <c r="K838" s="33"/>
      <c r="L838" s="33"/>
      <c r="M838" s="24"/>
      <c r="N838" s="28"/>
      <c r="P838" s="32"/>
      <c r="R838" s="34"/>
    </row>
    <row r="839" spans="1:18" ht="12.75" x14ac:dyDescent="0.2">
      <c r="A839" s="32"/>
      <c r="B839" s="32"/>
      <c r="F839" s="24"/>
      <c r="G839" s="24"/>
      <c r="H839" s="24"/>
      <c r="I839" s="24"/>
      <c r="J839" s="33"/>
      <c r="K839" s="33"/>
      <c r="L839" s="33"/>
      <c r="M839" s="24"/>
      <c r="N839" s="28"/>
      <c r="P839" s="32"/>
      <c r="R839" s="34"/>
    </row>
    <row r="840" spans="1:18" ht="12.75" x14ac:dyDescent="0.2">
      <c r="A840" s="32"/>
      <c r="B840" s="32"/>
      <c r="F840" s="24"/>
      <c r="G840" s="24"/>
      <c r="H840" s="24"/>
      <c r="I840" s="24"/>
      <c r="J840" s="33"/>
      <c r="K840" s="33"/>
      <c r="L840" s="33"/>
      <c r="M840" s="24"/>
      <c r="N840" s="28"/>
      <c r="P840" s="32"/>
      <c r="R840" s="34"/>
    </row>
    <row r="841" spans="1:18" ht="12.75" x14ac:dyDescent="0.2">
      <c r="A841" s="32"/>
      <c r="B841" s="32"/>
      <c r="F841" s="24"/>
      <c r="G841" s="24"/>
      <c r="H841" s="24"/>
      <c r="I841" s="24"/>
      <c r="J841" s="33"/>
      <c r="K841" s="33"/>
      <c r="L841" s="33"/>
      <c r="M841" s="24"/>
      <c r="N841" s="28"/>
      <c r="P841" s="32"/>
      <c r="R841" s="34"/>
    </row>
    <row r="842" spans="1:18" ht="12.75" x14ac:dyDescent="0.2">
      <c r="A842" s="32"/>
      <c r="B842" s="32"/>
      <c r="F842" s="24"/>
      <c r="G842" s="24"/>
      <c r="H842" s="24"/>
      <c r="I842" s="24"/>
      <c r="J842" s="33"/>
      <c r="K842" s="33"/>
      <c r="L842" s="33"/>
      <c r="M842" s="24"/>
      <c r="N842" s="28"/>
      <c r="P842" s="32"/>
      <c r="R842" s="34"/>
    </row>
    <row r="843" spans="1:18" ht="12.75" x14ac:dyDescent="0.2">
      <c r="A843" s="32"/>
      <c r="B843" s="32"/>
      <c r="F843" s="24"/>
      <c r="G843" s="24"/>
      <c r="H843" s="24"/>
      <c r="I843" s="24"/>
      <c r="J843" s="33"/>
      <c r="K843" s="33"/>
      <c r="L843" s="33"/>
      <c r="M843" s="24"/>
      <c r="N843" s="28"/>
      <c r="P843" s="32"/>
      <c r="R843" s="34"/>
    </row>
    <row r="844" spans="1:18" ht="12.75" x14ac:dyDescent="0.2">
      <c r="A844" s="32"/>
      <c r="B844" s="32"/>
      <c r="F844" s="24"/>
      <c r="G844" s="24"/>
      <c r="H844" s="24"/>
      <c r="I844" s="24"/>
      <c r="J844" s="33"/>
      <c r="K844" s="33"/>
      <c r="L844" s="33"/>
      <c r="M844" s="24"/>
      <c r="N844" s="28"/>
      <c r="P844" s="32"/>
      <c r="R844" s="34"/>
    </row>
    <row r="845" spans="1:18" ht="12.75" x14ac:dyDescent="0.2">
      <c r="A845" s="32"/>
      <c r="B845" s="32"/>
      <c r="F845" s="24"/>
      <c r="G845" s="24"/>
      <c r="H845" s="24"/>
      <c r="I845" s="24"/>
      <c r="J845" s="33"/>
      <c r="K845" s="33"/>
      <c r="L845" s="33"/>
      <c r="M845" s="24"/>
      <c r="N845" s="28"/>
      <c r="P845" s="32"/>
      <c r="R845" s="34"/>
    </row>
    <row r="846" spans="1:18" ht="12.75" x14ac:dyDescent="0.2">
      <c r="A846" s="32"/>
      <c r="B846" s="32"/>
      <c r="F846" s="24"/>
      <c r="G846" s="24"/>
      <c r="H846" s="24"/>
      <c r="I846" s="24"/>
      <c r="J846" s="33"/>
      <c r="K846" s="33"/>
      <c r="L846" s="33"/>
      <c r="M846" s="24"/>
      <c r="N846" s="28"/>
      <c r="P846" s="32"/>
      <c r="R846" s="34"/>
    </row>
    <row r="847" spans="1:18" ht="12.75" x14ac:dyDescent="0.2">
      <c r="A847" s="32"/>
      <c r="B847" s="32"/>
      <c r="F847" s="24"/>
      <c r="G847" s="24"/>
      <c r="H847" s="24"/>
      <c r="I847" s="24"/>
      <c r="J847" s="33"/>
      <c r="K847" s="33"/>
      <c r="L847" s="33"/>
      <c r="M847" s="24"/>
      <c r="N847" s="28"/>
      <c r="P847" s="32"/>
      <c r="R847" s="34"/>
    </row>
    <row r="848" spans="1:18" ht="12.75" x14ac:dyDescent="0.2">
      <c r="A848" s="32"/>
      <c r="B848" s="32"/>
      <c r="F848" s="24"/>
      <c r="G848" s="24"/>
      <c r="H848" s="24"/>
      <c r="I848" s="24"/>
      <c r="J848" s="33"/>
      <c r="K848" s="33"/>
      <c r="L848" s="33"/>
      <c r="M848" s="24"/>
      <c r="N848" s="28"/>
      <c r="P848" s="32"/>
      <c r="R848" s="34"/>
    </row>
    <row r="849" spans="1:18" ht="12.75" x14ac:dyDescent="0.2">
      <c r="A849" s="32"/>
      <c r="B849" s="32"/>
      <c r="F849" s="24"/>
      <c r="G849" s="24"/>
      <c r="H849" s="24"/>
      <c r="I849" s="24"/>
      <c r="J849" s="33"/>
      <c r="K849" s="33"/>
      <c r="L849" s="33"/>
      <c r="M849" s="24"/>
      <c r="N849" s="28"/>
      <c r="P849" s="32"/>
      <c r="R849" s="34"/>
    </row>
    <row r="850" spans="1:18" ht="12.75" x14ac:dyDescent="0.2">
      <c r="A850" s="32"/>
      <c r="B850" s="32"/>
      <c r="F850" s="24"/>
      <c r="G850" s="24"/>
      <c r="H850" s="24"/>
      <c r="I850" s="24"/>
      <c r="J850" s="33"/>
      <c r="K850" s="33"/>
      <c r="L850" s="33"/>
      <c r="M850" s="24"/>
      <c r="N850" s="28"/>
      <c r="P850" s="32"/>
      <c r="R850" s="34"/>
    </row>
    <row r="851" spans="1:18" ht="12.75" x14ac:dyDescent="0.2">
      <c r="A851" s="32"/>
      <c r="B851" s="32"/>
      <c r="F851" s="24"/>
      <c r="G851" s="24"/>
      <c r="H851" s="24"/>
      <c r="I851" s="24"/>
      <c r="J851" s="33"/>
      <c r="K851" s="33"/>
      <c r="L851" s="33"/>
      <c r="M851" s="24"/>
      <c r="N851" s="28"/>
      <c r="P851" s="32"/>
      <c r="R851" s="34"/>
    </row>
    <row r="852" spans="1:18" ht="12.75" x14ac:dyDescent="0.2">
      <c r="A852" s="32"/>
      <c r="B852" s="32"/>
      <c r="F852" s="24"/>
      <c r="G852" s="24"/>
      <c r="H852" s="24"/>
      <c r="I852" s="24"/>
      <c r="J852" s="33"/>
      <c r="K852" s="33"/>
      <c r="L852" s="33"/>
      <c r="M852" s="24"/>
      <c r="N852" s="28"/>
      <c r="P852" s="32"/>
      <c r="R852" s="34"/>
    </row>
    <row r="853" spans="1:18" ht="12.75" x14ac:dyDescent="0.2">
      <c r="A853" s="32"/>
      <c r="B853" s="32"/>
      <c r="F853" s="24"/>
      <c r="G853" s="24"/>
      <c r="H853" s="24"/>
      <c r="I853" s="24"/>
      <c r="J853" s="33"/>
      <c r="K853" s="33"/>
      <c r="L853" s="33"/>
      <c r="M853" s="24"/>
      <c r="N853" s="28"/>
      <c r="P853" s="32"/>
      <c r="R853" s="34"/>
    </row>
    <row r="854" spans="1:18" ht="12.75" x14ac:dyDescent="0.2">
      <c r="A854" s="32"/>
      <c r="B854" s="32"/>
      <c r="F854" s="24"/>
      <c r="G854" s="24"/>
      <c r="H854" s="24"/>
      <c r="I854" s="24"/>
      <c r="J854" s="33"/>
      <c r="K854" s="33"/>
      <c r="L854" s="33"/>
      <c r="M854" s="24"/>
      <c r="N854" s="28"/>
      <c r="P854" s="32"/>
      <c r="R854" s="34"/>
    </row>
    <row r="855" spans="1:18" ht="12.75" x14ac:dyDescent="0.2">
      <c r="A855" s="32"/>
      <c r="B855" s="32"/>
      <c r="F855" s="24"/>
      <c r="G855" s="24"/>
      <c r="H855" s="24"/>
      <c r="I855" s="24"/>
      <c r="J855" s="33"/>
      <c r="K855" s="33"/>
      <c r="L855" s="33"/>
      <c r="M855" s="24"/>
      <c r="N855" s="28"/>
      <c r="P855" s="32"/>
      <c r="R855" s="34"/>
    </row>
    <row r="856" spans="1:18" ht="12.75" x14ac:dyDescent="0.2">
      <c r="A856" s="32"/>
      <c r="B856" s="32"/>
      <c r="F856" s="24"/>
      <c r="G856" s="24"/>
      <c r="H856" s="24"/>
      <c r="I856" s="24"/>
      <c r="J856" s="33"/>
      <c r="K856" s="33"/>
      <c r="L856" s="33"/>
      <c r="M856" s="24"/>
      <c r="N856" s="28"/>
      <c r="P856" s="32"/>
      <c r="R856" s="34"/>
    </row>
    <row r="857" spans="1:18" ht="12.75" x14ac:dyDescent="0.2">
      <c r="A857" s="32"/>
      <c r="B857" s="32"/>
      <c r="F857" s="24"/>
      <c r="G857" s="24"/>
      <c r="H857" s="24"/>
      <c r="I857" s="24"/>
      <c r="J857" s="33"/>
      <c r="K857" s="33"/>
      <c r="L857" s="33"/>
      <c r="M857" s="24"/>
      <c r="N857" s="28"/>
      <c r="P857" s="32"/>
      <c r="R857" s="34"/>
    </row>
    <row r="858" spans="1:18" ht="12.75" x14ac:dyDescent="0.2">
      <c r="A858" s="32"/>
      <c r="B858" s="32"/>
      <c r="F858" s="24"/>
      <c r="G858" s="24"/>
      <c r="H858" s="24"/>
      <c r="I858" s="24"/>
      <c r="J858" s="33"/>
      <c r="K858" s="33"/>
      <c r="L858" s="33"/>
      <c r="M858" s="24"/>
      <c r="N858" s="28"/>
      <c r="P858" s="32"/>
      <c r="R858" s="34"/>
    </row>
    <row r="859" spans="1:18" ht="12.75" x14ac:dyDescent="0.2">
      <c r="A859" s="32"/>
      <c r="B859" s="32"/>
      <c r="F859" s="24"/>
      <c r="G859" s="24"/>
      <c r="H859" s="24"/>
      <c r="I859" s="24"/>
      <c r="J859" s="33"/>
      <c r="K859" s="33"/>
      <c r="L859" s="33"/>
      <c r="M859" s="24"/>
      <c r="N859" s="28"/>
      <c r="P859" s="32"/>
      <c r="R859" s="34"/>
    </row>
    <row r="860" spans="1:18" ht="12.75" x14ac:dyDescent="0.2">
      <c r="A860" s="32"/>
      <c r="B860" s="32"/>
      <c r="F860" s="24"/>
      <c r="G860" s="24"/>
      <c r="H860" s="24"/>
      <c r="I860" s="24"/>
      <c r="J860" s="33"/>
      <c r="K860" s="33"/>
      <c r="L860" s="33"/>
      <c r="M860" s="24"/>
      <c r="N860" s="28"/>
      <c r="P860" s="32"/>
      <c r="R860" s="34"/>
    </row>
    <row r="861" spans="1:18" ht="12.75" x14ac:dyDescent="0.2">
      <c r="A861" s="32"/>
      <c r="B861" s="32"/>
      <c r="F861" s="24"/>
      <c r="G861" s="24"/>
      <c r="H861" s="24"/>
      <c r="I861" s="24"/>
      <c r="J861" s="33"/>
      <c r="K861" s="33"/>
      <c r="L861" s="33"/>
      <c r="M861" s="24"/>
      <c r="N861" s="28"/>
      <c r="P861" s="32"/>
      <c r="R861" s="34"/>
    </row>
    <row r="862" spans="1:18" ht="12.75" x14ac:dyDescent="0.2">
      <c r="A862" s="32"/>
      <c r="B862" s="32"/>
      <c r="F862" s="24"/>
      <c r="G862" s="24"/>
      <c r="H862" s="24"/>
      <c r="I862" s="24"/>
      <c r="J862" s="33"/>
      <c r="K862" s="33"/>
      <c r="L862" s="33"/>
      <c r="M862" s="24"/>
      <c r="N862" s="28"/>
      <c r="P862" s="32"/>
      <c r="R862" s="34"/>
    </row>
    <row r="863" spans="1:18" ht="12.75" x14ac:dyDescent="0.2">
      <c r="A863" s="32"/>
      <c r="B863" s="32"/>
      <c r="F863" s="24"/>
      <c r="G863" s="24"/>
      <c r="H863" s="24"/>
      <c r="I863" s="24"/>
      <c r="J863" s="33"/>
      <c r="K863" s="33"/>
      <c r="L863" s="33"/>
      <c r="M863" s="24"/>
      <c r="N863" s="28"/>
      <c r="P863" s="32"/>
      <c r="R863" s="34"/>
    </row>
    <row r="864" spans="1:18" ht="12.75" x14ac:dyDescent="0.2">
      <c r="A864" s="32"/>
      <c r="B864" s="32"/>
      <c r="F864" s="24"/>
      <c r="G864" s="24"/>
      <c r="H864" s="24"/>
      <c r="I864" s="24"/>
      <c r="J864" s="33"/>
      <c r="K864" s="33"/>
      <c r="L864" s="33"/>
      <c r="M864" s="24"/>
      <c r="N864" s="28"/>
      <c r="P864" s="32"/>
      <c r="R864" s="34"/>
    </row>
    <row r="865" spans="1:18" ht="12.75" x14ac:dyDescent="0.2">
      <c r="A865" s="32"/>
      <c r="B865" s="32"/>
      <c r="F865" s="24"/>
      <c r="G865" s="24"/>
      <c r="H865" s="24"/>
      <c r="I865" s="24"/>
      <c r="J865" s="33"/>
      <c r="K865" s="33"/>
      <c r="L865" s="33"/>
      <c r="M865" s="24"/>
      <c r="N865" s="28"/>
      <c r="P865" s="32"/>
      <c r="R865" s="34"/>
    </row>
    <row r="866" spans="1:18" ht="12.75" x14ac:dyDescent="0.2">
      <c r="A866" s="32"/>
      <c r="B866" s="32"/>
      <c r="F866" s="24"/>
      <c r="G866" s="24"/>
      <c r="H866" s="24"/>
      <c r="I866" s="24"/>
      <c r="J866" s="33"/>
      <c r="K866" s="33"/>
      <c r="L866" s="33"/>
      <c r="M866" s="24"/>
      <c r="N866" s="28"/>
      <c r="P866" s="32"/>
      <c r="R866" s="34"/>
    </row>
    <row r="867" spans="1:18" ht="12.75" x14ac:dyDescent="0.2">
      <c r="A867" s="32"/>
      <c r="B867" s="32"/>
      <c r="F867" s="24"/>
      <c r="G867" s="24"/>
      <c r="H867" s="24"/>
      <c r="I867" s="24"/>
      <c r="J867" s="33"/>
      <c r="K867" s="33"/>
      <c r="L867" s="33"/>
      <c r="M867" s="24"/>
      <c r="N867" s="28"/>
      <c r="P867" s="32"/>
      <c r="R867" s="34"/>
    </row>
    <row r="868" spans="1:18" ht="12.75" x14ac:dyDescent="0.2">
      <c r="A868" s="32"/>
      <c r="B868" s="32"/>
      <c r="F868" s="24"/>
      <c r="G868" s="24"/>
      <c r="H868" s="24"/>
      <c r="I868" s="24"/>
      <c r="J868" s="33"/>
      <c r="K868" s="33"/>
      <c r="L868" s="33"/>
      <c r="M868" s="24"/>
      <c r="N868" s="28"/>
      <c r="P868" s="32"/>
      <c r="R868" s="34"/>
    </row>
    <row r="869" spans="1:18" ht="12.75" x14ac:dyDescent="0.2">
      <c r="A869" s="32"/>
      <c r="B869" s="32"/>
      <c r="F869" s="24"/>
      <c r="G869" s="24"/>
      <c r="H869" s="24"/>
      <c r="I869" s="24"/>
      <c r="J869" s="33"/>
      <c r="K869" s="33"/>
      <c r="L869" s="33"/>
      <c r="M869" s="24"/>
      <c r="N869" s="28"/>
      <c r="P869" s="32"/>
      <c r="R869" s="34"/>
    </row>
    <row r="870" spans="1:18" ht="12.75" x14ac:dyDescent="0.2">
      <c r="A870" s="32"/>
      <c r="B870" s="32"/>
      <c r="F870" s="24"/>
      <c r="G870" s="24"/>
      <c r="H870" s="24"/>
      <c r="I870" s="24"/>
      <c r="J870" s="33"/>
      <c r="K870" s="33"/>
      <c r="L870" s="33"/>
      <c r="M870" s="24"/>
      <c r="N870" s="28"/>
      <c r="P870" s="32"/>
      <c r="R870" s="34"/>
    </row>
    <row r="871" spans="1:18" ht="12.75" x14ac:dyDescent="0.2">
      <c r="A871" s="32"/>
      <c r="B871" s="32"/>
      <c r="F871" s="24"/>
      <c r="G871" s="24"/>
      <c r="H871" s="24"/>
      <c r="I871" s="24"/>
      <c r="J871" s="33"/>
      <c r="K871" s="33"/>
      <c r="L871" s="33"/>
      <c r="M871" s="24"/>
      <c r="N871" s="28"/>
      <c r="P871" s="32"/>
      <c r="R871" s="34"/>
    </row>
    <row r="872" spans="1:18" ht="12.75" x14ac:dyDescent="0.2">
      <c r="A872" s="32"/>
      <c r="B872" s="32"/>
      <c r="F872" s="24"/>
      <c r="G872" s="24"/>
      <c r="H872" s="24"/>
      <c r="I872" s="24"/>
      <c r="J872" s="33"/>
      <c r="K872" s="33"/>
      <c r="L872" s="33"/>
      <c r="M872" s="24"/>
      <c r="N872" s="28"/>
      <c r="P872" s="32"/>
      <c r="R872" s="34"/>
    </row>
    <row r="873" spans="1:18" ht="12.75" x14ac:dyDescent="0.2">
      <c r="A873" s="32"/>
      <c r="B873" s="32"/>
      <c r="F873" s="24"/>
      <c r="G873" s="24"/>
      <c r="H873" s="24"/>
      <c r="I873" s="24"/>
      <c r="J873" s="33"/>
      <c r="K873" s="33"/>
      <c r="L873" s="33"/>
      <c r="M873" s="24"/>
      <c r="N873" s="28"/>
      <c r="P873" s="32"/>
      <c r="R873" s="34"/>
    </row>
    <row r="874" spans="1:18" ht="12.75" x14ac:dyDescent="0.2">
      <c r="A874" s="32"/>
      <c r="B874" s="32"/>
      <c r="F874" s="24"/>
      <c r="G874" s="24"/>
      <c r="H874" s="24"/>
      <c r="I874" s="24"/>
      <c r="J874" s="33"/>
      <c r="K874" s="33"/>
      <c r="L874" s="33"/>
      <c r="M874" s="24"/>
      <c r="N874" s="28"/>
      <c r="P874" s="32"/>
      <c r="R874" s="34"/>
    </row>
    <row r="875" spans="1:18" ht="12.75" x14ac:dyDescent="0.2">
      <c r="A875" s="32"/>
      <c r="B875" s="32"/>
      <c r="F875" s="24"/>
      <c r="G875" s="24"/>
      <c r="H875" s="24"/>
      <c r="I875" s="24"/>
      <c r="J875" s="33"/>
      <c r="K875" s="33"/>
      <c r="L875" s="33"/>
      <c r="M875" s="24"/>
      <c r="N875" s="28"/>
      <c r="P875" s="32"/>
      <c r="R875" s="34"/>
    </row>
    <row r="876" spans="1:18" ht="12.75" x14ac:dyDescent="0.2">
      <c r="A876" s="32"/>
      <c r="B876" s="32"/>
      <c r="F876" s="24"/>
      <c r="G876" s="24"/>
      <c r="H876" s="24"/>
      <c r="I876" s="24"/>
      <c r="J876" s="33"/>
      <c r="K876" s="33"/>
      <c r="L876" s="33"/>
      <c r="M876" s="24"/>
      <c r="N876" s="28"/>
      <c r="P876" s="32"/>
      <c r="R876" s="34"/>
    </row>
    <row r="877" spans="1:18" ht="12.75" x14ac:dyDescent="0.2">
      <c r="A877" s="32"/>
      <c r="B877" s="32"/>
      <c r="F877" s="24"/>
      <c r="G877" s="24"/>
      <c r="H877" s="24"/>
      <c r="I877" s="24"/>
      <c r="J877" s="33"/>
      <c r="K877" s="33"/>
      <c r="L877" s="33"/>
      <c r="M877" s="24"/>
      <c r="N877" s="28"/>
      <c r="P877" s="32"/>
      <c r="R877" s="34"/>
    </row>
    <row r="878" spans="1:18" ht="12.75" x14ac:dyDescent="0.2">
      <c r="A878" s="32"/>
      <c r="B878" s="32"/>
      <c r="F878" s="24"/>
      <c r="G878" s="24"/>
      <c r="H878" s="24"/>
      <c r="I878" s="24"/>
      <c r="J878" s="33"/>
      <c r="K878" s="33"/>
      <c r="L878" s="33"/>
      <c r="M878" s="24"/>
      <c r="N878" s="28"/>
      <c r="P878" s="32"/>
      <c r="R878" s="34"/>
    </row>
    <row r="879" spans="1:18" ht="12.75" x14ac:dyDescent="0.2">
      <c r="A879" s="32"/>
      <c r="B879" s="32"/>
      <c r="F879" s="24"/>
      <c r="G879" s="24"/>
      <c r="H879" s="24"/>
      <c r="I879" s="24"/>
      <c r="J879" s="33"/>
      <c r="K879" s="33"/>
      <c r="L879" s="33"/>
      <c r="M879" s="24"/>
      <c r="N879" s="28"/>
      <c r="P879" s="32"/>
      <c r="R879" s="34"/>
    </row>
    <row r="880" spans="1:18" ht="12.75" x14ac:dyDescent="0.2">
      <c r="A880" s="32"/>
      <c r="B880" s="32"/>
      <c r="F880" s="24"/>
      <c r="G880" s="24"/>
      <c r="H880" s="24"/>
      <c r="I880" s="24"/>
      <c r="J880" s="33"/>
      <c r="K880" s="33"/>
      <c r="L880" s="33"/>
      <c r="M880" s="24"/>
      <c r="N880" s="28"/>
      <c r="P880" s="32"/>
      <c r="R880" s="34"/>
    </row>
    <row r="881" spans="1:18" ht="12.75" x14ac:dyDescent="0.2">
      <c r="A881" s="32"/>
      <c r="B881" s="32"/>
      <c r="F881" s="24"/>
      <c r="G881" s="24"/>
      <c r="H881" s="24"/>
      <c r="I881" s="24"/>
      <c r="J881" s="33"/>
      <c r="K881" s="33"/>
      <c r="L881" s="33"/>
      <c r="M881" s="24"/>
      <c r="N881" s="28"/>
      <c r="P881" s="32"/>
      <c r="R881" s="34"/>
    </row>
    <row r="882" spans="1:18" ht="12.75" x14ac:dyDescent="0.2">
      <c r="A882" s="32"/>
      <c r="B882" s="32"/>
      <c r="F882" s="24"/>
      <c r="G882" s="24"/>
      <c r="H882" s="24"/>
      <c r="I882" s="24"/>
      <c r="J882" s="33"/>
      <c r="K882" s="33"/>
      <c r="L882" s="33"/>
      <c r="M882" s="24"/>
      <c r="N882" s="28"/>
      <c r="P882" s="32"/>
      <c r="R882" s="34"/>
    </row>
    <row r="883" spans="1:18" ht="12.75" x14ac:dyDescent="0.2">
      <c r="A883" s="32"/>
      <c r="B883" s="32"/>
      <c r="F883" s="24"/>
      <c r="G883" s="24"/>
      <c r="H883" s="24"/>
      <c r="I883" s="24"/>
      <c r="J883" s="33"/>
      <c r="K883" s="33"/>
      <c r="L883" s="33"/>
      <c r="M883" s="24"/>
      <c r="N883" s="28"/>
      <c r="P883" s="32"/>
      <c r="R883" s="34"/>
    </row>
    <row r="884" spans="1:18" ht="12.75" x14ac:dyDescent="0.2">
      <c r="A884" s="32"/>
      <c r="B884" s="32"/>
      <c r="F884" s="24"/>
      <c r="G884" s="24"/>
      <c r="H884" s="24"/>
      <c r="I884" s="24"/>
      <c r="J884" s="33"/>
      <c r="K884" s="33"/>
      <c r="L884" s="33"/>
      <c r="M884" s="24"/>
      <c r="N884" s="28"/>
      <c r="P884" s="32"/>
      <c r="R884" s="34"/>
    </row>
    <row r="885" spans="1:18" ht="12.75" x14ac:dyDescent="0.2">
      <c r="A885" s="32"/>
      <c r="B885" s="32"/>
      <c r="F885" s="24"/>
      <c r="G885" s="24"/>
      <c r="H885" s="24"/>
      <c r="I885" s="24"/>
      <c r="J885" s="33"/>
      <c r="K885" s="33"/>
      <c r="L885" s="33"/>
      <c r="M885" s="24"/>
      <c r="N885" s="28"/>
      <c r="P885" s="32"/>
      <c r="R885" s="34"/>
    </row>
    <row r="886" spans="1:18" ht="12.75" x14ac:dyDescent="0.2">
      <c r="A886" s="32"/>
      <c r="B886" s="32"/>
      <c r="F886" s="24"/>
      <c r="G886" s="24"/>
      <c r="H886" s="24"/>
      <c r="I886" s="24"/>
      <c r="J886" s="33"/>
      <c r="K886" s="33"/>
      <c r="L886" s="33"/>
      <c r="M886" s="24"/>
      <c r="N886" s="28"/>
      <c r="P886" s="32"/>
      <c r="R886" s="34"/>
    </row>
    <row r="887" spans="1:18" ht="12.75" x14ac:dyDescent="0.2">
      <c r="A887" s="32"/>
      <c r="B887" s="32"/>
      <c r="F887" s="24"/>
      <c r="G887" s="24"/>
      <c r="H887" s="24"/>
      <c r="I887" s="24"/>
      <c r="J887" s="33"/>
      <c r="K887" s="33"/>
      <c r="L887" s="33"/>
      <c r="M887" s="24"/>
      <c r="N887" s="28"/>
      <c r="P887" s="32"/>
      <c r="R887" s="34"/>
    </row>
    <row r="888" spans="1:18" ht="12.75" x14ac:dyDescent="0.2">
      <c r="A888" s="32"/>
      <c r="B888" s="32"/>
      <c r="F888" s="24"/>
      <c r="G888" s="24"/>
      <c r="H888" s="24"/>
      <c r="I888" s="24"/>
      <c r="J888" s="33"/>
      <c r="K888" s="33"/>
      <c r="L888" s="33"/>
      <c r="M888" s="24"/>
      <c r="N888" s="28"/>
      <c r="P888" s="32"/>
      <c r="R888" s="34"/>
    </row>
    <row r="889" spans="1:18" ht="12.75" x14ac:dyDescent="0.2">
      <c r="A889" s="32"/>
      <c r="B889" s="32"/>
      <c r="F889" s="24"/>
      <c r="G889" s="24"/>
      <c r="H889" s="24"/>
      <c r="I889" s="24"/>
      <c r="J889" s="33"/>
      <c r="K889" s="33"/>
      <c r="L889" s="33"/>
      <c r="M889" s="24"/>
      <c r="N889" s="28"/>
      <c r="P889" s="32"/>
      <c r="R889" s="34"/>
    </row>
    <row r="890" spans="1:18" ht="12.75" x14ac:dyDescent="0.2">
      <c r="A890" s="32"/>
      <c r="B890" s="32"/>
      <c r="F890" s="24"/>
      <c r="G890" s="24"/>
      <c r="H890" s="24"/>
      <c r="I890" s="24"/>
      <c r="J890" s="33"/>
      <c r="K890" s="33"/>
      <c r="L890" s="33"/>
      <c r="M890" s="24"/>
      <c r="N890" s="28"/>
      <c r="P890" s="32"/>
      <c r="R890" s="34"/>
    </row>
    <row r="891" spans="1:18" ht="12.75" x14ac:dyDescent="0.2">
      <c r="A891" s="32"/>
      <c r="B891" s="32"/>
      <c r="F891" s="24"/>
      <c r="G891" s="24"/>
      <c r="H891" s="24"/>
      <c r="I891" s="24"/>
      <c r="J891" s="33"/>
      <c r="K891" s="33"/>
      <c r="L891" s="33"/>
      <c r="M891" s="24"/>
      <c r="N891" s="28"/>
      <c r="P891" s="32"/>
      <c r="R891" s="34"/>
    </row>
    <row r="892" spans="1:18" ht="12.75" x14ac:dyDescent="0.2">
      <c r="A892" s="32"/>
      <c r="B892" s="32"/>
      <c r="F892" s="24"/>
      <c r="G892" s="24"/>
      <c r="H892" s="24"/>
      <c r="I892" s="24"/>
      <c r="J892" s="33"/>
      <c r="K892" s="33"/>
      <c r="L892" s="33"/>
      <c r="M892" s="24"/>
      <c r="N892" s="28"/>
      <c r="P892" s="32"/>
      <c r="R892" s="34"/>
    </row>
    <row r="893" spans="1:18" ht="12.75" x14ac:dyDescent="0.2">
      <c r="A893" s="32"/>
      <c r="B893" s="32"/>
      <c r="F893" s="24"/>
      <c r="G893" s="24"/>
      <c r="H893" s="24"/>
      <c r="I893" s="24"/>
      <c r="J893" s="33"/>
      <c r="K893" s="33"/>
      <c r="L893" s="33"/>
      <c r="M893" s="24"/>
      <c r="N893" s="28"/>
      <c r="P893" s="32"/>
      <c r="R893" s="34"/>
    </row>
    <row r="894" spans="1:18" ht="12.75" x14ac:dyDescent="0.2">
      <c r="A894" s="32"/>
      <c r="B894" s="32"/>
      <c r="F894" s="24"/>
      <c r="G894" s="24"/>
      <c r="H894" s="24"/>
      <c r="I894" s="24"/>
      <c r="J894" s="33"/>
      <c r="K894" s="33"/>
      <c r="L894" s="33"/>
      <c r="M894" s="24"/>
      <c r="N894" s="28"/>
      <c r="P894" s="32"/>
      <c r="R894" s="34"/>
    </row>
    <row r="895" spans="1:18" ht="12.75" x14ac:dyDescent="0.2">
      <c r="A895" s="32"/>
      <c r="B895" s="32"/>
      <c r="F895" s="24"/>
      <c r="G895" s="24"/>
      <c r="H895" s="24"/>
      <c r="I895" s="24"/>
      <c r="J895" s="33"/>
      <c r="K895" s="33"/>
      <c r="L895" s="33"/>
      <c r="M895" s="24"/>
      <c r="N895" s="28"/>
      <c r="P895" s="32"/>
      <c r="R895" s="34"/>
    </row>
    <row r="896" spans="1:18" ht="12.75" x14ac:dyDescent="0.2">
      <c r="A896" s="32"/>
      <c r="B896" s="32"/>
      <c r="F896" s="24"/>
      <c r="G896" s="24"/>
      <c r="H896" s="24"/>
      <c r="I896" s="24"/>
      <c r="J896" s="33"/>
      <c r="K896" s="33"/>
      <c r="L896" s="33"/>
      <c r="M896" s="24"/>
      <c r="N896" s="28"/>
      <c r="P896" s="32"/>
      <c r="R896" s="34"/>
    </row>
    <row r="897" spans="1:18" ht="12.75" x14ac:dyDescent="0.2">
      <c r="A897" s="32"/>
      <c r="B897" s="32"/>
      <c r="F897" s="24"/>
      <c r="G897" s="24"/>
      <c r="H897" s="24"/>
      <c r="I897" s="24"/>
      <c r="J897" s="33"/>
      <c r="K897" s="33"/>
      <c r="L897" s="33"/>
      <c r="M897" s="24"/>
      <c r="N897" s="28"/>
      <c r="P897" s="32"/>
      <c r="R897" s="34"/>
    </row>
    <row r="898" spans="1:18" ht="12.75" x14ac:dyDescent="0.2">
      <c r="A898" s="32"/>
      <c r="B898" s="32"/>
      <c r="F898" s="24"/>
      <c r="G898" s="24"/>
      <c r="H898" s="24"/>
      <c r="I898" s="24"/>
      <c r="J898" s="33"/>
      <c r="K898" s="33"/>
      <c r="L898" s="33"/>
      <c r="M898" s="24"/>
      <c r="N898" s="28"/>
      <c r="P898" s="32"/>
      <c r="R898" s="34"/>
    </row>
    <row r="899" spans="1:18" ht="12.75" x14ac:dyDescent="0.2">
      <c r="A899" s="32"/>
      <c r="B899" s="32"/>
      <c r="F899" s="24"/>
      <c r="G899" s="24"/>
      <c r="H899" s="24"/>
      <c r="I899" s="24"/>
      <c r="J899" s="33"/>
      <c r="K899" s="33"/>
      <c r="L899" s="33"/>
      <c r="M899" s="24"/>
      <c r="N899" s="28"/>
      <c r="P899" s="32"/>
      <c r="R899" s="34"/>
    </row>
    <row r="900" spans="1:18" ht="12.75" x14ac:dyDescent="0.2">
      <c r="A900" s="32"/>
      <c r="B900" s="32"/>
      <c r="F900" s="24"/>
      <c r="G900" s="24"/>
      <c r="H900" s="24"/>
      <c r="I900" s="24"/>
      <c r="J900" s="33"/>
      <c r="K900" s="33"/>
      <c r="L900" s="33"/>
      <c r="M900" s="24"/>
      <c r="N900" s="28"/>
      <c r="P900" s="32"/>
      <c r="R900" s="34"/>
    </row>
    <row r="901" spans="1:18" ht="12.75" x14ac:dyDescent="0.2">
      <c r="A901" s="32"/>
      <c r="B901" s="32"/>
      <c r="F901" s="24"/>
      <c r="G901" s="24"/>
      <c r="H901" s="24"/>
      <c r="I901" s="24"/>
      <c r="J901" s="33"/>
      <c r="K901" s="33"/>
      <c r="L901" s="33"/>
      <c r="M901" s="24"/>
      <c r="N901" s="28"/>
      <c r="P901" s="32"/>
      <c r="R901" s="34"/>
    </row>
    <row r="902" spans="1:18" ht="12.75" x14ac:dyDescent="0.2">
      <c r="A902" s="32"/>
      <c r="B902" s="32"/>
      <c r="F902" s="24"/>
      <c r="G902" s="24"/>
      <c r="H902" s="24"/>
      <c r="I902" s="24"/>
      <c r="J902" s="33"/>
      <c r="K902" s="33"/>
      <c r="L902" s="33"/>
      <c r="M902" s="24"/>
      <c r="N902" s="28"/>
      <c r="P902" s="32"/>
      <c r="R902" s="34"/>
    </row>
    <row r="903" spans="1:18" ht="12.75" x14ac:dyDescent="0.2">
      <c r="A903" s="32"/>
      <c r="B903" s="32"/>
      <c r="F903" s="24"/>
      <c r="G903" s="24"/>
      <c r="H903" s="24"/>
      <c r="I903" s="24"/>
      <c r="J903" s="33"/>
      <c r="K903" s="33"/>
      <c r="L903" s="33"/>
      <c r="M903" s="24"/>
      <c r="N903" s="28"/>
      <c r="P903" s="32"/>
      <c r="R903" s="34"/>
    </row>
    <row r="904" spans="1:18" ht="12.75" x14ac:dyDescent="0.2">
      <c r="A904" s="32"/>
      <c r="B904" s="32"/>
      <c r="F904" s="24"/>
      <c r="G904" s="24"/>
      <c r="H904" s="24"/>
      <c r="I904" s="24"/>
      <c r="J904" s="33"/>
      <c r="K904" s="33"/>
      <c r="L904" s="33"/>
      <c r="M904" s="24"/>
      <c r="N904" s="28"/>
      <c r="P904" s="32"/>
      <c r="R904" s="34"/>
    </row>
    <row r="905" spans="1:18" ht="12.75" x14ac:dyDescent="0.2">
      <c r="A905" s="32"/>
      <c r="B905" s="32"/>
      <c r="F905" s="24"/>
      <c r="G905" s="24"/>
      <c r="H905" s="24"/>
      <c r="I905" s="24"/>
      <c r="J905" s="33"/>
      <c r="K905" s="33"/>
      <c r="L905" s="33"/>
      <c r="M905" s="24"/>
      <c r="N905" s="28"/>
      <c r="P905" s="32"/>
      <c r="R905" s="34"/>
    </row>
    <row r="906" spans="1:18" ht="12.75" x14ac:dyDescent="0.2">
      <c r="A906" s="32"/>
      <c r="B906" s="32"/>
      <c r="F906" s="24"/>
      <c r="G906" s="24"/>
      <c r="H906" s="24"/>
      <c r="I906" s="24"/>
      <c r="J906" s="33"/>
      <c r="K906" s="33"/>
      <c r="L906" s="33"/>
      <c r="M906" s="24"/>
      <c r="N906" s="28"/>
      <c r="P906" s="32"/>
      <c r="R906" s="34"/>
    </row>
    <row r="907" spans="1:18" ht="12.75" x14ac:dyDescent="0.2">
      <c r="A907" s="32"/>
      <c r="B907" s="32"/>
      <c r="F907" s="24"/>
      <c r="G907" s="24"/>
      <c r="H907" s="24"/>
      <c r="I907" s="24"/>
      <c r="J907" s="33"/>
      <c r="K907" s="33"/>
      <c r="L907" s="33"/>
      <c r="M907" s="24"/>
      <c r="N907" s="28"/>
      <c r="P907" s="32"/>
      <c r="R907" s="34"/>
    </row>
    <row r="908" spans="1:18" ht="12.75" x14ac:dyDescent="0.2">
      <c r="A908" s="32"/>
      <c r="B908" s="32"/>
      <c r="F908" s="24"/>
      <c r="G908" s="24"/>
      <c r="H908" s="24"/>
      <c r="I908" s="24"/>
      <c r="J908" s="33"/>
      <c r="K908" s="33"/>
      <c r="L908" s="33"/>
      <c r="M908" s="24"/>
      <c r="N908" s="28"/>
      <c r="P908" s="32"/>
      <c r="R908" s="34"/>
    </row>
    <row r="909" spans="1:18" ht="12.75" x14ac:dyDescent="0.2">
      <c r="A909" s="32"/>
      <c r="B909" s="32"/>
      <c r="F909" s="24"/>
      <c r="G909" s="24"/>
      <c r="H909" s="24"/>
      <c r="I909" s="24"/>
      <c r="J909" s="33"/>
      <c r="K909" s="33"/>
      <c r="L909" s="33"/>
      <c r="M909" s="24"/>
      <c r="N909" s="28"/>
      <c r="P909" s="32"/>
      <c r="R909" s="34"/>
    </row>
    <row r="910" spans="1:18" ht="12.75" x14ac:dyDescent="0.2">
      <c r="A910" s="32"/>
      <c r="B910" s="32"/>
      <c r="F910" s="24"/>
      <c r="G910" s="24"/>
      <c r="H910" s="24"/>
      <c r="I910" s="24"/>
      <c r="J910" s="33"/>
      <c r="K910" s="33"/>
      <c r="L910" s="33"/>
      <c r="M910" s="24"/>
      <c r="N910" s="28"/>
      <c r="P910" s="32"/>
      <c r="R910" s="34"/>
    </row>
    <row r="911" spans="1:18" ht="12.75" x14ac:dyDescent="0.2">
      <c r="A911" s="32"/>
      <c r="B911" s="32"/>
      <c r="F911" s="24"/>
      <c r="G911" s="24"/>
      <c r="H911" s="24"/>
      <c r="I911" s="24"/>
      <c r="J911" s="33"/>
      <c r="K911" s="33"/>
      <c r="L911" s="33"/>
      <c r="M911" s="24"/>
      <c r="N911" s="28"/>
      <c r="P911" s="32"/>
      <c r="R911" s="34"/>
    </row>
    <row r="912" spans="1:18" ht="12.75" x14ac:dyDescent="0.2">
      <c r="A912" s="32"/>
      <c r="B912" s="32"/>
      <c r="F912" s="24"/>
      <c r="G912" s="24"/>
      <c r="H912" s="24"/>
      <c r="I912" s="24"/>
      <c r="J912" s="33"/>
      <c r="K912" s="33"/>
      <c r="L912" s="33"/>
      <c r="M912" s="24"/>
      <c r="N912" s="28"/>
      <c r="P912" s="32"/>
      <c r="R912" s="34"/>
    </row>
    <row r="913" spans="1:18" ht="12.75" x14ac:dyDescent="0.2">
      <c r="A913" s="32"/>
      <c r="B913" s="32"/>
      <c r="F913" s="24"/>
      <c r="G913" s="24"/>
      <c r="H913" s="24"/>
      <c r="I913" s="24"/>
      <c r="J913" s="33"/>
      <c r="K913" s="33"/>
      <c r="L913" s="33"/>
      <c r="M913" s="24"/>
      <c r="N913" s="28"/>
      <c r="P913" s="32"/>
      <c r="R913" s="34"/>
    </row>
    <row r="914" spans="1:18" ht="12.75" x14ac:dyDescent="0.2">
      <c r="A914" s="32"/>
      <c r="B914" s="32"/>
      <c r="F914" s="24"/>
      <c r="G914" s="24"/>
      <c r="H914" s="24"/>
      <c r="I914" s="24"/>
      <c r="J914" s="33"/>
      <c r="K914" s="33"/>
      <c r="L914" s="33"/>
      <c r="M914" s="24"/>
      <c r="N914" s="28"/>
      <c r="P914" s="32"/>
      <c r="R914" s="34"/>
    </row>
    <row r="915" spans="1:18" ht="12.75" x14ac:dyDescent="0.2">
      <c r="A915" s="32"/>
      <c r="B915" s="32"/>
      <c r="F915" s="24"/>
      <c r="G915" s="24"/>
      <c r="H915" s="24"/>
      <c r="I915" s="24"/>
      <c r="J915" s="33"/>
      <c r="K915" s="33"/>
      <c r="L915" s="33"/>
      <c r="M915" s="24"/>
      <c r="N915" s="28"/>
      <c r="P915" s="32"/>
      <c r="R915" s="34"/>
    </row>
    <row r="916" spans="1:18" ht="12.75" x14ac:dyDescent="0.2">
      <c r="A916" s="32"/>
      <c r="B916" s="32"/>
      <c r="F916" s="24"/>
      <c r="G916" s="24"/>
      <c r="H916" s="24"/>
      <c r="I916" s="24"/>
      <c r="J916" s="33"/>
      <c r="K916" s="33"/>
      <c r="L916" s="33"/>
      <c r="M916" s="24"/>
      <c r="N916" s="28"/>
      <c r="P916" s="32"/>
      <c r="R916" s="34"/>
    </row>
    <row r="917" spans="1:18" ht="12.75" x14ac:dyDescent="0.2">
      <c r="A917" s="32"/>
      <c r="B917" s="32"/>
      <c r="F917" s="24"/>
      <c r="G917" s="24"/>
      <c r="H917" s="24"/>
      <c r="I917" s="24"/>
      <c r="J917" s="33"/>
      <c r="K917" s="33"/>
      <c r="L917" s="33"/>
      <c r="M917" s="24"/>
      <c r="N917" s="28"/>
      <c r="P917" s="32"/>
      <c r="R917" s="34"/>
    </row>
    <row r="918" spans="1:18" ht="12.75" x14ac:dyDescent="0.2">
      <c r="A918" s="32"/>
      <c r="B918" s="32"/>
      <c r="F918" s="24"/>
      <c r="G918" s="24"/>
      <c r="H918" s="24"/>
      <c r="I918" s="24"/>
      <c r="J918" s="33"/>
      <c r="K918" s="33"/>
      <c r="L918" s="33"/>
      <c r="M918" s="24"/>
      <c r="N918" s="28"/>
      <c r="P918" s="32"/>
      <c r="R918" s="34"/>
    </row>
    <row r="919" spans="1:18" ht="12.75" x14ac:dyDescent="0.2">
      <c r="A919" s="32"/>
      <c r="B919" s="32"/>
      <c r="F919" s="24"/>
      <c r="G919" s="24"/>
      <c r="H919" s="24"/>
      <c r="I919" s="24"/>
      <c r="J919" s="33"/>
      <c r="K919" s="33"/>
      <c r="L919" s="33"/>
      <c r="M919" s="24"/>
      <c r="N919" s="28"/>
      <c r="P919" s="32"/>
      <c r="R919" s="34"/>
    </row>
    <row r="920" spans="1:18" ht="12.75" x14ac:dyDescent="0.2">
      <c r="A920" s="32"/>
      <c r="B920" s="32"/>
      <c r="F920" s="24"/>
      <c r="G920" s="24"/>
      <c r="H920" s="24"/>
      <c r="I920" s="24"/>
      <c r="J920" s="33"/>
      <c r="K920" s="33"/>
      <c r="L920" s="33"/>
      <c r="M920" s="24"/>
      <c r="N920" s="28"/>
      <c r="P920" s="32"/>
      <c r="R920" s="34"/>
    </row>
    <row r="921" spans="1:18" ht="12.75" x14ac:dyDescent="0.2">
      <c r="A921" s="32"/>
      <c r="B921" s="32"/>
      <c r="F921" s="24"/>
      <c r="G921" s="24"/>
      <c r="H921" s="24"/>
      <c r="I921" s="24"/>
      <c r="J921" s="33"/>
      <c r="K921" s="33"/>
      <c r="L921" s="33"/>
      <c r="M921" s="24"/>
      <c r="N921" s="28"/>
      <c r="P921" s="32"/>
      <c r="R921" s="34"/>
    </row>
    <row r="922" spans="1:18" ht="12.75" x14ac:dyDescent="0.2">
      <c r="A922" s="32"/>
      <c r="B922" s="32"/>
      <c r="F922" s="24"/>
      <c r="G922" s="24"/>
      <c r="H922" s="24"/>
      <c r="I922" s="24"/>
      <c r="J922" s="33"/>
      <c r="K922" s="33"/>
      <c r="L922" s="33"/>
      <c r="M922" s="24"/>
      <c r="N922" s="28"/>
      <c r="P922" s="32"/>
      <c r="R922" s="34"/>
    </row>
    <row r="923" spans="1:18" ht="12.75" x14ac:dyDescent="0.2">
      <c r="A923" s="32"/>
      <c r="B923" s="32"/>
      <c r="F923" s="24"/>
      <c r="G923" s="24"/>
      <c r="H923" s="24"/>
      <c r="I923" s="24"/>
      <c r="J923" s="33"/>
      <c r="K923" s="33"/>
      <c r="L923" s="33"/>
      <c r="M923" s="24"/>
      <c r="N923" s="28"/>
      <c r="P923" s="32"/>
      <c r="R923" s="34"/>
    </row>
    <row r="924" spans="1:18" ht="12.75" x14ac:dyDescent="0.2">
      <c r="A924" s="32"/>
      <c r="B924" s="32"/>
      <c r="F924" s="24"/>
      <c r="G924" s="24"/>
      <c r="H924" s="24"/>
      <c r="I924" s="24"/>
      <c r="J924" s="33"/>
      <c r="K924" s="33"/>
      <c r="L924" s="33"/>
      <c r="M924" s="24"/>
      <c r="N924" s="28"/>
      <c r="P924" s="32"/>
      <c r="R924" s="34"/>
    </row>
    <row r="925" spans="1:18" ht="12.75" x14ac:dyDescent="0.2">
      <c r="A925" s="32"/>
      <c r="B925" s="32"/>
      <c r="F925" s="24"/>
      <c r="G925" s="24"/>
      <c r="H925" s="24"/>
      <c r="I925" s="24"/>
      <c r="J925" s="33"/>
      <c r="K925" s="33"/>
      <c r="L925" s="33"/>
      <c r="M925" s="24"/>
      <c r="N925" s="28"/>
      <c r="P925" s="32"/>
      <c r="R925" s="34"/>
    </row>
    <row r="926" spans="1:18" ht="12.75" x14ac:dyDescent="0.2">
      <c r="A926" s="32"/>
      <c r="B926" s="32"/>
      <c r="F926" s="24"/>
      <c r="G926" s="24"/>
      <c r="H926" s="24"/>
      <c r="I926" s="24"/>
      <c r="J926" s="33"/>
      <c r="K926" s="33"/>
      <c r="L926" s="33"/>
      <c r="M926" s="24"/>
      <c r="N926" s="28"/>
      <c r="P926" s="32"/>
      <c r="R926" s="34"/>
    </row>
    <row r="927" spans="1:18" ht="12.75" x14ac:dyDescent="0.2">
      <c r="A927" s="32"/>
      <c r="B927" s="32"/>
      <c r="F927" s="24"/>
      <c r="G927" s="24"/>
      <c r="H927" s="24"/>
      <c r="I927" s="24"/>
      <c r="J927" s="33"/>
      <c r="K927" s="33"/>
      <c r="L927" s="33"/>
      <c r="M927" s="24"/>
      <c r="N927" s="28"/>
      <c r="P927" s="32"/>
      <c r="R927" s="34"/>
    </row>
    <row r="928" spans="1:18" ht="12.75" x14ac:dyDescent="0.2">
      <c r="A928" s="32"/>
      <c r="B928" s="32"/>
      <c r="F928" s="24"/>
      <c r="G928" s="24"/>
      <c r="H928" s="24"/>
      <c r="I928" s="24"/>
      <c r="J928" s="33"/>
      <c r="K928" s="33"/>
      <c r="L928" s="33"/>
      <c r="M928" s="24"/>
      <c r="N928" s="28"/>
      <c r="P928" s="32"/>
      <c r="R928" s="34"/>
    </row>
    <row r="929" spans="1:18" ht="12.75" x14ac:dyDescent="0.2">
      <c r="A929" s="32"/>
      <c r="B929" s="32"/>
      <c r="F929" s="24"/>
      <c r="G929" s="24"/>
      <c r="H929" s="24"/>
      <c r="I929" s="24"/>
      <c r="J929" s="33"/>
      <c r="K929" s="33"/>
      <c r="L929" s="33"/>
      <c r="M929" s="24"/>
      <c r="N929" s="28"/>
      <c r="P929" s="32"/>
      <c r="R929" s="34"/>
    </row>
    <row r="930" spans="1:18" ht="12.75" x14ac:dyDescent="0.2">
      <c r="A930" s="32"/>
      <c r="B930" s="32"/>
      <c r="F930" s="24"/>
      <c r="G930" s="24"/>
      <c r="H930" s="24"/>
      <c r="I930" s="24"/>
      <c r="J930" s="33"/>
      <c r="K930" s="33"/>
      <c r="L930" s="33"/>
      <c r="M930" s="24"/>
      <c r="N930" s="28"/>
      <c r="P930" s="32"/>
      <c r="R930" s="34"/>
    </row>
    <row r="931" spans="1:18" ht="12.75" x14ac:dyDescent="0.2">
      <c r="A931" s="32"/>
      <c r="B931" s="32"/>
      <c r="F931" s="24"/>
      <c r="G931" s="24"/>
      <c r="H931" s="24"/>
      <c r="I931" s="24"/>
      <c r="J931" s="33"/>
      <c r="K931" s="33"/>
      <c r="L931" s="33"/>
      <c r="M931" s="24"/>
      <c r="N931" s="28"/>
      <c r="P931" s="32"/>
      <c r="R931" s="34"/>
    </row>
    <row r="932" spans="1:18" ht="12.75" x14ac:dyDescent="0.2">
      <c r="A932" s="32"/>
      <c r="B932" s="32"/>
      <c r="F932" s="24"/>
      <c r="G932" s="24"/>
      <c r="H932" s="24"/>
      <c r="I932" s="24"/>
      <c r="J932" s="33"/>
      <c r="K932" s="33"/>
      <c r="L932" s="33"/>
      <c r="M932" s="24"/>
      <c r="N932" s="28"/>
      <c r="P932" s="32"/>
      <c r="R932" s="34"/>
    </row>
    <row r="933" spans="1:18" ht="12.75" x14ac:dyDescent="0.2">
      <c r="A933" s="32"/>
      <c r="B933" s="32"/>
      <c r="F933" s="24"/>
      <c r="G933" s="24"/>
      <c r="H933" s="24"/>
      <c r="I933" s="24"/>
      <c r="J933" s="33"/>
      <c r="K933" s="33"/>
      <c r="L933" s="33"/>
      <c r="M933" s="24"/>
      <c r="N933" s="28"/>
      <c r="P933" s="32"/>
      <c r="R933" s="34"/>
    </row>
    <row r="934" spans="1:18" ht="12.75" x14ac:dyDescent="0.2">
      <c r="A934" s="32"/>
      <c r="B934" s="32"/>
      <c r="F934" s="24"/>
      <c r="G934" s="24"/>
      <c r="H934" s="24"/>
      <c r="I934" s="24"/>
      <c r="J934" s="33"/>
      <c r="K934" s="33"/>
      <c r="L934" s="33"/>
      <c r="M934" s="24"/>
      <c r="N934" s="28"/>
      <c r="P934" s="32"/>
      <c r="R934" s="34"/>
    </row>
    <row r="935" spans="1:18" ht="12.75" x14ac:dyDescent="0.2">
      <c r="A935" s="32"/>
      <c r="B935" s="32"/>
      <c r="F935" s="24"/>
      <c r="G935" s="24"/>
      <c r="H935" s="24"/>
      <c r="I935" s="24"/>
      <c r="J935" s="33"/>
      <c r="K935" s="33"/>
      <c r="L935" s="33"/>
      <c r="M935" s="24"/>
      <c r="N935" s="28"/>
      <c r="P935" s="32"/>
      <c r="R935" s="34"/>
    </row>
    <row r="936" spans="1:18" ht="12.75" x14ac:dyDescent="0.2">
      <c r="A936" s="32"/>
      <c r="B936" s="32"/>
      <c r="F936" s="24"/>
      <c r="G936" s="24"/>
      <c r="H936" s="24"/>
      <c r="I936" s="24"/>
      <c r="J936" s="33"/>
      <c r="K936" s="33"/>
      <c r="L936" s="33"/>
      <c r="M936" s="24"/>
      <c r="N936" s="28"/>
      <c r="P936" s="32"/>
      <c r="R936" s="34"/>
    </row>
    <row r="937" spans="1:18" ht="12.75" x14ac:dyDescent="0.2">
      <c r="A937" s="32"/>
      <c r="B937" s="32"/>
      <c r="F937" s="24"/>
      <c r="G937" s="24"/>
      <c r="H937" s="24"/>
      <c r="I937" s="24"/>
      <c r="J937" s="33"/>
      <c r="K937" s="33"/>
      <c r="L937" s="33"/>
      <c r="M937" s="24"/>
      <c r="N937" s="28"/>
      <c r="P937" s="32"/>
      <c r="R937" s="34"/>
    </row>
    <row r="938" spans="1:18" ht="12.75" x14ac:dyDescent="0.2">
      <c r="A938" s="32"/>
      <c r="B938" s="32"/>
      <c r="F938" s="24"/>
      <c r="G938" s="24"/>
      <c r="H938" s="24"/>
      <c r="I938" s="24"/>
      <c r="J938" s="33"/>
      <c r="K938" s="33"/>
      <c r="L938" s="33"/>
      <c r="M938" s="24"/>
      <c r="N938" s="28"/>
      <c r="P938" s="32"/>
      <c r="R938" s="34"/>
    </row>
    <row r="939" spans="1:18" ht="12.75" x14ac:dyDescent="0.2">
      <c r="A939" s="32"/>
      <c r="B939" s="32"/>
      <c r="F939" s="24"/>
      <c r="G939" s="24"/>
      <c r="H939" s="24"/>
      <c r="I939" s="24"/>
      <c r="J939" s="33"/>
      <c r="K939" s="33"/>
      <c r="L939" s="33"/>
      <c r="M939" s="24"/>
      <c r="N939" s="28"/>
      <c r="P939" s="32"/>
      <c r="R939" s="34"/>
    </row>
    <row r="940" spans="1:18" ht="12.75" x14ac:dyDescent="0.2">
      <c r="A940" s="32"/>
      <c r="B940" s="32"/>
      <c r="F940" s="24"/>
      <c r="G940" s="24"/>
      <c r="H940" s="24"/>
      <c r="I940" s="24"/>
      <c r="J940" s="33"/>
      <c r="K940" s="33"/>
      <c r="L940" s="33"/>
      <c r="M940" s="24"/>
      <c r="N940" s="28"/>
      <c r="P940" s="32"/>
      <c r="R940" s="34"/>
    </row>
    <row r="941" spans="1:18" ht="12.75" x14ac:dyDescent="0.2">
      <c r="A941" s="32"/>
      <c r="B941" s="32"/>
      <c r="F941" s="24"/>
      <c r="G941" s="24"/>
      <c r="H941" s="24"/>
      <c r="I941" s="24"/>
      <c r="J941" s="33"/>
      <c r="K941" s="33"/>
      <c r="L941" s="33"/>
      <c r="M941" s="24"/>
      <c r="N941" s="28"/>
      <c r="P941" s="32"/>
      <c r="R941" s="34"/>
    </row>
    <row r="942" spans="1:18" ht="12.75" x14ac:dyDescent="0.2">
      <c r="A942" s="32"/>
      <c r="B942" s="32"/>
      <c r="F942" s="24"/>
      <c r="G942" s="24"/>
      <c r="H942" s="24"/>
      <c r="I942" s="24"/>
      <c r="J942" s="33"/>
      <c r="K942" s="33"/>
      <c r="L942" s="33"/>
      <c r="M942" s="24"/>
      <c r="N942" s="28"/>
      <c r="P942" s="32"/>
      <c r="R942" s="34"/>
    </row>
    <row r="943" spans="1:18" ht="12.75" x14ac:dyDescent="0.2">
      <c r="A943" s="32"/>
      <c r="B943" s="32"/>
      <c r="F943" s="24"/>
      <c r="G943" s="24"/>
      <c r="H943" s="24"/>
      <c r="I943" s="24"/>
      <c r="J943" s="33"/>
      <c r="K943" s="33"/>
      <c r="L943" s="33"/>
      <c r="M943" s="24"/>
      <c r="N943" s="28"/>
      <c r="P943" s="32"/>
      <c r="R943" s="34"/>
    </row>
    <row r="944" spans="1:18" ht="12.75" x14ac:dyDescent="0.2">
      <c r="A944" s="32"/>
      <c r="B944" s="32"/>
      <c r="F944" s="24"/>
      <c r="G944" s="24"/>
      <c r="H944" s="24"/>
      <c r="I944" s="24"/>
      <c r="J944" s="33"/>
      <c r="K944" s="33"/>
      <c r="L944" s="33"/>
      <c r="M944" s="24"/>
      <c r="N944" s="28"/>
      <c r="P944" s="32"/>
      <c r="R944" s="34"/>
    </row>
    <row r="945" spans="1:18" ht="12.75" x14ac:dyDescent="0.2">
      <c r="A945" s="32"/>
      <c r="B945" s="32"/>
      <c r="F945" s="24"/>
      <c r="G945" s="24"/>
      <c r="H945" s="24"/>
      <c r="I945" s="24"/>
      <c r="J945" s="33"/>
      <c r="K945" s="33"/>
      <c r="L945" s="33"/>
      <c r="M945" s="24"/>
      <c r="N945" s="28"/>
      <c r="P945" s="32"/>
      <c r="R945" s="34"/>
    </row>
    <row r="946" spans="1:18" ht="12.75" x14ac:dyDescent="0.2">
      <c r="A946" s="32"/>
      <c r="B946" s="32"/>
      <c r="F946" s="24"/>
      <c r="G946" s="24"/>
      <c r="H946" s="24"/>
      <c r="I946" s="24"/>
      <c r="J946" s="33"/>
      <c r="K946" s="33"/>
      <c r="L946" s="33"/>
      <c r="M946" s="24"/>
      <c r="N946" s="28"/>
      <c r="P946" s="32"/>
      <c r="R946" s="34"/>
    </row>
    <row r="947" spans="1:18" ht="12.75" x14ac:dyDescent="0.2">
      <c r="A947" s="32"/>
      <c r="B947" s="32"/>
      <c r="F947" s="24"/>
      <c r="G947" s="24"/>
      <c r="H947" s="24"/>
      <c r="I947" s="24"/>
      <c r="J947" s="33"/>
      <c r="K947" s="33"/>
      <c r="L947" s="33"/>
      <c r="M947" s="24"/>
      <c r="N947" s="28"/>
      <c r="P947" s="32"/>
      <c r="R947" s="34"/>
    </row>
    <row r="948" spans="1:18" ht="12.75" x14ac:dyDescent="0.2">
      <c r="A948" s="32"/>
      <c r="B948" s="32"/>
      <c r="F948" s="24"/>
      <c r="G948" s="24"/>
      <c r="H948" s="24"/>
      <c r="I948" s="24"/>
      <c r="J948" s="33"/>
      <c r="K948" s="33"/>
      <c r="L948" s="33"/>
      <c r="M948" s="24"/>
      <c r="N948" s="28"/>
      <c r="P948" s="32"/>
      <c r="R948" s="34"/>
    </row>
    <row r="949" spans="1:18" ht="12.75" x14ac:dyDescent="0.2">
      <c r="A949" s="32"/>
      <c r="B949" s="32"/>
      <c r="F949" s="24"/>
      <c r="G949" s="24"/>
      <c r="H949" s="24"/>
      <c r="I949" s="24"/>
      <c r="J949" s="33"/>
      <c r="K949" s="33"/>
      <c r="L949" s="33"/>
      <c r="M949" s="24"/>
      <c r="N949" s="28"/>
      <c r="P949" s="32"/>
      <c r="R949" s="34"/>
    </row>
    <row r="950" spans="1:18" ht="12.75" x14ac:dyDescent="0.2">
      <c r="A950" s="32"/>
      <c r="B950" s="32"/>
      <c r="F950" s="24"/>
      <c r="G950" s="24"/>
      <c r="H950" s="24"/>
      <c r="I950" s="24"/>
      <c r="J950" s="33"/>
      <c r="K950" s="33"/>
      <c r="L950" s="33"/>
      <c r="M950" s="24"/>
      <c r="N950" s="28"/>
      <c r="P950" s="32"/>
      <c r="R950" s="34"/>
    </row>
    <row r="951" spans="1:18" ht="12.75" x14ac:dyDescent="0.2">
      <c r="A951" s="32"/>
      <c r="B951" s="32"/>
      <c r="F951" s="24"/>
      <c r="G951" s="24"/>
      <c r="H951" s="24"/>
      <c r="I951" s="24"/>
      <c r="J951" s="33"/>
      <c r="K951" s="33"/>
      <c r="L951" s="33"/>
      <c r="M951" s="24"/>
      <c r="N951" s="28"/>
      <c r="P951" s="32"/>
      <c r="R951" s="34"/>
    </row>
    <row r="952" spans="1:18" ht="12.75" x14ac:dyDescent="0.2">
      <c r="A952" s="32"/>
      <c r="B952" s="32"/>
      <c r="F952" s="24"/>
      <c r="G952" s="24"/>
      <c r="H952" s="24"/>
      <c r="I952" s="24"/>
      <c r="J952" s="33"/>
      <c r="K952" s="33"/>
      <c r="L952" s="33"/>
      <c r="M952" s="24"/>
      <c r="N952" s="28"/>
      <c r="P952" s="32"/>
      <c r="R952" s="34"/>
    </row>
    <row r="953" spans="1:18" ht="12.75" x14ac:dyDescent="0.2">
      <c r="A953" s="32"/>
      <c r="B953" s="32"/>
      <c r="F953" s="24"/>
      <c r="G953" s="24"/>
      <c r="H953" s="24"/>
      <c r="I953" s="24"/>
      <c r="J953" s="33"/>
      <c r="K953" s="33"/>
      <c r="L953" s="33"/>
      <c r="M953" s="24"/>
      <c r="N953" s="28"/>
      <c r="P953" s="32"/>
      <c r="R953" s="34"/>
    </row>
    <row r="954" spans="1:18" ht="12.75" x14ac:dyDescent="0.2">
      <c r="A954" s="32"/>
      <c r="B954" s="32"/>
      <c r="F954" s="24"/>
      <c r="G954" s="24"/>
      <c r="H954" s="24"/>
      <c r="I954" s="24"/>
      <c r="J954" s="33"/>
      <c r="K954" s="33"/>
      <c r="L954" s="33"/>
      <c r="M954" s="24"/>
      <c r="N954" s="28"/>
      <c r="P954" s="32"/>
      <c r="R954" s="34"/>
    </row>
    <row r="955" spans="1:18" ht="12.75" x14ac:dyDescent="0.2">
      <c r="A955" s="32"/>
      <c r="B955" s="32"/>
      <c r="F955" s="24"/>
      <c r="G955" s="24"/>
      <c r="H955" s="24"/>
      <c r="I955" s="24"/>
      <c r="J955" s="33"/>
      <c r="K955" s="33"/>
      <c r="L955" s="33"/>
      <c r="M955" s="24"/>
      <c r="N955" s="28"/>
      <c r="P955" s="32"/>
      <c r="R955" s="34"/>
    </row>
    <row r="956" spans="1:18" ht="12.75" x14ac:dyDescent="0.2">
      <c r="A956" s="32"/>
      <c r="B956" s="32"/>
      <c r="F956" s="24"/>
      <c r="G956" s="24"/>
      <c r="H956" s="24"/>
      <c r="I956" s="24"/>
      <c r="J956" s="33"/>
      <c r="K956" s="33"/>
      <c r="L956" s="33"/>
      <c r="M956" s="24"/>
      <c r="N956" s="28"/>
      <c r="P956" s="32"/>
      <c r="R956" s="34"/>
    </row>
    <row r="957" spans="1:18" ht="12.75" x14ac:dyDescent="0.2">
      <c r="A957" s="32"/>
      <c r="B957" s="32"/>
      <c r="F957" s="24"/>
      <c r="G957" s="24"/>
      <c r="H957" s="24"/>
      <c r="I957" s="24"/>
      <c r="J957" s="33"/>
      <c r="K957" s="33"/>
      <c r="L957" s="33"/>
      <c r="M957" s="24"/>
      <c r="N957" s="28"/>
      <c r="P957" s="32"/>
      <c r="R957" s="34"/>
    </row>
    <row r="958" spans="1:18" ht="12.75" x14ac:dyDescent="0.2">
      <c r="A958" s="32"/>
      <c r="B958" s="32"/>
      <c r="F958" s="24"/>
      <c r="G958" s="24"/>
      <c r="H958" s="24"/>
      <c r="I958" s="24"/>
      <c r="J958" s="33"/>
      <c r="K958" s="33"/>
      <c r="L958" s="33"/>
      <c r="M958" s="24"/>
      <c r="N958" s="28"/>
      <c r="P958" s="32"/>
      <c r="R958" s="34"/>
    </row>
    <row r="959" spans="1:18" ht="12.75" x14ac:dyDescent="0.2">
      <c r="A959" s="32"/>
      <c r="B959" s="32"/>
      <c r="F959" s="24"/>
      <c r="G959" s="24"/>
      <c r="H959" s="24"/>
      <c r="I959" s="24"/>
      <c r="J959" s="33"/>
      <c r="K959" s="33"/>
      <c r="L959" s="33"/>
      <c r="M959" s="24"/>
      <c r="N959" s="28"/>
      <c r="P959" s="32"/>
      <c r="R959" s="34"/>
    </row>
    <row r="960" spans="1:18" ht="12.75" x14ac:dyDescent="0.2">
      <c r="A960" s="32"/>
      <c r="B960" s="32"/>
      <c r="F960" s="24"/>
      <c r="G960" s="24"/>
      <c r="H960" s="24"/>
      <c r="I960" s="24"/>
      <c r="J960" s="33"/>
      <c r="K960" s="33"/>
      <c r="L960" s="33"/>
      <c r="M960" s="24"/>
      <c r="N960" s="28"/>
      <c r="P960" s="32"/>
      <c r="R960" s="34"/>
    </row>
    <row r="961" spans="1:18" ht="12.75" x14ac:dyDescent="0.2">
      <c r="A961" s="32"/>
      <c r="B961" s="32"/>
      <c r="F961" s="24"/>
      <c r="G961" s="24"/>
      <c r="H961" s="24"/>
      <c r="I961" s="24"/>
      <c r="J961" s="33"/>
      <c r="K961" s="33"/>
      <c r="L961" s="33"/>
      <c r="M961" s="24"/>
      <c r="N961" s="28"/>
      <c r="P961" s="32"/>
      <c r="R961" s="34"/>
    </row>
    <row r="962" spans="1:18" ht="12.75" x14ac:dyDescent="0.2">
      <c r="A962" s="32"/>
      <c r="B962" s="32"/>
      <c r="F962" s="24"/>
      <c r="G962" s="24"/>
      <c r="H962" s="24"/>
      <c r="I962" s="24"/>
      <c r="J962" s="33"/>
      <c r="K962" s="33"/>
      <c r="L962" s="33"/>
      <c r="M962" s="24"/>
      <c r="N962" s="28"/>
      <c r="P962" s="32"/>
      <c r="R962" s="34"/>
    </row>
    <row r="963" spans="1:18" ht="12.75" x14ac:dyDescent="0.2">
      <c r="A963" s="32"/>
      <c r="B963" s="32"/>
      <c r="F963" s="24"/>
      <c r="G963" s="24"/>
      <c r="H963" s="24"/>
      <c r="I963" s="24"/>
      <c r="J963" s="33"/>
      <c r="K963" s="33"/>
      <c r="L963" s="33"/>
      <c r="M963" s="24"/>
      <c r="N963" s="28"/>
      <c r="P963" s="32"/>
      <c r="R963" s="34"/>
    </row>
    <row r="964" spans="1:18" ht="12.75" x14ac:dyDescent="0.2">
      <c r="A964" s="32"/>
      <c r="B964" s="32"/>
      <c r="F964" s="24"/>
      <c r="G964" s="24"/>
      <c r="H964" s="24"/>
      <c r="I964" s="24"/>
      <c r="J964" s="33"/>
      <c r="K964" s="33"/>
      <c r="L964" s="33"/>
      <c r="M964" s="24"/>
      <c r="N964" s="28"/>
      <c r="P964" s="32"/>
      <c r="R964" s="34"/>
    </row>
    <row r="965" spans="1:18" ht="12.75" x14ac:dyDescent="0.2">
      <c r="A965" s="32"/>
      <c r="B965" s="32"/>
      <c r="F965" s="24"/>
      <c r="G965" s="24"/>
      <c r="H965" s="24"/>
      <c r="I965" s="24"/>
      <c r="J965" s="33"/>
      <c r="K965" s="33"/>
      <c r="L965" s="33"/>
      <c r="M965" s="24"/>
      <c r="N965" s="28"/>
      <c r="P965" s="32"/>
      <c r="R965" s="34"/>
    </row>
    <row r="966" spans="1:18" ht="12.75" x14ac:dyDescent="0.2">
      <c r="A966" s="32"/>
      <c r="B966" s="32"/>
      <c r="F966" s="24"/>
      <c r="G966" s="24"/>
      <c r="H966" s="24"/>
      <c r="I966" s="24"/>
      <c r="J966" s="33"/>
      <c r="K966" s="33"/>
      <c r="L966" s="33"/>
      <c r="M966" s="24"/>
      <c r="N966" s="28"/>
      <c r="P966" s="32"/>
      <c r="R966" s="34"/>
    </row>
    <row r="967" spans="1:18" ht="12.75" x14ac:dyDescent="0.2">
      <c r="A967" s="32"/>
      <c r="B967" s="32"/>
      <c r="F967" s="24"/>
      <c r="G967" s="24"/>
      <c r="H967" s="24"/>
      <c r="I967" s="24"/>
      <c r="J967" s="33"/>
      <c r="K967" s="33"/>
      <c r="L967" s="33"/>
      <c r="M967" s="24"/>
      <c r="N967" s="28"/>
      <c r="P967" s="32"/>
      <c r="R967" s="34"/>
    </row>
    <row r="968" spans="1:18" ht="12.75" x14ac:dyDescent="0.2">
      <c r="A968" s="32"/>
      <c r="B968" s="32"/>
      <c r="F968" s="24"/>
      <c r="G968" s="24"/>
      <c r="H968" s="24"/>
      <c r="I968" s="24"/>
      <c r="J968" s="33"/>
      <c r="K968" s="33"/>
      <c r="L968" s="33"/>
      <c r="M968" s="24"/>
      <c r="N968" s="28"/>
      <c r="P968" s="32"/>
      <c r="R968" s="34"/>
    </row>
    <row r="969" spans="1:18" ht="12.75" x14ac:dyDescent="0.2">
      <c r="A969" s="32"/>
      <c r="B969" s="32"/>
      <c r="F969" s="24"/>
      <c r="G969" s="24"/>
      <c r="H969" s="24"/>
      <c r="I969" s="24"/>
      <c r="J969" s="33"/>
      <c r="K969" s="33"/>
      <c r="L969" s="33"/>
      <c r="M969" s="24"/>
      <c r="N969" s="28"/>
      <c r="P969" s="32"/>
      <c r="R969" s="34"/>
    </row>
    <row r="970" spans="1:18" ht="12.75" x14ac:dyDescent="0.2">
      <c r="A970" s="32"/>
      <c r="B970" s="32"/>
      <c r="F970" s="24"/>
      <c r="G970" s="24"/>
      <c r="H970" s="24"/>
      <c r="I970" s="24"/>
      <c r="J970" s="33"/>
      <c r="K970" s="33"/>
      <c r="L970" s="33"/>
      <c r="M970" s="24"/>
      <c r="N970" s="28"/>
      <c r="P970" s="32"/>
      <c r="R970" s="34"/>
    </row>
    <row r="971" spans="1:18" ht="12.75" x14ac:dyDescent="0.2">
      <c r="A971" s="32"/>
      <c r="B971" s="32"/>
      <c r="F971" s="24"/>
      <c r="G971" s="24"/>
      <c r="H971" s="24"/>
      <c r="I971" s="24"/>
      <c r="J971" s="33"/>
      <c r="K971" s="33"/>
      <c r="L971" s="33"/>
      <c r="M971" s="24"/>
      <c r="N971" s="28"/>
      <c r="P971" s="32"/>
      <c r="R971" s="34"/>
    </row>
    <row r="972" spans="1:18" ht="12.75" x14ac:dyDescent="0.2">
      <c r="A972" s="32"/>
      <c r="B972" s="32"/>
      <c r="F972" s="24"/>
      <c r="G972" s="24"/>
      <c r="H972" s="24"/>
      <c r="I972" s="24"/>
      <c r="J972" s="33"/>
      <c r="K972" s="33"/>
      <c r="L972" s="33"/>
      <c r="M972" s="24"/>
      <c r="N972" s="28"/>
      <c r="P972" s="32"/>
      <c r="R972" s="34"/>
    </row>
    <row r="973" spans="1:18" ht="12.75" x14ac:dyDescent="0.2">
      <c r="A973" s="32"/>
      <c r="B973" s="32"/>
      <c r="F973" s="24"/>
      <c r="G973" s="24"/>
      <c r="H973" s="24"/>
      <c r="I973" s="24"/>
      <c r="J973" s="33"/>
      <c r="K973" s="33"/>
      <c r="L973" s="33"/>
      <c r="M973" s="24"/>
      <c r="N973" s="28"/>
      <c r="P973" s="32"/>
      <c r="R973" s="34"/>
    </row>
    <row r="974" spans="1:18" ht="12.75" x14ac:dyDescent="0.2">
      <c r="A974" s="32"/>
      <c r="B974" s="32"/>
      <c r="F974" s="24"/>
      <c r="G974" s="24"/>
      <c r="H974" s="24"/>
      <c r="I974" s="24"/>
      <c r="J974" s="33"/>
      <c r="K974" s="33"/>
      <c r="L974" s="33"/>
      <c r="M974" s="24"/>
      <c r="N974" s="28"/>
      <c r="P974" s="32"/>
      <c r="R974" s="34"/>
    </row>
    <row r="975" spans="1:18" ht="12.75" x14ac:dyDescent="0.2">
      <c r="A975" s="32"/>
      <c r="B975" s="32"/>
      <c r="F975" s="24"/>
      <c r="G975" s="24"/>
      <c r="H975" s="24"/>
      <c r="I975" s="24"/>
      <c r="J975" s="33"/>
      <c r="K975" s="33"/>
      <c r="L975" s="33"/>
      <c r="M975" s="24"/>
      <c r="N975" s="28"/>
      <c r="P975" s="32"/>
      <c r="R975" s="34"/>
    </row>
    <row r="976" spans="1:18" ht="12.75" x14ac:dyDescent="0.2">
      <c r="A976" s="32"/>
      <c r="B976" s="32"/>
      <c r="F976" s="24"/>
      <c r="G976" s="24"/>
      <c r="H976" s="24"/>
      <c r="I976" s="24"/>
      <c r="J976" s="33"/>
      <c r="K976" s="33"/>
      <c r="L976" s="33"/>
      <c r="M976" s="24"/>
      <c r="N976" s="28"/>
      <c r="P976" s="32"/>
      <c r="R976" s="34"/>
    </row>
    <row r="977" spans="1:18" ht="12.75" x14ac:dyDescent="0.2">
      <c r="A977" s="32"/>
      <c r="B977" s="32"/>
      <c r="F977" s="24"/>
      <c r="G977" s="24"/>
      <c r="H977" s="24"/>
      <c r="I977" s="24"/>
      <c r="J977" s="33"/>
      <c r="K977" s="33"/>
      <c r="L977" s="33"/>
      <c r="M977" s="24"/>
      <c r="N977" s="28"/>
      <c r="P977" s="32"/>
      <c r="R977" s="34"/>
    </row>
    <row r="978" spans="1:18" ht="12.75" x14ac:dyDescent="0.2">
      <c r="A978" s="32"/>
      <c r="B978" s="32"/>
      <c r="F978" s="24"/>
      <c r="G978" s="24"/>
      <c r="H978" s="24"/>
      <c r="I978" s="24"/>
      <c r="J978" s="33"/>
      <c r="K978" s="33"/>
      <c r="L978" s="33"/>
      <c r="M978" s="24"/>
      <c r="N978" s="28"/>
      <c r="P978" s="32"/>
      <c r="R978" s="34"/>
    </row>
    <row r="979" spans="1:18" ht="12.75" x14ac:dyDescent="0.2">
      <c r="A979" s="32"/>
      <c r="B979" s="32"/>
      <c r="F979" s="24"/>
      <c r="G979" s="24"/>
      <c r="H979" s="24"/>
      <c r="I979" s="24"/>
      <c r="J979" s="33"/>
      <c r="K979" s="33"/>
      <c r="L979" s="33"/>
      <c r="M979" s="24"/>
      <c r="N979" s="28"/>
      <c r="P979" s="32"/>
      <c r="R979" s="34"/>
    </row>
    <row r="980" spans="1:18" ht="12.75" x14ac:dyDescent="0.2">
      <c r="A980" s="32"/>
      <c r="B980" s="32"/>
      <c r="F980" s="24"/>
      <c r="G980" s="24"/>
      <c r="H980" s="24"/>
      <c r="I980" s="24"/>
      <c r="J980" s="33"/>
      <c r="K980" s="33"/>
      <c r="L980" s="33"/>
      <c r="M980" s="24"/>
      <c r="N980" s="28"/>
      <c r="P980" s="32"/>
      <c r="R980" s="34"/>
    </row>
    <row r="981" spans="1:18" ht="12.75" x14ac:dyDescent="0.2">
      <c r="A981" s="32"/>
      <c r="B981" s="32"/>
      <c r="F981" s="24"/>
      <c r="G981" s="24"/>
      <c r="H981" s="24"/>
      <c r="I981" s="24"/>
      <c r="J981" s="33"/>
      <c r="K981" s="33"/>
      <c r="L981" s="33"/>
      <c r="M981" s="24"/>
      <c r="N981" s="28"/>
      <c r="P981" s="32"/>
      <c r="R981" s="34"/>
    </row>
    <row r="982" spans="1:18" ht="12.75" x14ac:dyDescent="0.2">
      <c r="A982" s="32"/>
      <c r="B982" s="32"/>
      <c r="F982" s="24"/>
      <c r="G982" s="24"/>
      <c r="H982" s="24"/>
      <c r="I982" s="24"/>
      <c r="J982" s="33"/>
      <c r="K982" s="33"/>
      <c r="L982" s="33"/>
      <c r="M982" s="24"/>
      <c r="N982" s="28"/>
      <c r="P982" s="32"/>
      <c r="R982" s="34"/>
    </row>
    <row r="983" spans="1:18" ht="12.75" x14ac:dyDescent="0.2">
      <c r="A983" s="32"/>
      <c r="B983" s="32"/>
      <c r="F983" s="24"/>
      <c r="G983" s="24"/>
      <c r="H983" s="24"/>
      <c r="I983" s="24"/>
      <c r="J983" s="33"/>
      <c r="K983" s="33"/>
      <c r="L983" s="33"/>
      <c r="M983" s="24"/>
      <c r="N983" s="28"/>
      <c r="P983" s="32"/>
      <c r="R983" s="34"/>
    </row>
    <row r="984" spans="1:18" ht="12.75" x14ac:dyDescent="0.2">
      <c r="A984" s="32"/>
      <c r="B984" s="32"/>
      <c r="F984" s="24"/>
      <c r="G984" s="24"/>
      <c r="H984" s="24"/>
      <c r="I984" s="24"/>
      <c r="J984" s="33"/>
      <c r="K984" s="33"/>
      <c r="L984" s="33"/>
      <c r="M984" s="24"/>
      <c r="N984" s="28"/>
      <c r="P984" s="32"/>
      <c r="R984" s="34"/>
    </row>
    <row r="985" spans="1:18" ht="12.75" x14ac:dyDescent="0.2">
      <c r="A985" s="32"/>
      <c r="B985" s="32"/>
      <c r="F985" s="24"/>
      <c r="G985" s="24"/>
      <c r="H985" s="24"/>
      <c r="I985" s="24"/>
      <c r="J985" s="33"/>
      <c r="K985" s="33"/>
      <c r="L985" s="33"/>
      <c r="M985" s="24"/>
      <c r="N985" s="28"/>
      <c r="P985" s="32"/>
      <c r="R985" s="34"/>
    </row>
    <row r="986" spans="1:18" ht="12.75" x14ac:dyDescent="0.2">
      <c r="A986" s="32"/>
      <c r="B986" s="32"/>
      <c r="F986" s="24"/>
      <c r="G986" s="24"/>
      <c r="H986" s="24"/>
      <c r="I986" s="24"/>
      <c r="J986" s="33"/>
      <c r="K986" s="33"/>
      <c r="L986" s="33"/>
      <c r="M986" s="24"/>
      <c r="N986" s="28"/>
      <c r="P986" s="32"/>
      <c r="R986" s="34"/>
    </row>
    <row r="987" spans="1:18" ht="12.75" x14ac:dyDescent="0.2">
      <c r="A987" s="32"/>
      <c r="B987" s="32"/>
      <c r="F987" s="24"/>
      <c r="G987" s="24"/>
      <c r="H987" s="24"/>
      <c r="I987" s="24"/>
      <c r="J987" s="33"/>
      <c r="K987" s="33"/>
      <c r="L987" s="33"/>
      <c r="M987" s="24"/>
      <c r="N987" s="28"/>
      <c r="P987" s="32"/>
      <c r="R987" s="34"/>
    </row>
    <row r="988" spans="1:18" ht="12.75" x14ac:dyDescent="0.2">
      <c r="A988" s="32"/>
      <c r="B988" s="32"/>
      <c r="F988" s="24"/>
      <c r="G988" s="24"/>
      <c r="H988" s="24"/>
      <c r="I988" s="24"/>
      <c r="J988" s="33"/>
      <c r="K988" s="33"/>
      <c r="L988" s="33"/>
      <c r="M988" s="24"/>
      <c r="N988" s="28"/>
      <c r="P988" s="32"/>
      <c r="R988" s="34"/>
    </row>
    <row r="989" spans="1:18" ht="12.75" x14ac:dyDescent="0.2">
      <c r="A989" s="32"/>
      <c r="B989" s="32"/>
      <c r="F989" s="24"/>
      <c r="G989" s="24"/>
      <c r="H989" s="24"/>
      <c r="I989" s="24"/>
      <c r="J989" s="33"/>
      <c r="K989" s="33"/>
      <c r="L989" s="33"/>
      <c r="M989" s="24"/>
      <c r="N989" s="28"/>
      <c r="P989" s="32"/>
      <c r="R989" s="34"/>
    </row>
    <row r="990" spans="1:18" ht="12.75" x14ac:dyDescent="0.2">
      <c r="A990" s="32"/>
      <c r="B990" s="32"/>
      <c r="F990" s="24"/>
      <c r="G990" s="24"/>
      <c r="H990" s="24"/>
      <c r="I990" s="24"/>
      <c r="J990" s="33"/>
      <c r="K990" s="33"/>
      <c r="L990" s="33"/>
      <c r="M990" s="24"/>
      <c r="N990" s="28"/>
      <c r="P990" s="32"/>
      <c r="R990" s="34"/>
    </row>
    <row r="991" spans="1:18" ht="12.75" x14ac:dyDescent="0.2">
      <c r="A991" s="32"/>
      <c r="B991" s="32"/>
      <c r="F991" s="24"/>
      <c r="G991" s="24"/>
      <c r="H991" s="24"/>
      <c r="I991" s="24"/>
      <c r="J991" s="33"/>
      <c r="K991" s="33"/>
      <c r="L991" s="33"/>
      <c r="M991" s="24"/>
      <c r="N991" s="28"/>
      <c r="P991" s="32"/>
      <c r="R991" s="34"/>
    </row>
    <row r="992" spans="1:18" ht="12.75" x14ac:dyDescent="0.2">
      <c r="A992" s="32"/>
      <c r="B992" s="32"/>
      <c r="F992" s="24"/>
      <c r="G992" s="24"/>
      <c r="H992" s="24"/>
      <c r="I992" s="24"/>
      <c r="J992" s="33"/>
      <c r="K992" s="33"/>
      <c r="L992" s="33"/>
      <c r="M992" s="24"/>
      <c r="N992" s="28"/>
      <c r="P992" s="32"/>
      <c r="R992" s="34"/>
    </row>
    <row r="993" spans="1:18" ht="12.75" x14ac:dyDescent="0.2">
      <c r="A993" s="32"/>
      <c r="B993" s="32"/>
      <c r="F993" s="24"/>
      <c r="G993" s="24"/>
      <c r="H993" s="24"/>
      <c r="I993" s="24"/>
      <c r="J993" s="33"/>
      <c r="K993" s="33"/>
      <c r="L993" s="33"/>
      <c r="M993" s="24"/>
      <c r="N993" s="28"/>
      <c r="P993" s="32"/>
      <c r="R993" s="34"/>
    </row>
    <row r="994" spans="1:18" ht="12.75" x14ac:dyDescent="0.2">
      <c r="A994" s="32"/>
      <c r="B994" s="32"/>
      <c r="F994" s="24"/>
      <c r="G994" s="24"/>
      <c r="H994" s="24"/>
      <c r="I994" s="24"/>
      <c r="J994" s="33"/>
      <c r="K994" s="33"/>
      <c r="L994" s="33"/>
      <c r="M994" s="24"/>
      <c r="N994" s="28"/>
      <c r="P994" s="32"/>
      <c r="R994" s="34"/>
    </row>
    <row r="995" spans="1:18" ht="12.75" x14ac:dyDescent="0.2">
      <c r="A995" s="32"/>
      <c r="B995" s="32"/>
      <c r="F995" s="24"/>
      <c r="G995" s="24"/>
      <c r="H995" s="24"/>
      <c r="I995" s="24"/>
      <c r="J995" s="33"/>
      <c r="K995" s="33"/>
      <c r="L995" s="33"/>
      <c r="M995" s="24"/>
      <c r="N995" s="28"/>
      <c r="P995" s="32"/>
      <c r="R995" s="34"/>
    </row>
    <row r="996" spans="1:18" ht="12.75" x14ac:dyDescent="0.2">
      <c r="A996" s="32"/>
      <c r="B996" s="32"/>
      <c r="F996" s="24"/>
      <c r="G996" s="24"/>
      <c r="H996" s="24"/>
      <c r="I996" s="24"/>
      <c r="J996" s="33"/>
      <c r="K996" s="33"/>
      <c r="L996" s="33"/>
      <c r="M996" s="24"/>
      <c r="N996" s="28"/>
      <c r="P996" s="32"/>
      <c r="R996" s="34"/>
    </row>
    <row r="997" spans="1:18" ht="12.75" x14ac:dyDescent="0.2">
      <c r="A997" s="32"/>
      <c r="B997" s="32"/>
      <c r="F997" s="24"/>
      <c r="G997" s="24"/>
      <c r="H997" s="24"/>
      <c r="I997" s="24"/>
      <c r="J997" s="33"/>
      <c r="K997" s="33"/>
      <c r="L997" s="33"/>
      <c r="M997" s="24"/>
      <c r="N997" s="28"/>
      <c r="P997" s="32"/>
      <c r="R997" s="34"/>
    </row>
    <row r="998" spans="1:18" ht="12.75" x14ac:dyDescent="0.2">
      <c r="A998" s="32"/>
      <c r="B998" s="32"/>
      <c r="F998" s="24"/>
      <c r="G998" s="24"/>
      <c r="H998" s="24"/>
      <c r="I998" s="24"/>
      <c r="J998" s="33"/>
      <c r="K998" s="33"/>
      <c r="L998" s="33"/>
      <c r="M998" s="24"/>
      <c r="N998" s="28"/>
      <c r="P998" s="32"/>
      <c r="R998" s="34"/>
    </row>
    <row r="999" spans="1:18" ht="12.75" x14ac:dyDescent="0.2">
      <c r="A999" s="32"/>
      <c r="B999" s="32"/>
      <c r="F999" s="24"/>
      <c r="G999" s="24"/>
      <c r="H999" s="24"/>
      <c r="I999" s="24"/>
      <c r="J999" s="33"/>
      <c r="K999" s="33"/>
      <c r="L999" s="33"/>
      <c r="M999" s="24"/>
      <c r="N999" s="28"/>
      <c r="P999" s="32"/>
      <c r="R999" s="34"/>
    </row>
    <row r="1000" spans="1:18" ht="12.75" x14ac:dyDescent="0.2">
      <c r="A1000" s="32"/>
      <c r="B1000" s="32"/>
      <c r="F1000" s="24"/>
      <c r="G1000" s="24"/>
      <c r="H1000" s="24"/>
      <c r="I1000" s="24"/>
      <c r="J1000" s="33"/>
      <c r="K1000" s="33"/>
      <c r="L1000" s="33"/>
      <c r="M1000" s="24"/>
      <c r="N1000" s="28"/>
      <c r="P1000" s="32"/>
      <c r="R1000" s="34"/>
    </row>
  </sheetData>
  <conditionalFormatting sqref="N3:N152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17" ht="15.75" customHeight="1" x14ac:dyDescent="0.2">
      <c r="A1" s="8" t="s">
        <v>208</v>
      </c>
      <c r="B1" s="8" t="s">
        <v>537</v>
      </c>
      <c r="C1" s="8" t="s">
        <v>536</v>
      </c>
      <c r="D1" s="1" t="s">
        <v>540</v>
      </c>
      <c r="E1" s="1" t="s">
        <v>541</v>
      </c>
      <c r="F1" s="8" t="s">
        <v>542</v>
      </c>
      <c r="G1" s="1" t="s">
        <v>543</v>
      </c>
      <c r="H1" s="1" t="s">
        <v>544</v>
      </c>
      <c r="I1" s="1" t="s">
        <v>545</v>
      </c>
      <c r="J1" s="1" t="s">
        <v>546</v>
      </c>
      <c r="K1" s="1" t="s">
        <v>547</v>
      </c>
      <c r="L1" s="1" t="s">
        <v>548</v>
      </c>
      <c r="M1" s="1" t="s">
        <v>549</v>
      </c>
      <c r="N1" s="1"/>
      <c r="O1" s="1"/>
      <c r="P1" s="1" t="s">
        <v>550</v>
      </c>
      <c r="Q1" s="1" t="s">
        <v>551</v>
      </c>
    </row>
    <row r="2" spans="1:17" ht="15.75" customHeight="1" x14ac:dyDescent="0.2">
      <c r="A2" s="1" t="s">
        <v>552</v>
      </c>
      <c r="B2" s="41">
        <v>287</v>
      </c>
      <c r="C2" s="41">
        <v>42</v>
      </c>
      <c r="D2" s="41">
        <v>9.09</v>
      </c>
      <c r="E2" s="41">
        <v>0.79</v>
      </c>
      <c r="F2" s="41">
        <v>1000</v>
      </c>
      <c r="G2" t="str">
        <f ca="1">IFERROR(__xludf.DUMMYFUNCTION("ROUND(B2/ FILTER('Pokemon CP/HP'!$M$2:$M1000, LOWER('Pokemon CP/HP'!$B$2:$B1000)=LOWER(A2)))"),"21")</f>
        <v>21</v>
      </c>
      <c r="H2" t="str">
        <f ca="1">IFERROR(__xludf.DUMMYFUNCTION("FILTER('Leveling Info'!$B$2:$B1000, 'Leveling Info'!$A$2:$A1000 =G2)"),"1300")</f>
        <v>1300</v>
      </c>
      <c r="I2" s="29">
        <f t="shared" ref="I2:I943" ca="1" si="0">SQRT(G2)</f>
        <v>4.5825756949558398</v>
      </c>
      <c r="J2" s="29" t="str">
        <f ca="1">IFERROR(__xludf.DUMMYFUNCTION("IF(F2 = H2,C2/FILTER('Base Stats'!$C$2:$C1000, LOWER('Base Stats'!$B$2:$B1000) = LOWER($A2)), """")"),"")</f>
        <v/>
      </c>
      <c r="K2" t="str">
        <f t="shared" ref="K2:K943" ca="1" si="1">IF(F2 = H2, C2/G2, "")</f>
        <v/>
      </c>
      <c r="L2" t="str">
        <f ca="1">IFERROR(__xludf.DUMMYFUNCTION("IF(AND(NOT(K2 = """"), G2 &gt;= 15),K2/FILTER('Base Stats'!$C$2:$C1000, LOWER('Base Stats'!$B$2:$B1000) = LOWER($A2)), """")"),"")</f>
        <v/>
      </c>
      <c r="M2" t="str">
        <f ca="1">IFERROR(__xludf.DUMMYFUNCTION("1.15 + 0.02 * FILTER('Base Stats'!$C$2:$C1000, LOWER('Base Stats'!$B$2:$B1000) = LOWER($A2))"),"2.05")</f>
        <v>2.05</v>
      </c>
      <c r="N2" t="s">
        <v>527</v>
      </c>
      <c r="P2" t="s">
        <v>713</v>
      </c>
      <c r="Q2" s="1">
        <v>4.4990000000000002E-2</v>
      </c>
    </row>
    <row r="3" spans="1:17" ht="15.75" customHeight="1" x14ac:dyDescent="0.2">
      <c r="A3" s="1" t="s">
        <v>552</v>
      </c>
      <c r="B3" s="43">
        <v>284</v>
      </c>
      <c r="C3" s="43">
        <v>43</v>
      </c>
      <c r="D3" s="43">
        <v>5.34</v>
      </c>
      <c r="E3" s="43">
        <v>0.57999999999999996</v>
      </c>
      <c r="F3" s="43">
        <v>1300</v>
      </c>
      <c r="G3" t="str">
        <f ca="1">IFERROR(__xludf.DUMMYFUNCTION("ROUND(B3/ FILTER('Pokemon CP/HP'!$M$2:$M1000, LOWER('Pokemon CP/HP'!$B$2:$B1000)=LOWER(A3)))"),"21")</f>
        <v>21</v>
      </c>
      <c r="H3" t="str">
        <f ca="1">IFERROR(__xludf.DUMMYFUNCTION("FILTER('Leveling Info'!$B$2:$B1000, 'Leveling Info'!$A$2:$A1000 =G3)"),"1300")</f>
        <v>1300</v>
      </c>
      <c r="I3" s="29">
        <f t="shared" ca="1" si="0"/>
        <v>4.5825756949558398</v>
      </c>
      <c r="J3" s="29" t="str">
        <f ca="1">IFERROR(__xludf.DUMMYFUNCTION("IF(F3 = H3,C3/FILTER('Base Stats'!$C$2:$C1000, LOWER('Base Stats'!$B$2:$B1000) = LOWER($A3)), """")"),"0.9555555556")</f>
        <v>0.9555555556</v>
      </c>
      <c r="K3" t="str">
        <f t="shared" ca="1" si="1"/>
        <v/>
      </c>
      <c r="L3" t="str">
        <f ca="1">IFERROR(__xludf.DUMMYFUNCTION("IF(AND(NOT(K3 = """"), G3 &gt;= 15),K3/FILTER('Base Stats'!$C$2:$C1000, LOWER('Base Stats'!$B$2:$B1000) = LOWER($A3)), """")"),"0.0455026455")</f>
        <v>0.0455026455</v>
      </c>
      <c r="M3" t="str">
        <f ca="1">IFERROR(__xludf.DUMMYFUNCTION("1.15 + 0.02 * FILTER('Base Stats'!$C$2:$C1000, LOWER('Base Stats'!$B$2:$B1000) = LOWER($A3))"),"2.05")</f>
        <v>2.05</v>
      </c>
      <c r="N3">
        <v>0.99883855980000003</v>
      </c>
    </row>
    <row r="4" spans="1:17" ht="15.75" customHeight="1" x14ac:dyDescent="0.2">
      <c r="A4" s="1" t="s">
        <v>552</v>
      </c>
      <c r="B4" s="43">
        <v>139</v>
      </c>
      <c r="C4" s="43">
        <v>29</v>
      </c>
      <c r="D4" s="43">
        <v>9.5</v>
      </c>
      <c r="E4" s="43">
        <v>0.82</v>
      </c>
      <c r="F4" s="43">
        <v>600</v>
      </c>
      <c r="G4" t="str">
        <f ca="1">IFERROR(__xludf.DUMMYFUNCTION("ROUND(B4/ FILTER('Pokemon CP/HP'!$M$2:$M1000, LOWER('Pokemon CP/HP'!$B$2:$B1000)=LOWER(A4)))"),"10")</f>
        <v>10</v>
      </c>
      <c r="H4" t="str">
        <f ca="1">IFERROR(__xludf.DUMMYFUNCTION("FILTER('Leveling Info'!$B$2:$B1000, 'Leveling Info'!$A$2:$A1000 =G4)"),"600")</f>
        <v>600</v>
      </c>
      <c r="I4" s="29">
        <f t="shared" ca="1" si="0"/>
        <v>3.1622776601683795</v>
      </c>
      <c r="J4" s="29" t="str">
        <f ca="1">IFERROR(__xludf.DUMMYFUNCTION("IF(F4 = H4,C4/FILTER('Base Stats'!$C$2:$C1000, LOWER('Base Stats'!$B$2:$B1000) = LOWER($A4)), """")"),"0.6444444444")</f>
        <v>0.6444444444</v>
      </c>
      <c r="K4" t="str">
        <f t="shared" ca="1" si="1"/>
        <v/>
      </c>
      <c r="L4" t="str">
        <f ca="1">IFERROR(__xludf.DUMMYFUNCTION("IF(AND(NOT(K4 = """"), G4 &gt;= 15),K4/FILTER('Base Stats'!$C$2:$C1000, LOWER('Base Stats'!$B$2:$B1000) = LOWER($A4)), """")"),"")</f>
        <v/>
      </c>
      <c r="M4" t="str">
        <f ca="1">IFERROR(__xludf.DUMMYFUNCTION("1.15 + 0.02 * FILTER('Base Stats'!$C$2:$C1000, LOWER('Base Stats'!$B$2:$B1000) = LOWER($A4))"),"2.05")</f>
        <v>2.05</v>
      </c>
      <c r="N4" t="s">
        <v>527</v>
      </c>
    </row>
    <row r="5" spans="1:17" ht="15.75" customHeight="1" x14ac:dyDescent="0.2">
      <c r="A5" s="1" t="s">
        <v>553</v>
      </c>
      <c r="B5" s="1">
        <v>38</v>
      </c>
      <c r="C5" s="1">
        <v>14</v>
      </c>
      <c r="D5" s="1">
        <v>14.31</v>
      </c>
      <c r="E5" s="1">
        <v>0.76</v>
      </c>
      <c r="F5" s="1">
        <v>200</v>
      </c>
      <c r="G5" t="str">
        <f ca="1">IFERROR(__xludf.DUMMYFUNCTION("ROUND(B5/ FILTER('Pokemon CP/HP'!$M$2:$M1000, LOWER('Pokemon CP/HP'!$B$2:$B1000)=LOWER(A5)))"),"3")</f>
        <v>3</v>
      </c>
      <c r="H5" t="str">
        <f ca="1">IFERROR(__xludf.DUMMYFUNCTION("FILTER('Leveling Info'!$B$2:$B1000, 'Leveling Info'!$A$2:$A1000 =G5)"),"200")</f>
        <v>200</v>
      </c>
      <c r="I5" s="29">
        <f t="shared" ca="1" si="0"/>
        <v>1.7320508075688772</v>
      </c>
      <c r="J5" s="29" t="str">
        <f ca="1">IFERROR(__xludf.DUMMYFUNCTION("IF(F5 = H5,C5/FILTER('Base Stats'!$C$2:$C1000, LOWER('Base Stats'!$B$2:$B1000) = LOWER($A5)), """")"),"0.358974359")</f>
        <v>0.358974359</v>
      </c>
      <c r="K5" t="str">
        <f t="shared" ca="1" si="1"/>
        <v/>
      </c>
      <c r="L5" t="str">
        <f ca="1">IFERROR(__xludf.DUMMYFUNCTION("IF(AND(NOT(K5 = """"), G5 &gt;= 15),K5/FILTER('Base Stats'!$C$2:$C1000, LOWER('Base Stats'!$B$2:$B1000) = LOWER($A5)), """")"),"")</f>
        <v/>
      </c>
      <c r="M5" t="str">
        <f ca="1">IFERROR(__xludf.DUMMYFUNCTION("1.15 + 0.02 * FILTER('Base Stats'!$C$2:$C1000, LOWER('Base Stats'!$B$2:$B1000) = LOWER($A5))"),"1.93")</f>
        <v>1.93</v>
      </c>
      <c r="N5" t="s">
        <v>527</v>
      </c>
    </row>
    <row r="6" spans="1:17" ht="15.75" customHeight="1" x14ac:dyDescent="0.2">
      <c r="A6" s="1" t="s">
        <v>553</v>
      </c>
      <c r="B6" s="1">
        <v>25</v>
      </c>
      <c r="C6" s="1">
        <v>11</v>
      </c>
      <c r="D6" s="1">
        <v>14.31</v>
      </c>
      <c r="E6" s="1">
        <v>0.76</v>
      </c>
      <c r="F6" s="1">
        <v>200</v>
      </c>
      <c r="G6" t="str">
        <f ca="1">IFERROR(__xludf.DUMMYFUNCTION("ROUND(B6/ FILTER('Pokemon CP/HP'!$M$2:$M1000, LOWER('Pokemon CP/HP'!$B$2:$B1000)=LOWER(A6)))"),"2")</f>
        <v>2</v>
      </c>
      <c r="H6" t="str">
        <f ca="1">IFERROR(__xludf.DUMMYFUNCTION("FILTER('Leveling Info'!$B$2:$B1000, 'Leveling Info'!$A$2:$A1000 =G6)"),"200")</f>
        <v>200</v>
      </c>
      <c r="I6" s="29">
        <f t="shared" ca="1" si="0"/>
        <v>1.4142135623730951</v>
      </c>
      <c r="J6" s="29" t="str">
        <f ca="1">IFERROR(__xludf.DUMMYFUNCTION("IF(F6 = H6,C6/FILTER('Base Stats'!$C$2:$C1000, LOWER('Base Stats'!$B$2:$B1000) = LOWER($A6)), """")"),"0.2820512821")</f>
        <v>0.2820512821</v>
      </c>
      <c r="K6" t="str">
        <f t="shared" ca="1" si="1"/>
        <v/>
      </c>
      <c r="L6" t="str">
        <f ca="1">IFERROR(__xludf.DUMMYFUNCTION("IF(AND(NOT(K6 = """"), G6 &gt;= 15),K6/FILTER('Base Stats'!$C$2:$C1000, LOWER('Base Stats'!$B$2:$B1000) = LOWER($A6)), """")"),"")</f>
        <v/>
      </c>
      <c r="M6" t="str">
        <f ca="1">IFERROR(__xludf.DUMMYFUNCTION("1.15 + 0.02 * FILTER('Base Stats'!$C$2:$C1000, LOWER('Base Stats'!$B$2:$B1000) = LOWER($A6))"),"1.93")</f>
        <v>1.93</v>
      </c>
      <c r="N6" t="s">
        <v>527</v>
      </c>
    </row>
    <row r="7" spans="1:17" ht="15.75" customHeight="1" x14ac:dyDescent="0.2">
      <c r="A7" s="1" t="s">
        <v>553</v>
      </c>
      <c r="B7" s="1">
        <v>12</v>
      </c>
      <c r="C7" s="1">
        <v>10</v>
      </c>
      <c r="D7" s="1">
        <v>14.31</v>
      </c>
      <c r="E7" s="1">
        <v>0.76</v>
      </c>
      <c r="F7" s="1">
        <v>200</v>
      </c>
      <c r="G7" t="str">
        <f ca="1">IFERROR(__xludf.DUMMYFUNCTION("ROUND(B7/ FILTER('Pokemon CP/HP'!$M$2:$M1000, LOWER('Pokemon CP/HP'!$B$2:$B1000)=LOWER(A7)))"),"1")</f>
        <v>1</v>
      </c>
      <c r="H7" t="str">
        <f ca="1">IFERROR(__xludf.DUMMYFUNCTION("FILTER('Leveling Info'!$B$2:$B1000, 'Leveling Info'!$A$2:$A1000 =G7)"),"200")</f>
        <v>200</v>
      </c>
      <c r="I7" s="29">
        <f t="shared" ca="1" si="0"/>
        <v>1</v>
      </c>
      <c r="J7" s="29" t="str">
        <f ca="1">IFERROR(__xludf.DUMMYFUNCTION("IF(F7 = H7,C7/FILTER('Base Stats'!$C$2:$C1000, LOWER('Base Stats'!$B$2:$B1000) = LOWER($A7)), """")"),"0.2564102564")</f>
        <v>0.2564102564</v>
      </c>
      <c r="K7" t="str">
        <f t="shared" ca="1" si="1"/>
        <v/>
      </c>
      <c r="L7" t="str">
        <f ca="1">IFERROR(__xludf.DUMMYFUNCTION("IF(AND(NOT(K7 = """"), G7 &gt;= 15),K7/FILTER('Base Stats'!$C$2:$C1000, LOWER('Base Stats'!$B$2:$B1000) = LOWER($A7)), """")"),"")</f>
        <v/>
      </c>
      <c r="M7" t="str">
        <f ca="1">IFERROR(__xludf.DUMMYFUNCTION("1.15 + 0.02 * FILTER('Base Stats'!$C$2:$C1000, LOWER('Base Stats'!$B$2:$B1000) = LOWER($A7))"),"1.93")</f>
        <v>1.93</v>
      </c>
      <c r="N7" t="s">
        <v>527</v>
      </c>
    </row>
    <row r="8" spans="1:17" ht="15.75" customHeight="1" x14ac:dyDescent="0.2">
      <c r="A8" t="s">
        <v>556</v>
      </c>
      <c r="B8">
        <v>138</v>
      </c>
      <c r="C8">
        <v>31</v>
      </c>
      <c r="D8">
        <v>12.28</v>
      </c>
      <c r="E8">
        <v>0.55000000000000004</v>
      </c>
      <c r="F8">
        <v>600</v>
      </c>
      <c r="G8" t="str">
        <f ca="1">IFERROR(__xludf.DUMMYFUNCTION("ROUND(B8/ FILTER('Pokemon CP/HP'!$M$2:$M1000, LOWER('Pokemon CP/HP'!$B$2:$B1000)=LOWER(A8)))"),"11")</f>
        <v>11</v>
      </c>
      <c r="H8" t="str">
        <f ca="1">IFERROR(__xludf.DUMMYFUNCTION("FILTER('Leveling Info'!$B$2:$B1000, 'Leveling Info'!$A$2:$A1000 =G8)"),"600")</f>
        <v>600</v>
      </c>
      <c r="I8" s="29">
        <f t="shared" ca="1" si="0"/>
        <v>3.3166247903553998</v>
      </c>
      <c r="J8" s="29" t="str">
        <f ca="1">IFERROR(__xludf.DUMMYFUNCTION("IF(F8 = H8,C8/FILTER('Base Stats'!$C$2:$C1000, LOWER('Base Stats'!$B$2:$B1000) = LOWER($A8)), """")"),"0.7045454545")</f>
        <v>0.7045454545</v>
      </c>
      <c r="K8" t="str">
        <f t="shared" ca="1" si="1"/>
        <v/>
      </c>
      <c r="L8" t="str">
        <f ca="1">IFERROR(__xludf.DUMMYFUNCTION("IF(AND(NOT(K8 = """"), G8 &gt;= 15),K8/FILTER('Base Stats'!$C$2:$C1000, LOWER('Base Stats'!$B$2:$B1000) = LOWER($A8)), """")"),"")</f>
        <v/>
      </c>
      <c r="M8" t="str">
        <f ca="1">IFERROR(__xludf.DUMMYFUNCTION("1.15 + 0.02 * FILTER('Base Stats'!$C$2:$C1000, LOWER('Base Stats'!$B$2:$B1000) = LOWER($A8))"),"2.03")</f>
        <v>2.03</v>
      </c>
      <c r="N8" t="s">
        <v>527</v>
      </c>
    </row>
    <row r="9" spans="1:17" ht="15.75" customHeight="1" x14ac:dyDescent="0.2">
      <c r="A9" t="s">
        <v>556</v>
      </c>
      <c r="B9">
        <v>135</v>
      </c>
      <c r="C9">
        <v>30</v>
      </c>
      <c r="D9">
        <v>9.36</v>
      </c>
      <c r="E9">
        <v>0.52</v>
      </c>
      <c r="F9">
        <v>600</v>
      </c>
      <c r="G9" t="str">
        <f ca="1">IFERROR(__xludf.DUMMYFUNCTION("ROUND(B9/ FILTER('Pokemon CP/HP'!$M$2:$M1000, LOWER('Pokemon CP/HP'!$B$2:$B1000)=LOWER(A9)))"),"10")</f>
        <v>10</v>
      </c>
      <c r="H9" t="str">
        <f ca="1">IFERROR(__xludf.DUMMYFUNCTION("FILTER('Leveling Info'!$B$2:$B1000, 'Leveling Info'!$A$2:$A1000 =G9)"),"600")</f>
        <v>600</v>
      </c>
      <c r="I9" s="29">
        <f t="shared" ca="1" si="0"/>
        <v>3.1622776601683795</v>
      </c>
      <c r="J9" s="29" t="str">
        <f ca="1">IFERROR(__xludf.DUMMYFUNCTION("IF(F9 = H9,C9/FILTER('Base Stats'!$C$2:$C1000, LOWER('Base Stats'!$B$2:$B1000) = LOWER($A9)), """")"),"0.6818181818")</f>
        <v>0.6818181818</v>
      </c>
      <c r="K9" t="str">
        <f t="shared" ca="1" si="1"/>
        <v/>
      </c>
      <c r="L9" t="str">
        <f ca="1">IFERROR(__xludf.DUMMYFUNCTION("IF(AND(NOT(K9 = """"), G9 &gt;= 15),K9/FILTER('Base Stats'!$C$2:$C1000, LOWER('Base Stats'!$B$2:$B1000) = LOWER($A9)), """")"),"")</f>
        <v/>
      </c>
      <c r="M9" t="str">
        <f ca="1">IFERROR(__xludf.DUMMYFUNCTION("1.15 + 0.02 * FILTER('Base Stats'!$C$2:$C1000, LOWER('Base Stats'!$B$2:$B1000) = LOWER($A9))"),"2.03")</f>
        <v>2.03</v>
      </c>
      <c r="N9" t="s">
        <v>527</v>
      </c>
    </row>
    <row r="10" spans="1:17" ht="15.75" customHeight="1" x14ac:dyDescent="0.2">
      <c r="A10" t="s">
        <v>556</v>
      </c>
      <c r="B10">
        <v>105</v>
      </c>
      <c r="C10">
        <v>25</v>
      </c>
      <c r="D10">
        <v>9.92</v>
      </c>
      <c r="E10">
        <v>0.49</v>
      </c>
      <c r="F10">
        <v>600</v>
      </c>
      <c r="G10" t="str">
        <f ca="1">IFERROR(__xludf.DUMMYFUNCTION("ROUND(B10/ FILTER('Pokemon CP/HP'!$M$2:$M1000, LOWER('Pokemon CP/HP'!$B$2:$B1000)=LOWER(A10)))"),"8")</f>
        <v>8</v>
      </c>
      <c r="H10" t="str">
        <f ca="1">IFERROR(__xludf.DUMMYFUNCTION("FILTER('Leveling Info'!$B$2:$B1000, 'Leveling Info'!$A$2:$A1000 =G10)"),"400")</f>
        <v>400</v>
      </c>
      <c r="I10" s="29">
        <f t="shared" ca="1" si="0"/>
        <v>2.8284271247461903</v>
      </c>
      <c r="J10" s="29" t="str">
        <f ca="1">IFERROR(__xludf.DUMMYFUNCTION("IF(F10 = H10,C10/FILTER('Base Stats'!$C$2:$C1000, LOWER('Base Stats'!$B$2:$B1000) = LOWER($A10)), """")"),"")</f>
        <v/>
      </c>
      <c r="K10" t="str">
        <f t="shared" ca="1" si="1"/>
        <v/>
      </c>
      <c r="L10" t="str">
        <f ca="1">IFERROR(__xludf.DUMMYFUNCTION("IF(AND(NOT(K10 = """"), G10 &gt;= 15),K10/FILTER('Base Stats'!$C$2:$C1000, LOWER('Base Stats'!$B$2:$B1000) = LOWER($A10)), """")"),"")</f>
        <v/>
      </c>
      <c r="M10" t="str">
        <f ca="1">IFERROR(__xludf.DUMMYFUNCTION("1.15 + 0.02 * FILTER('Base Stats'!$C$2:$C1000, LOWER('Base Stats'!$B$2:$B1000) = LOWER($A10))"),"2.03")</f>
        <v>2.03</v>
      </c>
      <c r="N10" t="s">
        <v>527</v>
      </c>
    </row>
    <row r="11" spans="1:17" ht="15.75" customHeight="1" x14ac:dyDescent="0.2">
      <c r="A11" s="1" t="s">
        <v>557</v>
      </c>
      <c r="B11" s="1">
        <v>110</v>
      </c>
      <c r="C11" s="1">
        <v>46</v>
      </c>
      <c r="D11" s="1">
        <v>3.46</v>
      </c>
      <c r="E11" s="1">
        <v>0.31</v>
      </c>
      <c r="F11" s="1">
        <v>1300</v>
      </c>
      <c r="G11" t="str">
        <f ca="1">IFERROR(__xludf.DUMMYFUNCTION("ROUND(B11/ FILTER('Pokemon CP/HP'!$M$2:$M1000, LOWER('Pokemon CP/HP'!$B$2:$B1000)=LOWER(A11)))"),"22")</f>
        <v>22</v>
      </c>
      <c r="H11" t="str">
        <f ca="1">IFERROR(__xludf.DUMMYFUNCTION("FILTER('Leveling Info'!$B$2:$B1000, 'Leveling Info'!$A$2:$A1000 =G11)"),"1300")</f>
        <v>1300</v>
      </c>
      <c r="I11" s="29">
        <f t="shared" ca="1" si="0"/>
        <v>4.6904157598234297</v>
      </c>
      <c r="J11" s="29" t="str">
        <f ca="1">IFERROR(__xludf.DUMMYFUNCTION("IF(F11 = H11,C11/FILTER('Base Stats'!$C$2:$C1000, LOWER('Base Stats'!$B$2:$B1000) = LOWER($A11)), """")"),"1.022222222")</f>
        <v>1.022222222</v>
      </c>
      <c r="K11" t="str">
        <f t="shared" ca="1" si="1"/>
        <v/>
      </c>
      <c r="L11" t="str">
        <f ca="1">IFERROR(__xludf.DUMMYFUNCTION("IF(AND(NOT(K11 = """"), G11 &gt;= 15),K11/FILTER('Base Stats'!$C$2:$C1000, LOWER('Base Stats'!$B$2:$B1000) = LOWER($A11)), """")"),"0.04646464646")</f>
        <v>0.04646464646</v>
      </c>
      <c r="M11" t="str">
        <f ca="1">IFERROR(__xludf.DUMMYFUNCTION("1.15 + 0.02 * FILTER('Base Stats'!$C$2:$C1000, LOWER('Base Stats'!$B$2:$B1000) = LOWER($A11))"),"2.05")</f>
        <v>2.05</v>
      </c>
      <c r="N11">
        <v>1.0199556540000001</v>
      </c>
    </row>
    <row r="12" spans="1:17" ht="15.75" customHeight="1" x14ac:dyDescent="0.2">
      <c r="A12" s="1" t="s">
        <v>557</v>
      </c>
      <c r="B12" s="1">
        <v>106</v>
      </c>
      <c r="C12" s="1">
        <v>44</v>
      </c>
      <c r="D12" s="1">
        <v>4.53</v>
      </c>
      <c r="E12" s="1">
        <v>0.38</v>
      </c>
      <c r="F12" s="1">
        <v>1300</v>
      </c>
      <c r="G12" t="str">
        <f ca="1">IFERROR(__xludf.DUMMYFUNCTION("ROUND(B12/ FILTER('Pokemon CP/HP'!$M$2:$M1000, LOWER('Pokemon CP/HP'!$B$2:$B1000)=LOWER(A12)))"),"21")</f>
        <v>21</v>
      </c>
      <c r="H12" t="str">
        <f ca="1">IFERROR(__xludf.DUMMYFUNCTION("FILTER('Leveling Info'!$B$2:$B1000, 'Leveling Info'!$A$2:$A1000 =G12)"),"1300")</f>
        <v>1300</v>
      </c>
      <c r="I12" s="29">
        <f t="shared" ca="1" si="0"/>
        <v>4.5825756949558398</v>
      </c>
      <c r="J12" s="29" t="str">
        <f ca="1">IFERROR(__xludf.DUMMYFUNCTION("IF(F12 = H12,C12/FILTER('Base Stats'!$C$2:$C1000, LOWER('Base Stats'!$B$2:$B1000) = LOWER($A12)), """")"),"0.9777777778")</f>
        <v>0.9777777778</v>
      </c>
      <c r="K12" t="str">
        <f t="shared" ca="1" si="1"/>
        <v/>
      </c>
      <c r="L12" t="str">
        <f ca="1">IFERROR(__xludf.DUMMYFUNCTION("IF(AND(NOT(K12 = """"), G12 &gt;= 15),K12/FILTER('Base Stats'!$C$2:$C1000, LOWER('Base Stats'!$B$2:$B1000) = LOWER($A12)), """")"),"0.04656084656")</f>
        <v>0.04656084656</v>
      </c>
      <c r="M12" t="str">
        <f ca="1">IFERROR(__xludf.DUMMYFUNCTION("1.15 + 0.02 * FILTER('Base Stats'!$C$2:$C1000, LOWER('Base Stats'!$B$2:$B1000) = LOWER($A12))"),"2.05")</f>
        <v>2.05</v>
      </c>
      <c r="N12">
        <v>1.022067364</v>
      </c>
    </row>
    <row r="13" spans="1:17" ht="15.75" customHeight="1" x14ac:dyDescent="0.2">
      <c r="A13" s="1" t="s">
        <v>557</v>
      </c>
      <c r="B13" s="1">
        <v>100</v>
      </c>
      <c r="C13" s="1">
        <v>43</v>
      </c>
      <c r="D13" s="1">
        <v>2.56</v>
      </c>
      <c r="E13" s="1">
        <v>0.3</v>
      </c>
      <c r="F13" s="1">
        <v>1000</v>
      </c>
      <c r="G13" t="str">
        <f ca="1">IFERROR(__xludf.DUMMYFUNCTION("ROUND(B13/ FILTER('Pokemon CP/HP'!$M$2:$M1000, LOWER('Pokemon CP/HP'!$B$2:$B1000)=LOWER(A13)))"),"20")</f>
        <v>20</v>
      </c>
      <c r="H13" t="str">
        <f ca="1">IFERROR(__xludf.DUMMYFUNCTION("FILTER('Leveling Info'!$B$2:$B1000, 'Leveling Info'!$A$2:$A1000 =G13)"),"1000")</f>
        <v>1000</v>
      </c>
      <c r="I13" s="29">
        <f t="shared" ca="1" si="0"/>
        <v>4.4721359549995796</v>
      </c>
      <c r="J13" s="29" t="str">
        <f ca="1">IFERROR(__xludf.DUMMYFUNCTION("IF(F13 = H13,C13/FILTER('Base Stats'!$C$2:$C1000, LOWER('Base Stats'!$B$2:$B1000) = LOWER($A13)), """")"),"0.9555555556")</f>
        <v>0.9555555556</v>
      </c>
      <c r="K13" t="str">
        <f t="shared" ca="1" si="1"/>
        <v/>
      </c>
      <c r="L13" t="str">
        <f ca="1">IFERROR(__xludf.DUMMYFUNCTION("IF(AND(NOT(K13 = """"), G13 &gt;= 15),K13/FILTER('Base Stats'!$C$2:$C1000, LOWER('Base Stats'!$B$2:$B1000) = LOWER($A13)), """")"),"0.04777777778")</f>
        <v>0.04777777778</v>
      </c>
      <c r="M13" t="str">
        <f ca="1">IFERROR(__xludf.DUMMYFUNCTION("1.15 + 0.02 * FILTER('Base Stats'!$C$2:$C1000, LOWER('Base Stats'!$B$2:$B1000) = LOWER($A13))"),"2.05")</f>
        <v>2.05</v>
      </c>
      <c r="N13">
        <v>1.048780488</v>
      </c>
    </row>
    <row r="14" spans="1:17" ht="15.75" customHeight="1" x14ac:dyDescent="0.2">
      <c r="A14" s="1" t="s">
        <v>557</v>
      </c>
      <c r="B14" s="1">
        <v>96</v>
      </c>
      <c r="C14" s="1">
        <v>41</v>
      </c>
      <c r="D14" s="1">
        <v>3.38</v>
      </c>
      <c r="E14" s="1">
        <v>0.33</v>
      </c>
      <c r="F14" s="1">
        <v>1300</v>
      </c>
      <c r="G14" t="str">
        <f ca="1">IFERROR(__xludf.DUMMYFUNCTION("ROUND(B14/ FILTER('Pokemon CP/HP'!$M$2:$M1000, LOWER('Pokemon CP/HP'!$B$2:$B1000)=LOWER(A14)))"),"19")</f>
        <v>19</v>
      </c>
      <c r="H14" t="str">
        <f ca="1">IFERROR(__xludf.DUMMYFUNCTION("FILTER('Leveling Info'!$B$2:$B1000, 'Leveling Info'!$A$2:$A1000 =G14)"),"1000")</f>
        <v>1000</v>
      </c>
      <c r="I14" s="29">
        <f t="shared" ca="1" si="0"/>
        <v>4.358898943540674</v>
      </c>
      <c r="J14" s="29" t="str">
        <f ca="1">IFERROR(__xludf.DUMMYFUNCTION("IF(F14 = H14,C14/FILTER('Base Stats'!$C$2:$C1000, LOWER('Base Stats'!$B$2:$B1000) = LOWER($A14)), """")"),"")</f>
        <v/>
      </c>
      <c r="K14" t="str">
        <f t="shared" ca="1" si="1"/>
        <v/>
      </c>
      <c r="L14" t="str">
        <f ca="1">IFERROR(__xludf.DUMMYFUNCTION("IF(AND(NOT(K14 = """"), G14 &gt;= 15),K14/FILTER('Base Stats'!$C$2:$C1000, LOWER('Base Stats'!$B$2:$B1000) = LOWER($A14)), """")"),"")</f>
        <v/>
      </c>
      <c r="M14" t="str">
        <f ca="1">IFERROR(__xludf.DUMMYFUNCTION("1.15 + 0.02 * FILTER('Base Stats'!$C$2:$C1000, LOWER('Base Stats'!$B$2:$B1000) = LOWER($A14))"),"2.05")</f>
        <v>2.05</v>
      </c>
      <c r="N14" t="s">
        <v>527</v>
      </c>
    </row>
    <row r="15" spans="1:17" ht="15.75" customHeight="1" x14ac:dyDescent="0.2">
      <c r="A15" s="1" t="s">
        <v>557</v>
      </c>
      <c r="B15" s="1">
        <v>91</v>
      </c>
      <c r="C15" s="1">
        <v>40</v>
      </c>
      <c r="D15" s="1">
        <v>4.3</v>
      </c>
      <c r="E15" s="1">
        <v>0.34</v>
      </c>
      <c r="F15" s="1">
        <v>1000</v>
      </c>
      <c r="G15" t="str">
        <f ca="1">IFERROR(__xludf.DUMMYFUNCTION("ROUND(B15/ FILTER('Pokemon CP/HP'!$M$2:$M1000, LOWER('Pokemon CP/HP'!$B$2:$B1000)=LOWER(A15)))"),"18")</f>
        <v>18</v>
      </c>
      <c r="H15" t="str">
        <f ca="1">IFERROR(__xludf.DUMMYFUNCTION("FILTER('Leveling Info'!$B$2:$B1000, 'Leveling Info'!$A$2:$A1000 =G15)"),"1000")</f>
        <v>1000</v>
      </c>
      <c r="I15" s="29">
        <f t="shared" ca="1" si="0"/>
        <v>4.2426406871192848</v>
      </c>
      <c r="J15" s="29" t="str">
        <f ca="1">IFERROR(__xludf.DUMMYFUNCTION("IF(F15 = H15,C15/FILTER('Base Stats'!$C$2:$C1000, LOWER('Base Stats'!$B$2:$B1000) = LOWER($A15)), """")"),"0.8888888889")</f>
        <v>0.8888888889</v>
      </c>
      <c r="K15" t="str">
        <f t="shared" ca="1" si="1"/>
        <v/>
      </c>
      <c r="L15" t="str">
        <f ca="1">IFERROR(__xludf.DUMMYFUNCTION("IF(AND(NOT(K15 = """"), G15 &gt;= 15),K15/FILTER('Base Stats'!$C$2:$C1000, LOWER('Base Stats'!$B$2:$B1000) = LOWER($A15)), """")"),"0.04938271605")</f>
        <v>0.04938271605</v>
      </c>
      <c r="M15" t="str">
        <f ca="1">IFERROR(__xludf.DUMMYFUNCTION("1.15 + 0.02 * FILTER('Base Stats'!$C$2:$C1000, LOWER('Base Stats'!$B$2:$B1000) = LOWER($A15))"),"2.05")</f>
        <v>2.05</v>
      </c>
      <c r="N15">
        <v>1.0840108399999999</v>
      </c>
    </row>
    <row r="16" spans="1:17" ht="15.75" customHeight="1" x14ac:dyDescent="0.2">
      <c r="A16" s="1" t="s">
        <v>557</v>
      </c>
      <c r="B16" s="1">
        <v>90</v>
      </c>
      <c r="C16" s="1">
        <v>40</v>
      </c>
      <c r="D16" s="1">
        <v>3.8</v>
      </c>
      <c r="E16" s="1">
        <v>0.36</v>
      </c>
      <c r="F16" s="1">
        <v>1000</v>
      </c>
      <c r="G16" t="str">
        <f ca="1">IFERROR(__xludf.DUMMYFUNCTION("ROUND(B16/ FILTER('Pokemon CP/HP'!$M$2:$M1000, LOWER('Pokemon CP/HP'!$B$2:$B1000)=LOWER(A16)))"),"18")</f>
        <v>18</v>
      </c>
      <c r="H16" t="str">
        <f ca="1">IFERROR(__xludf.DUMMYFUNCTION("FILTER('Leveling Info'!$B$2:$B1000, 'Leveling Info'!$A$2:$A1000 =G16)"),"1000")</f>
        <v>1000</v>
      </c>
      <c r="I16" s="29">
        <f t="shared" ca="1" si="0"/>
        <v>4.2426406871192848</v>
      </c>
      <c r="J16" s="29" t="str">
        <f ca="1">IFERROR(__xludf.DUMMYFUNCTION("IF(F16 = H16,C16/FILTER('Base Stats'!$C$2:$C1000, LOWER('Base Stats'!$B$2:$B1000) = LOWER($A16)), """")"),"0.8888888889")</f>
        <v>0.8888888889</v>
      </c>
      <c r="K16" t="str">
        <f t="shared" ca="1" si="1"/>
        <v/>
      </c>
      <c r="L16" t="str">
        <f ca="1">IFERROR(__xludf.DUMMYFUNCTION("IF(AND(NOT(K16 = """"), G16 &gt;= 15),K16/FILTER('Base Stats'!$C$2:$C1000, LOWER('Base Stats'!$B$2:$B1000) = LOWER($A16)), """")"),"0.04938271605")</f>
        <v>0.04938271605</v>
      </c>
      <c r="M16" t="str">
        <f ca="1">IFERROR(__xludf.DUMMYFUNCTION("1.15 + 0.02 * FILTER('Base Stats'!$C$2:$C1000, LOWER('Base Stats'!$B$2:$B1000) = LOWER($A16))"),"2.05")</f>
        <v>2.05</v>
      </c>
      <c r="N16">
        <v>1.0840108399999999</v>
      </c>
    </row>
    <row r="17" spans="1:14" ht="15.75" customHeight="1" x14ac:dyDescent="0.2">
      <c r="A17" s="1" t="s">
        <v>557</v>
      </c>
      <c r="B17" s="1">
        <v>75</v>
      </c>
      <c r="C17" s="1">
        <v>37</v>
      </c>
      <c r="D17" s="1">
        <v>2.85</v>
      </c>
      <c r="E17" s="1">
        <v>0.3</v>
      </c>
      <c r="F17" s="1">
        <v>800</v>
      </c>
      <c r="G17" t="str">
        <f ca="1">IFERROR(__xludf.DUMMYFUNCTION("ROUND(B17/ FILTER('Pokemon CP/HP'!$M$2:$M1000, LOWER('Pokemon CP/HP'!$B$2:$B1000)=LOWER(A17)))"),"15")</f>
        <v>15</v>
      </c>
      <c r="H17" t="str">
        <f ca="1">IFERROR(__xludf.DUMMYFUNCTION("FILTER('Leveling Info'!$B$2:$B1000, 'Leveling Info'!$A$2:$A1000 =G17)"),"800")</f>
        <v>800</v>
      </c>
      <c r="I17" s="29">
        <f t="shared" ca="1" si="0"/>
        <v>3.872983346207417</v>
      </c>
      <c r="J17" s="29" t="str">
        <f ca="1">IFERROR(__xludf.DUMMYFUNCTION("IF(F17 = H17,C17/FILTER('Base Stats'!$C$2:$C1000, LOWER('Base Stats'!$B$2:$B1000) = LOWER($A17)), """")"),"0.8222222222")</f>
        <v>0.8222222222</v>
      </c>
      <c r="K17" t="str">
        <f t="shared" ca="1" si="1"/>
        <v/>
      </c>
      <c r="L17" t="str">
        <f ca="1">IFERROR(__xludf.DUMMYFUNCTION("IF(AND(NOT(K17 = """"), G17 &gt;= 15),K17/FILTER('Base Stats'!$C$2:$C1000, LOWER('Base Stats'!$B$2:$B1000) = LOWER($A17)), """")"),"0.05481481481")</f>
        <v>0.05481481481</v>
      </c>
      <c r="M17" t="str">
        <f ca="1">IFERROR(__xludf.DUMMYFUNCTION("1.15 + 0.02 * FILTER('Base Stats'!$C$2:$C1000, LOWER('Base Stats'!$B$2:$B1000) = LOWER($A17))"),"2.05")</f>
        <v>2.05</v>
      </c>
      <c r="N17">
        <v>1.2032520330000001</v>
      </c>
    </row>
    <row r="18" spans="1:14" ht="15.75" customHeight="1" x14ac:dyDescent="0.2">
      <c r="A18" s="1" t="s">
        <v>557</v>
      </c>
      <c r="B18" s="1">
        <v>65</v>
      </c>
      <c r="C18" s="1">
        <v>35</v>
      </c>
      <c r="D18" s="1">
        <v>4.4400000000000004</v>
      </c>
      <c r="E18" s="1">
        <v>0.38</v>
      </c>
      <c r="F18" s="1">
        <v>800</v>
      </c>
      <c r="G18" t="str">
        <f ca="1">IFERROR(__xludf.DUMMYFUNCTION("ROUND(B18/ FILTER('Pokemon CP/HP'!$M$2:$M1000, LOWER('Pokemon CP/HP'!$B$2:$B1000)=LOWER(A18)))"),"13")</f>
        <v>13</v>
      </c>
      <c r="H18" t="str">
        <f ca="1">IFERROR(__xludf.DUMMYFUNCTION("FILTER('Leveling Info'!$B$2:$B1000, 'Leveling Info'!$A$2:$A1000 =G18)"),"800")</f>
        <v>800</v>
      </c>
      <c r="I18" s="29">
        <f t="shared" ca="1" si="0"/>
        <v>3.6055512754639891</v>
      </c>
      <c r="J18" s="29" t="str">
        <f ca="1">IFERROR(__xludf.DUMMYFUNCTION("IF(F18 = H18,C18/FILTER('Base Stats'!$C$2:$C1000, LOWER('Base Stats'!$B$2:$B1000) = LOWER($A18)), """")"),"0.7777777778")</f>
        <v>0.7777777778</v>
      </c>
      <c r="K18" t="str">
        <f t="shared" ca="1" si="1"/>
        <v/>
      </c>
      <c r="L18" t="str">
        <f ca="1">IFERROR(__xludf.DUMMYFUNCTION("IF(AND(NOT(K18 = """"), G18 &gt;= 15),K18/FILTER('Base Stats'!$C$2:$C1000, LOWER('Base Stats'!$B$2:$B1000) = LOWER($A18)), """")"),"")</f>
        <v/>
      </c>
      <c r="M18" t="str">
        <f ca="1">IFERROR(__xludf.DUMMYFUNCTION("1.15 + 0.02 * FILTER('Base Stats'!$C$2:$C1000, LOWER('Base Stats'!$B$2:$B1000) = LOWER($A18))"),"2.05")</f>
        <v>2.05</v>
      </c>
      <c r="N18" t="s">
        <v>527</v>
      </c>
    </row>
    <row r="19" spans="1:14" ht="15.75" customHeight="1" x14ac:dyDescent="0.2">
      <c r="A19" s="1" t="s">
        <v>557</v>
      </c>
      <c r="B19" s="1">
        <v>53</v>
      </c>
      <c r="C19" s="1">
        <v>32</v>
      </c>
      <c r="D19" s="1">
        <v>2.98</v>
      </c>
      <c r="E19" s="1">
        <v>0.28999999999999998</v>
      </c>
      <c r="F19" s="1">
        <v>600</v>
      </c>
      <c r="G19" t="str">
        <f ca="1">IFERROR(__xludf.DUMMYFUNCTION("ROUND(B19/ FILTER('Pokemon CP/HP'!$M$2:$M1000, LOWER('Pokemon CP/HP'!$B$2:$B1000)=LOWER(A19)))"),"11")</f>
        <v>11</v>
      </c>
      <c r="H19" t="str">
        <f ca="1">IFERROR(__xludf.DUMMYFUNCTION("FILTER('Leveling Info'!$B$2:$B1000, 'Leveling Info'!$A$2:$A1000 =G19)"),"600")</f>
        <v>600</v>
      </c>
      <c r="I19" s="29">
        <f t="shared" ca="1" si="0"/>
        <v>3.3166247903553998</v>
      </c>
      <c r="J19" s="29" t="str">
        <f ca="1">IFERROR(__xludf.DUMMYFUNCTION("IF(F19 = H19,C19/FILTER('Base Stats'!$C$2:$C1000, LOWER('Base Stats'!$B$2:$B1000) = LOWER($A19)), """")"),"0.7111111111")</f>
        <v>0.7111111111</v>
      </c>
      <c r="K19" t="str">
        <f t="shared" ca="1" si="1"/>
        <v/>
      </c>
      <c r="L19" t="str">
        <f ca="1">IFERROR(__xludf.DUMMYFUNCTION("IF(AND(NOT(K19 = """"), G19 &gt;= 15),K19/FILTER('Base Stats'!$C$2:$C1000, LOWER('Base Stats'!$B$2:$B1000) = LOWER($A19)), """")"),"")</f>
        <v/>
      </c>
      <c r="M19" t="str">
        <f ca="1">IFERROR(__xludf.DUMMYFUNCTION("1.15 + 0.02 * FILTER('Base Stats'!$C$2:$C1000, LOWER('Base Stats'!$B$2:$B1000) = LOWER($A19))"),"2.05")</f>
        <v>2.05</v>
      </c>
      <c r="N19" t="s">
        <v>527</v>
      </c>
    </row>
    <row r="20" spans="1:14" ht="15.75" customHeight="1" x14ac:dyDescent="0.2">
      <c r="A20" s="1" t="s">
        <v>557</v>
      </c>
      <c r="B20" s="1">
        <v>24</v>
      </c>
      <c r="C20" s="1">
        <v>20</v>
      </c>
      <c r="D20" s="1">
        <v>2.69</v>
      </c>
      <c r="E20" s="1">
        <v>0.27</v>
      </c>
      <c r="F20" s="1">
        <v>400</v>
      </c>
      <c r="G20" t="str">
        <f ca="1">IFERROR(__xludf.DUMMYFUNCTION("ROUND(B20/ FILTER('Pokemon CP/HP'!$M$2:$M1000, LOWER('Pokemon CP/HP'!$B$2:$B1000)=LOWER(A20)))"),"5")</f>
        <v>5</v>
      </c>
      <c r="H20" t="str">
        <f ca="1">IFERROR(__xludf.DUMMYFUNCTION("FILTER('Leveling Info'!$B$2:$B1000, 'Leveling Info'!$A$2:$A1000 =G20)"),"400")</f>
        <v>400</v>
      </c>
      <c r="I20" s="29">
        <f t="shared" ca="1" si="0"/>
        <v>2.2360679774997898</v>
      </c>
      <c r="J20" s="29" t="str">
        <f ca="1">IFERROR(__xludf.DUMMYFUNCTION("IF(F20 = H20,C20/FILTER('Base Stats'!$C$2:$C1000, LOWER('Base Stats'!$B$2:$B1000) = LOWER($A20)), """")"),"0.4444444444")</f>
        <v>0.4444444444</v>
      </c>
      <c r="K20" t="str">
        <f t="shared" ca="1" si="1"/>
        <v/>
      </c>
      <c r="L20" t="str">
        <f ca="1">IFERROR(__xludf.DUMMYFUNCTION("IF(AND(NOT(K20 = """"), G20 &gt;= 15),K20/FILTER('Base Stats'!$C$2:$C1000, LOWER('Base Stats'!$B$2:$B1000) = LOWER($A20)), """")"),"")</f>
        <v/>
      </c>
      <c r="M20" t="str">
        <f ca="1">IFERROR(__xludf.DUMMYFUNCTION("1.15 + 0.02 * FILTER('Base Stats'!$C$2:$C1000, LOWER('Base Stats'!$B$2:$B1000) = LOWER($A20))"),"2.05")</f>
        <v>2.05</v>
      </c>
      <c r="N20" t="s">
        <v>527</v>
      </c>
    </row>
    <row r="21" spans="1:14" ht="15.75" customHeight="1" x14ac:dyDescent="0.2">
      <c r="A21" s="1" t="s">
        <v>557</v>
      </c>
      <c r="B21" s="1">
        <v>23</v>
      </c>
      <c r="C21" s="1">
        <v>20</v>
      </c>
      <c r="D21" s="1">
        <v>2.94</v>
      </c>
      <c r="E21" s="1">
        <v>0.33</v>
      </c>
      <c r="F21" s="1">
        <v>400</v>
      </c>
      <c r="G21" t="str">
        <f ca="1">IFERROR(__xludf.DUMMYFUNCTION("ROUND(B21/ FILTER('Pokemon CP/HP'!$M$2:$M1000, LOWER('Pokemon CP/HP'!$B$2:$B1000)=LOWER(A21)))"),"5")</f>
        <v>5</v>
      </c>
      <c r="H21" t="str">
        <f ca="1">IFERROR(__xludf.DUMMYFUNCTION("FILTER('Leveling Info'!$B$2:$B1000, 'Leveling Info'!$A$2:$A1000 =G21)"),"400")</f>
        <v>400</v>
      </c>
      <c r="I21" s="29">
        <f t="shared" ca="1" si="0"/>
        <v>2.2360679774997898</v>
      </c>
      <c r="J21" s="29" t="str">
        <f ca="1">IFERROR(__xludf.DUMMYFUNCTION("IF(F21 = H21,C21/FILTER('Base Stats'!$C$2:$C1000, LOWER('Base Stats'!$B$2:$B1000) = LOWER($A21)), """")"),"0.4444444444")</f>
        <v>0.4444444444</v>
      </c>
      <c r="K21" t="str">
        <f t="shared" ca="1" si="1"/>
        <v/>
      </c>
      <c r="L21" t="str">
        <f ca="1">IFERROR(__xludf.DUMMYFUNCTION("IF(AND(NOT(K21 = """"), G21 &gt;= 15),K21/FILTER('Base Stats'!$C$2:$C1000, LOWER('Base Stats'!$B$2:$B1000) = LOWER($A21)), """")"),"")</f>
        <v/>
      </c>
      <c r="M21" t="str">
        <f ca="1">IFERROR(__xludf.DUMMYFUNCTION("1.15 + 0.02 * FILTER('Base Stats'!$C$2:$C1000, LOWER('Base Stats'!$B$2:$B1000) = LOWER($A21))"),"2.05")</f>
        <v>2.05</v>
      </c>
      <c r="N21" t="s">
        <v>527</v>
      </c>
    </row>
    <row r="22" spans="1:14" ht="15.75" customHeight="1" x14ac:dyDescent="0.2">
      <c r="A22" s="1" t="s">
        <v>557</v>
      </c>
      <c r="B22" s="1">
        <v>23</v>
      </c>
      <c r="C22" s="1">
        <v>21</v>
      </c>
      <c r="D22" s="1">
        <v>3.22</v>
      </c>
      <c r="E22" s="1">
        <v>0.34</v>
      </c>
      <c r="F22" s="1">
        <v>400</v>
      </c>
      <c r="G22" t="str">
        <f ca="1">IFERROR(__xludf.DUMMYFUNCTION("ROUND(B22/ FILTER('Pokemon CP/HP'!$M$2:$M1000, LOWER('Pokemon CP/HP'!$B$2:$B1000)=LOWER(A22)))"),"5")</f>
        <v>5</v>
      </c>
      <c r="H22" t="str">
        <f ca="1">IFERROR(__xludf.DUMMYFUNCTION("FILTER('Leveling Info'!$B$2:$B1000, 'Leveling Info'!$A$2:$A1000 =G22)"),"400")</f>
        <v>400</v>
      </c>
      <c r="I22" s="29">
        <f t="shared" ca="1" si="0"/>
        <v>2.2360679774997898</v>
      </c>
      <c r="J22" s="29" t="str">
        <f ca="1">IFERROR(__xludf.DUMMYFUNCTION("IF(F22 = H22,C22/FILTER('Base Stats'!$C$2:$C1000, LOWER('Base Stats'!$B$2:$B1000) = LOWER($A22)), """")"),"0.4666666667")</f>
        <v>0.4666666667</v>
      </c>
      <c r="K22" t="str">
        <f t="shared" ca="1" si="1"/>
        <v/>
      </c>
      <c r="L22" t="str">
        <f ca="1">IFERROR(__xludf.DUMMYFUNCTION("IF(AND(NOT(K22 = """"), G22 &gt;= 15),K22/FILTER('Base Stats'!$C$2:$C1000, LOWER('Base Stats'!$B$2:$B1000) = LOWER($A22)), """")"),"")</f>
        <v/>
      </c>
      <c r="M22" t="str">
        <f ca="1">IFERROR(__xludf.DUMMYFUNCTION("1.15 + 0.02 * FILTER('Base Stats'!$C$2:$C1000, LOWER('Base Stats'!$B$2:$B1000) = LOWER($A22))"),"2.05")</f>
        <v>2.05</v>
      </c>
      <c r="N22" t="s">
        <v>527</v>
      </c>
    </row>
    <row r="23" spans="1:14" ht="15.75" customHeight="1" x14ac:dyDescent="0.2">
      <c r="A23" s="1" t="s">
        <v>557</v>
      </c>
      <c r="B23" s="1">
        <v>10</v>
      </c>
      <c r="C23" s="1">
        <v>10</v>
      </c>
      <c r="D23" s="1">
        <v>3.72</v>
      </c>
      <c r="E23" s="1">
        <v>0.34</v>
      </c>
      <c r="F23" s="1">
        <v>200</v>
      </c>
      <c r="G23" t="str">
        <f ca="1">IFERROR(__xludf.DUMMYFUNCTION("ROUND(B23/ FILTER('Pokemon CP/HP'!$M$2:$M1000, LOWER('Pokemon CP/HP'!$B$2:$B1000)=LOWER(A23)))"),"2")</f>
        <v>2</v>
      </c>
      <c r="H23" t="str">
        <f ca="1">IFERROR(__xludf.DUMMYFUNCTION("FILTER('Leveling Info'!$B$2:$B1000, 'Leveling Info'!$A$2:$A1000 =G23)"),"200")</f>
        <v>200</v>
      </c>
      <c r="I23" s="29">
        <f t="shared" ca="1" si="0"/>
        <v>1.4142135623730951</v>
      </c>
      <c r="J23" s="29" t="str">
        <f ca="1">IFERROR(__xludf.DUMMYFUNCTION("IF(F23 = H23,C23/FILTER('Base Stats'!$C$2:$C1000, LOWER('Base Stats'!$B$2:$B1000) = LOWER($A23)), """")"),"0.2222222222")</f>
        <v>0.2222222222</v>
      </c>
      <c r="K23" t="str">
        <f t="shared" ca="1" si="1"/>
        <v/>
      </c>
      <c r="L23" t="str">
        <f ca="1">IFERROR(__xludf.DUMMYFUNCTION("IF(AND(NOT(K23 = """"), G23 &gt;= 15),K23/FILTER('Base Stats'!$C$2:$C1000, LOWER('Base Stats'!$B$2:$B1000) = LOWER($A23)), """")"),"")</f>
        <v/>
      </c>
      <c r="M23" t="str">
        <f ca="1">IFERROR(__xludf.DUMMYFUNCTION("1.15 + 0.02 * FILTER('Base Stats'!$C$2:$C1000, LOWER('Base Stats'!$B$2:$B1000) = LOWER($A23))"),"2.05")</f>
        <v>2.05</v>
      </c>
      <c r="N23" t="s">
        <v>527</v>
      </c>
    </row>
    <row r="24" spans="1:14" ht="15.75" customHeight="1" x14ac:dyDescent="0.2">
      <c r="A24" s="1" t="s">
        <v>588</v>
      </c>
      <c r="B24" s="1">
        <v>113</v>
      </c>
      <c r="C24" s="1">
        <v>49</v>
      </c>
      <c r="D24" s="1">
        <v>4.4000000000000004</v>
      </c>
      <c r="E24" s="1">
        <v>0.88</v>
      </c>
      <c r="F24" s="1">
        <v>1300</v>
      </c>
      <c r="G24" t="str">
        <f ca="1">IFERROR(__xludf.DUMMYFUNCTION("ROUND(B24/ FILTER('Pokemon CP/HP'!$M$2:$M1000, LOWER('Pokemon CP/HP'!$B$2:$B1000)=LOWER(A24)))"),"21")</f>
        <v>21</v>
      </c>
      <c r="H24" t="str">
        <f ca="1">IFERROR(__xludf.DUMMYFUNCTION("FILTER('Leveling Info'!$B$2:$B1000, 'Leveling Info'!$A$2:$A1000 =G24)"),"1300")</f>
        <v>1300</v>
      </c>
      <c r="I24" s="29">
        <f t="shared" ca="1" si="0"/>
        <v>4.5825756949558398</v>
      </c>
      <c r="J24" s="29" t="str">
        <f ca="1">IFERROR(__xludf.DUMMYFUNCTION("IF(F24 = H24,C24/FILTER('Base Stats'!$C$2:$C1000, LOWER('Base Stats'!$B$2:$B1000) = LOWER($A24)), """")"),"0.98")</f>
        <v>0.98</v>
      </c>
      <c r="K24" t="str">
        <f t="shared" ca="1" si="1"/>
        <v/>
      </c>
      <c r="L24" t="str">
        <f ca="1">IFERROR(__xludf.DUMMYFUNCTION("IF(AND(NOT(K24 = """"), G24 &gt;= 15),K24/FILTER('Base Stats'!$C$2:$C1000, LOWER('Base Stats'!$B$2:$B1000) = LOWER($A24)), """")"),"0.04666666667")</f>
        <v>0.04666666667</v>
      </c>
      <c r="M24" t="str">
        <f ca="1">IFERROR(__xludf.DUMMYFUNCTION("1.15 + 0.02 * FILTER('Base Stats'!$C$2:$C1000, LOWER('Base Stats'!$B$2:$B1000) = LOWER($A24))"),"2.15")</f>
        <v>2.15</v>
      </c>
      <c r="N24">
        <v>1.085271318</v>
      </c>
    </row>
    <row r="25" spans="1:14" ht="15.75" customHeight="1" x14ac:dyDescent="0.2">
      <c r="A25" s="1" t="s">
        <v>588</v>
      </c>
      <c r="B25" s="1">
        <v>99</v>
      </c>
      <c r="C25" s="1">
        <v>42</v>
      </c>
      <c r="D25" s="1">
        <v>1.72</v>
      </c>
      <c r="E25" s="1">
        <v>0.84</v>
      </c>
      <c r="F25" s="1">
        <v>1000</v>
      </c>
      <c r="G25" t="str">
        <f ca="1">IFERROR(__xludf.DUMMYFUNCTION("ROUND(B25/ FILTER('Pokemon CP/HP'!$M$2:$M1000, LOWER('Pokemon CP/HP'!$B$2:$B1000)=LOWER(A25)))"),"18")</f>
        <v>18</v>
      </c>
      <c r="H25" t="str">
        <f ca="1">IFERROR(__xludf.DUMMYFUNCTION("FILTER('Leveling Info'!$B$2:$B1000, 'Leveling Info'!$A$2:$A1000 =G25)"),"1000")</f>
        <v>1000</v>
      </c>
      <c r="I25" s="29">
        <f t="shared" ca="1" si="0"/>
        <v>4.2426406871192848</v>
      </c>
      <c r="J25" s="29" t="str">
        <f ca="1">IFERROR(__xludf.DUMMYFUNCTION("IF(F25 = H25,C25/FILTER('Base Stats'!$C$2:$C1000, LOWER('Base Stats'!$B$2:$B1000) = LOWER($A25)), """")"),"0.84")</f>
        <v>0.84</v>
      </c>
      <c r="K25" t="str">
        <f t="shared" ca="1" si="1"/>
        <v/>
      </c>
      <c r="L25" t="str">
        <f ca="1">IFERROR(__xludf.DUMMYFUNCTION("IF(AND(NOT(K25 = """"), G25 &gt;= 15),K25/FILTER('Base Stats'!$C$2:$C1000, LOWER('Base Stats'!$B$2:$B1000) = LOWER($A25)), """")"),"0.04666666667")</f>
        <v>0.04666666667</v>
      </c>
      <c r="M25" t="str">
        <f ca="1">IFERROR(__xludf.DUMMYFUNCTION("1.15 + 0.02 * FILTER('Base Stats'!$C$2:$C1000, LOWER('Base Stats'!$B$2:$B1000) = LOWER($A25))"),"2.15")</f>
        <v>2.15</v>
      </c>
      <c r="N25">
        <v>1.085271318</v>
      </c>
    </row>
    <row r="26" spans="1:14" ht="15.75" customHeight="1" x14ac:dyDescent="0.2">
      <c r="A26" s="1" t="s">
        <v>588</v>
      </c>
      <c r="B26" s="1">
        <v>106</v>
      </c>
      <c r="C26" s="1">
        <v>48</v>
      </c>
      <c r="D26" s="1">
        <v>1.9</v>
      </c>
      <c r="E26" s="1">
        <v>0.69</v>
      </c>
      <c r="F26" s="1">
        <v>1000</v>
      </c>
      <c r="G26" t="str">
        <f ca="1">IFERROR(__xludf.DUMMYFUNCTION("ROUND(B26/ FILTER('Pokemon CP/HP'!$M$2:$M1000, LOWER('Pokemon CP/HP'!$B$2:$B1000)=LOWER(A26)))"),"19")</f>
        <v>19</v>
      </c>
      <c r="H26" t="str">
        <f ca="1">IFERROR(__xludf.DUMMYFUNCTION("FILTER('Leveling Info'!$B$2:$B1000, 'Leveling Info'!$A$2:$A1000 =G26)"),"1000")</f>
        <v>1000</v>
      </c>
      <c r="I26" s="29">
        <f t="shared" ca="1" si="0"/>
        <v>4.358898943540674</v>
      </c>
      <c r="J26" s="29" t="str">
        <f ca="1">IFERROR(__xludf.DUMMYFUNCTION("IF(F26 = H26,C26/FILTER('Base Stats'!$C$2:$C1000, LOWER('Base Stats'!$B$2:$B1000) = LOWER($A26)), """")"),"0.96")</f>
        <v>0.96</v>
      </c>
      <c r="K26" t="str">
        <f t="shared" ca="1" si="1"/>
        <v/>
      </c>
      <c r="L26" t="str">
        <f ca="1">IFERROR(__xludf.DUMMYFUNCTION("IF(AND(NOT(K26 = """"), G26 &gt;= 15),K26/FILTER('Base Stats'!$C$2:$C1000, LOWER('Base Stats'!$B$2:$B1000) = LOWER($A26)), """")"),"0.05052631579")</f>
        <v>0.05052631579</v>
      </c>
      <c r="M26" t="str">
        <f ca="1">IFERROR(__xludf.DUMMYFUNCTION("1.15 + 0.02 * FILTER('Base Stats'!$C$2:$C1000, LOWER('Base Stats'!$B$2:$B1000) = LOWER($A26))"),"2.15")</f>
        <v>2.15</v>
      </c>
      <c r="N26">
        <v>1.1750305999999999</v>
      </c>
    </row>
    <row r="27" spans="1:14" ht="15.75" customHeight="1" x14ac:dyDescent="0.2">
      <c r="A27" s="1" t="s">
        <v>589</v>
      </c>
      <c r="B27" s="1">
        <v>110</v>
      </c>
      <c r="C27" s="1">
        <v>30</v>
      </c>
      <c r="D27" s="1">
        <v>30.49</v>
      </c>
      <c r="E27" s="1">
        <v>0.97</v>
      </c>
      <c r="F27" s="1">
        <v>400</v>
      </c>
      <c r="G27" t="str">
        <f ca="1">IFERROR(__xludf.DUMMYFUNCTION("ROUND(B27/ FILTER('Pokemon CP/HP'!$M$2:$M1000, LOWER('Pokemon CP/HP'!$B$2:$B1000)=LOWER(A27)))"),"6")</f>
        <v>6</v>
      </c>
      <c r="H27" t="str">
        <f ca="1">IFERROR(__xludf.DUMMYFUNCTION("FILTER('Leveling Info'!$B$2:$B1000, 'Leveling Info'!$A$2:$A1000 =G27)"),"400")</f>
        <v>400</v>
      </c>
      <c r="I27" s="29">
        <f t="shared" ca="1" si="0"/>
        <v>2.4494897427831779</v>
      </c>
      <c r="J27" s="29" t="str">
        <f ca="1">IFERROR(__xludf.DUMMYFUNCTION("IF(F27 = H27,C27/FILTER('Base Stats'!$C$2:$C1000, LOWER('Base Stats'!$B$2:$B1000) = LOWER($A27)), """")"),"0.5")</f>
        <v>0.5</v>
      </c>
      <c r="K27" t="str">
        <f t="shared" ca="1" si="1"/>
        <v/>
      </c>
      <c r="L27" t="str">
        <f ca="1">IFERROR(__xludf.DUMMYFUNCTION("IF(AND(NOT(K27 = """"), G27 &gt;= 15),K27/FILTER('Base Stats'!$C$2:$C1000, LOWER('Base Stats'!$B$2:$B1000) = LOWER($A27)), """")"),"")</f>
        <v/>
      </c>
      <c r="M27" t="str">
        <f ca="1">IFERROR(__xludf.DUMMYFUNCTION("1.15 + 0.02 * FILTER('Base Stats'!$C$2:$C1000, LOWER('Base Stats'!$B$2:$B1000) = LOWER($A27))"),"2.35")</f>
        <v>2.35</v>
      </c>
      <c r="N27" t="s">
        <v>527</v>
      </c>
    </row>
    <row r="28" spans="1:14" ht="15.75" customHeight="1" x14ac:dyDescent="0.2">
      <c r="A28" s="1" t="s">
        <v>590</v>
      </c>
      <c r="B28" s="1">
        <v>174</v>
      </c>
      <c r="C28" s="1">
        <v>51</v>
      </c>
      <c r="D28" s="1">
        <v>2.44</v>
      </c>
      <c r="E28" s="1">
        <v>0.3</v>
      </c>
      <c r="F28" s="1">
        <v>2200</v>
      </c>
      <c r="G28" t="str">
        <f ca="1">IFERROR(__xludf.DUMMYFUNCTION("ROUND(B28/ FILTER('Pokemon CP/HP'!$M$2:$M1000, LOWER('Pokemon CP/HP'!$B$2:$B1000)=LOWER(A28)))"),"33")</f>
        <v>33</v>
      </c>
      <c r="H28" t="str">
        <f ca="1">IFERROR(__xludf.DUMMYFUNCTION("FILTER('Leveling Info'!$B$2:$B1000, 'Leveling Info'!$A$2:$A1000 =G28)"),"2200")</f>
        <v>2200</v>
      </c>
      <c r="I28" s="29">
        <f t="shared" ca="1" si="0"/>
        <v>5.7445626465380286</v>
      </c>
      <c r="J28" s="29" t="str">
        <f ca="1">IFERROR(__xludf.DUMMYFUNCTION("IF(F28 = H28,C28/FILTER('Base Stats'!$C$2:$C1000, LOWER('Base Stats'!$B$2:$B1000) = LOWER($A28)), """")"),"1.275")</f>
        <v>1.275</v>
      </c>
      <c r="K28" t="str">
        <f t="shared" ca="1" si="1"/>
        <v/>
      </c>
      <c r="L28" t="str">
        <f ca="1">IFERROR(__xludf.DUMMYFUNCTION("IF(AND(NOT(K28 = """"), G28 &gt;= 15),K28/FILTER('Base Stats'!$C$2:$C1000, LOWER('Base Stats'!$B$2:$B1000) = LOWER($A28)), """")"),"0.03863636364")</f>
        <v>0.03863636364</v>
      </c>
      <c r="M28" t="str">
        <f ca="1">IFERROR(__xludf.DUMMYFUNCTION("1.15 + 0.02 * FILTER('Base Stats'!$C$2:$C1000, LOWER('Base Stats'!$B$2:$B1000) = LOWER($A28))"),"1.95")</f>
        <v>1.95</v>
      </c>
      <c r="N28">
        <v>0.79254079249999998</v>
      </c>
    </row>
    <row r="29" spans="1:14" ht="15.75" customHeight="1" x14ac:dyDescent="0.2">
      <c r="A29" s="1" t="s">
        <v>590</v>
      </c>
      <c r="B29" s="1">
        <v>172</v>
      </c>
      <c r="C29" s="1">
        <v>50</v>
      </c>
      <c r="D29" s="1">
        <v>2.78</v>
      </c>
      <c r="E29" s="1">
        <v>0.31</v>
      </c>
      <c r="F29" s="1">
        <v>1900</v>
      </c>
      <c r="G29" t="str">
        <f ca="1">IFERROR(__xludf.DUMMYFUNCTION("ROUND(B29/ FILTER('Pokemon CP/HP'!$M$2:$M1000, LOWER('Pokemon CP/HP'!$B$2:$B1000)=LOWER(A29)))"),"32")</f>
        <v>32</v>
      </c>
      <c r="H29" t="str">
        <f ca="1">IFERROR(__xludf.DUMMYFUNCTION("FILTER('Leveling Info'!$B$2:$B1000, 'Leveling Info'!$A$2:$A1000 =G29)"),"1900")</f>
        <v>1900</v>
      </c>
      <c r="I29" s="29">
        <f t="shared" ca="1" si="0"/>
        <v>5.6568542494923806</v>
      </c>
      <c r="J29" s="29" t="str">
        <f ca="1">IFERROR(__xludf.DUMMYFUNCTION("IF(F29 = H29,C29/FILTER('Base Stats'!$C$2:$C1000, LOWER('Base Stats'!$B$2:$B1000) = LOWER($A29)), """")"),"1.25")</f>
        <v>1.25</v>
      </c>
      <c r="K29" t="str">
        <f t="shared" ca="1" si="1"/>
        <v/>
      </c>
      <c r="L29" t="str">
        <f ca="1">IFERROR(__xludf.DUMMYFUNCTION("IF(AND(NOT(K29 = """"), G29 &gt;= 15),K29/FILTER('Base Stats'!$C$2:$C1000, LOWER('Base Stats'!$B$2:$B1000) = LOWER($A29)), """")"),"0.0390625")</f>
        <v>0.0390625</v>
      </c>
      <c r="M29" t="str">
        <f ca="1">IFERROR(__xludf.DUMMYFUNCTION("1.15 + 0.02 * FILTER('Base Stats'!$C$2:$C1000, LOWER('Base Stats'!$B$2:$B1000) = LOWER($A29))"),"1.95")</f>
        <v>1.95</v>
      </c>
      <c r="N29">
        <v>0.80128205129999996</v>
      </c>
    </row>
    <row r="30" spans="1:14" ht="15.75" customHeight="1" x14ac:dyDescent="0.2">
      <c r="A30" s="1" t="s">
        <v>590</v>
      </c>
      <c r="B30" s="1">
        <v>169</v>
      </c>
      <c r="C30" s="1">
        <v>46</v>
      </c>
      <c r="D30" s="1">
        <v>2.89</v>
      </c>
      <c r="E30" s="1">
        <v>0.28000000000000003</v>
      </c>
      <c r="F30" s="1">
        <v>2200</v>
      </c>
      <c r="G30" t="str">
        <f ca="1">IFERROR(__xludf.DUMMYFUNCTION("ROUND(B30/ FILTER('Pokemon CP/HP'!$M$2:$M1000, LOWER('Pokemon CP/HP'!$B$2:$B1000)=LOWER(A30)))"),"32")</f>
        <v>32</v>
      </c>
      <c r="H30" t="str">
        <f ca="1">IFERROR(__xludf.DUMMYFUNCTION("FILTER('Leveling Info'!$B$2:$B1000, 'Leveling Info'!$A$2:$A1000 =G30)"),"1900")</f>
        <v>1900</v>
      </c>
      <c r="I30" s="29">
        <f t="shared" ca="1" si="0"/>
        <v>5.6568542494923806</v>
      </c>
      <c r="J30" s="29" t="str">
        <f ca="1">IFERROR(__xludf.DUMMYFUNCTION("IF(F30 = H30,C30/FILTER('Base Stats'!$C$2:$C1000, LOWER('Base Stats'!$B$2:$B1000) = LOWER($A30)), """")"),"")</f>
        <v/>
      </c>
      <c r="K30" t="str">
        <f t="shared" ca="1" si="1"/>
        <v/>
      </c>
      <c r="L30" t="str">
        <f ca="1">IFERROR(__xludf.DUMMYFUNCTION("IF(AND(NOT(K30 = """"), G30 &gt;= 15),K30/FILTER('Base Stats'!$C$2:$C1000, LOWER('Base Stats'!$B$2:$B1000) = LOWER($A30)), """")"),"")</f>
        <v/>
      </c>
      <c r="M30" t="str">
        <f ca="1">IFERROR(__xludf.DUMMYFUNCTION("1.15 + 0.02 * FILTER('Base Stats'!$C$2:$C1000, LOWER('Base Stats'!$B$2:$B1000) = LOWER($A30))"),"1.95")</f>
        <v>1.95</v>
      </c>
      <c r="N30" t="s">
        <v>527</v>
      </c>
    </row>
    <row r="31" spans="1:14" ht="12.75" x14ac:dyDescent="0.2">
      <c r="A31" s="1" t="s">
        <v>590</v>
      </c>
      <c r="B31" s="1">
        <v>145</v>
      </c>
      <c r="C31" s="1">
        <v>46</v>
      </c>
      <c r="D31" s="1">
        <v>3.74</v>
      </c>
      <c r="E31" s="1">
        <v>0.31</v>
      </c>
      <c r="F31" s="1">
        <v>1900</v>
      </c>
      <c r="G31" t="str">
        <f ca="1">IFERROR(__xludf.DUMMYFUNCTION("ROUND(B31/ FILTER('Pokemon CP/HP'!$M$2:$M1000, LOWER('Pokemon CP/HP'!$B$2:$B1000)=LOWER(A31)))"),"27")</f>
        <v>27</v>
      </c>
      <c r="H31" t="str">
        <f ca="1">IFERROR(__xludf.DUMMYFUNCTION("FILTER('Leveling Info'!$B$2:$B1000, 'Leveling Info'!$A$2:$A1000 =G31)"),"1600")</f>
        <v>1600</v>
      </c>
      <c r="I31" s="29">
        <f t="shared" ca="1" si="0"/>
        <v>5.196152422706632</v>
      </c>
      <c r="J31" s="29" t="str">
        <f ca="1">IFERROR(__xludf.DUMMYFUNCTION("IF(F31 = H31,C31/FILTER('Base Stats'!$C$2:$C1000, LOWER('Base Stats'!$B$2:$B1000) = LOWER($A31)), """")"),"")</f>
        <v/>
      </c>
      <c r="K31" t="str">
        <f t="shared" ca="1" si="1"/>
        <v/>
      </c>
      <c r="L31" t="str">
        <f ca="1">IFERROR(__xludf.DUMMYFUNCTION("IF(AND(NOT(K31 = """"), G31 &gt;= 15),K31/FILTER('Base Stats'!$C$2:$C1000, LOWER('Base Stats'!$B$2:$B1000) = LOWER($A31)), """")"),"")</f>
        <v/>
      </c>
      <c r="M31" t="str">
        <f ca="1">IFERROR(__xludf.DUMMYFUNCTION("1.15 + 0.02 * FILTER('Base Stats'!$C$2:$C1000, LOWER('Base Stats'!$B$2:$B1000) = LOWER($A31))"),"1.95")</f>
        <v>1.95</v>
      </c>
      <c r="N31" t="s">
        <v>527</v>
      </c>
    </row>
    <row r="32" spans="1:14" ht="12.75" x14ac:dyDescent="0.2">
      <c r="A32" s="1" t="s">
        <v>590</v>
      </c>
      <c r="B32" s="1">
        <v>128</v>
      </c>
      <c r="C32" s="1">
        <v>39</v>
      </c>
      <c r="D32" s="1">
        <v>1.93</v>
      </c>
      <c r="E32" s="1">
        <v>0.23</v>
      </c>
      <c r="F32" s="1">
        <v>1600</v>
      </c>
      <c r="G32" t="str">
        <f ca="1">IFERROR(__xludf.DUMMYFUNCTION("ROUND(B32/ FILTER('Pokemon CP/HP'!$M$2:$M1000, LOWER('Pokemon CP/HP'!$B$2:$B1000)=LOWER(A32)))"),"24")</f>
        <v>24</v>
      </c>
      <c r="H32" t="str">
        <f ca="1">IFERROR(__xludf.DUMMYFUNCTION("FILTER('Leveling Info'!$B$2:$B1000, 'Leveling Info'!$A$2:$A1000 =G32)"),"1300")</f>
        <v>1300</v>
      </c>
      <c r="I32" s="29">
        <f t="shared" ca="1" si="0"/>
        <v>4.8989794855663558</v>
      </c>
      <c r="J32" s="29" t="str">
        <f ca="1">IFERROR(__xludf.DUMMYFUNCTION("IF(F32 = H32,C32/FILTER('Base Stats'!$C$2:$C1000, LOWER('Base Stats'!$B$2:$B1000) = LOWER($A32)), """")"),"")</f>
        <v/>
      </c>
      <c r="K32" t="str">
        <f t="shared" ca="1" si="1"/>
        <v/>
      </c>
      <c r="L32" t="str">
        <f ca="1">IFERROR(__xludf.DUMMYFUNCTION("IF(AND(NOT(K32 = """"), G32 &gt;= 15),K32/FILTER('Base Stats'!$C$2:$C1000, LOWER('Base Stats'!$B$2:$B1000) = LOWER($A32)), """")"),"")</f>
        <v/>
      </c>
      <c r="M32" t="str">
        <f ca="1">IFERROR(__xludf.DUMMYFUNCTION("1.15 + 0.02 * FILTER('Base Stats'!$C$2:$C1000, LOWER('Base Stats'!$B$2:$B1000) = LOWER($A32))"),"1.95")</f>
        <v>1.95</v>
      </c>
      <c r="N32" t="s">
        <v>527</v>
      </c>
    </row>
    <row r="33" spans="1:14" ht="12.75" x14ac:dyDescent="0.2">
      <c r="A33" s="1" t="s">
        <v>590</v>
      </c>
      <c r="B33" s="1">
        <v>117</v>
      </c>
      <c r="C33" s="1">
        <v>38</v>
      </c>
      <c r="D33" s="1">
        <v>3.49</v>
      </c>
      <c r="E33" s="1">
        <v>0.31</v>
      </c>
      <c r="F33" s="1">
        <v>1600</v>
      </c>
      <c r="G33" t="str">
        <f ca="1">IFERROR(__xludf.DUMMYFUNCTION("ROUND(B33/ FILTER('Pokemon CP/HP'!$M$2:$M1000, LOWER('Pokemon CP/HP'!$B$2:$B1000)=LOWER(A33)))"),"22")</f>
        <v>22</v>
      </c>
      <c r="H33" t="str">
        <f ca="1">IFERROR(__xludf.DUMMYFUNCTION("FILTER('Leveling Info'!$B$2:$B1000, 'Leveling Info'!$A$2:$A1000 =G33)"),"1300")</f>
        <v>1300</v>
      </c>
      <c r="I33" s="29">
        <f t="shared" ca="1" si="0"/>
        <v>4.6904157598234297</v>
      </c>
      <c r="J33" s="29" t="str">
        <f ca="1">IFERROR(__xludf.DUMMYFUNCTION("IF(F33 = H33,C33/FILTER('Base Stats'!$C$2:$C1000, LOWER('Base Stats'!$B$2:$B1000) = LOWER($A33)), """")"),"")</f>
        <v/>
      </c>
      <c r="K33" t="str">
        <f t="shared" ca="1" si="1"/>
        <v/>
      </c>
      <c r="L33" t="str">
        <f ca="1">IFERROR(__xludf.DUMMYFUNCTION("IF(AND(NOT(K33 = """"), G33 &gt;= 15),K33/FILTER('Base Stats'!$C$2:$C1000, LOWER('Base Stats'!$B$2:$B1000) = LOWER($A33)), """")"),"")</f>
        <v/>
      </c>
      <c r="M33" t="str">
        <f ca="1">IFERROR(__xludf.DUMMYFUNCTION("1.15 + 0.02 * FILTER('Base Stats'!$C$2:$C1000, LOWER('Base Stats'!$B$2:$B1000) = LOWER($A33))"),"1.95")</f>
        <v>1.95</v>
      </c>
      <c r="N33" t="s">
        <v>527</v>
      </c>
    </row>
    <row r="34" spans="1:14" ht="12.75" x14ac:dyDescent="0.2">
      <c r="A34" s="1" t="s">
        <v>590</v>
      </c>
      <c r="B34" s="1">
        <v>116</v>
      </c>
      <c r="C34" s="1">
        <v>41</v>
      </c>
      <c r="D34" s="1">
        <v>2.12</v>
      </c>
      <c r="E34" s="1">
        <v>0.24</v>
      </c>
      <c r="F34" s="1">
        <v>1300</v>
      </c>
      <c r="G34" t="str">
        <f ca="1">IFERROR(__xludf.DUMMYFUNCTION("ROUND(B34/ FILTER('Pokemon CP/HP'!$M$2:$M1000, LOWER('Pokemon CP/HP'!$B$2:$B1000)=LOWER(A34)))"),"22")</f>
        <v>22</v>
      </c>
      <c r="H34" t="str">
        <f ca="1">IFERROR(__xludf.DUMMYFUNCTION("FILTER('Leveling Info'!$B$2:$B1000, 'Leveling Info'!$A$2:$A1000 =G34)"),"1300")</f>
        <v>1300</v>
      </c>
      <c r="I34" s="29">
        <f t="shared" ca="1" si="0"/>
        <v>4.6904157598234297</v>
      </c>
      <c r="J34" s="29" t="str">
        <f ca="1">IFERROR(__xludf.DUMMYFUNCTION("IF(F34 = H34,C34/FILTER('Base Stats'!$C$2:$C1000, LOWER('Base Stats'!$B$2:$B1000) = LOWER($A34)), """")"),"1.025")</f>
        <v>1.025</v>
      </c>
      <c r="K34" t="str">
        <f t="shared" ca="1" si="1"/>
        <v/>
      </c>
      <c r="L34" t="str">
        <f ca="1">IFERROR(__xludf.DUMMYFUNCTION("IF(AND(NOT(K34 = """"), G34 &gt;= 15),K34/FILTER('Base Stats'!$C$2:$C1000, LOWER('Base Stats'!$B$2:$B1000) = LOWER($A34)), """")"),"0.04659090909")</f>
        <v>0.04659090909</v>
      </c>
      <c r="M34" t="str">
        <f ca="1">IFERROR(__xludf.DUMMYFUNCTION("1.15 + 0.02 * FILTER('Base Stats'!$C$2:$C1000, LOWER('Base Stats'!$B$2:$B1000) = LOWER($A34))"),"1.95")</f>
        <v>1.95</v>
      </c>
      <c r="N34">
        <v>0.95571095569999998</v>
      </c>
    </row>
    <row r="35" spans="1:14" ht="12.75" x14ac:dyDescent="0.2">
      <c r="A35" s="1" t="s">
        <v>590</v>
      </c>
      <c r="B35" s="1">
        <v>97</v>
      </c>
      <c r="C35" s="1">
        <v>38</v>
      </c>
      <c r="D35" s="1">
        <v>2.99</v>
      </c>
      <c r="E35" s="1">
        <v>0.27</v>
      </c>
      <c r="F35" s="1">
        <v>1000</v>
      </c>
      <c r="G35" t="str">
        <f ca="1">IFERROR(__xludf.DUMMYFUNCTION("ROUND(B35/ FILTER('Pokemon CP/HP'!$M$2:$M1000, LOWER('Pokemon CP/HP'!$B$2:$B1000)=LOWER(A35)))"),"18")</f>
        <v>18</v>
      </c>
      <c r="H35" t="str">
        <f ca="1">IFERROR(__xludf.DUMMYFUNCTION("FILTER('Leveling Info'!$B$2:$B1000, 'Leveling Info'!$A$2:$A1000 =G35)"),"1000")</f>
        <v>1000</v>
      </c>
      <c r="I35" s="29">
        <f t="shared" ca="1" si="0"/>
        <v>4.2426406871192848</v>
      </c>
      <c r="J35" s="29" t="str">
        <f ca="1">IFERROR(__xludf.DUMMYFUNCTION("IF(F35 = H35,C35/FILTER('Base Stats'!$C$2:$C1000, LOWER('Base Stats'!$B$2:$B1000) = LOWER($A35)), """")"),"0.95")</f>
        <v>0.95</v>
      </c>
      <c r="K35" t="str">
        <f t="shared" ca="1" si="1"/>
        <v/>
      </c>
      <c r="L35" t="str">
        <f ca="1">IFERROR(__xludf.DUMMYFUNCTION("IF(AND(NOT(K35 = """"), G35 &gt;= 15),K35/FILTER('Base Stats'!$C$2:$C1000, LOWER('Base Stats'!$B$2:$B1000) = LOWER($A35)), """")"),"0.05277777778")</f>
        <v>0.05277777778</v>
      </c>
      <c r="M35" t="str">
        <f ca="1">IFERROR(__xludf.DUMMYFUNCTION("1.15 + 0.02 * FILTER('Base Stats'!$C$2:$C1000, LOWER('Base Stats'!$B$2:$B1000) = LOWER($A35))"),"1.95")</f>
        <v>1.95</v>
      </c>
      <c r="N35">
        <v>1.082621083</v>
      </c>
    </row>
    <row r="36" spans="1:14" ht="12.75" x14ac:dyDescent="0.2">
      <c r="A36" s="1" t="s">
        <v>590</v>
      </c>
      <c r="B36" s="1">
        <v>93</v>
      </c>
      <c r="C36" s="1">
        <v>37</v>
      </c>
      <c r="D36" s="1">
        <v>2.73</v>
      </c>
      <c r="E36" s="1">
        <v>0.27</v>
      </c>
      <c r="F36" s="1">
        <v>1000</v>
      </c>
      <c r="G36" t="str">
        <f ca="1">IFERROR(__xludf.DUMMYFUNCTION("ROUND(B36/ FILTER('Pokemon CP/HP'!$M$2:$M1000, LOWER('Pokemon CP/HP'!$B$2:$B1000)=LOWER(A36)))"),"18")</f>
        <v>18</v>
      </c>
      <c r="H36" t="str">
        <f ca="1">IFERROR(__xludf.DUMMYFUNCTION("FILTER('Leveling Info'!$B$2:$B1000, 'Leveling Info'!$A$2:$A1000 =G36)"),"1000")</f>
        <v>1000</v>
      </c>
      <c r="I36" s="29">
        <f t="shared" ca="1" si="0"/>
        <v>4.2426406871192848</v>
      </c>
      <c r="J36" s="29" t="str">
        <f ca="1">IFERROR(__xludf.DUMMYFUNCTION("IF(F36 = H36,C36/FILTER('Base Stats'!$C$2:$C1000, LOWER('Base Stats'!$B$2:$B1000) = LOWER($A36)), """")"),"0.925")</f>
        <v>0.925</v>
      </c>
      <c r="K36" t="str">
        <f t="shared" ca="1" si="1"/>
        <v/>
      </c>
      <c r="L36" t="str">
        <f ca="1">IFERROR(__xludf.DUMMYFUNCTION("IF(AND(NOT(K36 = """"), G36 &gt;= 15),K36/FILTER('Base Stats'!$C$2:$C1000, LOWER('Base Stats'!$B$2:$B1000) = LOWER($A36)), """")"),"0.05138888889")</f>
        <v>0.05138888889</v>
      </c>
      <c r="M36" t="str">
        <f ca="1">IFERROR(__xludf.DUMMYFUNCTION("1.15 + 0.02 * FILTER('Base Stats'!$C$2:$C1000, LOWER('Base Stats'!$B$2:$B1000) = LOWER($A36))"),"1.95")</f>
        <v>1.95</v>
      </c>
      <c r="N36">
        <v>1.054131054</v>
      </c>
    </row>
    <row r="37" spans="1:14" ht="12.75" x14ac:dyDescent="0.2">
      <c r="A37" s="1" t="s">
        <v>590</v>
      </c>
      <c r="B37" s="1">
        <v>93</v>
      </c>
      <c r="C37" s="1">
        <v>34</v>
      </c>
      <c r="D37" s="1">
        <v>5</v>
      </c>
      <c r="E37" s="1">
        <v>0.37</v>
      </c>
      <c r="F37" s="1">
        <v>1000</v>
      </c>
      <c r="G37" t="str">
        <f ca="1">IFERROR(__xludf.DUMMYFUNCTION("ROUND(B37/ FILTER('Pokemon CP/HP'!$M$2:$M1000, LOWER('Pokemon CP/HP'!$B$2:$B1000)=LOWER(A37)))"),"18")</f>
        <v>18</v>
      </c>
      <c r="H37" t="str">
        <f ca="1">IFERROR(__xludf.DUMMYFUNCTION("FILTER('Leveling Info'!$B$2:$B1000, 'Leveling Info'!$A$2:$A1000 =G37)"),"1000")</f>
        <v>1000</v>
      </c>
      <c r="I37" s="29">
        <f t="shared" ca="1" si="0"/>
        <v>4.2426406871192848</v>
      </c>
      <c r="J37" s="29" t="str">
        <f ca="1">IFERROR(__xludf.DUMMYFUNCTION("IF(F37 = H37,C37/FILTER('Base Stats'!$C$2:$C1000, LOWER('Base Stats'!$B$2:$B1000) = LOWER($A37)), """")"),"0.85")</f>
        <v>0.85</v>
      </c>
      <c r="K37" t="str">
        <f t="shared" ca="1" si="1"/>
        <v/>
      </c>
      <c r="L37" t="str">
        <f ca="1">IFERROR(__xludf.DUMMYFUNCTION("IF(AND(NOT(K37 = """"), G37 &gt;= 15),K37/FILTER('Base Stats'!$C$2:$C1000, LOWER('Base Stats'!$B$2:$B1000) = LOWER($A37)), """")"),"0.04722222222")</f>
        <v>0.04722222222</v>
      </c>
      <c r="M37" t="str">
        <f ca="1">IFERROR(__xludf.DUMMYFUNCTION("1.15 + 0.02 * FILTER('Base Stats'!$C$2:$C1000, LOWER('Base Stats'!$B$2:$B1000) = LOWER($A37))"),"1.95")</f>
        <v>1.95</v>
      </c>
      <c r="N37">
        <v>0.96866096869999996</v>
      </c>
    </row>
    <row r="38" spans="1:14" ht="12.75" x14ac:dyDescent="0.2">
      <c r="A38" s="1" t="s">
        <v>590</v>
      </c>
      <c r="B38" s="1">
        <v>89</v>
      </c>
      <c r="C38" s="1">
        <v>36</v>
      </c>
      <c r="D38" s="1">
        <v>4.21</v>
      </c>
      <c r="E38" s="1">
        <v>0.34</v>
      </c>
      <c r="F38" s="1">
        <v>1000</v>
      </c>
      <c r="G38" t="str">
        <f ca="1">IFERROR(__xludf.DUMMYFUNCTION("ROUND(B38/ FILTER('Pokemon CP/HP'!$M$2:$M1000, LOWER('Pokemon CP/HP'!$B$2:$B1000)=LOWER(A38)))"),"17")</f>
        <v>17</v>
      </c>
      <c r="H38" t="str">
        <f ca="1">IFERROR(__xludf.DUMMYFUNCTION("FILTER('Leveling Info'!$B$2:$B1000, 'Leveling Info'!$A$2:$A1000 =G38)"),"1000")</f>
        <v>1000</v>
      </c>
      <c r="I38" s="29">
        <f t="shared" ca="1" si="0"/>
        <v>4.1231056256176606</v>
      </c>
      <c r="J38" s="29" t="str">
        <f ca="1">IFERROR(__xludf.DUMMYFUNCTION("IF(F38 = H38,C38/FILTER('Base Stats'!$C$2:$C1000, LOWER('Base Stats'!$B$2:$B1000) = LOWER($A38)), """")"),"0.9")</f>
        <v>0.9</v>
      </c>
      <c r="K38" t="str">
        <f t="shared" ca="1" si="1"/>
        <v/>
      </c>
      <c r="L38" t="str">
        <f ca="1">IFERROR(__xludf.DUMMYFUNCTION("IF(AND(NOT(K38 = """"), G38 &gt;= 15),K38/FILTER('Base Stats'!$C$2:$C1000, LOWER('Base Stats'!$B$2:$B1000) = LOWER($A38)), """")"),"0.05294117647")</f>
        <v>0.05294117647</v>
      </c>
      <c r="M38" t="str">
        <f ca="1">IFERROR(__xludf.DUMMYFUNCTION("1.15 + 0.02 * FILTER('Base Stats'!$C$2:$C1000, LOWER('Base Stats'!$B$2:$B1000) = LOWER($A38))"),"1.95")</f>
        <v>1.95</v>
      </c>
      <c r="N38">
        <v>1.085972851</v>
      </c>
    </row>
    <row r="39" spans="1:14" ht="12.75" x14ac:dyDescent="0.2">
      <c r="A39" s="1" t="s">
        <v>590</v>
      </c>
      <c r="B39" s="1">
        <v>84</v>
      </c>
      <c r="C39" s="1">
        <v>35</v>
      </c>
      <c r="D39" s="1">
        <v>3.48</v>
      </c>
      <c r="E39" s="1">
        <v>0.31</v>
      </c>
      <c r="F39" s="1">
        <v>800</v>
      </c>
      <c r="G39" t="str">
        <f ca="1">IFERROR(__xludf.DUMMYFUNCTION("ROUND(B39/ FILTER('Pokemon CP/HP'!$M$2:$M1000, LOWER('Pokemon CP/HP'!$B$2:$B1000)=LOWER(A39)))"),"16")</f>
        <v>16</v>
      </c>
      <c r="H39" t="str">
        <f ca="1">IFERROR(__xludf.DUMMYFUNCTION("FILTER('Leveling Info'!$B$2:$B1000, 'Leveling Info'!$A$2:$A1000 =G39)"),"800")</f>
        <v>800</v>
      </c>
      <c r="I39" s="29">
        <f t="shared" ca="1" si="0"/>
        <v>4</v>
      </c>
      <c r="J39" s="29" t="str">
        <f ca="1">IFERROR(__xludf.DUMMYFUNCTION("IF(F39 = H39,C39/FILTER('Base Stats'!$C$2:$C1000, LOWER('Base Stats'!$B$2:$B1000) = LOWER($A39)), """")"),"0.875")</f>
        <v>0.875</v>
      </c>
      <c r="K39" t="str">
        <f t="shared" ca="1" si="1"/>
        <v/>
      </c>
      <c r="L39" t="str">
        <f ca="1">IFERROR(__xludf.DUMMYFUNCTION("IF(AND(NOT(K39 = """"), G39 &gt;= 15),K39/FILTER('Base Stats'!$C$2:$C1000, LOWER('Base Stats'!$B$2:$B1000) = LOWER($A39)), """")"),"0.0546875")</f>
        <v>0.0546875</v>
      </c>
      <c r="M39" t="str">
        <f ca="1">IFERROR(__xludf.DUMMYFUNCTION("1.15 + 0.02 * FILTER('Base Stats'!$C$2:$C1000, LOWER('Base Stats'!$B$2:$B1000) = LOWER($A39))"),"1.95")</f>
        <v>1.95</v>
      </c>
      <c r="N39">
        <v>1.1217948719999999</v>
      </c>
    </row>
    <row r="40" spans="1:14" ht="12.75" x14ac:dyDescent="0.2">
      <c r="A40" s="1" t="s">
        <v>590</v>
      </c>
      <c r="B40" s="1">
        <v>83</v>
      </c>
      <c r="C40" s="1">
        <v>33</v>
      </c>
      <c r="D40" s="1">
        <v>2.11</v>
      </c>
      <c r="E40" s="1">
        <v>0.25</v>
      </c>
      <c r="F40" s="1">
        <v>1000</v>
      </c>
      <c r="G40" t="str">
        <f ca="1">IFERROR(__xludf.DUMMYFUNCTION("ROUND(B40/ FILTER('Pokemon CP/HP'!$M$2:$M1000, LOWER('Pokemon CP/HP'!$B$2:$B1000)=LOWER(A40)))"),"16")</f>
        <v>16</v>
      </c>
      <c r="H40" t="str">
        <f ca="1">IFERROR(__xludf.DUMMYFUNCTION("FILTER('Leveling Info'!$B$2:$B1000, 'Leveling Info'!$A$2:$A1000 =G40)"),"800")</f>
        <v>800</v>
      </c>
      <c r="I40" s="29">
        <f t="shared" ca="1" si="0"/>
        <v>4</v>
      </c>
      <c r="J40" s="29" t="str">
        <f ca="1">IFERROR(__xludf.DUMMYFUNCTION("IF(F40 = H40,C40/FILTER('Base Stats'!$C$2:$C1000, LOWER('Base Stats'!$B$2:$B1000) = LOWER($A40)), """")"),"")</f>
        <v/>
      </c>
      <c r="K40" t="str">
        <f t="shared" ca="1" si="1"/>
        <v/>
      </c>
      <c r="L40" t="str">
        <f ca="1">IFERROR(__xludf.DUMMYFUNCTION("IF(AND(NOT(K40 = """"), G40 &gt;= 15),K40/FILTER('Base Stats'!$C$2:$C1000, LOWER('Base Stats'!$B$2:$B1000) = LOWER($A40)), """")"),"")</f>
        <v/>
      </c>
      <c r="M40" t="str">
        <f ca="1">IFERROR(__xludf.DUMMYFUNCTION("1.15 + 0.02 * FILTER('Base Stats'!$C$2:$C1000, LOWER('Base Stats'!$B$2:$B1000) = LOWER($A40))"),"1.95")</f>
        <v>1.95</v>
      </c>
      <c r="N40" t="s">
        <v>527</v>
      </c>
    </row>
    <row r="41" spans="1:14" ht="12.75" x14ac:dyDescent="0.2">
      <c r="A41" s="1" t="s">
        <v>590</v>
      </c>
      <c r="B41" s="1">
        <v>83</v>
      </c>
      <c r="C41" s="1">
        <v>35</v>
      </c>
      <c r="D41" s="1">
        <v>3.43</v>
      </c>
      <c r="E41" s="1">
        <v>0.32</v>
      </c>
      <c r="F41" s="1">
        <v>800</v>
      </c>
      <c r="G41" t="str">
        <f ca="1">IFERROR(__xludf.DUMMYFUNCTION("ROUND(B41/ FILTER('Pokemon CP/HP'!$M$2:$M1000, LOWER('Pokemon CP/HP'!$B$2:$B1000)=LOWER(A41)))"),"16")</f>
        <v>16</v>
      </c>
      <c r="H41" t="str">
        <f ca="1">IFERROR(__xludf.DUMMYFUNCTION("FILTER('Leveling Info'!$B$2:$B1000, 'Leveling Info'!$A$2:$A1000 =G41)"),"800")</f>
        <v>800</v>
      </c>
      <c r="I41" s="29">
        <f t="shared" ca="1" si="0"/>
        <v>4</v>
      </c>
      <c r="J41" s="29" t="str">
        <f ca="1">IFERROR(__xludf.DUMMYFUNCTION("IF(F41 = H41,C41/FILTER('Base Stats'!$C$2:$C1000, LOWER('Base Stats'!$B$2:$B1000) = LOWER($A41)), """")"),"0.875")</f>
        <v>0.875</v>
      </c>
      <c r="K41" t="str">
        <f t="shared" ca="1" si="1"/>
        <v/>
      </c>
      <c r="L41" t="str">
        <f ca="1">IFERROR(__xludf.DUMMYFUNCTION("IF(AND(NOT(K41 = """"), G41 &gt;= 15),K41/FILTER('Base Stats'!$C$2:$C1000, LOWER('Base Stats'!$B$2:$B1000) = LOWER($A41)), """")"),"0.0546875")</f>
        <v>0.0546875</v>
      </c>
      <c r="M41" t="str">
        <f ca="1">IFERROR(__xludf.DUMMYFUNCTION("1.15 + 0.02 * FILTER('Base Stats'!$C$2:$C1000, LOWER('Base Stats'!$B$2:$B1000) = LOWER($A41))"),"1.95")</f>
        <v>1.95</v>
      </c>
      <c r="N41">
        <v>1.1217948719999999</v>
      </c>
    </row>
    <row r="42" spans="1:14" ht="12.75" x14ac:dyDescent="0.2">
      <c r="A42" s="1" t="s">
        <v>590</v>
      </c>
      <c r="B42" s="1">
        <v>70</v>
      </c>
      <c r="C42" s="1">
        <v>32</v>
      </c>
      <c r="D42" s="1">
        <v>2.02</v>
      </c>
      <c r="E42" s="1">
        <v>0.23</v>
      </c>
      <c r="F42" s="1">
        <v>800</v>
      </c>
      <c r="G42" t="str">
        <f ca="1">IFERROR(__xludf.DUMMYFUNCTION("ROUND(B42/ FILTER('Pokemon CP/HP'!$M$2:$M1000, LOWER('Pokemon CP/HP'!$B$2:$B1000)=LOWER(A42)))"),"13")</f>
        <v>13</v>
      </c>
      <c r="H42" t="str">
        <f ca="1">IFERROR(__xludf.DUMMYFUNCTION("FILTER('Leveling Info'!$B$2:$B1000, 'Leveling Info'!$A$2:$A1000 =G42)"),"800")</f>
        <v>800</v>
      </c>
      <c r="I42" s="29">
        <f t="shared" ca="1" si="0"/>
        <v>3.6055512754639891</v>
      </c>
      <c r="J42" s="29" t="str">
        <f ca="1">IFERROR(__xludf.DUMMYFUNCTION("IF(F42 = H42,C42/FILTER('Base Stats'!$C$2:$C1000, LOWER('Base Stats'!$B$2:$B1000) = LOWER($A42)), """")"),"0.8")</f>
        <v>0.8</v>
      </c>
      <c r="K42" t="str">
        <f t="shared" ca="1" si="1"/>
        <v/>
      </c>
      <c r="L42" t="str">
        <f ca="1">IFERROR(__xludf.DUMMYFUNCTION("IF(AND(NOT(K42 = """"), G42 &gt;= 15),K42/FILTER('Base Stats'!$C$2:$C1000, LOWER('Base Stats'!$B$2:$B1000) = LOWER($A42)), """")"),"")</f>
        <v/>
      </c>
      <c r="M42" t="str">
        <f ca="1">IFERROR(__xludf.DUMMYFUNCTION("1.15 + 0.02 * FILTER('Base Stats'!$C$2:$C1000, LOWER('Base Stats'!$B$2:$B1000) = LOWER($A42))"),"1.95")</f>
        <v>1.95</v>
      </c>
      <c r="N42" t="s">
        <v>527</v>
      </c>
    </row>
    <row r="43" spans="1:14" ht="12.75" x14ac:dyDescent="0.2">
      <c r="A43" s="1" t="s">
        <v>590</v>
      </c>
      <c r="B43" s="1">
        <v>70</v>
      </c>
      <c r="C43" s="1">
        <v>30</v>
      </c>
      <c r="D43" s="1">
        <v>4.17</v>
      </c>
      <c r="E43" s="1">
        <v>0.38</v>
      </c>
      <c r="F43" s="1">
        <v>800</v>
      </c>
      <c r="G43" t="str">
        <f ca="1">IFERROR(__xludf.DUMMYFUNCTION("ROUND(B43/ FILTER('Pokemon CP/HP'!$M$2:$M1000, LOWER('Pokemon CP/HP'!$B$2:$B1000)=LOWER(A43)))"),"13")</f>
        <v>13</v>
      </c>
      <c r="H43" t="str">
        <f ca="1">IFERROR(__xludf.DUMMYFUNCTION("FILTER('Leveling Info'!$B$2:$B1000, 'Leveling Info'!$A$2:$A1000 =G43)"),"800")</f>
        <v>800</v>
      </c>
      <c r="I43" s="29">
        <f t="shared" ca="1" si="0"/>
        <v>3.6055512754639891</v>
      </c>
      <c r="J43" s="29" t="str">
        <f ca="1">IFERROR(__xludf.DUMMYFUNCTION("IF(F43 = H43,C43/FILTER('Base Stats'!$C$2:$C1000, LOWER('Base Stats'!$B$2:$B1000) = LOWER($A43)), """")"),"0.75")</f>
        <v>0.75</v>
      </c>
      <c r="K43" t="str">
        <f t="shared" ca="1" si="1"/>
        <v/>
      </c>
      <c r="L43" t="str">
        <f ca="1">IFERROR(__xludf.DUMMYFUNCTION("IF(AND(NOT(K43 = """"), G43 &gt;= 15),K43/FILTER('Base Stats'!$C$2:$C1000, LOWER('Base Stats'!$B$2:$B1000) = LOWER($A43)), """")"),"")</f>
        <v/>
      </c>
      <c r="M43" t="str">
        <f ca="1">IFERROR(__xludf.DUMMYFUNCTION("1.15 + 0.02 * FILTER('Base Stats'!$C$2:$C1000, LOWER('Base Stats'!$B$2:$B1000) = LOWER($A43))"),"1.95")</f>
        <v>1.95</v>
      </c>
      <c r="N43" t="s">
        <v>527</v>
      </c>
    </row>
    <row r="44" spans="1:14" ht="12.75" x14ac:dyDescent="0.2">
      <c r="A44" s="1" t="s">
        <v>590</v>
      </c>
      <c r="B44" s="1">
        <v>67</v>
      </c>
      <c r="C44" s="1">
        <v>28</v>
      </c>
      <c r="D44" s="1">
        <v>3.68</v>
      </c>
      <c r="E44" s="1">
        <v>0.3</v>
      </c>
      <c r="F44" s="1">
        <v>800</v>
      </c>
      <c r="G44" t="str">
        <f ca="1">IFERROR(__xludf.DUMMYFUNCTION("ROUND(B44/ FILTER('Pokemon CP/HP'!$M$2:$M1000, LOWER('Pokemon CP/HP'!$B$2:$B1000)=LOWER(A44)))"),"13")</f>
        <v>13</v>
      </c>
      <c r="H44" t="str">
        <f ca="1">IFERROR(__xludf.DUMMYFUNCTION("FILTER('Leveling Info'!$B$2:$B1000, 'Leveling Info'!$A$2:$A1000 =G44)"),"800")</f>
        <v>800</v>
      </c>
      <c r="I44" s="29">
        <f t="shared" ca="1" si="0"/>
        <v>3.6055512754639891</v>
      </c>
      <c r="J44" s="29" t="str">
        <f ca="1">IFERROR(__xludf.DUMMYFUNCTION("IF(F44 = H44,C44/FILTER('Base Stats'!$C$2:$C1000, LOWER('Base Stats'!$B$2:$B1000) = LOWER($A44)), """")"),"0.7")</f>
        <v>0.7</v>
      </c>
      <c r="K44" t="str">
        <f t="shared" ca="1" si="1"/>
        <v/>
      </c>
      <c r="L44" t="str">
        <f ca="1">IFERROR(__xludf.DUMMYFUNCTION("IF(AND(NOT(K44 = """"), G44 &gt;= 15),K44/FILTER('Base Stats'!$C$2:$C1000, LOWER('Base Stats'!$B$2:$B1000) = LOWER($A44)), """")"),"")</f>
        <v/>
      </c>
      <c r="M44" t="str">
        <f ca="1">IFERROR(__xludf.DUMMYFUNCTION("1.15 + 0.02 * FILTER('Base Stats'!$C$2:$C1000, LOWER('Base Stats'!$B$2:$B1000) = LOWER($A44))"),"1.95")</f>
        <v>1.95</v>
      </c>
      <c r="N44" t="s">
        <v>527</v>
      </c>
    </row>
    <row r="45" spans="1:14" ht="12.75" x14ac:dyDescent="0.2">
      <c r="A45" s="1" t="s">
        <v>590</v>
      </c>
      <c r="B45" s="1">
        <v>64</v>
      </c>
      <c r="C45" s="1">
        <v>28</v>
      </c>
      <c r="D45" s="1">
        <v>3.65</v>
      </c>
      <c r="E45" s="1">
        <v>0.34</v>
      </c>
      <c r="F45" s="1">
        <v>800</v>
      </c>
      <c r="G45" t="str">
        <f ca="1">IFERROR(__xludf.DUMMYFUNCTION("ROUND(B45/ FILTER('Pokemon CP/HP'!$M$2:$M1000, LOWER('Pokemon CP/HP'!$B$2:$B1000)=LOWER(A45)))"),"12")</f>
        <v>12</v>
      </c>
      <c r="H45" t="str">
        <f ca="1">IFERROR(__xludf.DUMMYFUNCTION("FILTER('Leveling Info'!$B$2:$B1000, 'Leveling Info'!$A$2:$A1000 =G45)"),"600")</f>
        <v>600</v>
      </c>
      <c r="I45" s="29">
        <f t="shared" ca="1" si="0"/>
        <v>3.4641016151377544</v>
      </c>
      <c r="J45" s="29" t="str">
        <f ca="1">IFERROR(__xludf.DUMMYFUNCTION("IF(F45 = H45,C45/FILTER('Base Stats'!$C$2:$C1000, LOWER('Base Stats'!$B$2:$B1000) = LOWER($A45)), """")"),"")</f>
        <v/>
      </c>
      <c r="K45" t="str">
        <f t="shared" ca="1" si="1"/>
        <v/>
      </c>
      <c r="L45" t="str">
        <f ca="1">IFERROR(__xludf.DUMMYFUNCTION("IF(AND(NOT(K45 = """"), G45 &gt;= 15),K45/FILTER('Base Stats'!$C$2:$C1000, LOWER('Base Stats'!$B$2:$B1000) = LOWER($A45)), """")"),"")</f>
        <v/>
      </c>
      <c r="M45" t="str">
        <f ca="1">IFERROR(__xludf.DUMMYFUNCTION("1.15 + 0.02 * FILTER('Base Stats'!$C$2:$C1000, LOWER('Base Stats'!$B$2:$B1000) = LOWER($A45))"),"1.95")</f>
        <v>1.95</v>
      </c>
      <c r="N45" t="s">
        <v>527</v>
      </c>
    </row>
    <row r="46" spans="1:14" ht="12.75" x14ac:dyDescent="0.2">
      <c r="A46" s="1" t="s">
        <v>590</v>
      </c>
      <c r="B46" s="1">
        <v>59</v>
      </c>
      <c r="C46" s="1">
        <v>29</v>
      </c>
      <c r="D46" s="1">
        <v>2.0099999999999998</v>
      </c>
      <c r="E46" s="1">
        <v>0.24</v>
      </c>
      <c r="F46" s="1">
        <v>600</v>
      </c>
      <c r="G46" t="str">
        <f ca="1">IFERROR(__xludf.DUMMYFUNCTION("ROUND(B46/ FILTER('Pokemon CP/HP'!$M$2:$M1000, LOWER('Pokemon CP/HP'!$B$2:$B1000)=LOWER(A46)))"),"11")</f>
        <v>11</v>
      </c>
      <c r="H46" t="str">
        <f ca="1">IFERROR(__xludf.DUMMYFUNCTION("FILTER('Leveling Info'!$B$2:$B1000, 'Leveling Info'!$A$2:$A1000 =G46)"),"600")</f>
        <v>600</v>
      </c>
      <c r="I46" s="29">
        <f t="shared" ca="1" si="0"/>
        <v>3.3166247903553998</v>
      </c>
      <c r="J46" s="29" t="str">
        <f ca="1">IFERROR(__xludf.DUMMYFUNCTION("IF(F46 = H46,C46/FILTER('Base Stats'!$C$2:$C1000, LOWER('Base Stats'!$B$2:$B1000) = LOWER($A46)), """")"),"0.725")</f>
        <v>0.725</v>
      </c>
      <c r="K46" t="str">
        <f t="shared" ca="1" si="1"/>
        <v/>
      </c>
      <c r="L46" t="str">
        <f ca="1">IFERROR(__xludf.DUMMYFUNCTION("IF(AND(NOT(K46 = """"), G46 &gt;= 15),K46/FILTER('Base Stats'!$C$2:$C1000, LOWER('Base Stats'!$B$2:$B1000) = LOWER($A46)), """")"),"")</f>
        <v/>
      </c>
      <c r="M46" t="str">
        <f ca="1">IFERROR(__xludf.DUMMYFUNCTION("1.15 + 0.02 * FILTER('Base Stats'!$C$2:$C1000, LOWER('Base Stats'!$B$2:$B1000) = LOWER($A46))"),"1.95")</f>
        <v>1.95</v>
      </c>
      <c r="N46" t="s">
        <v>527</v>
      </c>
    </row>
    <row r="47" spans="1:14" ht="12.75" x14ac:dyDescent="0.2">
      <c r="A47" s="1" t="s">
        <v>590</v>
      </c>
      <c r="B47" s="1">
        <v>58</v>
      </c>
      <c r="C47" s="1">
        <v>30</v>
      </c>
      <c r="D47" s="1">
        <v>3.19</v>
      </c>
      <c r="E47" s="1">
        <v>0.28999999999999998</v>
      </c>
      <c r="F47" s="1">
        <v>600</v>
      </c>
      <c r="G47" t="str">
        <f ca="1">IFERROR(__xludf.DUMMYFUNCTION("ROUND(B47/ FILTER('Pokemon CP/HP'!$M$2:$M1000, LOWER('Pokemon CP/HP'!$B$2:$B1000)=LOWER(A47)))"),"11")</f>
        <v>11</v>
      </c>
      <c r="H47" t="str">
        <f ca="1">IFERROR(__xludf.DUMMYFUNCTION("FILTER('Leveling Info'!$B$2:$B1000, 'Leveling Info'!$A$2:$A1000 =G47)"),"600")</f>
        <v>600</v>
      </c>
      <c r="I47" s="29">
        <f t="shared" ca="1" si="0"/>
        <v>3.3166247903553998</v>
      </c>
      <c r="J47" s="29" t="str">
        <f ca="1">IFERROR(__xludf.DUMMYFUNCTION("IF(F47 = H47,C47/FILTER('Base Stats'!$C$2:$C1000, LOWER('Base Stats'!$B$2:$B1000) = LOWER($A47)), """")"),"0.75")</f>
        <v>0.75</v>
      </c>
      <c r="K47" t="str">
        <f t="shared" ca="1" si="1"/>
        <v/>
      </c>
      <c r="L47" t="str">
        <f ca="1">IFERROR(__xludf.DUMMYFUNCTION("IF(AND(NOT(K47 = """"), G47 &gt;= 15),K47/FILTER('Base Stats'!$C$2:$C1000, LOWER('Base Stats'!$B$2:$B1000) = LOWER($A47)), """")"),"")</f>
        <v/>
      </c>
      <c r="M47" t="str">
        <f ca="1">IFERROR(__xludf.DUMMYFUNCTION("1.15 + 0.02 * FILTER('Base Stats'!$C$2:$C1000, LOWER('Base Stats'!$B$2:$B1000) = LOWER($A47))"),"1.95")</f>
        <v>1.95</v>
      </c>
      <c r="N47" t="s">
        <v>527</v>
      </c>
    </row>
    <row r="48" spans="1:14" ht="12.75" x14ac:dyDescent="0.2">
      <c r="A48" s="1" t="s">
        <v>590</v>
      </c>
      <c r="B48" s="1">
        <v>58</v>
      </c>
      <c r="C48" s="1">
        <v>28</v>
      </c>
      <c r="D48" s="1">
        <v>4.3899999999999997</v>
      </c>
      <c r="E48" s="1">
        <v>0.35</v>
      </c>
      <c r="F48" s="1">
        <v>600</v>
      </c>
      <c r="G48" t="str">
        <f ca="1">IFERROR(__xludf.DUMMYFUNCTION("ROUND(B48/ FILTER('Pokemon CP/HP'!$M$2:$M1000, LOWER('Pokemon CP/HP'!$B$2:$B1000)=LOWER(A48)))"),"11")</f>
        <v>11</v>
      </c>
      <c r="H48" t="str">
        <f ca="1">IFERROR(__xludf.DUMMYFUNCTION("FILTER('Leveling Info'!$B$2:$B1000, 'Leveling Info'!$A$2:$A1000 =G48)"),"600")</f>
        <v>600</v>
      </c>
      <c r="I48" s="29">
        <f t="shared" ca="1" si="0"/>
        <v>3.3166247903553998</v>
      </c>
      <c r="J48" s="29" t="str">
        <f ca="1">IFERROR(__xludf.DUMMYFUNCTION("IF(F48 = H48,C48/FILTER('Base Stats'!$C$2:$C1000, LOWER('Base Stats'!$B$2:$B1000) = LOWER($A48)), """")"),"0.7")</f>
        <v>0.7</v>
      </c>
      <c r="K48" t="str">
        <f t="shared" ca="1" si="1"/>
        <v/>
      </c>
      <c r="L48" t="str">
        <f ca="1">IFERROR(__xludf.DUMMYFUNCTION("IF(AND(NOT(K48 = """"), G48 &gt;= 15),K48/FILTER('Base Stats'!$C$2:$C1000, LOWER('Base Stats'!$B$2:$B1000) = LOWER($A48)), """")"),"")</f>
        <v/>
      </c>
      <c r="M48" t="str">
        <f ca="1">IFERROR(__xludf.DUMMYFUNCTION("1.15 + 0.02 * FILTER('Base Stats'!$C$2:$C1000, LOWER('Base Stats'!$B$2:$B1000) = LOWER($A48))"),"1.95")</f>
        <v>1.95</v>
      </c>
      <c r="N48" t="s">
        <v>527</v>
      </c>
    </row>
    <row r="49" spans="1:14" ht="12.75" x14ac:dyDescent="0.2">
      <c r="A49" s="1" t="s">
        <v>590</v>
      </c>
      <c r="B49" s="1">
        <v>55</v>
      </c>
      <c r="C49" s="1">
        <v>29</v>
      </c>
      <c r="D49" s="1">
        <v>2.35</v>
      </c>
      <c r="E49" s="1">
        <v>0.27</v>
      </c>
      <c r="F49" s="1">
        <v>600</v>
      </c>
      <c r="G49" t="str">
        <f ca="1">IFERROR(__xludf.DUMMYFUNCTION("ROUND(B49/ FILTER('Pokemon CP/HP'!$M$2:$M1000, LOWER('Pokemon CP/HP'!$B$2:$B1000)=LOWER(A49)))"),"10")</f>
        <v>10</v>
      </c>
      <c r="H49" t="str">
        <f ca="1">IFERROR(__xludf.DUMMYFUNCTION("FILTER('Leveling Info'!$B$2:$B1000, 'Leveling Info'!$A$2:$A1000 =G49)"),"600")</f>
        <v>600</v>
      </c>
      <c r="I49" s="29">
        <f t="shared" ca="1" si="0"/>
        <v>3.1622776601683795</v>
      </c>
      <c r="J49" s="29" t="str">
        <f ca="1">IFERROR(__xludf.DUMMYFUNCTION("IF(F49 = H49,C49/FILTER('Base Stats'!$C$2:$C1000, LOWER('Base Stats'!$B$2:$B1000) = LOWER($A49)), """")"),"0.725")</f>
        <v>0.725</v>
      </c>
      <c r="K49" t="str">
        <f t="shared" ca="1" si="1"/>
        <v/>
      </c>
      <c r="L49" t="str">
        <f ca="1">IFERROR(__xludf.DUMMYFUNCTION("IF(AND(NOT(K49 = """"), G49 &gt;= 15),K49/FILTER('Base Stats'!$C$2:$C1000, LOWER('Base Stats'!$B$2:$B1000) = LOWER($A49)), """")"),"")</f>
        <v/>
      </c>
      <c r="M49" t="str">
        <f ca="1">IFERROR(__xludf.DUMMYFUNCTION("1.15 + 0.02 * FILTER('Base Stats'!$C$2:$C1000, LOWER('Base Stats'!$B$2:$B1000) = LOWER($A49))"),"1.95")</f>
        <v>1.95</v>
      </c>
      <c r="N49" t="s">
        <v>527</v>
      </c>
    </row>
    <row r="50" spans="1:14" ht="12.75" x14ac:dyDescent="0.2">
      <c r="A50" s="1" t="s">
        <v>590</v>
      </c>
      <c r="B50" s="1">
        <v>55</v>
      </c>
      <c r="C50" s="1">
        <v>25</v>
      </c>
      <c r="D50" s="1">
        <v>2.97</v>
      </c>
      <c r="E50" s="1">
        <v>0.28999999999999998</v>
      </c>
      <c r="F50" s="1">
        <v>600</v>
      </c>
      <c r="G50" t="str">
        <f ca="1">IFERROR(__xludf.DUMMYFUNCTION("ROUND(B50/ FILTER('Pokemon CP/HP'!$M$2:$M1000, LOWER('Pokemon CP/HP'!$B$2:$B1000)=LOWER(A50)))"),"10")</f>
        <v>10</v>
      </c>
      <c r="H50" t="str">
        <f ca="1">IFERROR(__xludf.DUMMYFUNCTION("FILTER('Leveling Info'!$B$2:$B1000, 'Leveling Info'!$A$2:$A1000 =G50)"),"600")</f>
        <v>600</v>
      </c>
      <c r="I50" s="29">
        <f t="shared" ca="1" si="0"/>
        <v>3.1622776601683795</v>
      </c>
      <c r="J50" s="29" t="str">
        <f ca="1">IFERROR(__xludf.DUMMYFUNCTION("IF(F50 = H50,C50/FILTER('Base Stats'!$C$2:$C1000, LOWER('Base Stats'!$B$2:$B1000) = LOWER($A50)), """")"),"0.625")</f>
        <v>0.625</v>
      </c>
      <c r="K50" t="str">
        <f t="shared" ca="1" si="1"/>
        <v/>
      </c>
      <c r="L50" t="str">
        <f ca="1">IFERROR(__xludf.DUMMYFUNCTION("IF(AND(NOT(K50 = """"), G50 &gt;= 15),K50/FILTER('Base Stats'!$C$2:$C1000, LOWER('Base Stats'!$B$2:$B1000) = LOWER($A50)), """")"),"")</f>
        <v/>
      </c>
      <c r="M50" t="str">
        <f ca="1">IFERROR(__xludf.DUMMYFUNCTION("1.15 + 0.02 * FILTER('Base Stats'!$C$2:$C1000, LOWER('Base Stats'!$B$2:$B1000) = LOWER($A50))"),"1.95")</f>
        <v>1.95</v>
      </c>
      <c r="N50" t="s">
        <v>527</v>
      </c>
    </row>
    <row r="51" spans="1:14" ht="12.75" x14ac:dyDescent="0.2">
      <c r="A51" s="1" t="s">
        <v>590</v>
      </c>
      <c r="B51" s="1">
        <v>51</v>
      </c>
      <c r="C51" s="1">
        <v>27</v>
      </c>
      <c r="D51" s="1">
        <v>4.9400000000000004</v>
      </c>
      <c r="E51" s="1">
        <v>0.34</v>
      </c>
      <c r="F51" s="1">
        <v>600</v>
      </c>
      <c r="G51" t="str">
        <f ca="1">IFERROR(__xludf.DUMMYFUNCTION("ROUND(B51/ FILTER('Pokemon CP/HP'!$M$2:$M1000, LOWER('Pokemon CP/HP'!$B$2:$B1000)=LOWER(A51)))"),"10")</f>
        <v>10</v>
      </c>
      <c r="H51" t="str">
        <f ca="1">IFERROR(__xludf.DUMMYFUNCTION("FILTER('Leveling Info'!$B$2:$B1000, 'Leveling Info'!$A$2:$A1000 =G51)"),"600")</f>
        <v>600</v>
      </c>
      <c r="I51" s="29">
        <f t="shared" ca="1" si="0"/>
        <v>3.1622776601683795</v>
      </c>
      <c r="J51" s="29" t="str">
        <f ca="1">IFERROR(__xludf.DUMMYFUNCTION("IF(F51 = H51,C51/FILTER('Base Stats'!$C$2:$C1000, LOWER('Base Stats'!$B$2:$B1000) = LOWER($A51)), """")"),"0.675")</f>
        <v>0.675</v>
      </c>
      <c r="K51" t="str">
        <f t="shared" ca="1" si="1"/>
        <v/>
      </c>
      <c r="L51" t="str">
        <f ca="1">IFERROR(__xludf.DUMMYFUNCTION("IF(AND(NOT(K51 = """"), G51 &gt;= 15),K51/FILTER('Base Stats'!$C$2:$C1000, LOWER('Base Stats'!$B$2:$B1000) = LOWER($A51)), """")"),"")</f>
        <v/>
      </c>
      <c r="M51" t="str">
        <f ca="1">IFERROR(__xludf.DUMMYFUNCTION("1.15 + 0.02 * FILTER('Base Stats'!$C$2:$C1000, LOWER('Base Stats'!$B$2:$B1000) = LOWER($A51))"),"1.95")</f>
        <v>1.95</v>
      </c>
      <c r="N51" t="s">
        <v>527</v>
      </c>
    </row>
    <row r="52" spans="1:14" ht="12.75" x14ac:dyDescent="0.2">
      <c r="A52" s="1" t="s">
        <v>590</v>
      </c>
      <c r="B52" s="1">
        <v>48</v>
      </c>
      <c r="C52" s="1">
        <v>26</v>
      </c>
      <c r="D52" s="1">
        <v>2.63</v>
      </c>
      <c r="E52" s="1">
        <v>0.24</v>
      </c>
      <c r="F52" s="1">
        <v>600</v>
      </c>
      <c r="G52" t="str">
        <f ca="1">IFERROR(__xludf.DUMMYFUNCTION("ROUND(B52/ FILTER('Pokemon CP/HP'!$M$2:$M1000, LOWER('Pokemon CP/HP'!$B$2:$B1000)=LOWER(A52)))"),"9")</f>
        <v>9</v>
      </c>
      <c r="H52" t="str">
        <f ca="1">IFERROR(__xludf.DUMMYFUNCTION("FILTER('Leveling Info'!$B$2:$B1000, 'Leveling Info'!$A$2:$A1000 =G52)"),"600")</f>
        <v>600</v>
      </c>
      <c r="I52" s="29">
        <f t="shared" ca="1" si="0"/>
        <v>3</v>
      </c>
      <c r="J52" s="29" t="str">
        <f ca="1">IFERROR(__xludf.DUMMYFUNCTION("IF(F52 = H52,C52/FILTER('Base Stats'!$C$2:$C1000, LOWER('Base Stats'!$B$2:$B1000) = LOWER($A52)), """")"),"0.65")</f>
        <v>0.65</v>
      </c>
      <c r="K52" t="str">
        <f t="shared" ca="1" si="1"/>
        <v/>
      </c>
      <c r="L52" t="str">
        <f ca="1">IFERROR(__xludf.DUMMYFUNCTION("IF(AND(NOT(K52 = """"), G52 &gt;= 15),K52/FILTER('Base Stats'!$C$2:$C1000, LOWER('Base Stats'!$B$2:$B1000) = LOWER($A52)), """")"),"")</f>
        <v/>
      </c>
      <c r="M52" t="str">
        <f ca="1">IFERROR(__xludf.DUMMYFUNCTION("1.15 + 0.02 * FILTER('Base Stats'!$C$2:$C1000, LOWER('Base Stats'!$B$2:$B1000) = LOWER($A52))"),"1.95")</f>
        <v>1.95</v>
      </c>
      <c r="N52" t="s">
        <v>527</v>
      </c>
    </row>
    <row r="53" spans="1:14" ht="12.75" x14ac:dyDescent="0.2">
      <c r="A53" s="1" t="s">
        <v>590</v>
      </c>
      <c r="B53" s="1">
        <v>46</v>
      </c>
      <c r="C53" s="1">
        <v>24</v>
      </c>
      <c r="D53" s="1">
        <v>2.5499999999999998</v>
      </c>
      <c r="E53" s="1">
        <v>0.27</v>
      </c>
      <c r="F53" s="1">
        <v>600</v>
      </c>
      <c r="G53" t="str">
        <f ca="1">IFERROR(__xludf.DUMMYFUNCTION("ROUND(B53/ FILTER('Pokemon CP/HP'!$M$2:$M1000, LOWER('Pokemon CP/HP'!$B$2:$B1000)=LOWER(A53)))"),"9")</f>
        <v>9</v>
      </c>
      <c r="H53" t="str">
        <f ca="1">IFERROR(__xludf.DUMMYFUNCTION("FILTER('Leveling Info'!$B$2:$B1000, 'Leveling Info'!$A$2:$A1000 =G53)"),"600")</f>
        <v>600</v>
      </c>
      <c r="I53" s="29">
        <f t="shared" ca="1" si="0"/>
        <v>3</v>
      </c>
      <c r="J53" s="29" t="str">
        <f ca="1">IFERROR(__xludf.DUMMYFUNCTION("IF(F53 = H53,C53/FILTER('Base Stats'!$C$2:$C1000, LOWER('Base Stats'!$B$2:$B1000) = LOWER($A53)), """")"),"0.6")</f>
        <v>0.6</v>
      </c>
      <c r="K53" t="str">
        <f t="shared" ca="1" si="1"/>
        <v/>
      </c>
      <c r="L53" t="str">
        <f ca="1">IFERROR(__xludf.DUMMYFUNCTION("IF(AND(NOT(K53 = """"), G53 &gt;= 15),K53/FILTER('Base Stats'!$C$2:$C1000, LOWER('Base Stats'!$B$2:$B1000) = LOWER($A53)), """")"),"")</f>
        <v/>
      </c>
      <c r="M53" t="str">
        <f ca="1">IFERROR(__xludf.DUMMYFUNCTION("1.15 + 0.02 * FILTER('Base Stats'!$C$2:$C1000, LOWER('Base Stats'!$B$2:$B1000) = LOWER($A53))"),"1.95")</f>
        <v>1.95</v>
      </c>
      <c r="N53" t="s">
        <v>527</v>
      </c>
    </row>
    <row r="54" spans="1:14" ht="12.75" x14ac:dyDescent="0.2">
      <c r="A54" s="1" t="s">
        <v>590</v>
      </c>
      <c r="B54" s="1">
        <v>44</v>
      </c>
      <c r="C54" s="1">
        <v>23</v>
      </c>
      <c r="D54" s="1">
        <v>3.35</v>
      </c>
      <c r="E54" s="1">
        <v>0.31</v>
      </c>
      <c r="F54" s="1">
        <v>600</v>
      </c>
      <c r="G54" t="str">
        <f ca="1">IFERROR(__xludf.DUMMYFUNCTION("ROUND(B54/ FILTER('Pokemon CP/HP'!$M$2:$M1000, LOWER('Pokemon CP/HP'!$B$2:$B1000)=LOWER(A54)))"),"8")</f>
        <v>8</v>
      </c>
      <c r="H54" t="str">
        <f ca="1">IFERROR(__xludf.DUMMYFUNCTION("FILTER('Leveling Info'!$B$2:$B1000, 'Leveling Info'!$A$2:$A1000 =G54)"),"400")</f>
        <v>400</v>
      </c>
      <c r="I54" s="29">
        <f t="shared" ca="1" si="0"/>
        <v>2.8284271247461903</v>
      </c>
      <c r="J54" s="29" t="str">
        <f ca="1">IFERROR(__xludf.DUMMYFUNCTION("IF(F54 = H54,C54/FILTER('Base Stats'!$C$2:$C1000, LOWER('Base Stats'!$B$2:$B1000) = LOWER($A54)), """")"),"")</f>
        <v/>
      </c>
      <c r="K54" t="str">
        <f t="shared" ca="1" si="1"/>
        <v/>
      </c>
      <c r="L54" t="str">
        <f ca="1">IFERROR(__xludf.DUMMYFUNCTION("IF(AND(NOT(K54 = """"), G54 &gt;= 15),K54/FILTER('Base Stats'!$C$2:$C1000, LOWER('Base Stats'!$B$2:$B1000) = LOWER($A54)), """")"),"")</f>
        <v/>
      </c>
      <c r="M54" t="str">
        <f ca="1">IFERROR(__xludf.DUMMYFUNCTION("1.15 + 0.02 * FILTER('Base Stats'!$C$2:$C1000, LOWER('Base Stats'!$B$2:$B1000) = LOWER($A54))"),"1.95")</f>
        <v>1.95</v>
      </c>
      <c r="N54" t="s">
        <v>527</v>
      </c>
    </row>
    <row r="55" spans="1:14" ht="12.75" x14ac:dyDescent="0.2">
      <c r="A55" s="1" t="s">
        <v>590</v>
      </c>
      <c r="B55" s="1">
        <v>37</v>
      </c>
      <c r="C55" s="1">
        <v>21</v>
      </c>
      <c r="D55" s="1">
        <v>1.38</v>
      </c>
      <c r="E55" s="1">
        <v>0.23</v>
      </c>
      <c r="F55" s="1">
        <v>400</v>
      </c>
      <c r="G55" t="str">
        <f ca="1">IFERROR(__xludf.DUMMYFUNCTION("ROUND(B55/ FILTER('Pokemon CP/HP'!$M$2:$M1000, LOWER('Pokemon CP/HP'!$B$2:$B1000)=LOWER(A55)))"),"7")</f>
        <v>7</v>
      </c>
      <c r="H55" t="str">
        <f ca="1">IFERROR(__xludf.DUMMYFUNCTION("FILTER('Leveling Info'!$B$2:$B1000, 'Leveling Info'!$A$2:$A1000 =G55)"),"400")</f>
        <v>400</v>
      </c>
      <c r="I55" s="29">
        <f t="shared" ca="1" si="0"/>
        <v>2.6457513110645907</v>
      </c>
      <c r="J55" s="29" t="str">
        <f ca="1">IFERROR(__xludf.DUMMYFUNCTION("IF(F55 = H55,C55/FILTER('Base Stats'!$C$2:$C1000, LOWER('Base Stats'!$B$2:$B1000) = LOWER($A55)), """")"),"0.525")</f>
        <v>0.525</v>
      </c>
      <c r="K55" t="str">
        <f t="shared" ca="1" si="1"/>
        <v/>
      </c>
      <c r="L55" t="str">
        <f ca="1">IFERROR(__xludf.DUMMYFUNCTION("IF(AND(NOT(K55 = """"), G55 &gt;= 15),K55/FILTER('Base Stats'!$C$2:$C1000, LOWER('Base Stats'!$B$2:$B1000) = LOWER($A55)), """")"),"")</f>
        <v/>
      </c>
      <c r="M55" t="str">
        <f ca="1">IFERROR(__xludf.DUMMYFUNCTION("1.15 + 0.02 * FILTER('Base Stats'!$C$2:$C1000, LOWER('Base Stats'!$B$2:$B1000) = LOWER($A55))"),"1.95")</f>
        <v>1.95</v>
      </c>
      <c r="N55" t="s">
        <v>527</v>
      </c>
    </row>
    <row r="56" spans="1:14" ht="12.75" x14ac:dyDescent="0.2">
      <c r="A56" s="1" t="s">
        <v>590</v>
      </c>
      <c r="B56" s="1">
        <v>37</v>
      </c>
      <c r="C56" s="1">
        <v>20</v>
      </c>
      <c r="D56" s="1">
        <v>3.64</v>
      </c>
      <c r="E56" s="1">
        <v>0.32</v>
      </c>
      <c r="F56" s="1">
        <v>400</v>
      </c>
      <c r="G56" t="str">
        <f ca="1">IFERROR(__xludf.DUMMYFUNCTION("ROUND(B56/ FILTER('Pokemon CP/HP'!$M$2:$M1000, LOWER('Pokemon CP/HP'!$B$2:$B1000)=LOWER(A56)))"),"7")</f>
        <v>7</v>
      </c>
      <c r="H56" t="str">
        <f ca="1">IFERROR(__xludf.DUMMYFUNCTION("FILTER('Leveling Info'!$B$2:$B1000, 'Leveling Info'!$A$2:$A1000 =G56)"),"400")</f>
        <v>400</v>
      </c>
      <c r="I56" s="29">
        <f t="shared" ca="1" si="0"/>
        <v>2.6457513110645907</v>
      </c>
      <c r="J56" s="29" t="str">
        <f ca="1">IFERROR(__xludf.DUMMYFUNCTION("IF(F56 = H56,C56/FILTER('Base Stats'!$C$2:$C1000, LOWER('Base Stats'!$B$2:$B1000) = LOWER($A56)), """")"),"0.5")</f>
        <v>0.5</v>
      </c>
      <c r="K56" t="str">
        <f t="shared" ca="1" si="1"/>
        <v/>
      </c>
      <c r="L56" t="str">
        <f ca="1">IFERROR(__xludf.DUMMYFUNCTION("IF(AND(NOT(K56 = """"), G56 &gt;= 15),K56/FILTER('Base Stats'!$C$2:$C1000, LOWER('Base Stats'!$B$2:$B1000) = LOWER($A56)), """")"),"")</f>
        <v/>
      </c>
      <c r="M56" t="str">
        <f ca="1">IFERROR(__xludf.DUMMYFUNCTION("1.15 + 0.02 * FILTER('Base Stats'!$C$2:$C1000, LOWER('Base Stats'!$B$2:$B1000) = LOWER($A56))"),"1.95")</f>
        <v>1.95</v>
      </c>
      <c r="N56" t="s">
        <v>527</v>
      </c>
    </row>
    <row r="57" spans="1:14" ht="12.75" x14ac:dyDescent="0.2">
      <c r="A57" s="1" t="s">
        <v>590</v>
      </c>
      <c r="B57" s="1">
        <v>37</v>
      </c>
      <c r="C57" s="1">
        <v>21</v>
      </c>
      <c r="D57" s="1">
        <v>2.46</v>
      </c>
      <c r="E57" s="1">
        <v>0.27</v>
      </c>
      <c r="F57" s="1">
        <v>400</v>
      </c>
      <c r="G57" t="str">
        <f ca="1">IFERROR(__xludf.DUMMYFUNCTION("ROUND(B57/ FILTER('Pokemon CP/HP'!$M$2:$M1000, LOWER('Pokemon CP/HP'!$B$2:$B1000)=LOWER(A57)))"),"7")</f>
        <v>7</v>
      </c>
      <c r="H57" t="str">
        <f ca="1">IFERROR(__xludf.DUMMYFUNCTION("FILTER('Leveling Info'!$B$2:$B1000, 'Leveling Info'!$A$2:$A1000 =G57)"),"400")</f>
        <v>400</v>
      </c>
      <c r="I57" s="29">
        <f t="shared" ca="1" si="0"/>
        <v>2.6457513110645907</v>
      </c>
      <c r="J57" s="29" t="str">
        <f ca="1">IFERROR(__xludf.DUMMYFUNCTION("IF(F57 = H57,C57/FILTER('Base Stats'!$C$2:$C1000, LOWER('Base Stats'!$B$2:$B1000) = LOWER($A57)), """")"),"0.525")</f>
        <v>0.525</v>
      </c>
      <c r="K57" t="str">
        <f t="shared" ca="1" si="1"/>
        <v/>
      </c>
      <c r="L57" t="str">
        <f ca="1">IFERROR(__xludf.DUMMYFUNCTION("IF(AND(NOT(K57 = """"), G57 &gt;= 15),K57/FILTER('Base Stats'!$C$2:$C1000, LOWER('Base Stats'!$B$2:$B1000) = LOWER($A57)), """")"),"")</f>
        <v/>
      </c>
      <c r="M57" t="str">
        <f ca="1">IFERROR(__xludf.DUMMYFUNCTION("1.15 + 0.02 * FILTER('Base Stats'!$C$2:$C1000, LOWER('Base Stats'!$B$2:$B1000) = LOWER($A57))"),"1.95")</f>
        <v>1.95</v>
      </c>
      <c r="N57" t="s">
        <v>527</v>
      </c>
    </row>
    <row r="58" spans="1:14" ht="12.75" x14ac:dyDescent="0.2">
      <c r="A58" s="1" t="s">
        <v>590</v>
      </c>
      <c r="B58" s="1">
        <v>35</v>
      </c>
      <c r="C58" s="1">
        <v>20</v>
      </c>
      <c r="D58" s="1">
        <v>2.7</v>
      </c>
      <c r="E58" s="1">
        <v>0.25</v>
      </c>
      <c r="F58" s="1">
        <v>400</v>
      </c>
      <c r="G58" t="str">
        <f ca="1">IFERROR(__xludf.DUMMYFUNCTION("ROUND(B58/ FILTER('Pokemon CP/HP'!$M$2:$M1000, LOWER('Pokemon CP/HP'!$B$2:$B1000)=LOWER(A58)))"),"7")</f>
        <v>7</v>
      </c>
      <c r="H58" t="str">
        <f ca="1">IFERROR(__xludf.DUMMYFUNCTION("FILTER('Leveling Info'!$B$2:$B1000, 'Leveling Info'!$A$2:$A1000 =G58)"),"400")</f>
        <v>400</v>
      </c>
      <c r="I58" s="29">
        <f t="shared" ca="1" si="0"/>
        <v>2.6457513110645907</v>
      </c>
      <c r="J58" s="29" t="str">
        <f ca="1">IFERROR(__xludf.DUMMYFUNCTION("IF(F58 = H58,C58/FILTER('Base Stats'!$C$2:$C1000, LOWER('Base Stats'!$B$2:$B1000) = LOWER($A58)), """")"),"0.5")</f>
        <v>0.5</v>
      </c>
      <c r="K58" t="str">
        <f t="shared" ca="1" si="1"/>
        <v/>
      </c>
      <c r="L58" t="str">
        <f ca="1">IFERROR(__xludf.DUMMYFUNCTION("IF(AND(NOT(K58 = """"), G58 &gt;= 15),K58/FILTER('Base Stats'!$C$2:$C1000, LOWER('Base Stats'!$B$2:$B1000) = LOWER($A58)), """")"),"")</f>
        <v/>
      </c>
      <c r="M58" t="str">
        <f ca="1">IFERROR(__xludf.DUMMYFUNCTION("1.15 + 0.02 * FILTER('Base Stats'!$C$2:$C1000, LOWER('Base Stats'!$B$2:$B1000) = LOWER($A58))"),"1.95")</f>
        <v>1.95</v>
      </c>
      <c r="N58" t="s">
        <v>527</v>
      </c>
    </row>
    <row r="59" spans="1:14" ht="12.75" x14ac:dyDescent="0.2">
      <c r="A59" s="1" t="s">
        <v>590</v>
      </c>
      <c r="B59" s="1">
        <v>35</v>
      </c>
      <c r="C59" s="1">
        <v>21</v>
      </c>
      <c r="D59" s="1">
        <v>3.85</v>
      </c>
      <c r="E59" s="1">
        <v>0.34</v>
      </c>
      <c r="F59" s="1">
        <v>400</v>
      </c>
      <c r="G59" t="str">
        <f ca="1">IFERROR(__xludf.DUMMYFUNCTION("ROUND(B59/ FILTER('Pokemon CP/HP'!$M$2:$M1000, LOWER('Pokemon CP/HP'!$B$2:$B1000)=LOWER(A59)))"),"7")</f>
        <v>7</v>
      </c>
      <c r="H59" t="str">
        <f ca="1">IFERROR(__xludf.DUMMYFUNCTION("FILTER('Leveling Info'!$B$2:$B1000, 'Leveling Info'!$A$2:$A1000 =G59)"),"400")</f>
        <v>400</v>
      </c>
      <c r="I59" s="29">
        <f t="shared" ca="1" si="0"/>
        <v>2.6457513110645907</v>
      </c>
      <c r="J59" s="29" t="str">
        <f ca="1">IFERROR(__xludf.DUMMYFUNCTION("IF(F59 = H59,C59/FILTER('Base Stats'!$C$2:$C1000, LOWER('Base Stats'!$B$2:$B1000) = LOWER($A59)), """")"),"0.525")</f>
        <v>0.525</v>
      </c>
      <c r="K59" t="str">
        <f t="shared" ca="1" si="1"/>
        <v/>
      </c>
      <c r="L59" t="str">
        <f ca="1">IFERROR(__xludf.DUMMYFUNCTION("IF(AND(NOT(K59 = """"), G59 &gt;= 15),K59/FILTER('Base Stats'!$C$2:$C1000, LOWER('Base Stats'!$B$2:$B1000) = LOWER($A59)), """")"),"")</f>
        <v/>
      </c>
      <c r="M59" t="str">
        <f ca="1">IFERROR(__xludf.DUMMYFUNCTION("1.15 + 0.02 * FILTER('Base Stats'!$C$2:$C1000, LOWER('Base Stats'!$B$2:$B1000) = LOWER($A59))"),"1.95")</f>
        <v>1.95</v>
      </c>
      <c r="N59" t="s">
        <v>527</v>
      </c>
    </row>
    <row r="60" spans="1:14" ht="12.75" x14ac:dyDescent="0.2">
      <c r="A60" s="1" t="s">
        <v>590</v>
      </c>
      <c r="B60" s="1">
        <v>35</v>
      </c>
      <c r="C60" s="1">
        <v>22</v>
      </c>
      <c r="D60" s="1">
        <v>3.97</v>
      </c>
      <c r="E60" s="1">
        <v>0.34</v>
      </c>
      <c r="F60" s="1">
        <v>400</v>
      </c>
      <c r="G60" t="str">
        <f ca="1">IFERROR(__xludf.DUMMYFUNCTION("ROUND(B60/ FILTER('Pokemon CP/HP'!$M$2:$M1000, LOWER('Pokemon CP/HP'!$B$2:$B1000)=LOWER(A60)))"),"7")</f>
        <v>7</v>
      </c>
      <c r="H60" t="str">
        <f ca="1">IFERROR(__xludf.DUMMYFUNCTION("FILTER('Leveling Info'!$B$2:$B1000, 'Leveling Info'!$A$2:$A1000 =G60)"),"400")</f>
        <v>400</v>
      </c>
      <c r="I60" s="29">
        <f t="shared" ca="1" si="0"/>
        <v>2.6457513110645907</v>
      </c>
      <c r="J60" s="29" t="str">
        <f ca="1">IFERROR(__xludf.DUMMYFUNCTION("IF(F60 = H60,C60/FILTER('Base Stats'!$C$2:$C1000, LOWER('Base Stats'!$B$2:$B1000) = LOWER($A60)), """")"),"0.55")</f>
        <v>0.55</v>
      </c>
      <c r="K60" t="str">
        <f t="shared" ca="1" si="1"/>
        <v/>
      </c>
      <c r="L60" t="str">
        <f ca="1">IFERROR(__xludf.DUMMYFUNCTION("IF(AND(NOT(K60 = """"), G60 &gt;= 15),K60/FILTER('Base Stats'!$C$2:$C1000, LOWER('Base Stats'!$B$2:$B1000) = LOWER($A60)), """")"),"")</f>
        <v/>
      </c>
      <c r="M60" t="str">
        <f ca="1">IFERROR(__xludf.DUMMYFUNCTION("1.15 + 0.02 * FILTER('Base Stats'!$C$2:$C1000, LOWER('Base Stats'!$B$2:$B1000) = LOWER($A60))"),"1.95")</f>
        <v>1.95</v>
      </c>
      <c r="N60" t="s">
        <v>527</v>
      </c>
    </row>
    <row r="61" spans="1:14" ht="12.75" x14ac:dyDescent="0.2">
      <c r="A61" s="1" t="s">
        <v>590</v>
      </c>
      <c r="B61" s="1">
        <v>27</v>
      </c>
      <c r="C61" s="1">
        <v>20</v>
      </c>
      <c r="D61" s="1">
        <v>2.67</v>
      </c>
      <c r="E61" s="1">
        <v>0.32</v>
      </c>
      <c r="F61" s="1">
        <v>400</v>
      </c>
      <c r="G61" t="str">
        <f ca="1">IFERROR(__xludf.DUMMYFUNCTION("ROUND(B61/ FILTER('Pokemon CP/HP'!$M$2:$M1000, LOWER('Pokemon CP/HP'!$B$2:$B1000)=LOWER(A61)))"),"5")</f>
        <v>5</v>
      </c>
      <c r="H61" t="str">
        <f ca="1">IFERROR(__xludf.DUMMYFUNCTION("FILTER('Leveling Info'!$B$2:$B1000, 'Leveling Info'!$A$2:$A1000 =G61)"),"400")</f>
        <v>400</v>
      </c>
      <c r="I61" s="29">
        <f t="shared" ca="1" si="0"/>
        <v>2.2360679774997898</v>
      </c>
      <c r="J61" s="29" t="str">
        <f ca="1">IFERROR(__xludf.DUMMYFUNCTION("IF(F61 = H61,C61/FILTER('Base Stats'!$C$2:$C1000, LOWER('Base Stats'!$B$2:$B1000) = LOWER($A61)), """")"),"0.5")</f>
        <v>0.5</v>
      </c>
      <c r="K61" t="str">
        <f t="shared" ca="1" si="1"/>
        <v/>
      </c>
      <c r="L61" t="str">
        <f ca="1">IFERROR(__xludf.DUMMYFUNCTION("IF(AND(NOT(K61 = """"), G61 &gt;= 15),K61/FILTER('Base Stats'!$C$2:$C1000, LOWER('Base Stats'!$B$2:$B1000) = LOWER($A61)), """")"),"")</f>
        <v/>
      </c>
      <c r="M61" t="str">
        <f ca="1">IFERROR(__xludf.DUMMYFUNCTION("1.15 + 0.02 * FILTER('Base Stats'!$C$2:$C1000, LOWER('Base Stats'!$B$2:$B1000) = LOWER($A61))"),"1.95")</f>
        <v>1.95</v>
      </c>
      <c r="N61" t="s">
        <v>527</v>
      </c>
    </row>
    <row r="62" spans="1:14" ht="12.75" x14ac:dyDescent="0.2">
      <c r="A62" s="1" t="s">
        <v>590</v>
      </c>
      <c r="B62" s="1">
        <v>27</v>
      </c>
      <c r="C62" s="1">
        <v>20</v>
      </c>
      <c r="D62" s="1">
        <v>3.91</v>
      </c>
      <c r="E62" s="1">
        <v>0.35</v>
      </c>
      <c r="F62" s="1">
        <v>400</v>
      </c>
      <c r="G62" t="str">
        <f ca="1">IFERROR(__xludf.DUMMYFUNCTION("ROUND(B62/ FILTER('Pokemon CP/HP'!$M$2:$M1000, LOWER('Pokemon CP/HP'!$B$2:$B1000)=LOWER(A62)))"),"5")</f>
        <v>5</v>
      </c>
      <c r="H62" t="str">
        <f ca="1">IFERROR(__xludf.DUMMYFUNCTION("FILTER('Leveling Info'!$B$2:$B1000, 'Leveling Info'!$A$2:$A1000 =G62)"),"400")</f>
        <v>400</v>
      </c>
      <c r="I62" s="29">
        <f t="shared" ca="1" si="0"/>
        <v>2.2360679774997898</v>
      </c>
      <c r="J62" s="29" t="str">
        <f ca="1">IFERROR(__xludf.DUMMYFUNCTION("IF(F62 = H62,C62/FILTER('Base Stats'!$C$2:$C1000, LOWER('Base Stats'!$B$2:$B1000) = LOWER($A62)), """")"),"0.5")</f>
        <v>0.5</v>
      </c>
      <c r="K62" t="str">
        <f t="shared" ca="1" si="1"/>
        <v/>
      </c>
      <c r="L62" t="str">
        <f ca="1">IFERROR(__xludf.DUMMYFUNCTION("IF(AND(NOT(K62 = """"), G62 &gt;= 15),K62/FILTER('Base Stats'!$C$2:$C1000, LOWER('Base Stats'!$B$2:$B1000) = LOWER($A62)), """")"),"")</f>
        <v/>
      </c>
      <c r="M62" t="str">
        <f ca="1">IFERROR(__xludf.DUMMYFUNCTION("1.15 + 0.02 * FILTER('Base Stats'!$C$2:$C1000, LOWER('Base Stats'!$B$2:$B1000) = LOWER($A62))"),"1.95")</f>
        <v>1.95</v>
      </c>
      <c r="N62" t="s">
        <v>527</v>
      </c>
    </row>
    <row r="63" spans="1:14" ht="12.75" x14ac:dyDescent="0.2">
      <c r="A63" s="1" t="s">
        <v>590</v>
      </c>
      <c r="B63" s="1">
        <v>26</v>
      </c>
      <c r="C63" s="1">
        <v>20</v>
      </c>
      <c r="D63" s="1">
        <v>2.8</v>
      </c>
      <c r="E63" s="1">
        <v>0.28999999999999998</v>
      </c>
      <c r="F63" s="1">
        <v>400</v>
      </c>
      <c r="G63" t="str">
        <f ca="1">IFERROR(__xludf.DUMMYFUNCTION("ROUND(B63/ FILTER('Pokemon CP/HP'!$M$2:$M1000, LOWER('Pokemon CP/HP'!$B$2:$B1000)=LOWER(A63)))"),"5")</f>
        <v>5</v>
      </c>
      <c r="H63" t="str">
        <f ca="1">IFERROR(__xludf.DUMMYFUNCTION("FILTER('Leveling Info'!$B$2:$B1000, 'Leveling Info'!$A$2:$A1000 =G63)"),"400")</f>
        <v>400</v>
      </c>
      <c r="I63" s="29">
        <f t="shared" ca="1" si="0"/>
        <v>2.2360679774997898</v>
      </c>
      <c r="J63" s="29" t="str">
        <f ca="1">IFERROR(__xludf.DUMMYFUNCTION("IF(F63 = H63,C63/FILTER('Base Stats'!$C$2:$C1000, LOWER('Base Stats'!$B$2:$B1000) = LOWER($A63)), """")"),"0.5")</f>
        <v>0.5</v>
      </c>
      <c r="K63" t="str">
        <f t="shared" ca="1" si="1"/>
        <v/>
      </c>
      <c r="L63" t="str">
        <f ca="1">IFERROR(__xludf.DUMMYFUNCTION("IF(AND(NOT(K63 = """"), G63 &gt;= 15),K63/FILTER('Base Stats'!$C$2:$C1000, LOWER('Base Stats'!$B$2:$B1000) = LOWER($A63)), """")"),"")</f>
        <v/>
      </c>
      <c r="M63" t="str">
        <f ca="1">IFERROR(__xludf.DUMMYFUNCTION("1.15 + 0.02 * FILTER('Base Stats'!$C$2:$C1000, LOWER('Base Stats'!$B$2:$B1000) = LOWER($A63))"),"1.95")</f>
        <v>1.95</v>
      </c>
      <c r="N63" t="s">
        <v>527</v>
      </c>
    </row>
    <row r="64" spans="1:14" ht="12.75" x14ac:dyDescent="0.2">
      <c r="A64" s="1" t="s">
        <v>590</v>
      </c>
      <c r="B64" s="1">
        <v>16</v>
      </c>
      <c r="C64" s="1">
        <v>15</v>
      </c>
      <c r="D64" s="1">
        <v>1.89</v>
      </c>
      <c r="E64" s="1">
        <v>0.26</v>
      </c>
      <c r="F64" s="1">
        <v>200</v>
      </c>
      <c r="G64" t="str">
        <f ca="1">IFERROR(__xludf.DUMMYFUNCTION("ROUND(B64/ FILTER('Pokemon CP/HP'!$M$2:$M1000, LOWER('Pokemon CP/HP'!$B$2:$B1000)=LOWER(A64)))"),"3")</f>
        <v>3</v>
      </c>
      <c r="H64" t="str">
        <f ca="1">IFERROR(__xludf.DUMMYFUNCTION("FILTER('Leveling Info'!$B$2:$B1000, 'Leveling Info'!$A$2:$A1000 =G64)"),"200")</f>
        <v>200</v>
      </c>
      <c r="I64" s="29">
        <f t="shared" ca="1" si="0"/>
        <v>1.7320508075688772</v>
      </c>
      <c r="J64" s="29" t="str">
        <f ca="1">IFERROR(__xludf.DUMMYFUNCTION("IF(F64 = H64,C64/FILTER('Base Stats'!$C$2:$C1000, LOWER('Base Stats'!$B$2:$B1000) = LOWER($A64)), """")"),"0.375")</f>
        <v>0.375</v>
      </c>
      <c r="K64" t="str">
        <f t="shared" ca="1" si="1"/>
        <v/>
      </c>
      <c r="L64" t="str">
        <f ca="1">IFERROR(__xludf.DUMMYFUNCTION("IF(AND(NOT(K64 = """"), G64 &gt;= 15),K64/FILTER('Base Stats'!$C$2:$C1000, LOWER('Base Stats'!$B$2:$B1000) = LOWER($A64)), """")"),"")</f>
        <v/>
      </c>
      <c r="M64" t="str">
        <f ca="1">IFERROR(__xludf.DUMMYFUNCTION("1.15 + 0.02 * FILTER('Base Stats'!$C$2:$C1000, LOWER('Base Stats'!$B$2:$B1000) = LOWER($A64))"),"1.95")</f>
        <v>1.95</v>
      </c>
      <c r="N64" t="s">
        <v>527</v>
      </c>
    </row>
    <row r="65" spans="1:14" ht="12.75" x14ac:dyDescent="0.2">
      <c r="A65" s="1" t="s">
        <v>590</v>
      </c>
      <c r="B65" s="1">
        <v>15</v>
      </c>
      <c r="C65" s="1">
        <v>14</v>
      </c>
      <c r="D65" s="1">
        <v>3.18</v>
      </c>
      <c r="E65" s="1">
        <v>0.28999999999999998</v>
      </c>
      <c r="F65" s="1">
        <v>200</v>
      </c>
      <c r="G65" t="str">
        <f ca="1">IFERROR(__xludf.DUMMYFUNCTION("ROUND(B65/ FILTER('Pokemon CP/HP'!$M$2:$M1000, LOWER('Pokemon CP/HP'!$B$2:$B1000)=LOWER(A65)))"),"3")</f>
        <v>3</v>
      </c>
      <c r="H65" t="str">
        <f ca="1">IFERROR(__xludf.DUMMYFUNCTION("FILTER('Leveling Info'!$B$2:$B1000, 'Leveling Info'!$A$2:$A1000 =G65)"),"200")</f>
        <v>200</v>
      </c>
      <c r="I65" s="29">
        <f t="shared" ca="1" si="0"/>
        <v>1.7320508075688772</v>
      </c>
      <c r="J65" s="29" t="str">
        <f ca="1">IFERROR(__xludf.DUMMYFUNCTION("IF(F65 = H65,C65/FILTER('Base Stats'!$C$2:$C1000, LOWER('Base Stats'!$B$2:$B1000) = LOWER($A65)), """")"),"0.35")</f>
        <v>0.35</v>
      </c>
      <c r="K65" t="str">
        <f t="shared" ca="1" si="1"/>
        <v/>
      </c>
      <c r="L65" t="str">
        <f ca="1">IFERROR(__xludf.DUMMYFUNCTION("IF(AND(NOT(K65 = """"), G65 &gt;= 15),K65/FILTER('Base Stats'!$C$2:$C1000, LOWER('Base Stats'!$B$2:$B1000) = LOWER($A65)), """")"),"")</f>
        <v/>
      </c>
      <c r="M65" t="str">
        <f ca="1">IFERROR(__xludf.DUMMYFUNCTION("1.15 + 0.02 * FILTER('Base Stats'!$C$2:$C1000, LOWER('Base Stats'!$B$2:$B1000) = LOWER($A65))"),"1.95")</f>
        <v>1.95</v>
      </c>
      <c r="N65" t="s">
        <v>527</v>
      </c>
    </row>
    <row r="66" spans="1:14" ht="12.75" x14ac:dyDescent="0.2">
      <c r="A66" s="1" t="s">
        <v>590</v>
      </c>
      <c r="B66" s="1">
        <v>15</v>
      </c>
      <c r="C66" s="1">
        <v>15</v>
      </c>
      <c r="D66" s="1">
        <v>3.65</v>
      </c>
      <c r="E66" s="1">
        <v>0.32</v>
      </c>
      <c r="F66" s="1">
        <v>400</v>
      </c>
      <c r="G66" t="str">
        <f ca="1">IFERROR(__xludf.DUMMYFUNCTION("ROUND(B66/ FILTER('Pokemon CP/HP'!$M$2:$M1000, LOWER('Pokemon CP/HP'!$B$2:$B1000)=LOWER(A66)))"),"3")</f>
        <v>3</v>
      </c>
      <c r="H66" t="str">
        <f ca="1">IFERROR(__xludf.DUMMYFUNCTION("FILTER('Leveling Info'!$B$2:$B1000, 'Leveling Info'!$A$2:$A1000 =G66)"),"200")</f>
        <v>200</v>
      </c>
      <c r="I66" s="29">
        <f t="shared" ca="1" si="0"/>
        <v>1.7320508075688772</v>
      </c>
      <c r="J66" s="29" t="str">
        <f ca="1">IFERROR(__xludf.DUMMYFUNCTION("IF(F66 = H66,C66/FILTER('Base Stats'!$C$2:$C1000, LOWER('Base Stats'!$B$2:$B1000) = LOWER($A66)), """")"),"")</f>
        <v/>
      </c>
      <c r="K66" t="str">
        <f t="shared" ca="1" si="1"/>
        <v/>
      </c>
      <c r="L66" t="str">
        <f ca="1">IFERROR(__xludf.DUMMYFUNCTION("IF(AND(NOT(K66 = """"), G66 &gt;= 15),K66/FILTER('Base Stats'!$C$2:$C1000, LOWER('Base Stats'!$B$2:$B1000) = LOWER($A66)), """")"),"")</f>
        <v/>
      </c>
      <c r="M66" t="str">
        <f ca="1">IFERROR(__xludf.DUMMYFUNCTION("1.15 + 0.02 * FILTER('Base Stats'!$C$2:$C1000, LOWER('Base Stats'!$B$2:$B1000) = LOWER($A66))"),"1.95")</f>
        <v>1.95</v>
      </c>
      <c r="N66" t="s">
        <v>527</v>
      </c>
    </row>
    <row r="67" spans="1:14" ht="12.75" x14ac:dyDescent="0.2">
      <c r="A67" s="1" t="s">
        <v>590</v>
      </c>
      <c r="B67" s="1">
        <v>14</v>
      </c>
      <c r="C67" s="1">
        <v>14</v>
      </c>
      <c r="D67" s="1">
        <v>2.5499999999999998</v>
      </c>
      <c r="E67" s="1">
        <v>0.28999999999999998</v>
      </c>
      <c r="F67" s="1">
        <v>200</v>
      </c>
      <c r="G67" t="str">
        <f ca="1">IFERROR(__xludf.DUMMYFUNCTION("ROUND(B67/ FILTER('Pokemon CP/HP'!$M$2:$M1000, LOWER('Pokemon CP/HP'!$B$2:$B1000)=LOWER(A67)))"),"3")</f>
        <v>3</v>
      </c>
      <c r="H67" t="str">
        <f ca="1">IFERROR(__xludf.DUMMYFUNCTION("FILTER('Leveling Info'!$B$2:$B1000, 'Leveling Info'!$A$2:$A1000 =G67)"),"200")</f>
        <v>200</v>
      </c>
      <c r="I67" s="29">
        <f t="shared" ca="1" si="0"/>
        <v>1.7320508075688772</v>
      </c>
      <c r="J67" s="29" t="str">
        <f ca="1">IFERROR(__xludf.DUMMYFUNCTION("IF(F67 = H67,C67/FILTER('Base Stats'!$C$2:$C1000, LOWER('Base Stats'!$B$2:$B1000) = LOWER($A67)), """")"),"0.35")</f>
        <v>0.35</v>
      </c>
      <c r="K67" t="str">
        <f t="shared" ca="1" si="1"/>
        <v/>
      </c>
      <c r="L67" t="str">
        <f ca="1">IFERROR(__xludf.DUMMYFUNCTION("IF(AND(NOT(K67 = """"), G67 &gt;= 15),K67/FILTER('Base Stats'!$C$2:$C1000, LOWER('Base Stats'!$B$2:$B1000) = LOWER($A67)), """")"),"")</f>
        <v/>
      </c>
      <c r="M67" t="str">
        <f ca="1">IFERROR(__xludf.DUMMYFUNCTION("1.15 + 0.02 * FILTER('Base Stats'!$C$2:$C1000, LOWER('Base Stats'!$B$2:$B1000) = LOWER($A67))"),"1.95")</f>
        <v>1.95</v>
      </c>
      <c r="N67" t="s">
        <v>527</v>
      </c>
    </row>
    <row r="68" spans="1:14" ht="12.75" x14ac:dyDescent="0.2">
      <c r="A68" s="1" t="s">
        <v>590</v>
      </c>
      <c r="B68" s="1">
        <v>14</v>
      </c>
      <c r="C68" s="1">
        <v>14</v>
      </c>
      <c r="D68" s="1">
        <v>3.82</v>
      </c>
      <c r="E68" s="1">
        <v>0.36</v>
      </c>
      <c r="F68" s="1">
        <v>200</v>
      </c>
      <c r="G68" t="str">
        <f ca="1">IFERROR(__xludf.DUMMYFUNCTION("ROUND(B68/ FILTER('Pokemon CP/HP'!$M$2:$M1000, LOWER('Pokemon CP/HP'!$B$2:$B1000)=LOWER(A68)))"),"3")</f>
        <v>3</v>
      </c>
      <c r="H68" t="str">
        <f ca="1">IFERROR(__xludf.DUMMYFUNCTION("FILTER('Leveling Info'!$B$2:$B1000, 'Leveling Info'!$A$2:$A1000 =G68)"),"200")</f>
        <v>200</v>
      </c>
      <c r="I68" s="29">
        <f t="shared" ca="1" si="0"/>
        <v>1.7320508075688772</v>
      </c>
      <c r="J68" s="29" t="str">
        <f ca="1">IFERROR(__xludf.DUMMYFUNCTION("IF(F68 = H68,C68/FILTER('Base Stats'!$C$2:$C1000, LOWER('Base Stats'!$B$2:$B1000) = LOWER($A68)), """")"),"0.35")</f>
        <v>0.35</v>
      </c>
      <c r="K68" t="str">
        <f t="shared" ca="1" si="1"/>
        <v/>
      </c>
      <c r="L68" t="str">
        <f ca="1">IFERROR(__xludf.DUMMYFUNCTION("IF(AND(NOT(K68 = """"), G68 &gt;= 15),K68/FILTER('Base Stats'!$C$2:$C1000, LOWER('Base Stats'!$B$2:$B1000) = LOWER($A68)), """")"),"")</f>
        <v/>
      </c>
      <c r="M68" t="str">
        <f ca="1">IFERROR(__xludf.DUMMYFUNCTION("1.15 + 0.02 * FILTER('Base Stats'!$C$2:$C1000, LOWER('Base Stats'!$B$2:$B1000) = LOWER($A68))"),"1.95")</f>
        <v>1.95</v>
      </c>
      <c r="N68" t="s">
        <v>527</v>
      </c>
    </row>
    <row r="69" spans="1:14" ht="12.75" x14ac:dyDescent="0.2">
      <c r="A69" s="1" t="s">
        <v>590</v>
      </c>
      <c r="B69" s="1">
        <v>10</v>
      </c>
      <c r="C69" s="1">
        <v>10</v>
      </c>
      <c r="D69" s="1">
        <v>3.3</v>
      </c>
      <c r="E69" s="1">
        <v>0.31</v>
      </c>
      <c r="F69" s="1">
        <v>200</v>
      </c>
      <c r="G69" t="str">
        <f ca="1">IFERROR(__xludf.DUMMYFUNCTION("ROUND(B69/ FILTER('Pokemon CP/HP'!$M$2:$M1000, LOWER('Pokemon CP/HP'!$B$2:$B1000)=LOWER(A69)))"),"2")</f>
        <v>2</v>
      </c>
      <c r="H69" t="str">
        <f ca="1">IFERROR(__xludf.DUMMYFUNCTION("FILTER('Leveling Info'!$B$2:$B1000, 'Leveling Info'!$A$2:$A1000 =G69)"),"200")</f>
        <v>200</v>
      </c>
      <c r="I69" s="29">
        <f t="shared" ca="1" si="0"/>
        <v>1.4142135623730951</v>
      </c>
      <c r="J69" s="29" t="str">
        <f ca="1">IFERROR(__xludf.DUMMYFUNCTION("IF(F69 = H69,C69/FILTER('Base Stats'!$C$2:$C1000, LOWER('Base Stats'!$B$2:$B1000) = LOWER($A69)), """")"),"0.25")</f>
        <v>0.25</v>
      </c>
      <c r="K69" t="str">
        <f t="shared" ca="1" si="1"/>
        <v/>
      </c>
      <c r="L69" t="str">
        <f ca="1">IFERROR(__xludf.DUMMYFUNCTION("IF(AND(NOT(K69 = """"), G69 &gt;= 15),K69/FILTER('Base Stats'!$C$2:$C1000, LOWER('Base Stats'!$B$2:$B1000) = LOWER($A69)), """")"),"")</f>
        <v/>
      </c>
      <c r="M69" t="str">
        <f ca="1">IFERROR(__xludf.DUMMYFUNCTION("1.15 + 0.02 * FILTER('Base Stats'!$C$2:$C1000, LOWER('Base Stats'!$B$2:$B1000) = LOWER($A69))"),"1.95")</f>
        <v>1.95</v>
      </c>
      <c r="N69" t="s">
        <v>527</v>
      </c>
    </row>
    <row r="70" spans="1:14" ht="12.75" x14ac:dyDescent="0.2">
      <c r="A70" s="1" t="s">
        <v>590</v>
      </c>
      <c r="B70" s="1">
        <v>10</v>
      </c>
      <c r="C70" s="1">
        <v>10</v>
      </c>
      <c r="D70" s="1">
        <v>3.49</v>
      </c>
      <c r="E70" s="1">
        <v>0.28999999999999998</v>
      </c>
      <c r="F70" s="1">
        <v>200</v>
      </c>
      <c r="G70" t="str">
        <f ca="1">IFERROR(__xludf.DUMMYFUNCTION("ROUND(B70/ FILTER('Pokemon CP/HP'!$M$2:$M1000, LOWER('Pokemon CP/HP'!$B$2:$B1000)=LOWER(A70)))"),"2")</f>
        <v>2</v>
      </c>
      <c r="H70" t="str">
        <f ca="1">IFERROR(__xludf.DUMMYFUNCTION("FILTER('Leveling Info'!$B$2:$B1000, 'Leveling Info'!$A$2:$A1000 =G70)"),"200")</f>
        <v>200</v>
      </c>
      <c r="I70" s="29">
        <f t="shared" ca="1" si="0"/>
        <v>1.4142135623730951</v>
      </c>
      <c r="J70" s="29" t="str">
        <f ca="1">IFERROR(__xludf.DUMMYFUNCTION("IF(F70 = H70,C70/FILTER('Base Stats'!$C$2:$C1000, LOWER('Base Stats'!$B$2:$B1000) = LOWER($A70)), """")"),"0.25")</f>
        <v>0.25</v>
      </c>
      <c r="K70" t="str">
        <f t="shared" ca="1" si="1"/>
        <v/>
      </c>
      <c r="L70" t="str">
        <f ca="1">IFERROR(__xludf.DUMMYFUNCTION("IF(AND(NOT(K70 = """"), G70 &gt;= 15),K70/FILTER('Base Stats'!$C$2:$C1000, LOWER('Base Stats'!$B$2:$B1000) = LOWER($A70)), """")"),"")</f>
        <v/>
      </c>
      <c r="M70" t="str">
        <f ca="1">IFERROR(__xludf.DUMMYFUNCTION("1.15 + 0.02 * FILTER('Base Stats'!$C$2:$C1000, LOWER('Base Stats'!$B$2:$B1000) = LOWER($A70))"),"1.95")</f>
        <v>1.95</v>
      </c>
      <c r="N70" t="s">
        <v>527</v>
      </c>
    </row>
    <row r="71" spans="1:14" ht="12.75" x14ac:dyDescent="0.2">
      <c r="A71" s="1" t="s">
        <v>590</v>
      </c>
      <c r="B71" s="1">
        <v>10</v>
      </c>
      <c r="C71" s="1">
        <v>10</v>
      </c>
      <c r="D71" s="1">
        <v>4.2699999999999996</v>
      </c>
      <c r="E71" s="1">
        <v>0.33</v>
      </c>
      <c r="F71" s="1">
        <v>200</v>
      </c>
      <c r="G71" t="str">
        <f ca="1">IFERROR(__xludf.DUMMYFUNCTION("ROUND(B71/ FILTER('Pokemon CP/HP'!$M$2:$M1000, LOWER('Pokemon CP/HP'!$B$2:$B1000)=LOWER(A71)))"),"2")</f>
        <v>2</v>
      </c>
      <c r="H71" t="str">
        <f ca="1">IFERROR(__xludf.DUMMYFUNCTION("FILTER('Leveling Info'!$B$2:$B1000, 'Leveling Info'!$A$2:$A1000 =G71)"),"200")</f>
        <v>200</v>
      </c>
      <c r="I71" s="29">
        <f t="shared" ca="1" si="0"/>
        <v>1.4142135623730951</v>
      </c>
      <c r="J71" s="29" t="str">
        <f ca="1">IFERROR(__xludf.DUMMYFUNCTION("IF(F71 = H71,C71/FILTER('Base Stats'!$C$2:$C1000, LOWER('Base Stats'!$B$2:$B1000) = LOWER($A71)), """")"),"0.25")</f>
        <v>0.25</v>
      </c>
      <c r="K71" t="str">
        <f t="shared" ca="1" si="1"/>
        <v/>
      </c>
      <c r="L71" t="str">
        <f ca="1">IFERROR(__xludf.DUMMYFUNCTION("IF(AND(NOT(K71 = """"), G71 &gt;= 15),K71/FILTER('Base Stats'!$C$2:$C1000, LOWER('Base Stats'!$B$2:$B1000) = LOWER($A71)), """")"),"")</f>
        <v/>
      </c>
      <c r="M71" t="str">
        <f ca="1">IFERROR(__xludf.DUMMYFUNCTION("1.15 + 0.02 * FILTER('Base Stats'!$C$2:$C1000, LOWER('Base Stats'!$B$2:$B1000) = LOWER($A71))"),"1.95")</f>
        <v>1.95</v>
      </c>
      <c r="N71" t="s">
        <v>527</v>
      </c>
    </row>
    <row r="72" spans="1:14" ht="12.75" x14ac:dyDescent="0.2">
      <c r="A72" s="1" t="s">
        <v>591</v>
      </c>
      <c r="B72" s="1">
        <v>185</v>
      </c>
      <c r="C72" s="1">
        <v>56</v>
      </c>
      <c r="D72" s="1">
        <v>1.26</v>
      </c>
      <c r="E72" s="1">
        <v>0.63</v>
      </c>
      <c r="F72" s="1">
        <v>1900</v>
      </c>
      <c r="G72" t="str">
        <f ca="1">IFERROR(__xludf.DUMMYFUNCTION("ROUND(B72/ FILTER('Pokemon CP/HP'!$M$2:$M1000, LOWER('Pokemon CP/HP'!$B$2:$B1000)=LOWER(A72)))"),"28")</f>
        <v>28</v>
      </c>
      <c r="H72" t="str">
        <f ca="1">IFERROR(__xludf.DUMMYFUNCTION("FILTER('Leveling Info'!$B$2:$B1000, 'Leveling Info'!$A$2:$A1000 =G72)"),"1600")</f>
        <v>1600</v>
      </c>
      <c r="I72" s="29">
        <f t="shared" ca="1" si="0"/>
        <v>5.2915026221291814</v>
      </c>
      <c r="J72" s="29" t="str">
        <f ca="1">IFERROR(__xludf.DUMMYFUNCTION("IF(F72 = H72,C72/FILTER('Base Stats'!$C$2:$C1000, LOWER('Base Stats'!$B$2:$B1000) = LOWER($A72)), """")"),"")</f>
        <v/>
      </c>
      <c r="K72" t="str">
        <f t="shared" ca="1" si="1"/>
        <v/>
      </c>
      <c r="L72" t="str">
        <f ca="1">IFERROR(__xludf.DUMMYFUNCTION("IF(AND(NOT(K72 = """"), G72 &gt;= 15),K72/FILTER('Base Stats'!$C$2:$C1000, LOWER('Base Stats'!$B$2:$B1000) = LOWER($A72)), """")"),"")</f>
        <v/>
      </c>
      <c r="M72" t="str">
        <f ca="1">IFERROR(__xludf.DUMMYFUNCTION("1.15 + 0.02 * FILTER('Base Stats'!$C$2:$C1000, LOWER('Base Stats'!$B$2:$B1000) = LOWER($A72))"),"2.05")</f>
        <v>2.05</v>
      </c>
      <c r="N72" t="s">
        <v>527</v>
      </c>
    </row>
    <row r="73" spans="1:14" ht="12.75" x14ac:dyDescent="0.2">
      <c r="A73" s="1" t="s">
        <v>591</v>
      </c>
      <c r="B73" s="1">
        <v>133</v>
      </c>
      <c r="C73" s="1">
        <v>46</v>
      </c>
      <c r="D73" s="1">
        <v>2.41</v>
      </c>
      <c r="E73" s="1">
        <v>0.55000000000000004</v>
      </c>
      <c r="F73" s="1">
        <v>1300</v>
      </c>
      <c r="G73" t="str">
        <f ca="1">IFERROR(__xludf.DUMMYFUNCTION("ROUND(B73/ FILTER('Pokemon CP/HP'!$M$2:$M1000, LOWER('Pokemon CP/HP'!$B$2:$B1000)=LOWER(A73)))"),"20")</f>
        <v>20</v>
      </c>
      <c r="H73" t="str">
        <f ca="1">IFERROR(__xludf.DUMMYFUNCTION("FILTER('Leveling Info'!$B$2:$B1000, 'Leveling Info'!$A$2:$A1000 =G73)"),"1000")</f>
        <v>1000</v>
      </c>
      <c r="I73" s="29">
        <f t="shared" ca="1" si="0"/>
        <v>4.4721359549995796</v>
      </c>
      <c r="J73" s="29" t="str">
        <f ca="1">IFERROR(__xludf.DUMMYFUNCTION("IF(F73 = H73,C73/FILTER('Base Stats'!$C$2:$C1000, LOWER('Base Stats'!$B$2:$B1000) = LOWER($A73)), """")"),"")</f>
        <v/>
      </c>
      <c r="K73" t="str">
        <f t="shared" ca="1" si="1"/>
        <v/>
      </c>
      <c r="L73" t="str">
        <f ca="1">IFERROR(__xludf.DUMMYFUNCTION("IF(AND(NOT(K73 = """"), G73 &gt;= 15),K73/FILTER('Base Stats'!$C$2:$C1000, LOWER('Base Stats'!$B$2:$B1000) = LOWER($A73)), """")"),"")</f>
        <v/>
      </c>
      <c r="M73" t="str">
        <f ca="1">IFERROR(__xludf.DUMMYFUNCTION("1.15 + 0.02 * FILTER('Base Stats'!$C$2:$C1000, LOWER('Base Stats'!$B$2:$B1000) = LOWER($A73))"),"2.05")</f>
        <v>2.05</v>
      </c>
      <c r="N73" t="s">
        <v>527</v>
      </c>
    </row>
    <row r="74" spans="1:14" ht="12.75" x14ac:dyDescent="0.2">
      <c r="A74" s="1" t="s">
        <v>591</v>
      </c>
      <c r="B74" s="1">
        <v>101</v>
      </c>
      <c r="C74" s="1">
        <v>41</v>
      </c>
      <c r="D74" s="1">
        <v>2.76</v>
      </c>
      <c r="E74" s="1">
        <v>0.59</v>
      </c>
      <c r="F74" s="1">
        <v>1000</v>
      </c>
      <c r="G74" t="str">
        <f ca="1">IFERROR(__xludf.DUMMYFUNCTION("ROUND(B74/ FILTER('Pokemon CP/HP'!$M$2:$M1000, LOWER('Pokemon CP/HP'!$B$2:$B1000)=LOWER(A74)))"),"16")</f>
        <v>16</v>
      </c>
      <c r="H74" t="str">
        <f ca="1">IFERROR(__xludf.DUMMYFUNCTION("FILTER('Leveling Info'!$B$2:$B1000, 'Leveling Info'!$A$2:$A1000 =G74)"),"800")</f>
        <v>800</v>
      </c>
      <c r="I74" s="29">
        <f t="shared" ca="1" si="0"/>
        <v>4</v>
      </c>
      <c r="J74" s="29" t="str">
        <f ca="1">IFERROR(__xludf.DUMMYFUNCTION("IF(F74 = H74,C74/FILTER('Base Stats'!$C$2:$C1000, LOWER('Base Stats'!$B$2:$B1000) = LOWER($A74)), """")"),"")</f>
        <v/>
      </c>
      <c r="K74" t="str">
        <f t="shared" ca="1" si="1"/>
        <v/>
      </c>
      <c r="L74" t="str">
        <f ca="1">IFERROR(__xludf.DUMMYFUNCTION("IF(AND(NOT(K74 = """"), G74 &gt;= 15),K74/FILTER('Base Stats'!$C$2:$C1000, LOWER('Base Stats'!$B$2:$B1000) = LOWER($A74)), """")"),"")</f>
        <v/>
      </c>
      <c r="M74" t="str">
        <f ca="1">IFERROR(__xludf.DUMMYFUNCTION("1.15 + 0.02 * FILTER('Base Stats'!$C$2:$C1000, LOWER('Base Stats'!$B$2:$B1000) = LOWER($A74))"),"2.05")</f>
        <v>2.05</v>
      </c>
      <c r="N74" t="s">
        <v>527</v>
      </c>
    </row>
    <row r="75" spans="1:14" ht="12.75" x14ac:dyDescent="0.2">
      <c r="A75" s="1" t="s">
        <v>591</v>
      </c>
      <c r="B75" s="1">
        <v>100</v>
      </c>
      <c r="C75" s="1">
        <v>41</v>
      </c>
      <c r="D75" s="1">
        <v>3.16</v>
      </c>
      <c r="E75" s="1">
        <v>0.53</v>
      </c>
      <c r="F75" s="1">
        <v>1000</v>
      </c>
      <c r="G75" t="str">
        <f ca="1">IFERROR(__xludf.DUMMYFUNCTION("ROUND(B75/ FILTER('Pokemon CP/HP'!$M$2:$M1000, LOWER('Pokemon CP/HP'!$B$2:$B1000)=LOWER(A75)))"),"15")</f>
        <v>15</v>
      </c>
      <c r="H75" t="str">
        <f ca="1">IFERROR(__xludf.DUMMYFUNCTION("FILTER('Leveling Info'!$B$2:$B1000, 'Leveling Info'!$A$2:$A1000 =G75)"),"800")</f>
        <v>800</v>
      </c>
      <c r="I75" s="29">
        <f t="shared" ca="1" si="0"/>
        <v>3.872983346207417</v>
      </c>
      <c r="J75" s="29" t="str">
        <f ca="1">IFERROR(__xludf.DUMMYFUNCTION("IF(F75 = H75,C75/FILTER('Base Stats'!$C$2:$C1000, LOWER('Base Stats'!$B$2:$B1000) = LOWER($A75)), """")"),"")</f>
        <v/>
      </c>
      <c r="K75" t="str">
        <f t="shared" ca="1" si="1"/>
        <v/>
      </c>
      <c r="L75" t="str">
        <f ca="1">IFERROR(__xludf.DUMMYFUNCTION("IF(AND(NOT(K75 = """"), G75 &gt;= 15),K75/FILTER('Base Stats'!$C$2:$C1000, LOWER('Base Stats'!$B$2:$B1000) = LOWER($A75)), """")"),"")</f>
        <v/>
      </c>
      <c r="M75" t="str">
        <f ca="1">IFERROR(__xludf.DUMMYFUNCTION("1.15 + 0.02 * FILTER('Base Stats'!$C$2:$C1000, LOWER('Base Stats'!$B$2:$B1000) = LOWER($A75))"),"2.05")</f>
        <v>2.05</v>
      </c>
      <c r="N75" t="s">
        <v>527</v>
      </c>
    </row>
    <row r="76" spans="1:14" ht="12.75" x14ac:dyDescent="0.2">
      <c r="A76" s="1" t="s">
        <v>591</v>
      </c>
      <c r="B76" s="1">
        <v>42</v>
      </c>
      <c r="C76" s="1">
        <v>26</v>
      </c>
      <c r="D76" s="1">
        <v>3.69</v>
      </c>
      <c r="E76" s="1">
        <v>0.62</v>
      </c>
      <c r="F76" s="1">
        <v>400</v>
      </c>
      <c r="G76" t="str">
        <f ca="1">IFERROR(__xludf.DUMMYFUNCTION("ROUND(B76/ FILTER('Pokemon CP/HP'!$M$2:$M1000, LOWER('Pokemon CP/HP'!$B$2:$B1000)=LOWER(A76)))"),"6")</f>
        <v>6</v>
      </c>
      <c r="H76" t="str">
        <f ca="1">IFERROR(__xludf.DUMMYFUNCTION("FILTER('Leveling Info'!$B$2:$B1000, 'Leveling Info'!$A$2:$A1000 =G76)"),"400")</f>
        <v>400</v>
      </c>
      <c r="I76" s="29">
        <f t="shared" ca="1" si="0"/>
        <v>2.4494897427831779</v>
      </c>
      <c r="J76" s="29" t="str">
        <f ca="1">IFERROR(__xludf.DUMMYFUNCTION("IF(F76 = H76,C76/FILTER('Base Stats'!$C$2:$C1000, LOWER('Base Stats'!$B$2:$B1000) = LOWER($A76)), """")"),"0.5777777778")</f>
        <v>0.5777777778</v>
      </c>
      <c r="K76" t="str">
        <f t="shared" ca="1" si="1"/>
        <v/>
      </c>
      <c r="L76" t="str">
        <f ca="1">IFERROR(__xludf.DUMMYFUNCTION("IF(AND(NOT(K76 = """"), G76 &gt;= 15),K76/FILTER('Base Stats'!$C$2:$C1000, LOWER('Base Stats'!$B$2:$B1000) = LOWER($A76)), """")"),"")</f>
        <v/>
      </c>
      <c r="M76" t="str">
        <f ca="1">IFERROR(__xludf.DUMMYFUNCTION("1.15 + 0.02 * FILTER('Base Stats'!$C$2:$C1000, LOWER('Base Stats'!$B$2:$B1000) = LOWER($A76))"),"2.05")</f>
        <v>2.05</v>
      </c>
      <c r="N76" t="s">
        <v>527</v>
      </c>
    </row>
    <row r="77" spans="1:14" ht="12.75" x14ac:dyDescent="0.2">
      <c r="A77" s="1" t="s">
        <v>592</v>
      </c>
      <c r="B77" s="1">
        <v>602</v>
      </c>
      <c r="C77" s="1">
        <v>77</v>
      </c>
      <c r="D77" s="1">
        <v>29.5</v>
      </c>
      <c r="E77" s="1">
        <v>1.05</v>
      </c>
      <c r="F77" s="1">
        <v>1900</v>
      </c>
      <c r="G77" t="str">
        <f ca="1">IFERROR(__xludf.DUMMYFUNCTION("ROUND(B77/ FILTER('Pokemon CP/HP'!$M$2:$M1000, LOWER('Pokemon CP/HP'!$B$2:$B1000)=LOWER(A77)))"),"31")</f>
        <v>31</v>
      </c>
      <c r="H77" t="str">
        <f ca="1">IFERROR(__xludf.DUMMYFUNCTION("FILTER('Leveling Info'!$B$2:$B1000, 'Leveling Info'!$A$2:$A1000 =G77)"),"1900")</f>
        <v>1900</v>
      </c>
      <c r="I77" s="29">
        <f t="shared" ca="1" si="0"/>
        <v>5.5677643628300215</v>
      </c>
      <c r="J77" s="29" t="str">
        <f ca="1">IFERROR(__xludf.DUMMYFUNCTION("IF(F77 = H77,C77/FILTER('Base Stats'!$C$2:$C1000, LOWER('Base Stats'!$B$2:$B1000) = LOWER($A77)), """")"),"1.184615385")</f>
        <v>1.184615385</v>
      </c>
      <c r="K77" t="str">
        <f t="shared" ca="1" si="1"/>
        <v/>
      </c>
      <c r="L77" t="str">
        <f ca="1">IFERROR(__xludf.DUMMYFUNCTION("IF(AND(NOT(K77 = """"), G77 &gt;= 15),K77/FILTER('Base Stats'!$C$2:$C1000, LOWER('Base Stats'!$B$2:$B1000) = LOWER($A77)), """")"),"0.0382133995")</f>
        <v>0.0382133995</v>
      </c>
      <c r="M77" t="str">
        <f ca="1">IFERROR(__xludf.DUMMYFUNCTION("1.15 + 0.02 * FILTER('Base Stats'!$C$2:$C1000, LOWER('Base Stats'!$B$2:$B1000) = LOWER($A77))"),"2.45")</f>
        <v>2.45</v>
      </c>
      <c r="N77">
        <v>1.013824885</v>
      </c>
    </row>
    <row r="78" spans="1:14" ht="12.75" x14ac:dyDescent="0.2">
      <c r="A78" s="1" t="s">
        <v>592</v>
      </c>
      <c r="B78" s="1">
        <v>138</v>
      </c>
      <c r="C78" s="1">
        <v>36</v>
      </c>
      <c r="D78" s="1">
        <v>29.5</v>
      </c>
      <c r="E78" s="1">
        <v>1.04</v>
      </c>
      <c r="F78" s="1">
        <v>400</v>
      </c>
      <c r="G78" t="str">
        <f ca="1">IFERROR(__xludf.DUMMYFUNCTION("ROUND(B78/ FILTER('Pokemon CP/HP'!$M$2:$M1000, LOWER('Pokemon CP/HP'!$B$2:$B1000)=LOWER(A78)))"),"7")</f>
        <v>7</v>
      </c>
      <c r="H78" t="str">
        <f ca="1">IFERROR(__xludf.DUMMYFUNCTION("FILTER('Leveling Info'!$B$2:$B1000, 'Leveling Info'!$A$2:$A1000 =G78)"),"400")</f>
        <v>400</v>
      </c>
      <c r="I78" s="29">
        <f t="shared" ca="1" si="0"/>
        <v>2.6457513110645907</v>
      </c>
      <c r="J78" s="29" t="str">
        <f ca="1">IFERROR(__xludf.DUMMYFUNCTION("IF(F78 = H78,C78/FILTER('Base Stats'!$C$2:$C1000, LOWER('Base Stats'!$B$2:$B1000) = LOWER($A78)), """")"),"0.5538461538")</f>
        <v>0.5538461538</v>
      </c>
      <c r="K78" t="str">
        <f t="shared" ca="1" si="1"/>
        <v/>
      </c>
      <c r="L78" t="str">
        <f ca="1">IFERROR(__xludf.DUMMYFUNCTION("IF(AND(NOT(K78 = """"), G78 &gt;= 15),K78/FILTER('Base Stats'!$C$2:$C1000, LOWER('Base Stats'!$B$2:$B1000) = LOWER($A78)), """")"),"")</f>
        <v/>
      </c>
      <c r="M78" t="str">
        <f ca="1">IFERROR(__xludf.DUMMYFUNCTION("1.15 + 0.02 * FILTER('Base Stats'!$C$2:$C1000, LOWER('Base Stats'!$B$2:$B1000) = LOWER($A78))"),"2.45")</f>
        <v>2.45</v>
      </c>
      <c r="N78" t="s">
        <v>527</v>
      </c>
    </row>
    <row r="79" spans="1:14" ht="12.75" x14ac:dyDescent="0.2">
      <c r="A79" s="1" t="s">
        <v>593</v>
      </c>
      <c r="B79" s="1">
        <v>357</v>
      </c>
      <c r="C79" s="1">
        <v>47</v>
      </c>
      <c r="D79" s="1">
        <v>1.64</v>
      </c>
      <c r="E79" s="1">
        <v>0.28000000000000003</v>
      </c>
      <c r="F79" s="1">
        <v>1900</v>
      </c>
      <c r="G79" t="str">
        <f ca="1">IFERROR(__xludf.DUMMYFUNCTION("ROUND(B79/ FILTER('Pokemon CP/HP'!$M$2:$M1000, LOWER('Pokemon CP/HP'!$B$2:$B1000)=LOWER(A79)))"),"35")</f>
        <v>35</v>
      </c>
      <c r="H79" t="str">
        <f ca="1">IFERROR(__xludf.DUMMYFUNCTION("FILTER('Leveling Info'!$B$2:$B1000, 'Leveling Info'!$A$2:$A1000 =G79)"),"2200")</f>
        <v>2200</v>
      </c>
      <c r="I79" s="29">
        <f t="shared" ca="1" si="0"/>
        <v>5.9160797830996161</v>
      </c>
      <c r="J79" s="29" t="str">
        <f ca="1">IFERROR(__xludf.DUMMYFUNCTION("IF(F79 = H79,C79/FILTER('Base Stats'!$C$2:$C1000, LOWER('Base Stats'!$B$2:$B1000) = LOWER($A79)), """")"),"")</f>
        <v/>
      </c>
      <c r="K79" t="str">
        <f t="shared" ca="1" si="1"/>
        <v/>
      </c>
      <c r="L79" t="str">
        <f ca="1">IFERROR(__xludf.DUMMYFUNCTION("IF(AND(NOT(K79 = """"), G79 &gt;= 15),K79/FILTER('Base Stats'!$C$2:$C1000, LOWER('Base Stats'!$B$2:$B1000) = LOWER($A79)), """")"),"")</f>
        <v/>
      </c>
      <c r="M79" t="str">
        <f ca="1">IFERROR(__xludf.DUMMYFUNCTION("1.15 + 0.02 * FILTER('Base Stats'!$C$2:$C1000, LOWER('Base Stats'!$B$2:$B1000) = LOWER($A79))"),"1.95")</f>
        <v>1.95</v>
      </c>
      <c r="N79" t="s">
        <v>527</v>
      </c>
    </row>
    <row r="80" spans="1:14" ht="12.75" x14ac:dyDescent="0.2">
      <c r="A80" s="1" t="s">
        <v>593</v>
      </c>
      <c r="B80" s="1">
        <v>247</v>
      </c>
      <c r="C80" s="1">
        <v>47</v>
      </c>
      <c r="D80" s="1">
        <v>1</v>
      </c>
      <c r="E80" s="1">
        <v>0.31</v>
      </c>
      <c r="F80" s="1">
        <v>1900</v>
      </c>
      <c r="G80" t="str">
        <f ca="1">IFERROR(__xludf.DUMMYFUNCTION("ROUND(B80/ FILTER('Pokemon CP/HP'!$M$2:$M1000, LOWER('Pokemon CP/HP'!$B$2:$B1000)=LOWER(A80)))"),"24")</f>
        <v>24</v>
      </c>
      <c r="H80" t="str">
        <f ca="1">IFERROR(__xludf.DUMMYFUNCTION("FILTER('Leveling Info'!$B$2:$B1000, 'Leveling Info'!$A$2:$A1000 =G80)"),"1300")</f>
        <v>1300</v>
      </c>
      <c r="I80" s="29">
        <f t="shared" ca="1" si="0"/>
        <v>4.8989794855663558</v>
      </c>
      <c r="J80" s="29" t="str">
        <f ca="1">IFERROR(__xludf.DUMMYFUNCTION("IF(F80 = H80,C80/FILTER('Base Stats'!$C$2:$C1000, LOWER('Base Stats'!$B$2:$B1000) = LOWER($A80)), """")"),"")</f>
        <v/>
      </c>
      <c r="K80" t="str">
        <f t="shared" ca="1" si="1"/>
        <v/>
      </c>
      <c r="L80" t="str">
        <f ca="1">IFERROR(__xludf.DUMMYFUNCTION("IF(AND(NOT(K80 = """"), G80 &gt;= 15),K80/FILTER('Base Stats'!$C$2:$C1000, LOWER('Base Stats'!$B$2:$B1000) = LOWER($A80)), """")"),"")</f>
        <v/>
      </c>
      <c r="M80" t="str">
        <f ca="1">IFERROR(__xludf.DUMMYFUNCTION("1.15 + 0.02 * FILTER('Base Stats'!$C$2:$C1000, LOWER('Base Stats'!$B$2:$B1000) = LOWER($A80))"),"1.95")</f>
        <v>1.95</v>
      </c>
      <c r="N80" t="s">
        <v>527</v>
      </c>
    </row>
    <row r="81" spans="1:14" ht="12.75" x14ac:dyDescent="0.2">
      <c r="A81" s="1" t="s">
        <v>593</v>
      </c>
      <c r="B81" s="1">
        <v>201</v>
      </c>
      <c r="C81" s="1">
        <v>39</v>
      </c>
      <c r="D81" s="1">
        <v>1.1299999999999999</v>
      </c>
      <c r="E81" s="1">
        <v>0.26</v>
      </c>
      <c r="F81" s="1">
        <v>1600</v>
      </c>
      <c r="G81" t="str">
        <f ca="1">IFERROR(__xludf.DUMMYFUNCTION("ROUND(B81/ FILTER('Pokemon CP/HP'!$M$2:$M1000, LOWER('Pokemon CP/HP'!$B$2:$B1000)=LOWER(A81)))"),"20")</f>
        <v>20</v>
      </c>
      <c r="H81" t="str">
        <f ca="1">IFERROR(__xludf.DUMMYFUNCTION("FILTER('Leveling Info'!$B$2:$B1000, 'Leveling Info'!$A$2:$A1000 =G81)"),"1000")</f>
        <v>1000</v>
      </c>
      <c r="I81" s="29">
        <f t="shared" ca="1" si="0"/>
        <v>4.4721359549995796</v>
      </c>
      <c r="J81" s="29" t="str">
        <f ca="1">IFERROR(__xludf.DUMMYFUNCTION("IF(F81 = H81,C81/FILTER('Base Stats'!$C$2:$C1000, LOWER('Base Stats'!$B$2:$B1000) = LOWER($A81)), """")"),"")</f>
        <v/>
      </c>
      <c r="K81" t="str">
        <f t="shared" ca="1" si="1"/>
        <v/>
      </c>
      <c r="L81" t="str">
        <f ca="1">IFERROR(__xludf.DUMMYFUNCTION("IF(AND(NOT(K81 = """"), G81 &gt;= 15),K81/FILTER('Base Stats'!$C$2:$C1000, LOWER('Base Stats'!$B$2:$B1000) = LOWER($A81)), """")"),"")</f>
        <v/>
      </c>
      <c r="M81" t="str">
        <f ca="1">IFERROR(__xludf.DUMMYFUNCTION("1.15 + 0.02 * FILTER('Base Stats'!$C$2:$C1000, LOWER('Base Stats'!$B$2:$B1000) = LOWER($A81))"),"1.95")</f>
        <v>1.95</v>
      </c>
      <c r="N81" t="s">
        <v>527</v>
      </c>
    </row>
    <row r="82" spans="1:14" ht="12.75" x14ac:dyDescent="0.2">
      <c r="A82" s="1" t="s">
        <v>593</v>
      </c>
      <c r="B82" s="1">
        <v>194</v>
      </c>
      <c r="C82" s="1">
        <v>40</v>
      </c>
      <c r="D82" s="1">
        <v>2.4300000000000002</v>
      </c>
      <c r="E82" s="1">
        <v>0.37</v>
      </c>
      <c r="F82" s="1">
        <v>1300</v>
      </c>
      <c r="G82" t="str">
        <f ca="1">IFERROR(__xludf.DUMMYFUNCTION("ROUND(B82/ FILTER('Pokemon CP/HP'!$M$2:$M1000, LOWER('Pokemon CP/HP'!$B$2:$B1000)=LOWER(A82)))"),"19")</f>
        <v>19</v>
      </c>
      <c r="H82" t="str">
        <f ca="1">IFERROR(__xludf.DUMMYFUNCTION("FILTER('Leveling Info'!$B$2:$B1000, 'Leveling Info'!$A$2:$A1000 =G82)"),"1000")</f>
        <v>1000</v>
      </c>
      <c r="I82" s="29">
        <f t="shared" ca="1" si="0"/>
        <v>4.358898943540674</v>
      </c>
      <c r="J82" s="29" t="str">
        <f ca="1">IFERROR(__xludf.DUMMYFUNCTION("IF(F82 = H82,C82/FILTER('Base Stats'!$C$2:$C1000, LOWER('Base Stats'!$B$2:$B1000) = LOWER($A82)), """")"),"")</f>
        <v/>
      </c>
      <c r="K82" t="str">
        <f t="shared" ca="1" si="1"/>
        <v/>
      </c>
      <c r="L82" t="str">
        <f ca="1">IFERROR(__xludf.DUMMYFUNCTION("IF(AND(NOT(K82 = """"), G82 &gt;= 15),K82/FILTER('Base Stats'!$C$2:$C1000, LOWER('Base Stats'!$B$2:$B1000) = LOWER($A82)), """")"),"")</f>
        <v/>
      </c>
      <c r="M82" t="str">
        <f ca="1">IFERROR(__xludf.DUMMYFUNCTION("1.15 + 0.02 * FILTER('Base Stats'!$C$2:$C1000, LOWER('Base Stats'!$B$2:$B1000) = LOWER($A82))"),"1.95")</f>
        <v>1.95</v>
      </c>
      <c r="N82" t="s">
        <v>527</v>
      </c>
    </row>
    <row r="83" spans="1:14" ht="12.75" x14ac:dyDescent="0.2">
      <c r="A83" s="1" t="s">
        <v>593</v>
      </c>
      <c r="B83" s="1">
        <v>193</v>
      </c>
      <c r="C83" s="1">
        <v>38</v>
      </c>
      <c r="D83" s="1">
        <v>1.84</v>
      </c>
      <c r="E83" s="1">
        <v>0.3</v>
      </c>
      <c r="F83" s="1">
        <v>1300</v>
      </c>
      <c r="G83" t="str">
        <f ca="1">IFERROR(__xludf.DUMMYFUNCTION("ROUND(B83/ FILTER('Pokemon CP/HP'!$M$2:$M1000, LOWER('Pokemon CP/HP'!$B$2:$B1000)=LOWER(A83)))"),"19")</f>
        <v>19</v>
      </c>
      <c r="H83" t="str">
        <f ca="1">IFERROR(__xludf.DUMMYFUNCTION("FILTER('Leveling Info'!$B$2:$B1000, 'Leveling Info'!$A$2:$A1000 =G83)"),"1000")</f>
        <v>1000</v>
      </c>
      <c r="I83" s="29">
        <f t="shared" ca="1" si="0"/>
        <v>4.358898943540674</v>
      </c>
      <c r="J83" s="29" t="str">
        <f ca="1">IFERROR(__xludf.DUMMYFUNCTION("IF(F83 = H83,C83/FILTER('Base Stats'!$C$2:$C1000, LOWER('Base Stats'!$B$2:$B1000) = LOWER($A83)), """")"),"")</f>
        <v/>
      </c>
      <c r="K83" t="str">
        <f t="shared" ca="1" si="1"/>
        <v/>
      </c>
      <c r="L83" t="str">
        <f ca="1">IFERROR(__xludf.DUMMYFUNCTION("IF(AND(NOT(K83 = """"), G83 &gt;= 15),K83/FILTER('Base Stats'!$C$2:$C1000, LOWER('Base Stats'!$B$2:$B1000) = LOWER($A83)), """")"),"")</f>
        <v/>
      </c>
      <c r="M83" t="str">
        <f ca="1">IFERROR(__xludf.DUMMYFUNCTION("1.15 + 0.02 * FILTER('Base Stats'!$C$2:$C1000, LOWER('Base Stats'!$B$2:$B1000) = LOWER($A83))"),"1.95")</f>
        <v>1.95</v>
      </c>
      <c r="N83" t="s">
        <v>527</v>
      </c>
    </row>
    <row r="84" spans="1:14" ht="12.75" x14ac:dyDescent="0.2">
      <c r="A84" s="1" t="s">
        <v>593</v>
      </c>
      <c r="B84" s="1">
        <v>190</v>
      </c>
      <c r="C84" s="1">
        <v>41</v>
      </c>
      <c r="D84" s="1">
        <v>2.2400000000000002</v>
      </c>
      <c r="E84" s="1">
        <v>0.32</v>
      </c>
      <c r="F84" s="1">
        <v>1300</v>
      </c>
      <c r="G84" t="str">
        <f ca="1">IFERROR(__xludf.DUMMYFUNCTION("ROUND(B84/ FILTER('Pokemon CP/HP'!$M$2:$M1000, LOWER('Pokemon CP/HP'!$B$2:$B1000)=LOWER(A84)))"),"19")</f>
        <v>19</v>
      </c>
      <c r="H84" t="str">
        <f ca="1">IFERROR(__xludf.DUMMYFUNCTION("FILTER('Leveling Info'!$B$2:$B1000, 'Leveling Info'!$A$2:$A1000 =G84)"),"1000")</f>
        <v>1000</v>
      </c>
      <c r="I84" s="29">
        <f t="shared" ca="1" si="0"/>
        <v>4.358898943540674</v>
      </c>
      <c r="J84" s="29" t="str">
        <f ca="1">IFERROR(__xludf.DUMMYFUNCTION("IF(F84 = H84,C84/FILTER('Base Stats'!$C$2:$C1000, LOWER('Base Stats'!$B$2:$B1000) = LOWER($A84)), """")"),"")</f>
        <v/>
      </c>
      <c r="K84" t="str">
        <f t="shared" ca="1" si="1"/>
        <v/>
      </c>
      <c r="L84" t="str">
        <f ca="1">IFERROR(__xludf.DUMMYFUNCTION("IF(AND(NOT(K84 = """"), G84 &gt;= 15),K84/FILTER('Base Stats'!$C$2:$C1000, LOWER('Base Stats'!$B$2:$B1000) = LOWER($A84)), """")"),"")</f>
        <v/>
      </c>
      <c r="M84" t="str">
        <f ca="1">IFERROR(__xludf.DUMMYFUNCTION("1.15 + 0.02 * FILTER('Base Stats'!$C$2:$C1000, LOWER('Base Stats'!$B$2:$B1000) = LOWER($A84))"),"1.95")</f>
        <v>1.95</v>
      </c>
      <c r="N84" t="s">
        <v>527</v>
      </c>
    </row>
    <row r="85" spans="1:14" ht="12.75" x14ac:dyDescent="0.2">
      <c r="A85" s="1" t="s">
        <v>593</v>
      </c>
      <c r="B85" s="1">
        <v>188</v>
      </c>
      <c r="C85" s="1">
        <v>40</v>
      </c>
      <c r="D85" s="1">
        <v>1.61</v>
      </c>
      <c r="E85" s="1">
        <v>0.28999999999999998</v>
      </c>
      <c r="F85" s="1">
        <v>1300</v>
      </c>
      <c r="G85" t="str">
        <f ca="1">IFERROR(__xludf.DUMMYFUNCTION("ROUND(B85/ FILTER('Pokemon CP/HP'!$M$2:$M1000, LOWER('Pokemon CP/HP'!$B$2:$B1000)=LOWER(A85)))"),"18")</f>
        <v>18</v>
      </c>
      <c r="H85" t="str">
        <f ca="1">IFERROR(__xludf.DUMMYFUNCTION("FILTER('Leveling Info'!$B$2:$B1000, 'Leveling Info'!$A$2:$A1000 =G85)"),"1000")</f>
        <v>1000</v>
      </c>
      <c r="I85" s="29">
        <f t="shared" ca="1" si="0"/>
        <v>4.2426406871192848</v>
      </c>
      <c r="J85" s="29" t="str">
        <f ca="1">IFERROR(__xludf.DUMMYFUNCTION("IF(F85 = H85,C85/FILTER('Base Stats'!$C$2:$C1000, LOWER('Base Stats'!$B$2:$B1000) = LOWER($A85)), """")"),"")</f>
        <v/>
      </c>
      <c r="K85" t="str">
        <f t="shared" ca="1" si="1"/>
        <v/>
      </c>
      <c r="L85" t="str">
        <f ca="1">IFERROR(__xludf.DUMMYFUNCTION("IF(AND(NOT(K85 = """"), G85 &gt;= 15),K85/FILTER('Base Stats'!$C$2:$C1000, LOWER('Base Stats'!$B$2:$B1000) = LOWER($A85)), """")"),"")</f>
        <v/>
      </c>
      <c r="M85" t="str">
        <f ca="1">IFERROR(__xludf.DUMMYFUNCTION("1.15 + 0.02 * FILTER('Base Stats'!$C$2:$C1000, LOWER('Base Stats'!$B$2:$B1000) = LOWER($A85))"),"1.95")</f>
        <v>1.95</v>
      </c>
      <c r="N85" t="s">
        <v>527</v>
      </c>
    </row>
    <row r="86" spans="1:14" ht="12.75" x14ac:dyDescent="0.2">
      <c r="A86" s="1" t="s">
        <v>593</v>
      </c>
      <c r="B86" s="1">
        <v>183</v>
      </c>
      <c r="C86" s="1">
        <v>38</v>
      </c>
      <c r="D86" s="1">
        <v>1.72</v>
      </c>
      <c r="E86" s="1">
        <v>0.32</v>
      </c>
      <c r="F86" s="1">
        <v>1300</v>
      </c>
      <c r="G86" t="str">
        <f ca="1">IFERROR(__xludf.DUMMYFUNCTION("ROUND(B86/ FILTER('Pokemon CP/HP'!$M$2:$M1000, LOWER('Pokemon CP/HP'!$B$2:$B1000)=LOWER(A86)))"),"18")</f>
        <v>18</v>
      </c>
      <c r="H86" t="str">
        <f ca="1">IFERROR(__xludf.DUMMYFUNCTION("FILTER('Leveling Info'!$B$2:$B1000, 'Leveling Info'!$A$2:$A1000 =G86)"),"1000")</f>
        <v>1000</v>
      </c>
      <c r="I86" s="29">
        <f t="shared" ca="1" si="0"/>
        <v>4.2426406871192848</v>
      </c>
      <c r="J86" s="29" t="str">
        <f ca="1">IFERROR(__xludf.DUMMYFUNCTION("IF(F86 = H86,C86/FILTER('Base Stats'!$C$2:$C1000, LOWER('Base Stats'!$B$2:$B1000) = LOWER($A86)), """")"),"")</f>
        <v/>
      </c>
      <c r="K86" t="str">
        <f t="shared" ca="1" si="1"/>
        <v/>
      </c>
      <c r="L86" t="str">
        <f ca="1">IFERROR(__xludf.DUMMYFUNCTION("IF(AND(NOT(K86 = """"), G86 &gt;= 15),K86/FILTER('Base Stats'!$C$2:$C1000, LOWER('Base Stats'!$B$2:$B1000) = LOWER($A86)), """")"),"")</f>
        <v/>
      </c>
      <c r="M86" t="str">
        <f ca="1">IFERROR(__xludf.DUMMYFUNCTION("1.15 + 0.02 * FILTER('Base Stats'!$C$2:$C1000, LOWER('Base Stats'!$B$2:$B1000) = LOWER($A86))"),"1.95")</f>
        <v>1.95</v>
      </c>
      <c r="N86" t="s">
        <v>527</v>
      </c>
    </row>
    <row r="87" spans="1:14" ht="12.75" x14ac:dyDescent="0.2">
      <c r="A87" s="1" t="s">
        <v>593</v>
      </c>
      <c r="B87" s="1">
        <v>179</v>
      </c>
      <c r="C87" s="1">
        <v>39</v>
      </c>
      <c r="D87" s="1">
        <v>1.41</v>
      </c>
      <c r="E87" s="1">
        <v>0.26</v>
      </c>
      <c r="F87" s="1">
        <v>1300</v>
      </c>
      <c r="G87" t="str">
        <f ca="1">IFERROR(__xludf.DUMMYFUNCTION("ROUND(B87/ FILTER('Pokemon CP/HP'!$M$2:$M1000, LOWER('Pokemon CP/HP'!$B$2:$B1000)=LOWER(A87)))"),"18")</f>
        <v>18</v>
      </c>
      <c r="H87" t="str">
        <f ca="1">IFERROR(__xludf.DUMMYFUNCTION("FILTER('Leveling Info'!$B$2:$B1000, 'Leveling Info'!$A$2:$A1000 =G87)"),"1000")</f>
        <v>1000</v>
      </c>
      <c r="I87" s="29">
        <f t="shared" ca="1" si="0"/>
        <v>4.2426406871192848</v>
      </c>
      <c r="J87" s="29" t="str">
        <f ca="1">IFERROR(__xludf.DUMMYFUNCTION("IF(F87 = H87,C87/FILTER('Base Stats'!$C$2:$C1000, LOWER('Base Stats'!$B$2:$B1000) = LOWER($A87)), """")"),"")</f>
        <v/>
      </c>
      <c r="K87" t="str">
        <f t="shared" ca="1" si="1"/>
        <v/>
      </c>
      <c r="L87" t="str">
        <f ca="1">IFERROR(__xludf.DUMMYFUNCTION("IF(AND(NOT(K87 = """"), G87 &gt;= 15),K87/FILTER('Base Stats'!$C$2:$C1000, LOWER('Base Stats'!$B$2:$B1000) = LOWER($A87)), """")"),"")</f>
        <v/>
      </c>
      <c r="M87" t="str">
        <f ca="1">IFERROR(__xludf.DUMMYFUNCTION("1.15 + 0.02 * FILTER('Base Stats'!$C$2:$C1000, LOWER('Base Stats'!$B$2:$B1000) = LOWER($A87))"),"1.95")</f>
        <v>1.95</v>
      </c>
      <c r="N87" t="s">
        <v>527</v>
      </c>
    </row>
    <row r="88" spans="1:14" ht="12.75" x14ac:dyDescent="0.2">
      <c r="A88" s="1" t="s">
        <v>593</v>
      </c>
      <c r="B88" s="1">
        <v>176</v>
      </c>
      <c r="C88" s="1">
        <v>40</v>
      </c>
      <c r="D88" s="1">
        <v>2.2599999999999998</v>
      </c>
      <c r="E88" s="1">
        <v>0.32</v>
      </c>
      <c r="F88" s="1">
        <v>1300</v>
      </c>
      <c r="G88" t="str">
        <f ca="1">IFERROR(__xludf.DUMMYFUNCTION("ROUND(B88/ FILTER('Pokemon CP/HP'!$M$2:$M1000, LOWER('Pokemon CP/HP'!$B$2:$B1000)=LOWER(A88)))"),"17")</f>
        <v>17</v>
      </c>
      <c r="H88" t="str">
        <f ca="1">IFERROR(__xludf.DUMMYFUNCTION("FILTER('Leveling Info'!$B$2:$B1000, 'Leveling Info'!$A$2:$A1000 =G88)"),"1000")</f>
        <v>1000</v>
      </c>
      <c r="I88" s="29">
        <f t="shared" ca="1" si="0"/>
        <v>4.1231056256176606</v>
      </c>
      <c r="J88" s="29" t="str">
        <f ca="1">IFERROR(__xludf.DUMMYFUNCTION("IF(F88 = H88,C88/FILTER('Base Stats'!$C$2:$C1000, LOWER('Base Stats'!$B$2:$B1000) = LOWER($A88)), """")"),"")</f>
        <v/>
      </c>
      <c r="K88" t="str">
        <f t="shared" ca="1" si="1"/>
        <v/>
      </c>
      <c r="L88" t="str">
        <f ca="1">IFERROR(__xludf.DUMMYFUNCTION("IF(AND(NOT(K88 = """"), G88 &gt;= 15),K88/FILTER('Base Stats'!$C$2:$C1000, LOWER('Base Stats'!$B$2:$B1000) = LOWER($A88)), """")"),"")</f>
        <v/>
      </c>
      <c r="M88" t="str">
        <f ca="1">IFERROR(__xludf.DUMMYFUNCTION("1.15 + 0.02 * FILTER('Base Stats'!$C$2:$C1000, LOWER('Base Stats'!$B$2:$B1000) = LOWER($A88))"),"1.95")</f>
        <v>1.95</v>
      </c>
      <c r="N88" t="s">
        <v>527</v>
      </c>
    </row>
    <row r="89" spans="1:14" ht="12.75" x14ac:dyDescent="0.2">
      <c r="A89" s="1" t="s">
        <v>593</v>
      </c>
      <c r="B89" s="1">
        <v>171</v>
      </c>
      <c r="C89" s="1">
        <v>38</v>
      </c>
      <c r="D89" s="1">
        <v>2.4700000000000002</v>
      </c>
      <c r="E89" s="1">
        <v>0.36</v>
      </c>
      <c r="F89" s="1">
        <v>1000</v>
      </c>
      <c r="G89" t="str">
        <f ca="1">IFERROR(__xludf.DUMMYFUNCTION("ROUND(B89/ FILTER('Pokemon CP/HP'!$M$2:$M1000, LOWER('Pokemon CP/HP'!$B$2:$B1000)=LOWER(A89)))"),"17")</f>
        <v>17</v>
      </c>
      <c r="H89" t="str">
        <f ca="1">IFERROR(__xludf.DUMMYFUNCTION("FILTER('Leveling Info'!$B$2:$B1000, 'Leveling Info'!$A$2:$A1000 =G89)"),"1000")</f>
        <v>1000</v>
      </c>
      <c r="I89" s="29">
        <f t="shared" ca="1" si="0"/>
        <v>4.1231056256176606</v>
      </c>
      <c r="J89" s="29" t="str">
        <f ca="1">IFERROR(__xludf.DUMMYFUNCTION("IF(F89 = H89,C89/FILTER('Base Stats'!$C$2:$C1000, LOWER('Base Stats'!$B$2:$B1000) = LOWER($A89)), """")"),"0.95")</f>
        <v>0.95</v>
      </c>
      <c r="K89" t="str">
        <f t="shared" ca="1" si="1"/>
        <v/>
      </c>
      <c r="L89" t="str">
        <f ca="1">IFERROR(__xludf.DUMMYFUNCTION("IF(AND(NOT(K89 = """"), G89 &gt;= 15),K89/FILTER('Base Stats'!$C$2:$C1000, LOWER('Base Stats'!$B$2:$B1000) = LOWER($A89)), """")"),"0.05588235294")</f>
        <v>0.05588235294</v>
      </c>
      <c r="M89" t="str">
        <f ca="1">IFERROR(__xludf.DUMMYFUNCTION("1.15 + 0.02 * FILTER('Base Stats'!$C$2:$C1000, LOWER('Base Stats'!$B$2:$B1000) = LOWER($A89))"),"1.95")</f>
        <v>1.95</v>
      </c>
      <c r="N89">
        <v>1.146304676</v>
      </c>
    </row>
    <row r="90" spans="1:14" ht="12.75" x14ac:dyDescent="0.2">
      <c r="A90" s="1" t="s">
        <v>593</v>
      </c>
      <c r="B90" s="1">
        <v>164</v>
      </c>
      <c r="C90" s="1">
        <v>39</v>
      </c>
      <c r="D90" s="1">
        <v>1.34</v>
      </c>
      <c r="E90" s="1">
        <v>0.27</v>
      </c>
      <c r="F90" s="1">
        <v>1000</v>
      </c>
      <c r="G90" t="str">
        <f ca="1">IFERROR(__xludf.DUMMYFUNCTION("ROUND(B90/ FILTER('Pokemon CP/HP'!$M$2:$M1000, LOWER('Pokemon CP/HP'!$B$2:$B1000)=LOWER(A90)))"),"16")</f>
        <v>16</v>
      </c>
      <c r="H90" t="str">
        <f ca="1">IFERROR(__xludf.DUMMYFUNCTION("FILTER('Leveling Info'!$B$2:$B1000, 'Leveling Info'!$A$2:$A1000 =G90)"),"800")</f>
        <v>800</v>
      </c>
      <c r="I90" s="29">
        <f t="shared" ca="1" si="0"/>
        <v>4</v>
      </c>
      <c r="J90" s="29" t="str">
        <f ca="1">IFERROR(__xludf.DUMMYFUNCTION("IF(F90 = H90,C90/FILTER('Base Stats'!$C$2:$C1000, LOWER('Base Stats'!$B$2:$B1000) = LOWER($A90)), """")"),"")</f>
        <v/>
      </c>
      <c r="K90" t="str">
        <f t="shared" ca="1" si="1"/>
        <v/>
      </c>
      <c r="L90" t="str">
        <f ca="1">IFERROR(__xludf.DUMMYFUNCTION("IF(AND(NOT(K90 = """"), G90 &gt;= 15),K90/FILTER('Base Stats'!$C$2:$C1000, LOWER('Base Stats'!$B$2:$B1000) = LOWER($A90)), """")"),"")</f>
        <v/>
      </c>
      <c r="M90" t="str">
        <f ca="1">IFERROR(__xludf.DUMMYFUNCTION("1.15 + 0.02 * FILTER('Base Stats'!$C$2:$C1000, LOWER('Base Stats'!$B$2:$B1000) = LOWER($A90))"),"1.95")</f>
        <v>1.95</v>
      </c>
      <c r="N90" t="s">
        <v>527</v>
      </c>
    </row>
    <row r="91" spans="1:14" ht="12.75" x14ac:dyDescent="0.2">
      <c r="A91" s="1" t="s">
        <v>593</v>
      </c>
      <c r="B91" s="1">
        <v>161</v>
      </c>
      <c r="C91" s="1">
        <v>37</v>
      </c>
      <c r="D91" s="1">
        <v>1.98</v>
      </c>
      <c r="E91" s="1">
        <v>0.28999999999999998</v>
      </c>
      <c r="F91" s="1">
        <v>1000</v>
      </c>
      <c r="G91" t="str">
        <f ca="1">IFERROR(__xludf.DUMMYFUNCTION("ROUND(B91/ FILTER('Pokemon CP/HP'!$M$2:$M1000, LOWER('Pokemon CP/HP'!$B$2:$B1000)=LOWER(A91)))"),"16")</f>
        <v>16</v>
      </c>
      <c r="H91" t="str">
        <f ca="1">IFERROR(__xludf.DUMMYFUNCTION("FILTER('Leveling Info'!$B$2:$B1000, 'Leveling Info'!$A$2:$A1000 =G91)"),"800")</f>
        <v>800</v>
      </c>
      <c r="I91" s="29">
        <f t="shared" ca="1" si="0"/>
        <v>4</v>
      </c>
      <c r="J91" s="29" t="str">
        <f ca="1">IFERROR(__xludf.DUMMYFUNCTION("IF(F91 = H91,C91/FILTER('Base Stats'!$C$2:$C1000, LOWER('Base Stats'!$B$2:$B1000) = LOWER($A91)), """")"),"")</f>
        <v/>
      </c>
      <c r="K91" t="str">
        <f t="shared" ca="1" si="1"/>
        <v/>
      </c>
      <c r="L91" t="str">
        <f ca="1">IFERROR(__xludf.DUMMYFUNCTION("IF(AND(NOT(K91 = """"), G91 &gt;= 15),K91/FILTER('Base Stats'!$C$2:$C1000, LOWER('Base Stats'!$B$2:$B1000) = LOWER($A91)), """")"),"")</f>
        <v/>
      </c>
      <c r="M91" t="str">
        <f ca="1">IFERROR(__xludf.DUMMYFUNCTION("1.15 + 0.02 * FILTER('Base Stats'!$C$2:$C1000, LOWER('Base Stats'!$B$2:$B1000) = LOWER($A91))"),"1.95")</f>
        <v>1.95</v>
      </c>
      <c r="N91" t="s">
        <v>527</v>
      </c>
    </row>
    <row r="92" spans="1:14" ht="12.75" x14ac:dyDescent="0.2">
      <c r="A92" s="1" t="s">
        <v>593</v>
      </c>
      <c r="B92" s="1">
        <v>156</v>
      </c>
      <c r="C92" s="1">
        <v>35</v>
      </c>
      <c r="D92" s="1">
        <v>1.48</v>
      </c>
      <c r="E92" s="1">
        <v>0.28999999999999998</v>
      </c>
      <c r="F92" s="1">
        <v>1000</v>
      </c>
      <c r="G92" t="str">
        <f ca="1">IFERROR(__xludf.DUMMYFUNCTION("ROUND(B92/ FILTER('Pokemon CP/HP'!$M$2:$M1000, LOWER('Pokemon CP/HP'!$B$2:$B1000)=LOWER(A92)))"),"15")</f>
        <v>15</v>
      </c>
      <c r="H92" t="str">
        <f ca="1">IFERROR(__xludf.DUMMYFUNCTION("FILTER('Leveling Info'!$B$2:$B1000, 'Leveling Info'!$A$2:$A1000 =G92)"),"800")</f>
        <v>800</v>
      </c>
      <c r="I92" s="29">
        <f t="shared" ca="1" si="0"/>
        <v>3.872983346207417</v>
      </c>
      <c r="J92" s="29" t="str">
        <f ca="1">IFERROR(__xludf.DUMMYFUNCTION("IF(F92 = H92,C92/FILTER('Base Stats'!$C$2:$C1000, LOWER('Base Stats'!$B$2:$B1000) = LOWER($A92)), """")"),"")</f>
        <v/>
      </c>
      <c r="K92" t="str">
        <f t="shared" ca="1" si="1"/>
        <v/>
      </c>
      <c r="L92" t="str">
        <f ca="1">IFERROR(__xludf.DUMMYFUNCTION("IF(AND(NOT(K92 = """"), G92 &gt;= 15),K92/FILTER('Base Stats'!$C$2:$C1000, LOWER('Base Stats'!$B$2:$B1000) = LOWER($A92)), """")"),"")</f>
        <v/>
      </c>
      <c r="M92" t="str">
        <f ca="1">IFERROR(__xludf.DUMMYFUNCTION("1.15 + 0.02 * FILTER('Base Stats'!$C$2:$C1000, LOWER('Base Stats'!$B$2:$B1000) = LOWER($A92))"),"1.95")</f>
        <v>1.95</v>
      </c>
      <c r="N92" t="s">
        <v>527</v>
      </c>
    </row>
    <row r="93" spans="1:14" ht="12.75" x14ac:dyDescent="0.2">
      <c r="A93" s="1" t="s">
        <v>593</v>
      </c>
      <c r="B93" s="1">
        <v>154</v>
      </c>
      <c r="C93" s="1">
        <v>36</v>
      </c>
      <c r="D93" s="1">
        <v>0.84</v>
      </c>
      <c r="E93" s="1">
        <v>0.22</v>
      </c>
      <c r="F93" s="1">
        <v>1000</v>
      </c>
      <c r="G93" t="str">
        <f ca="1">IFERROR(__xludf.DUMMYFUNCTION("ROUND(B93/ FILTER('Pokemon CP/HP'!$M$2:$M1000, LOWER('Pokemon CP/HP'!$B$2:$B1000)=LOWER(A93)))"),"15")</f>
        <v>15</v>
      </c>
      <c r="H93" t="str">
        <f ca="1">IFERROR(__xludf.DUMMYFUNCTION("FILTER('Leveling Info'!$B$2:$B1000, 'Leveling Info'!$A$2:$A1000 =G93)"),"800")</f>
        <v>800</v>
      </c>
      <c r="I93" s="29">
        <f t="shared" ca="1" si="0"/>
        <v>3.872983346207417</v>
      </c>
      <c r="J93" s="29" t="str">
        <f ca="1">IFERROR(__xludf.DUMMYFUNCTION("IF(F93 = H93,C93/FILTER('Base Stats'!$C$2:$C1000, LOWER('Base Stats'!$B$2:$B1000) = LOWER($A93)), """")"),"")</f>
        <v/>
      </c>
      <c r="K93" t="str">
        <f t="shared" ca="1" si="1"/>
        <v/>
      </c>
      <c r="L93" t="str">
        <f ca="1">IFERROR(__xludf.DUMMYFUNCTION("IF(AND(NOT(K93 = """"), G93 &gt;= 15),K93/FILTER('Base Stats'!$C$2:$C1000, LOWER('Base Stats'!$B$2:$B1000) = LOWER($A93)), """")"),"")</f>
        <v/>
      </c>
      <c r="M93" t="str">
        <f ca="1">IFERROR(__xludf.DUMMYFUNCTION("1.15 + 0.02 * FILTER('Base Stats'!$C$2:$C1000, LOWER('Base Stats'!$B$2:$B1000) = LOWER($A93))"),"1.95")</f>
        <v>1.95</v>
      </c>
      <c r="N93" t="s">
        <v>527</v>
      </c>
    </row>
    <row r="94" spans="1:14" ht="12.75" x14ac:dyDescent="0.2">
      <c r="A94" s="1" t="s">
        <v>593</v>
      </c>
      <c r="B94" s="1">
        <v>154</v>
      </c>
      <c r="C94" s="1">
        <v>33</v>
      </c>
      <c r="D94" s="1">
        <v>2.09</v>
      </c>
      <c r="E94" s="1">
        <v>0.3</v>
      </c>
      <c r="F94" s="1">
        <v>1000</v>
      </c>
      <c r="G94" t="str">
        <f ca="1">IFERROR(__xludf.DUMMYFUNCTION("ROUND(B94/ FILTER('Pokemon CP/HP'!$M$2:$M1000, LOWER('Pokemon CP/HP'!$B$2:$B1000)=LOWER(A94)))"),"15")</f>
        <v>15</v>
      </c>
      <c r="H94" t="str">
        <f ca="1">IFERROR(__xludf.DUMMYFUNCTION("FILTER('Leveling Info'!$B$2:$B1000, 'Leveling Info'!$A$2:$A1000 =G94)"),"800")</f>
        <v>800</v>
      </c>
      <c r="I94" s="29">
        <f t="shared" ca="1" si="0"/>
        <v>3.872983346207417</v>
      </c>
      <c r="J94" s="29" t="str">
        <f ca="1">IFERROR(__xludf.DUMMYFUNCTION("IF(F94 = H94,C94/FILTER('Base Stats'!$C$2:$C1000, LOWER('Base Stats'!$B$2:$B1000) = LOWER($A94)), """")"),"")</f>
        <v/>
      </c>
      <c r="K94" t="str">
        <f t="shared" ca="1" si="1"/>
        <v/>
      </c>
      <c r="L94" t="str">
        <f ca="1">IFERROR(__xludf.DUMMYFUNCTION("IF(AND(NOT(K94 = """"), G94 &gt;= 15),K94/FILTER('Base Stats'!$C$2:$C1000, LOWER('Base Stats'!$B$2:$B1000) = LOWER($A94)), """")"),"")</f>
        <v/>
      </c>
      <c r="M94" t="str">
        <f ca="1">IFERROR(__xludf.DUMMYFUNCTION("1.15 + 0.02 * FILTER('Base Stats'!$C$2:$C1000, LOWER('Base Stats'!$B$2:$B1000) = LOWER($A94))"),"1.95")</f>
        <v>1.95</v>
      </c>
      <c r="N94" t="s">
        <v>527</v>
      </c>
    </row>
    <row r="95" spans="1:14" ht="12.75" x14ac:dyDescent="0.2">
      <c r="A95" s="1" t="s">
        <v>593</v>
      </c>
      <c r="B95" s="1">
        <v>142</v>
      </c>
      <c r="C95" s="1">
        <v>31</v>
      </c>
      <c r="D95" s="1">
        <v>3</v>
      </c>
      <c r="E95" s="1">
        <v>0.36</v>
      </c>
      <c r="F95" s="1">
        <v>1000</v>
      </c>
      <c r="G95" t="str">
        <f ca="1">IFERROR(__xludf.DUMMYFUNCTION("ROUND(B95/ FILTER('Pokemon CP/HP'!$M$2:$M1000, LOWER('Pokemon CP/HP'!$B$2:$B1000)=LOWER(A95)))"),"14")</f>
        <v>14</v>
      </c>
      <c r="H95" t="str">
        <f ca="1">IFERROR(__xludf.DUMMYFUNCTION("FILTER('Leveling Info'!$B$2:$B1000, 'Leveling Info'!$A$2:$A1000 =G95)"),"800")</f>
        <v>800</v>
      </c>
      <c r="I95" s="29">
        <f t="shared" ca="1" si="0"/>
        <v>3.7416573867739413</v>
      </c>
      <c r="J95" s="29" t="str">
        <f ca="1">IFERROR(__xludf.DUMMYFUNCTION("IF(F95 = H95,C95/FILTER('Base Stats'!$C$2:$C1000, LOWER('Base Stats'!$B$2:$B1000) = LOWER($A95)), """")"),"")</f>
        <v/>
      </c>
      <c r="K95" t="str">
        <f t="shared" ca="1" si="1"/>
        <v/>
      </c>
      <c r="L95" t="str">
        <f ca="1">IFERROR(__xludf.DUMMYFUNCTION("IF(AND(NOT(K95 = """"), G95 &gt;= 15),K95/FILTER('Base Stats'!$C$2:$C1000, LOWER('Base Stats'!$B$2:$B1000) = LOWER($A95)), """")"),"")</f>
        <v/>
      </c>
      <c r="M95" t="str">
        <f ca="1">IFERROR(__xludf.DUMMYFUNCTION("1.15 + 0.02 * FILTER('Base Stats'!$C$2:$C1000, LOWER('Base Stats'!$B$2:$B1000) = LOWER($A95))"),"1.95")</f>
        <v>1.95</v>
      </c>
      <c r="N95" t="s">
        <v>527</v>
      </c>
    </row>
    <row r="96" spans="1:14" ht="12.75" x14ac:dyDescent="0.2">
      <c r="A96" s="1" t="s">
        <v>593</v>
      </c>
      <c r="B96" s="1">
        <v>135</v>
      </c>
      <c r="C96" s="1">
        <v>34</v>
      </c>
      <c r="D96" s="1">
        <v>1.7</v>
      </c>
      <c r="E96" s="1">
        <v>0.33</v>
      </c>
      <c r="F96" s="1">
        <v>800</v>
      </c>
      <c r="G96" t="str">
        <f ca="1">IFERROR(__xludf.DUMMYFUNCTION("ROUND(B96/ FILTER('Pokemon CP/HP'!$M$2:$M1000, LOWER('Pokemon CP/HP'!$B$2:$B1000)=LOWER(A96)))"),"13")</f>
        <v>13</v>
      </c>
      <c r="H96" t="str">
        <f ca="1">IFERROR(__xludf.DUMMYFUNCTION("FILTER('Leveling Info'!$B$2:$B1000, 'Leveling Info'!$A$2:$A1000 =G96)"),"800")</f>
        <v>800</v>
      </c>
      <c r="I96" s="29">
        <f t="shared" ca="1" si="0"/>
        <v>3.6055512754639891</v>
      </c>
      <c r="J96" s="29" t="str">
        <f ca="1">IFERROR(__xludf.DUMMYFUNCTION("IF(F96 = H96,C96/FILTER('Base Stats'!$C$2:$C1000, LOWER('Base Stats'!$B$2:$B1000) = LOWER($A96)), """")"),"0.85")</f>
        <v>0.85</v>
      </c>
      <c r="K96" t="str">
        <f t="shared" ca="1" si="1"/>
        <v/>
      </c>
      <c r="L96" t="str">
        <f ca="1">IFERROR(__xludf.DUMMYFUNCTION("IF(AND(NOT(K96 = """"), G96 &gt;= 15),K96/FILTER('Base Stats'!$C$2:$C1000, LOWER('Base Stats'!$B$2:$B1000) = LOWER($A96)), """")"),"")</f>
        <v/>
      </c>
      <c r="M96" t="str">
        <f ca="1">IFERROR(__xludf.DUMMYFUNCTION("1.15 + 0.02 * FILTER('Base Stats'!$C$2:$C1000, LOWER('Base Stats'!$B$2:$B1000) = LOWER($A96))"),"1.95")</f>
        <v>1.95</v>
      </c>
      <c r="N96" t="s">
        <v>527</v>
      </c>
    </row>
    <row r="97" spans="1:14" ht="12.75" x14ac:dyDescent="0.2">
      <c r="A97" s="1" t="s">
        <v>593</v>
      </c>
      <c r="B97" s="1">
        <v>131</v>
      </c>
      <c r="C97" s="1">
        <v>33</v>
      </c>
      <c r="D97" s="1">
        <v>1.26</v>
      </c>
      <c r="E97" s="1">
        <v>0.26</v>
      </c>
      <c r="F97" s="1">
        <v>800</v>
      </c>
      <c r="G97" t="str">
        <f ca="1">IFERROR(__xludf.DUMMYFUNCTION("ROUND(B97/ FILTER('Pokemon CP/HP'!$M$2:$M1000, LOWER('Pokemon CP/HP'!$B$2:$B1000)=LOWER(A97)))"),"13")</f>
        <v>13</v>
      </c>
      <c r="H97" t="str">
        <f ca="1">IFERROR(__xludf.DUMMYFUNCTION("FILTER('Leveling Info'!$B$2:$B1000, 'Leveling Info'!$A$2:$A1000 =G97)"),"800")</f>
        <v>800</v>
      </c>
      <c r="I97" s="29">
        <f t="shared" ca="1" si="0"/>
        <v>3.6055512754639891</v>
      </c>
      <c r="J97" s="29" t="str">
        <f ca="1">IFERROR(__xludf.DUMMYFUNCTION("IF(F97 = H97,C97/FILTER('Base Stats'!$C$2:$C1000, LOWER('Base Stats'!$B$2:$B1000) = LOWER($A97)), """")"),"0.825")</f>
        <v>0.825</v>
      </c>
      <c r="K97" t="str">
        <f t="shared" ca="1" si="1"/>
        <v/>
      </c>
      <c r="L97" t="str">
        <f ca="1">IFERROR(__xludf.DUMMYFUNCTION("IF(AND(NOT(K97 = """"), G97 &gt;= 15),K97/FILTER('Base Stats'!$C$2:$C1000, LOWER('Base Stats'!$B$2:$B1000) = LOWER($A97)), """")"),"")</f>
        <v/>
      </c>
      <c r="M97" t="str">
        <f ca="1">IFERROR(__xludf.DUMMYFUNCTION("1.15 + 0.02 * FILTER('Base Stats'!$C$2:$C1000, LOWER('Base Stats'!$B$2:$B1000) = LOWER($A97))"),"1.95")</f>
        <v>1.95</v>
      </c>
      <c r="N97" t="s">
        <v>527</v>
      </c>
    </row>
    <row r="98" spans="1:14" ht="12.75" x14ac:dyDescent="0.2">
      <c r="A98" s="1" t="s">
        <v>593</v>
      </c>
      <c r="B98" s="1">
        <v>131</v>
      </c>
      <c r="C98" s="1">
        <v>30</v>
      </c>
      <c r="D98" s="1">
        <v>2.0099999999999998</v>
      </c>
      <c r="E98" s="1">
        <v>0.28000000000000003</v>
      </c>
      <c r="F98" s="1">
        <v>800</v>
      </c>
      <c r="G98" t="str">
        <f ca="1">IFERROR(__xludf.DUMMYFUNCTION("ROUND(B98/ FILTER('Pokemon CP/HP'!$M$2:$M1000, LOWER('Pokemon CP/HP'!$B$2:$B1000)=LOWER(A98)))"),"13")</f>
        <v>13</v>
      </c>
      <c r="H98" t="str">
        <f ca="1">IFERROR(__xludf.DUMMYFUNCTION("FILTER('Leveling Info'!$B$2:$B1000, 'Leveling Info'!$A$2:$A1000 =G98)"),"800")</f>
        <v>800</v>
      </c>
      <c r="I98" s="29">
        <f t="shared" ca="1" si="0"/>
        <v>3.6055512754639891</v>
      </c>
      <c r="J98" s="29" t="str">
        <f ca="1">IFERROR(__xludf.DUMMYFUNCTION("IF(F98 = H98,C98/FILTER('Base Stats'!$C$2:$C1000, LOWER('Base Stats'!$B$2:$B1000) = LOWER($A98)), """")"),"0.75")</f>
        <v>0.75</v>
      </c>
      <c r="K98" t="str">
        <f t="shared" ca="1" si="1"/>
        <v/>
      </c>
      <c r="L98" t="str">
        <f ca="1">IFERROR(__xludf.DUMMYFUNCTION("IF(AND(NOT(K98 = """"), G98 &gt;= 15),K98/FILTER('Base Stats'!$C$2:$C1000, LOWER('Base Stats'!$B$2:$B1000) = LOWER($A98)), """")"),"")</f>
        <v/>
      </c>
      <c r="M98" t="str">
        <f ca="1">IFERROR(__xludf.DUMMYFUNCTION("1.15 + 0.02 * FILTER('Base Stats'!$C$2:$C1000, LOWER('Base Stats'!$B$2:$B1000) = LOWER($A98))"),"1.95")</f>
        <v>1.95</v>
      </c>
      <c r="N98" t="s">
        <v>527</v>
      </c>
    </row>
    <row r="99" spans="1:14" ht="12.75" x14ac:dyDescent="0.2">
      <c r="A99" s="1" t="s">
        <v>593</v>
      </c>
      <c r="B99" s="1">
        <v>126</v>
      </c>
      <c r="C99" s="1">
        <v>31</v>
      </c>
      <c r="D99" s="1">
        <v>1.74</v>
      </c>
      <c r="E99" s="1">
        <v>0.3</v>
      </c>
      <c r="F99" s="1">
        <v>800</v>
      </c>
      <c r="G99" t="str">
        <f ca="1">IFERROR(__xludf.DUMMYFUNCTION("ROUND(B99/ FILTER('Pokemon CP/HP'!$M$2:$M1000, LOWER('Pokemon CP/HP'!$B$2:$B1000)=LOWER(A99)))"),"12")</f>
        <v>12</v>
      </c>
      <c r="H99" t="str">
        <f ca="1">IFERROR(__xludf.DUMMYFUNCTION("FILTER('Leveling Info'!$B$2:$B1000, 'Leveling Info'!$A$2:$A1000 =G99)"),"600")</f>
        <v>600</v>
      </c>
      <c r="I99" s="29">
        <f t="shared" ca="1" si="0"/>
        <v>3.4641016151377544</v>
      </c>
      <c r="J99" s="29" t="str">
        <f ca="1">IFERROR(__xludf.DUMMYFUNCTION("IF(F99 = H99,C99/FILTER('Base Stats'!$C$2:$C1000, LOWER('Base Stats'!$B$2:$B1000) = LOWER($A99)), """")"),"")</f>
        <v/>
      </c>
      <c r="K99" t="str">
        <f t="shared" ca="1" si="1"/>
        <v/>
      </c>
      <c r="L99" t="str">
        <f ca="1">IFERROR(__xludf.DUMMYFUNCTION("IF(AND(NOT(K99 = """"), G99 &gt;= 15),K99/FILTER('Base Stats'!$C$2:$C1000, LOWER('Base Stats'!$B$2:$B1000) = LOWER($A99)), """")"),"")</f>
        <v/>
      </c>
      <c r="M99" t="str">
        <f ca="1">IFERROR(__xludf.DUMMYFUNCTION("1.15 + 0.02 * FILTER('Base Stats'!$C$2:$C1000, LOWER('Base Stats'!$B$2:$B1000) = LOWER($A99))"),"1.95")</f>
        <v>1.95</v>
      </c>
      <c r="N99" t="s">
        <v>527</v>
      </c>
    </row>
    <row r="100" spans="1:14" ht="12.75" x14ac:dyDescent="0.2">
      <c r="A100" s="1" t="s">
        <v>593</v>
      </c>
      <c r="B100" s="1">
        <v>110</v>
      </c>
      <c r="C100" s="1">
        <v>31</v>
      </c>
      <c r="D100" s="1">
        <v>1.8</v>
      </c>
      <c r="E100" s="1">
        <v>0.3</v>
      </c>
      <c r="F100" s="1">
        <v>800</v>
      </c>
      <c r="G100" t="str">
        <f ca="1">IFERROR(__xludf.DUMMYFUNCTION("ROUND(B100/ FILTER('Pokemon CP/HP'!$M$2:$M1000, LOWER('Pokemon CP/HP'!$B$2:$B1000)=LOWER(A100)))"),"11")</f>
        <v>11</v>
      </c>
      <c r="H100" t="str">
        <f ca="1">IFERROR(__xludf.DUMMYFUNCTION("FILTER('Leveling Info'!$B$2:$B1000, 'Leveling Info'!$A$2:$A1000 =G100)"),"600")</f>
        <v>600</v>
      </c>
      <c r="I100" s="29">
        <f t="shared" ca="1" si="0"/>
        <v>3.3166247903553998</v>
      </c>
      <c r="J100" s="29" t="str">
        <f ca="1">IFERROR(__xludf.DUMMYFUNCTION("IF(F100 = H100,C100/FILTER('Base Stats'!$C$2:$C1000, LOWER('Base Stats'!$B$2:$B1000) = LOWER($A100)), """")"),"")</f>
        <v/>
      </c>
      <c r="K100" t="str">
        <f t="shared" ca="1" si="1"/>
        <v/>
      </c>
      <c r="L100" t="str">
        <f ca="1">IFERROR(__xludf.DUMMYFUNCTION("IF(AND(NOT(K100 = """"), G100 &gt;= 15),K100/FILTER('Base Stats'!$C$2:$C1000, LOWER('Base Stats'!$B$2:$B1000) = LOWER($A100)), """")"),"")</f>
        <v/>
      </c>
      <c r="M100" t="str">
        <f ca="1">IFERROR(__xludf.DUMMYFUNCTION("1.15 + 0.02 * FILTER('Base Stats'!$C$2:$C1000, LOWER('Base Stats'!$B$2:$B1000) = LOWER($A100))"),"1.95")</f>
        <v>1.95</v>
      </c>
      <c r="N100" t="s">
        <v>527</v>
      </c>
    </row>
    <row r="101" spans="1:14" ht="12.75" x14ac:dyDescent="0.2">
      <c r="A101" s="1" t="s">
        <v>593</v>
      </c>
      <c r="B101" s="1">
        <v>110</v>
      </c>
      <c r="C101" s="1">
        <v>32</v>
      </c>
      <c r="D101" s="1">
        <v>2.46</v>
      </c>
      <c r="E101" s="1">
        <v>0.34</v>
      </c>
      <c r="F101" s="1">
        <v>800</v>
      </c>
      <c r="G101" t="str">
        <f ca="1">IFERROR(__xludf.DUMMYFUNCTION("ROUND(B101/ FILTER('Pokemon CP/HP'!$M$2:$M1000, LOWER('Pokemon CP/HP'!$B$2:$B1000)=LOWER(A101)))"),"11")</f>
        <v>11</v>
      </c>
      <c r="H101" t="str">
        <f ca="1">IFERROR(__xludf.DUMMYFUNCTION("FILTER('Leveling Info'!$B$2:$B1000, 'Leveling Info'!$A$2:$A1000 =G101)"),"600")</f>
        <v>600</v>
      </c>
      <c r="I101" s="29">
        <f t="shared" ca="1" si="0"/>
        <v>3.3166247903553998</v>
      </c>
      <c r="J101" s="29" t="str">
        <f ca="1">IFERROR(__xludf.DUMMYFUNCTION("IF(F101 = H101,C101/FILTER('Base Stats'!$C$2:$C1000, LOWER('Base Stats'!$B$2:$B1000) = LOWER($A101)), """")"),"")</f>
        <v/>
      </c>
      <c r="K101" t="str">
        <f t="shared" ca="1" si="1"/>
        <v/>
      </c>
      <c r="L101" t="str">
        <f ca="1">IFERROR(__xludf.DUMMYFUNCTION("IF(AND(NOT(K101 = """"), G101 &gt;= 15),K101/FILTER('Base Stats'!$C$2:$C1000, LOWER('Base Stats'!$B$2:$B1000) = LOWER($A101)), """")"),"")</f>
        <v/>
      </c>
      <c r="M101" t="str">
        <f ca="1">IFERROR(__xludf.DUMMYFUNCTION("1.15 + 0.02 * FILTER('Base Stats'!$C$2:$C1000, LOWER('Base Stats'!$B$2:$B1000) = LOWER($A101))"),"1.95")</f>
        <v>1.95</v>
      </c>
      <c r="N101" t="s">
        <v>527</v>
      </c>
    </row>
    <row r="102" spans="1:14" ht="12.75" x14ac:dyDescent="0.2">
      <c r="A102" s="1" t="s">
        <v>593</v>
      </c>
      <c r="B102" s="1">
        <v>109</v>
      </c>
      <c r="C102" s="1">
        <v>29</v>
      </c>
      <c r="D102" s="1">
        <v>1.43</v>
      </c>
      <c r="E102" s="1">
        <v>0.25</v>
      </c>
      <c r="F102" s="1">
        <v>800</v>
      </c>
      <c r="G102" t="str">
        <f ca="1">IFERROR(__xludf.DUMMYFUNCTION("ROUND(B102/ FILTER('Pokemon CP/HP'!$M$2:$M1000, LOWER('Pokemon CP/HP'!$B$2:$B1000)=LOWER(A102)))"),"11")</f>
        <v>11</v>
      </c>
      <c r="H102" t="str">
        <f ca="1">IFERROR(__xludf.DUMMYFUNCTION("FILTER('Leveling Info'!$B$2:$B1000, 'Leveling Info'!$A$2:$A1000 =G102)"),"600")</f>
        <v>600</v>
      </c>
      <c r="I102" s="29">
        <f t="shared" ca="1" si="0"/>
        <v>3.3166247903553998</v>
      </c>
      <c r="J102" s="29" t="str">
        <f ca="1">IFERROR(__xludf.DUMMYFUNCTION("IF(F102 = H102,C102/FILTER('Base Stats'!$C$2:$C1000, LOWER('Base Stats'!$B$2:$B1000) = LOWER($A102)), """")"),"")</f>
        <v/>
      </c>
      <c r="K102" t="str">
        <f t="shared" ca="1" si="1"/>
        <v/>
      </c>
      <c r="L102" t="str">
        <f ca="1">IFERROR(__xludf.DUMMYFUNCTION("IF(AND(NOT(K102 = """"), G102 &gt;= 15),K102/FILTER('Base Stats'!$C$2:$C1000, LOWER('Base Stats'!$B$2:$B1000) = LOWER($A102)), """")"),"")</f>
        <v/>
      </c>
      <c r="M102" t="str">
        <f ca="1">IFERROR(__xludf.DUMMYFUNCTION("1.15 + 0.02 * FILTER('Base Stats'!$C$2:$C1000, LOWER('Base Stats'!$B$2:$B1000) = LOWER($A102))"),"1.95")</f>
        <v>1.95</v>
      </c>
      <c r="N102" t="s">
        <v>527</v>
      </c>
    </row>
    <row r="103" spans="1:14" ht="12.75" x14ac:dyDescent="0.2">
      <c r="A103" s="1" t="s">
        <v>593</v>
      </c>
      <c r="B103" s="1">
        <v>108</v>
      </c>
      <c r="C103" s="1">
        <v>30</v>
      </c>
      <c r="D103" s="1">
        <v>1.23</v>
      </c>
      <c r="E103" s="1">
        <v>0.25</v>
      </c>
      <c r="F103" s="1">
        <v>800</v>
      </c>
      <c r="G103" t="str">
        <f ca="1">IFERROR(__xludf.DUMMYFUNCTION("ROUND(B103/ FILTER('Pokemon CP/HP'!$M$2:$M1000, LOWER('Pokemon CP/HP'!$B$2:$B1000)=LOWER(A103)))"),"11")</f>
        <v>11</v>
      </c>
      <c r="H103" t="str">
        <f ca="1">IFERROR(__xludf.DUMMYFUNCTION("FILTER('Leveling Info'!$B$2:$B1000, 'Leveling Info'!$A$2:$A1000 =G103)"),"600")</f>
        <v>600</v>
      </c>
      <c r="I103" s="29">
        <f t="shared" ca="1" si="0"/>
        <v>3.3166247903553998</v>
      </c>
      <c r="J103" s="29" t="str">
        <f ca="1">IFERROR(__xludf.DUMMYFUNCTION("IF(F103 = H103,C103/FILTER('Base Stats'!$C$2:$C1000, LOWER('Base Stats'!$B$2:$B1000) = LOWER($A103)), """")"),"")</f>
        <v/>
      </c>
      <c r="K103" t="str">
        <f t="shared" ca="1" si="1"/>
        <v/>
      </c>
      <c r="L103" t="str">
        <f ca="1">IFERROR(__xludf.DUMMYFUNCTION("IF(AND(NOT(K103 = """"), G103 &gt;= 15),K103/FILTER('Base Stats'!$C$2:$C1000, LOWER('Base Stats'!$B$2:$B1000) = LOWER($A103)), """")"),"")</f>
        <v/>
      </c>
      <c r="M103" t="str">
        <f ca="1">IFERROR(__xludf.DUMMYFUNCTION("1.15 + 0.02 * FILTER('Base Stats'!$C$2:$C1000, LOWER('Base Stats'!$B$2:$B1000) = LOWER($A103))"),"1.95")</f>
        <v>1.95</v>
      </c>
      <c r="N103" t="s">
        <v>527</v>
      </c>
    </row>
    <row r="104" spans="1:14" ht="12.75" x14ac:dyDescent="0.2">
      <c r="A104" s="1" t="s">
        <v>593</v>
      </c>
      <c r="B104" s="1">
        <v>107</v>
      </c>
      <c r="C104" s="1">
        <v>28</v>
      </c>
      <c r="D104" s="1">
        <v>1.99</v>
      </c>
      <c r="E104" s="1">
        <v>0.32</v>
      </c>
      <c r="F104" s="1">
        <v>800</v>
      </c>
      <c r="G104" t="str">
        <f ca="1">IFERROR(__xludf.DUMMYFUNCTION("ROUND(B104/ FILTER('Pokemon CP/HP'!$M$2:$M1000, LOWER('Pokemon CP/HP'!$B$2:$B1000)=LOWER(A104)))"),"10")</f>
        <v>10</v>
      </c>
      <c r="H104" t="str">
        <f ca="1">IFERROR(__xludf.DUMMYFUNCTION("FILTER('Leveling Info'!$B$2:$B1000, 'Leveling Info'!$A$2:$A1000 =G104)"),"600")</f>
        <v>600</v>
      </c>
      <c r="I104" s="29">
        <f t="shared" ca="1" si="0"/>
        <v>3.1622776601683795</v>
      </c>
      <c r="J104" s="29" t="str">
        <f ca="1">IFERROR(__xludf.DUMMYFUNCTION("IF(F104 = H104,C104/FILTER('Base Stats'!$C$2:$C1000, LOWER('Base Stats'!$B$2:$B1000) = LOWER($A104)), """")"),"")</f>
        <v/>
      </c>
      <c r="K104" t="str">
        <f t="shared" ca="1" si="1"/>
        <v/>
      </c>
      <c r="L104" t="str">
        <f ca="1">IFERROR(__xludf.DUMMYFUNCTION("IF(AND(NOT(K104 = """"), G104 &gt;= 15),K104/FILTER('Base Stats'!$C$2:$C1000, LOWER('Base Stats'!$B$2:$B1000) = LOWER($A104)), """")"),"")</f>
        <v/>
      </c>
      <c r="M104" t="str">
        <f ca="1">IFERROR(__xludf.DUMMYFUNCTION("1.15 + 0.02 * FILTER('Base Stats'!$C$2:$C1000, LOWER('Base Stats'!$B$2:$B1000) = LOWER($A104))"),"1.95")</f>
        <v>1.95</v>
      </c>
      <c r="N104" t="s">
        <v>527</v>
      </c>
    </row>
    <row r="105" spans="1:14" ht="12.75" x14ac:dyDescent="0.2">
      <c r="A105" s="1" t="s">
        <v>593</v>
      </c>
      <c r="B105" s="1">
        <v>99</v>
      </c>
      <c r="C105" s="1">
        <v>27</v>
      </c>
      <c r="D105" s="1">
        <v>1.43</v>
      </c>
      <c r="E105" s="1">
        <v>0.28000000000000003</v>
      </c>
      <c r="F105" s="1">
        <v>600</v>
      </c>
      <c r="G105" t="str">
        <f ca="1">IFERROR(__xludf.DUMMYFUNCTION("ROUND(B105/ FILTER('Pokemon CP/HP'!$M$2:$M1000, LOWER('Pokemon CP/HP'!$B$2:$B1000)=LOWER(A105)))"),"10")</f>
        <v>10</v>
      </c>
      <c r="H105" t="str">
        <f ca="1">IFERROR(__xludf.DUMMYFUNCTION("FILTER('Leveling Info'!$B$2:$B1000, 'Leveling Info'!$A$2:$A1000 =G105)"),"600")</f>
        <v>600</v>
      </c>
      <c r="I105" s="29">
        <f t="shared" ca="1" si="0"/>
        <v>3.1622776601683795</v>
      </c>
      <c r="J105" s="29" t="str">
        <f ca="1">IFERROR(__xludf.DUMMYFUNCTION("IF(F105 = H105,C105/FILTER('Base Stats'!$C$2:$C1000, LOWER('Base Stats'!$B$2:$B1000) = LOWER($A105)), """")"),"0.675")</f>
        <v>0.675</v>
      </c>
      <c r="K105" t="str">
        <f t="shared" ca="1" si="1"/>
        <v/>
      </c>
      <c r="L105" t="str">
        <f ca="1">IFERROR(__xludf.DUMMYFUNCTION("IF(AND(NOT(K105 = """"), G105 &gt;= 15),K105/FILTER('Base Stats'!$C$2:$C1000, LOWER('Base Stats'!$B$2:$B1000) = LOWER($A105)), """")"),"")</f>
        <v/>
      </c>
      <c r="M105" t="str">
        <f ca="1">IFERROR(__xludf.DUMMYFUNCTION("1.15 + 0.02 * FILTER('Base Stats'!$C$2:$C1000, LOWER('Base Stats'!$B$2:$B1000) = LOWER($A105))"),"1.95")</f>
        <v>1.95</v>
      </c>
      <c r="N105" t="s">
        <v>527</v>
      </c>
    </row>
    <row r="106" spans="1:14" ht="12.75" x14ac:dyDescent="0.2">
      <c r="A106" s="1" t="s">
        <v>593</v>
      </c>
      <c r="B106" s="1">
        <v>98</v>
      </c>
      <c r="C106" s="1">
        <v>29</v>
      </c>
      <c r="D106" s="1">
        <v>1.07</v>
      </c>
      <c r="E106" s="1">
        <v>0.23</v>
      </c>
      <c r="F106" s="1">
        <v>600</v>
      </c>
      <c r="G106" t="str">
        <f ca="1">IFERROR(__xludf.DUMMYFUNCTION("ROUND(B106/ FILTER('Pokemon CP/HP'!$M$2:$M1000, LOWER('Pokemon CP/HP'!$B$2:$B1000)=LOWER(A106)))"),"10")</f>
        <v>10</v>
      </c>
      <c r="H106" t="str">
        <f ca="1">IFERROR(__xludf.DUMMYFUNCTION("FILTER('Leveling Info'!$B$2:$B1000, 'Leveling Info'!$A$2:$A1000 =G106)"),"600")</f>
        <v>600</v>
      </c>
      <c r="I106" s="29">
        <f t="shared" ca="1" si="0"/>
        <v>3.1622776601683795</v>
      </c>
      <c r="J106" s="29" t="str">
        <f ca="1">IFERROR(__xludf.DUMMYFUNCTION("IF(F106 = H106,C106/FILTER('Base Stats'!$C$2:$C1000, LOWER('Base Stats'!$B$2:$B1000) = LOWER($A106)), """")"),"0.725")</f>
        <v>0.725</v>
      </c>
      <c r="K106" t="str">
        <f t="shared" ca="1" si="1"/>
        <v/>
      </c>
      <c r="L106" t="str">
        <f ca="1">IFERROR(__xludf.DUMMYFUNCTION("IF(AND(NOT(K106 = """"), G106 &gt;= 15),K106/FILTER('Base Stats'!$C$2:$C1000, LOWER('Base Stats'!$B$2:$B1000) = LOWER($A106)), """")"),"")</f>
        <v/>
      </c>
      <c r="M106" t="str">
        <f ca="1">IFERROR(__xludf.DUMMYFUNCTION("1.15 + 0.02 * FILTER('Base Stats'!$C$2:$C1000, LOWER('Base Stats'!$B$2:$B1000) = LOWER($A106))"),"1.95")</f>
        <v>1.95</v>
      </c>
      <c r="N106" t="s">
        <v>527</v>
      </c>
    </row>
    <row r="107" spans="1:14" ht="12.75" x14ac:dyDescent="0.2">
      <c r="A107" s="1" t="s">
        <v>593</v>
      </c>
      <c r="B107" s="1">
        <v>96</v>
      </c>
      <c r="C107" s="1">
        <v>28</v>
      </c>
      <c r="D107" s="1">
        <v>1.71</v>
      </c>
      <c r="E107" s="1">
        <v>0.28999999999999998</v>
      </c>
      <c r="F107" s="1">
        <v>600</v>
      </c>
      <c r="G107" t="str">
        <f ca="1">IFERROR(__xludf.DUMMYFUNCTION("ROUND(B107/ FILTER('Pokemon CP/HP'!$M$2:$M1000, LOWER('Pokemon CP/HP'!$B$2:$B1000)=LOWER(A107)))"),"9")</f>
        <v>9</v>
      </c>
      <c r="H107" t="str">
        <f ca="1">IFERROR(__xludf.DUMMYFUNCTION("FILTER('Leveling Info'!$B$2:$B1000, 'Leveling Info'!$A$2:$A1000 =G107)"),"600")</f>
        <v>600</v>
      </c>
      <c r="I107" s="29">
        <f t="shared" ca="1" si="0"/>
        <v>3</v>
      </c>
      <c r="J107" s="29" t="str">
        <f ca="1">IFERROR(__xludf.DUMMYFUNCTION("IF(F107 = H107,C107/FILTER('Base Stats'!$C$2:$C1000, LOWER('Base Stats'!$B$2:$B1000) = LOWER($A107)), """")"),"0.7")</f>
        <v>0.7</v>
      </c>
      <c r="K107" t="str">
        <f t="shared" ca="1" si="1"/>
        <v/>
      </c>
      <c r="L107" t="str">
        <f ca="1">IFERROR(__xludf.DUMMYFUNCTION("IF(AND(NOT(K107 = """"), G107 &gt;= 15),K107/FILTER('Base Stats'!$C$2:$C1000, LOWER('Base Stats'!$B$2:$B1000) = LOWER($A107)), """")"),"")</f>
        <v/>
      </c>
      <c r="M107" t="str">
        <f ca="1">IFERROR(__xludf.DUMMYFUNCTION("1.15 + 0.02 * FILTER('Base Stats'!$C$2:$C1000, LOWER('Base Stats'!$B$2:$B1000) = LOWER($A107))"),"1.95")</f>
        <v>1.95</v>
      </c>
      <c r="N107" t="s">
        <v>527</v>
      </c>
    </row>
    <row r="108" spans="1:14" ht="12.75" x14ac:dyDescent="0.2">
      <c r="A108" s="1" t="s">
        <v>593</v>
      </c>
      <c r="B108" s="1">
        <v>94</v>
      </c>
      <c r="C108" s="1">
        <v>26</v>
      </c>
      <c r="D108" s="1">
        <v>1.77</v>
      </c>
      <c r="E108" s="1">
        <v>0.3</v>
      </c>
      <c r="F108" s="1">
        <v>600</v>
      </c>
      <c r="G108" t="str">
        <f ca="1">IFERROR(__xludf.DUMMYFUNCTION("ROUND(B108/ FILTER('Pokemon CP/HP'!$M$2:$M1000, LOWER('Pokemon CP/HP'!$B$2:$B1000)=LOWER(A108)))"),"9")</f>
        <v>9</v>
      </c>
      <c r="H108" t="str">
        <f ca="1">IFERROR(__xludf.DUMMYFUNCTION("FILTER('Leveling Info'!$B$2:$B1000, 'Leveling Info'!$A$2:$A1000 =G108)"),"600")</f>
        <v>600</v>
      </c>
      <c r="I108" s="29">
        <f t="shared" ca="1" si="0"/>
        <v>3</v>
      </c>
      <c r="J108" s="29" t="str">
        <f ca="1">IFERROR(__xludf.DUMMYFUNCTION("IF(F108 = H108,C108/FILTER('Base Stats'!$C$2:$C1000, LOWER('Base Stats'!$B$2:$B1000) = LOWER($A108)), """")"),"0.65")</f>
        <v>0.65</v>
      </c>
      <c r="K108" t="str">
        <f t="shared" ca="1" si="1"/>
        <v/>
      </c>
      <c r="L108" t="str">
        <f ca="1">IFERROR(__xludf.DUMMYFUNCTION("IF(AND(NOT(K108 = """"), G108 &gt;= 15),K108/FILTER('Base Stats'!$C$2:$C1000, LOWER('Base Stats'!$B$2:$B1000) = LOWER($A108)), """")"),"")</f>
        <v/>
      </c>
      <c r="M108" t="str">
        <f ca="1">IFERROR(__xludf.DUMMYFUNCTION("1.15 + 0.02 * FILTER('Base Stats'!$C$2:$C1000, LOWER('Base Stats'!$B$2:$B1000) = LOWER($A108))"),"1.95")</f>
        <v>1.95</v>
      </c>
      <c r="N108" t="s">
        <v>527</v>
      </c>
    </row>
    <row r="109" spans="1:14" ht="12.75" x14ac:dyDescent="0.2">
      <c r="A109" s="1" t="s">
        <v>593</v>
      </c>
      <c r="B109" s="1">
        <v>93</v>
      </c>
      <c r="C109" s="1">
        <v>26</v>
      </c>
      <c r="D109" s="1">
        <v>1.38</v>
      </c>
      <c r="E109" s="1">
        <v>0.28999999999999998</v>
      </c>
      <c r="F109" s="1">
        <v>600</v>
      </c>
      <c r="G109" t="str">
        <f ca="1">IFERROR(__xludf.DUMMYFUNCTION("ROUND(B109/ FILTER('Pokemon CP/HP'!$M$2:$M1000, LOWER('Pokemon CP/HP'!$B$2:$B1000)=LOWER(A109)))"),"9")</f>
        <v>9</v>
      </c>
      <c r="H109" t="str">
        <f ca="1">IFERROR(__xludf.DUMMYFUNCTION("FILTER('Leveling Info'!$B$2:$B1000, 'Leveling Info'!$A$2:$A1000 =G109)"),"600")</f>
        <v>600</v>
      </c>
      <c r="I109" s="29">
        <f t="shared" ca="1" si="0"/>
        <v>3</v>
      </c>
      <c r="J109" s="29" t="str">
        <f ca="1">IFERROR(__xludf.DUMMYFUNCTION("IF(F109 = H109,C109/FILTER('Base Stats'!$C$2:$C1000, LOWER('Base Stats'!$B$2:$B1000) = LOWER($A109)), """")"),"0.65")</f>
        <v>0.65</v>
      </c>
      <c r="K109" t="str">
        <f t="shared" ca="1" si="1"/>
        <v/>
      </c>
      <c r="L109" t="str">
        <f ca="1">IFERROR(__xludf.DUMMYFUNCTION("IF(AND(NOT(K109 = """"), G109 &gt;= 15),K109/FILTER('Base Stats'!$C$2:$C1000, LOWER('Base Stats'!$B$2:$B1000) = LOWER($A109)), """")"),"")</f>
        <v/>
      </c>
      <c r="M109" t="str">
        <f ca="1">IFERROR(__xludf.DUMMYFUNCTION("1.15 + 0.02 * FILTER('Base Stats'!$C$2:$C1000, LOWER('Base Stats'!$B$2:$B1000) = LOWER($A109))"),"1.95")</f>
        <v>1.95</v>
      </c>
      <c r="N109" t="s">
        <v>527</v>
      </c>
    </row>
    <row r="110" spans="1:14" ht="12.75" x14ac:dyDescent="0.2">
      <c r="A110" s="1" t="s">
        <v>593</v>
      </c>
      <c r="B110" s="1">
        <v>93</v>
      </c>
      <c r="C110" s="1">
        <v>29</v>
      </c>
      <c r="D110" s="1">
        <v>2.5499999999999998</v>
      </c>
      <c r="E110" s="1">
        <v>0.35</v>
      </c>
      <c r="F110" s="1">
        <v>600</v>
      </c>
      <c r="G110" t="str">
        <f ca="1">IFERROR(__xludf.DUMMYFUNCTION("ROUND(B110/ FILTER('Pokemon CP/HP'!$M$2:$M1000, LOWER('Pokemon CP/HP'!$B$2:$B1000)=LOWER(A110)))"),"9")</f>
        <v>9</v>
      </c>
      <c r="H110" t="str">
        <f ca="1">IFERROR(__xludf.DUMMYFUNCTION("FILTER('Leveling Info'!$B$2:$B1000, 'Leveling Info'!$A$2:$A1000 =G110)"),"600")</f>
        <v>600</v>
      </c>
      <c r="I110" s="29">
        <f t="shared" ca="1" si="0"/>
        <v>3</v>
      </c>
      <c r="J110" s="29" t="str">
        <f ca="1">IFERROR(__xludf.DUMMYFUNCTION("IF(F110 = H110,C110/FILTER('Base Stats'!$C$2:$C1000, LOWER('Base Stats'!$B$2:$B1000) = LOWER($A110)), """")"),"0.725")</f>
        <v>0.725</v>
      </c>
      <c r="K110" t="str">
        <f t="shared" ca="1" si="1"/>
        <v/>
      </c>
      <c r="L110" t="str">
        <f ca="1">IFERROR(__xludf.DUMMYFUNCTION("IF(AND(NOT(K110 = """"), G110 &gt;= 15),K110/FILTER('Base Stats'!$C$2:$C1000, LOWER('Base Stats'!$B$2:$B1000) = LOWER($A110)), """")"),"")</f>
        <v/>
      </c>
      <c r="M110" t="str">
        <f ca="1">IFERROR(__xludf.DUMMYFUNCTION("1.15 + 0.02 * FILTER('Base Stats'!$C$2:$C1000, LOWER('Base Stats'!$B$2:$B1000) = LOWER($A110))"),"1.95")</f>
        <v>1.95</v>
      </c>
      <c r="N110" t="s">
        <v>527</v>
      </c>
    </row>
    <row r="111" spans="1:14" ht="12.75" x14ac:dyDescent="0.2">
      <c r="A111" s="1" t="s">
        <v>593</v>
      </c>
      <c r="B111" s="1">
        <v>88</v>
      </c>
      <c r="C111" s="1">
        <v>26</v>
      </c>
      <c r="D111" s="1">
        <v>1.55</v>
      </c>
      <c r="E111" s="1">
        <v>0.25</v>
      </c>
      <c r="F111" s="1">
        <v>600</v>
      </c>
      <c r="G111" t="str">
        <f ca="1">IFERROR(__xludf.DUMMYFUNCTION("ROUND(B111/ FILTER('Pokemon CP/HP'!$M$2:$M1000, LOWER('Pokemon CP/HP'!$B$2:$B1000)=LOWER(A111)))"),"9")</f>
        <v>9</v>
      </c>
      <c r="H111" t="str">
        <f ca="1">IFERROR(__xludf.DUMMYFUNCTION("FILTER('Leveling Info'!$B$2:$B1000, 'Leveling Info'!$A$2:$A1000 =G111)"),"600")</f>
        <v>600</v>
      </c>
      <c r="I111" s="29">
        <f t="shared" ca="1" si="0"/>
        <v>3</v>
      </c>
      <c r="J111" s="29" t="str">
        <f ca="1">IFERROR(__xludf.DUMMYFUNCTION("IF(F111 = H111,C111/FILTER('Base Stats'!$C$2:$C1000, LOWER('Base Stats'!$B$2:$B1000) = LOWER($A111)), """")"),"0.65")</f>
        <v>0.65</v>
      </c>
      <c r="K111" t="str">
        <f t="shared" ca="1" si="1"/>
        <v/>
      </c>
      <c r="L111" t="str">
        <f ca="1">IFERROR(__xludf.DUMMYFUNCTION("IF(AND(NOT(K111 = """"), G111 &gt;= 15),K111/FILTER('Base Stats'!$C$2:$C1000, LOWER('Base Stats'!$B$2:$B1000) = LOWER($A111)), """")"),"")</f>
        <v/>
      </c>
      <c r="M111" t="str">
        <f ca="1">IFERROR(__xludf.DUMMYFUNCTION("1.15 + 0.02 * FILTER('Base Stats'!$C$2:$C1000, LOWER('Base Stats'!$B$2:$B1000) = LOWER($A111))"),"1.95")</f>
        <v>1.95</v>
      </c>
      <c r="N111" t="s">
        <v>527</v>
      </c>
    </row>
    <row r="112" spans="1:14" ht="12.75" x14ac:dyDescent="0.2">
      <c r="A112" s="1" t="s">
        <v>593</v>
      </c>
      <c r="B112" s="1">
        <v>87</v>
      </c>
      <c r="C112" s="1">
        <v>27</v>
      </c>
      <c r="D112" s="1">
        <v>1.03</v>
      </c>
      <c r="E112" s="1">
        <v>0.22</v>
      </c>
      <c r="F112" s="1">
        <v>600</v>
      </c>
      <c r="G112" t="str">
        <f ca="1">IFERROR(__xludf.DUMMYFUNCTION("ROUND(B112/ FILTER('Pokemon CP/HP'!$M$2:$M1000, LOWER('Pokemon CP/HP'!$B$2:$B1000)=LOWER(A112)))"),"9")</f>
        <v>9</v>
      </c>
      <c r="H112" t="str">
        <f ca="1">IFERROR(__xludf.DUMMYFUNCTION("FILTER('Leveling Info'!$B$2:$B1000, 'Leveling Info'!$A$2:$A1000 =G112)"),"600")</f>
        <v>600</v>
      </c>
      <c r="I112" s="29">
        <f t="shared" ca="1" si="0"/>
        <v>3</v>
      </c>
      <c r="J112" s="29" t="str">
        <f ca="1">IFERROR(__xludf.DUMMYFUNCTION("IF(F112 = H112,C112/FILTER('Base Stats'!$C$2:$C1000, LOWER('Base Stats'!$B$2:$B1000) = LOWER($A112)), """")"),"0.675")</f>
        <v>0.675</v>
      </c>
      <c r="K112" t="str">
        <f t="shared" ca="1" si="1"/>
        <v/>
      </c>
      <c r="L112" t="str">
        <f ca="1">IFERROR(__xludf.DUMMYFUNCTION("IF(AND(NOT(K112 = """"), G112 &gt;= 15),K112/FILTER('Base Stats'!$C$2:$C1000, LOWER('Base Stats'!$B$2:$B1000) = LOWER($A112)), """")"),"")</f>
        <v/>
      </c>
      <c r="M112" t="str">
        <f ca="1">IFERROR(__xludf.DUMMYFUNCTION("1.15 + 0.02 * FILTER('Base Stats'!$C$2:$C1000, LOWER('Base Stats'!$B$2:$B1000) = LOWER($A112))"),"1.95")</f>
        <v>1.95</v>
      </c>
      <c r="N112" t="s">
        <v>527</v>
      </c>
    </row>
    <row r="113" spans="1:14" ht="12.75" x14ac:dyDescent="0.2">
      <c r="A113" s="1" t="s">
        <v>593</v>
      </c>
      <c r="B113" s="1">
        <v>83</v>
      </c>
      <c r="C113" s="1">
        <v>24</v>
      </c>
      <c r="D113" s="1">
        <v>1.88</v>
      </c>
      <c r="E113" s="1">
        <v>0.34</v>
      </c>
      <c r="F113" s="1">
        <v>600</v>
      </c>
      <c r="G113" t="str">
        <f ca="1">IFERROR(__xludf.DUMMYFUNCTION("ROUND(B113/ FILTER('Pokemon CP/HP'!$M$2:$M1000, LOWER('Pokemon CP/HP'!$B$2:$B1000)=LOWER(A113)))"),"8")</f>
        <v>8</v>
      </c>
      <c r="H113" t="str">
        <f ca="1">IFERROR(__xludf.DUMMYFUNCTION("FILTER('Leveling Info'!$B$2:$B1000, 'Leveling Info'!$A$2:$A1000 =G113)"),"400")</f>
        <v>400</v>
      </c>
      <c r="I113" s="29">
        <f t="shared" ca="1" si="0"/>
        <v>2.8284271247461903</v>
      </c>
      <c r="J113" s="29" t="str">
        <f ca="1">IFERROR(__xludf.DUMMYFUNCTION("IF(F113 = H113,C113/FILTER('Base Stats'!$C$2:$C1000, LOWER('Base Stats'!$B$2:$B1000) = LOWER($A113)), """")"),"")</f>
        <v/>
      </c>
      <c r="K113" t="str">
        <f t="shared" ca="1" si="1"/>
        <v/>
      </c>
      <c r="L113" t="str">
        <f ca="1">IFERROR(__xludf.DUMMYFUNCTION("IF(AND(NOT(K113 = """"), G113 &gt;= 15),K113/FILTER('Base Stats'!$C$2:$C1000, LOWER('Base Stats'!$B$2:$B1000) = LOWER($A113)), """")"),"")</f>
        <v/>
      </c>
      <c r="M113" t="str">
        <f ca="1">IFERROR(__xludf.DUMMYFUNCTION("1.15 + 0.02 * FILTER('Base Stats'!$C$2:$C1000, LOWER('Base Stats'!$B$2:$B1000) = LOWER($A113))"),"1.95")</f>
        <v>1.95</v>
      </c>
      <c r="N113" t="s">
        <v>527</v>
      </c>
    </row>
    <row r="114" spans="1:14" ht="12.75" x14ac:dyDescent="0.2">
      <c r="A114" s="1" t="s">
        <v>593</v>
      </c>
      <c r="B114" s="1">
        <v>79</v>
      </c>
      <c r="C114" s="1">
        <v>27</v>
      </c>
      <c r="D114" s="1">
        <v>1.62</v>
      </c>
      <c r="E114" s="1">
        <v>0.3</v>
      </c>
      <c r="F114" s="1">
        <v>600</v>
      </c>
      <c r="G114" t="str">
        <f ca="1">IFERROR(__xludf.DUMMYFUNCTION("ROUND(B114/ FILTER('Pokemon CP/HP'!$M$2:$M1000, LOWER('Pokemon CP/HP'!$B$2:$B1000)=LOWER(A114)))"),"8")</f>
        <v>8</v>
      </c>
      <c r="H114" t="str">
        <f ca="1">IFERROR(__xludf.DUMMYFUNCTION("FILTER('Leveling Info'!$B$2:$B1000, 'Leveling Info'!$A$2:$A1000 =G114)"),"400")</f>
        <v>400</v>
      </c>
      <c r="I114" s="29">
        <f t="shared" ca="1" si="0"/>
        <v>2.8284271247461903</v>
      </c>
      <c r="J114" s="29" t="str">
        <f ca="1">IFERROR(__xludf.DUMMYFUNCTION("IF(F114 = H114,C114/FILTER('Base Stats'!$C$2:$C1000, LOWER('Base Stats'!$B$2:$B1000) = LOWER($A114)), """")"),"")</f>
        <v/>
      </c>
      <c r="K114" t="str">
        <f t="shared" ca="1" si="1"/>
        <v/>
      </c>
      <c r="L114" t="str">
        <f ca="1">IFERROR(__xludf.DUMMYFUNCTION("IF(AND(NOT(K114 = """"), G114 &gt;= 15),K114/FILTER('Base Stats'!$C$2:$C1000, LOWER('Base Stats'!$B$2:$B1000) = LOWER($A114)), """")"),"")</f>
        <v/>
      </c>
      <c r="M114" t="str">
        <f ca="1">IFERROR(__xludf.DUMMYFUNCTION("1.15 + 0.02 * FILTER('Base Stats'!$C$2:$C1000, LOWER('Base Stats'!$B$2:$B1000) = LOWER($A114))"),"1.95")</f>
        <v>1.95</v>
      </c>
      <c r="N114" t="s">
        <v>527</v>
      </c>
    </row>
    <row r="115" spans="1:14" ht="12.75" x14ac:dyDescent="0.2">
      <c r="A115" s="1" t="s">
        <v>593</v>
      </c>
      <c r="B115" s="1">
        <v>78</v>
      </c>
      <c r="C115" s="1">
        <v>26</v>
      </c>
      <c r="D115" s="1">
        <v>2.83</v>
      </c>
      <c r="E115" s="1">
        <v>0.38</v>
      </c>
      <c r="F115" s="1">
        <v>600</v>
      </c>
      <c r="G115" t="str">
        <f ca="1">IFERROR(__xludf.DUMMYFUNCTION("ROUND(B115/ FILTER('Pokemon CP/HP'!$M$2:$M1000, LOWER('Pokemon CP/HP'!$B$2:$B1000)=LOWER(A115)))"),"8")</f>
        <v>8</v>
      </c>
      <c r="H115" t="str">
        <f ca="1">IFERROR(__xludf.DUMMYFUNCTION("FILTER('Leveling Info'!$B$2:$B1000, 'Leveling Info'!$A$2:$A1000 =G115)"),"400")</f>
        <v>400</v>
      </c>
      <c r="I115" s="29">
        <f t="shared" ca="1" si="0"/>
        <v>2.8284271247461903</v>
      </c>
      <c r="J115" s="29" t="str">
        <f ca="1">IFERROR(__xludf.DUMMYFUNCTION("IF(F115 = H115,C115/FILTER('Base Stats'!$C$2:$C1000, LOWER('Base Stats'!$B$2:$B1000) = LOWER($A115)), """")"),"")</f>
        <v/>
      </c>
      <c r="K115" t="str">
        <f t="shared" ca="1" si="1"/>
        <v/>
      </c>
      <c r="L115" t="str">
        <f ca="1">IFERROR(__xludf.DUMMYFUNCTION("IF(AND(NOT(K115 = """"), G115 &gt;= 15),K115/FILTER('Base Stats'!$C$2:$C1000, LOWER('Base Stats'!$B$2:$B1000) = LOWER($A115)), """")"),"")</f>
        <v/>
      </c>
      <c r="M115" t="str">
        <f ca="1">IFERROR(__xludf.DUMMYFUNCTION("1.15 + 0.02 * FILTER('Base Stats'!$C$2:$C1000, LOWER('Base Stats'!$B$2:$B1000) = LOWER($A115))"),"1.95")</f>
        <v>1.95</v>
      </c>
      <c r="N115" t="s">
        <v>527</v>
      </c>
    </row>
    <row r="116" spans="1:14" ht="12.75" x14ac:dyDescent="0.2">
      <c r="A116" s="1" t="s">
        <v>593</v>
      </c>
      <c r="B116" s="1">
        <v>76</v>
      </c>
      <c r="C116" s="1">
        <v>23</v>
      </c>
      <c r="D116" s="1">
        <v>1.77</v>
      </c>
      <c r="E116" s="1">
        <v>0.3</v>
      </c>
      <c r="F116" s="1">
        <v>600</v>
      </c>
      <c r="G116" t="str">
        <f ca="1">IFERROR(__xludf.DUMMYFUNCTION("ROUND(B116/ FILTER('Pokemon CP/HP'!$M$2:$M1000, LOWER('Pokemon CP/HP'!$B$2:$B1000)=LOWER(A116)))"),"7")</f>
        <v>7</v>
      </c>
      <c r="H116" t="str">
        <f ca="1">IFERROR(__xludf.DUMMYFUNCTION("FILTER('Leveling Info'!$B$2:$B1000, 'Leveling Info'!$A$2:$A1000 =G116)"),"400")</f>
        <v>400</v>
      </c>
      <c r="I116" s="29">
        <f t="shared" ca="1" si="0"/>
        <v>2.6457513110645907</v>
      </c>
      <c r="J116" s="29" t="str">
        <f ca="1">IFERROR(__xludf.DUMMYFUNCTION("IF(F116 = H116,C116/FILTER('Base Stats'!$C$2:$C1000, LOWER('Base Stats'!$B$2:$B1000) = LOWER($A116)), """")"),"")</f>
        <v/>
      </c>
      <c r="K116" t="str">
        <f t="shared" ca="1" si="1"/>
        <v/>
      </c>
      <c r="L116" t="str">
        <f ca="1">IFERROR(__xludf.DUMMYFUNCTION("IF(AND(NOT(K116 = """"), G116 &gt;= 15),K116/FILTER('Base Stats'!$C$2:$C1000, LOWER('Base Stats'!$B$2:$B1000) = LOWER($A116)), """")"),"")</f>
        <v/>
      </c>
      <c r="M116" t="str">
        <f ca="1">IFERROR(__xludf.DUMMYFUNCTION("1.15 + 0.02 * FILTER('Base Stats'!$C$2:$C1000, LOWER('Base Stats'!$B$2:$B1000) = LOWER($A116))"),"1.95")</f>
        <v>1.95</v>
      </c>
      <c r="N116" t="s">
        <v>527</v>
      </c>
    </row>
    <row r="117" spans="1:14" ht="12.75" x14ac:dyDescent="0.2">
      <c r="A117" s="1" t="s">
        <v>593</v>
      </c>
      <c r="B117" s="1">
        <v>76</v>
      </c>
      <c r="C117" s="1">
        <v>25</v>
      </c>
      <c r="D117" s="1">
        <v>1.98</v>
      </c>
      <c r="E117" s="1">
        <v>0.28999999999999998</v>
      </c>
      <c r="F117" s="1">
        <v>600</v>
      </c>
      <c r="G117" t="str">
        <f ca="1">IFERROR(__xludf.DUMMYFUNCTION("ROUND(B117/ FILTER('Pokemon CP/HP'!$M$2:$M1000, LOWER('Pokemon CP/HP'!$B$2:$B1000)=LOWER(A117)))"),"7")</f>
        <v>7</v>
      </c>
      <c r="H117" t="str">
        <f ca="1">IFERROR(__xludf.DUMMYFUNCTION("FILTER('Leveling Info'!$B$2:$B1000, 'Leveling Info'!$A$2:$A1000 =G117)"),"400")</f>
        <v>400</v>
      </c>
      <c r="I117" s="29">
        <f t="shared" ca="1" si="0"/>
        <v>2.6457513110645907</v>
      </c>
      <c r="J117" s="29" t="str">
        <f ca="1">IFERROR(__xludf.DUMMYFUNCTION("IF(F117 = H117,C117/FILTER('Base Stats'!$C$2:$C1000, LOWER('Base Stats'!$B$2:$B1000) = LOWER($A117)), """")"),"")</f>
        <v/>
      </c>
      <c r="K117" t="str">
        <f t="shared" ca="1" si="1"/>
        <v/>
      </c>
      <c r="L117" t="str">
        <f ca="1">IFERROR(__xludf.DUMMYFUNCTION("IF(AND(NOT(K117 = """"), G117 &gt;= 15),K117/FILTER('Base Stats'!$C$2:$C1000, LOWER('Base Stats'!$B$2:$B1000) = LOWER($A117)), """")"),"")</f>
        <v/>
      </c>
      <c r="M117" t="str">
        <f ca="1">IFERROR(__xludf.DUMMYFUNCTION("1.15 + 0.02 * FILTER('Base Stats'!$C$2:$C1000, LOWER('Base Stats'!$B$2:$B1000) = LOWER($A117))"),"1.95")</f>
        <v>1.95</v>
      </c>
      <c r="N117" t="s">
        <v>527</v>
      </c>
    </row>
    <row r="118" spans="1:14" ht="12.75" x14ac:dyDescent="0.2">
      <c r="A118" s="1" t="s">
        <v>593</v>
      </c>
      <c r="B118" s="1">
        <v>76</v>
      </c>
      <c r="C118" s="1">
        <v>26</v>
      </c>
      <c r="D118" s="1">
        <v>2.27</v>
      </c>
      <c r="E118" s="1">
        <v>0.31</v>
      </c>
      <c r="F118" s="1">
        <v>600</v>
      </c>
      <c r="G118" t="str">
        <f ca="1">IFERROR(__xludf.DUMMYFUNCTION("ROUND(B118/ FILTER('Pokemon CP/HP'!$M$2:$M1000, LOWER('Pokemon CP/HP'!$B$2:$B1000)=LOWER(A118)))"),"7")</f>
        <v>7</v>
      </c>
      <c r="H118" t="str">
        <f ca="1">IFERROR(__xludf.DUMMYFUNCTION("FILTER('Leveling Info'!$B$2:$B1000, 'Leveling Info'!$A$2:$A1000 =G118)"),"400")</f>
        <v>400</v>
      </c>
      <c r="I118" s="29">
        <f t="shared" ca="1" si="0"/>
        <v>2.6457513110645907</v>
      </c>
      <c r="J118" s="29" t="str">
        <f ca="1">IFERROR(__xludf.DUMMYFUNCTION("IF(F118 = H118,C118/FILTER('Base Stats'!$C$2:$C1000, LOWER('Base Stats'!$B$2:$B1000) = LOWER($A118)), """")"),"")</f>
        <v/>
      </c>
      <c r="K118" t="str">
        <f t="shared" ca="1" si="1"/>
        <v/>
      </c>
      <c r="L118" t="str">
        <f ca="1">IFERROR(__xludf.DUMMYFUNCTION("IF(AND(NOT(K118 = """"), G118 &gt;= 15),K118/FILTER('Base Stats'!$C$2:$C1000, LOWER('Base Stats'!$B$2:$B1000) = LOWER($A118)), """")"),"")</f>
        <v/>
      </c>
      <c r="M118" t="str">
        <f ca="1">IFERROR(__xludf.DUMMYFUNCTION("1.15 + 0.02 * FILTER('Base Stats'!$C$2:$C1000, LOWER('Base Stats'!$B$2:$B1000) = LOWER($A118))"),"1.95")</f>
        <v>1.95</v>
      </c>
      <c r="N118" t="s">
        <v>527</v>
      </c>
    </row>
    <row r="119" spans="1:14" ht="12.75" x14ac:dyDescent="0.2">
      <c r="A119" s="1" t="s">
        <v>593</v>
      </c>
      <c r="B119" s="1">
        <v>73</v>
      </c>
      <c r="C119" s="1">
        <v>23</v>
      </c>
      <c r="D119" s="1">
        <v>1.55</v>
      </c>
      <c r="E119" s="1">
        <v>0.3</v>
      </c>
      <c r="F119" s="1">
        <v>600</v>
      </c>
      <c r="G119" t="str">
        <f ca="1">IFERROR(__xludf.DUMMYFUNCTION("ROUND(B119/ FILTER('Pokemon CP/HP'!$M$2:$M1000, LOWER('Pokemon CP/HP'!$B$2:$B1000)=LOWER(A119)))"),"7")</f>
        <v>7</v>
      </c>
      <c r="H119" t="str">
        <f ca="1">IFERROR(__xludf.DUMMYFUNCTION("FILTER('Leveling Info'!$B$2:$B1000, 'Leveling Info'!$A$2:$A1000 =G119)"),"400")</f>
        <v>400</v>
      </c>
      <c r="I119" s="29">
        <f t="shared" ca="1" si="0"/>
        <v>2.6457513110645907</v>
      </c>
      <c r="J119" s="29" t="str">
        <f ca="1">IFERROR(__xludf.DUMMYFUNCTION("IF(F119 = H119,C119/FILTER('Base Stats'!$C$2:$C1000, LOWER('Base Stats'!$B$2:$B1000) = LOWER($A119)), """")"),"")</f>
        <v/>
      </c>
      <c r="K119" t="str">
        <f t="shared" ca="1" si="1"/>
        <v/>
      </c>
      <c r="L119" t="str">
        <f ca="1">IFERROR(__xludf.DUMMYFUNCTION("IF(AND(NOT(K119 = """"), G119 &gt;= 15),K119/FILTER('Base Stats'!$C$2:$C1000, LOWER('Base Stats'!$B$2:$B1000) = LOWER($A119)), """")"),"")</f>
        <v/>
      </c>
      <c r="M119" t="str">
        <f ca="1">IFERROR(__xludf.DUMMYFUNCTION("1.15 + 0.02 * FILTER('Base Stats'!$C$2:$C1000, LOWER('Base Stats'!$B$2:$B1000) = LOWER($A119))"),"1.95")</f>
        <v>1.95</v>
      </c>
      <c r="N119" t="s">
        <v>527</v>
      </c>
    </row>
    <row r="120" spans="1:14" ht="12.75" x14ac:dyDescent="0.2">
      <c r="A120" s="1" t="s">
        <v>593</v>
      </c>
      <c r="B120" s="1">
        <v>72</v>
      </c>
      <c r="C120" s="1">
        <v>24</v>
      </c>
      <c r="D120" s="1">
        <v>2.0099999999999998</v>
      </c>
      <c r="E120" s="1">
        <v>0.32</v>
      </c>
      <c r="F120" s="1">
        <v>400</v>
      </c>
      <c r="G120" t="str">
        <f ca="1">IFERROR(__xludf.DUMMYFUNCTION("ROUND(B120/ FILTER('Pokemon CP/HP'!$M$2:$M1000, LOWER('Pokemon CP/HP'!$B$2:$B1000)=LOWER(A120)))"),"7")</f>
        <v>7</v>
      </c>
      <c r="H120" t="str">
        <f ca="1">IFERROR(__xludf.DUMMYFUNCTION("FILTER('Leveling Info'!$B$2:$B1000, 'Leveling Info'!$A$2:$A1000 =G120)"),"400")</f>
        <v>400</v>
      </c>
      <c r="I120" s="29">
        <f t="shared" ca="1" si="0"/>
        <v>2.6457513110645907</v>
      </c>
      <c r="J120" s="29" t="str">
        <f ca="1">IFERROR(__xludf.DUMMYFUNCTION("IF(F120 = H120,C120/FILTER('Base Stats'!$C$2:$C1000, LOWER('Base Stats'!$B$2:$B1000) = LOWER($A120)), """")"),"0.6")</f>
        <v>0.6</v>
      </c>
      <c r="K120" t="str">
        <f t="shared" ca="1" si="1"/>
        <v/>
      </c>
      <c r="L120" t="str">
        <f ca="1">IFERROR(__xludf.DUMMYFUNCTION("IF(AND(NOT(K120 = """"), G120 &gt;= 15),K120/FILTER('Base Stats'!$C$2:$C1000, LOWER('Base Stats'!$B$2:$B1000) = LOWER($A120)), """")"),"")</f>
        <v/>
      </c>
      <c r="M120" t="str">
        <f ca="1">IFERROR(__xludf.DUMMYFUNCTION("1.15 + 0.02 * FILTER('Base Stats'!$C$2:$C1000, LOWER('Base Stats'!$B$2:$B1000) = LOWER($A120))"),"1.95")</f>
        <v>1.95</v>
      </c>
      <c r="N120" t="s">
        <v>527</v>
      </c>
    </row>
    <row r="121" spans="1:14" ht="12.75" x14ac:dyDescent="0.2">
      <c r="A121" s="1" t="s">
        <v>593</v>
      </c>
      <c r="B121" s="1">
        <v>70</v>
      </c>
      <c r="C121" s="1">
        <v>24</v>
      </c>
      <c r="D121" s="1">
        <v>2.37</v>
      </c>
      <c r="E121" s="1">
        <v>0.32</v>
      </c>
      <c r="F121" s="1">
        <v>600</v>
      </c>
      <c r="G121" t="str">
        <f ca="1">IFERROR(__xludf.DUMMYFUNCTION("ROUND(B121/ FILTER('Pokemon CP/HP'!$M$2:$M1000, LOWER('Pokemon CP/HP'!$B$2:$B1000)=LOWER(A121)))"),"7")</f>
        <v>7</v>
      </c>
      <c r="H121" t="str">
        <f ca="1">IFERROR(__xludf.DUMMYFUNCTION("FILTER('Leveling Info'!$B$2:$B1000, 'Leveling Info'!$A$2:$A1000 =G121)"),"400")</f>
        <v>400</v>
      </c>
      <c r="I121" s="29">
        <f t="shared" ca="1" si="0"/>
        <v>2.6457513110645907</v>
      </c>
      <c r="J121" s="29" t="str">
        <f ca="1">IFERROR(__xludf.DUMMYFUNCTION("IF(F121 = H121,C121/FILTER('Base Stats'!$C$2:$C1000, LOWER('Base Stats'!$B$2:$B1000) = LOWER($A121)), """")"),"")</f>
        <v/>
      </c>
      <c r="K121" t="str">
        <f t="shared" ca="1" si="1"/>
        <v/>
      </c>
      <c r="L121" t="str">
        <f ca="1">IFERROR(__xludf.DUMMYFUNCTION("IF(AND(NOT(K121 = """"), G121 &gt;= 15),K121/FILTER('Base Stats'!$C$2:$C1000, LOWER('Base Stats'!$B$2:$B1000) = LOWER($A121)), """")"),"")</f>
        <v/>
      </c>
      <c r="M121" t="str">
        <f ca="1">IFERROR(__xludf.DUMMYFUNCTION("1.15 + 0.02 * FILTER('Base Stats'!$C$2:$C1000, LOWER('Base Stats'!$B$2:$B1000) = LOWER($A121))"),"1.95")</f>
        <v>1.95</v>
      </c>
      <c r="N121" t="s">
        <v>527</v>
      </c>
    </row>
    <row r="122" spans="1:14" ht="12.75" x14ac:dyDescent="0.2">
      <c r="A122" s="1" t="s">
        <v>593</v>
      </c>
      <c r="B122" s="1">
        <v>63</v>
      </c>
      <c r="C122" s="1">
        <v>23</v>
      </c>
      <c r="D122" s="1">
        <v>2.62</v>
      </c>
      <c r="E122" s="1">
        <v>0.34</v>
      </c>
      <c r="F122" s="1">
        <v>400</v>
      </c>
      <c r="G122" t="str">
        <f ca="1">IFERROR(__xludf.DUMMYFUNCTION("ROUND(B122/ FILTER('Pokemon CP/HP'!$M$2:$M1000, LOWER('Pokemon CP/HP'!$B$2:$B1000)=LOWER(A122)))"),"6")</f>
        <v>6</v>
      </c>
      <c r="H122" t="str">
        <f ca="1">IFERROR(__xludf.DUMMYFUNCTION("FILTER('Leveling Info'!$B$2:$B1000, 'Leveling Info'!$A$2:$A1000 =G122)"),"400")</f>
        <v>400</v>
      </c>
      <c r="I122" s="29">
        <f t="shared" ca="1" si="0"/>
        <v>2.4494897427831779</v>
      </c>
      <c r="J122" s="29" t="str">
        <f ca="1">IFERROR(__xludf.DUMMYFUNCTION("IF(F122 = H122,C122/FILTER('Base Stats'!$C$2:$C1000, LOWER('Base Stats'!$B$2:$B1000) = LOWER($A122)), """")"),"0.575")</f>
        <v>0.575</v>
      </c>
      <c r="K122" t="str">
        <f t="shared" ca="1" si="1"/>
        <v/>
      </c>
      <c r="L122" t="str">
        <f ca="1">IFERROR(__xludf.DUMMYFUNCTION("IF(AND(NOT(K122 = """"), G122 &gt;= 15),K122/FILTER('Base Stats'!$C$2:$C1000, LOWER('Base Stats'!$B$2:$B1000) = LOWER($A122)), """")"),"")</f>
        <v/>
      </c>
      <c r="M122" t="str">
        <f ca="1">IFERROR(__xludf.DUMMYFUNCTION("1.15 + 0.02 * FILTER('Base Stats'!$C$2:$C1000, LOWER('Base Stats'!$B$2:$B1000) = LOWER($A122))"),"1.95")</f>
        <v>1.95</v>
      </c>
      <c r="N122" t="s">
        <v>527</v>
      </c>
    </row>
    <row r="123" spans="1:14" ht="12.75" x14ac:dyDescent="0.2">
      <c r="A123" s="1" t="s">
        <v>593</v>
      </c>
      <c r="B123" s="1">
        <v>62</v>
      </c>
      <c r="C123" s="1">
        <v>23</v>
      </c>
      <c r="D123" s="1">
        <v>1.78</v>
      </c>
      <c r="E123" s="1">
        <v>0.28000000000000003</v>
      </c>
      <c r="F123" s="1">
        <v>400</v>
      </c>
      <c r="G123" t="str">
        <f ca="1">IFERROR(__xludf.DUMMYFUNCTION("ROUND(B123/ FILTER('Pokemon CP/HP'!$M$2:$M1000, LOWER('Pokemon CP/HP'!$B$2:$B1000)=LOWER(A123)))"),"6")</f>
        <v>6</v>
      </c>
      <c r="H123" t="str">
        <f ca="1">IFERROR(__xludf.DUMMYFUNCTION("FILTER('Leveling Info'!$B$2:$B1000, 'Leveling Info'!$A$2:$A1000 =G123)"),"400")</f>
        <v>400</v>
      </c>
      <c r="I123" s="29">
        <f t="shared" ca="1" si="0"/>
        <v>2.4494897427831779</v>
      </c>
      <c r="J123" s="29" t="str">
        <f ca="1">IFERROR(__xludf.DUMMYFUNCTION("IF(F123 = H123,C123/FILTER('Base Stats'!$C$2:$C1000, LOWER('Base Stats'!$B$2:$B1000) = LOWER($A123)), """")"),"0.575")</f>
        <v>0.575</v>
      </c>
      <c r="K123" t="str">
        <f t="shared" ca="1" si="1"/>
        <v/>
      </c>
      <c r="L123" t="str">
        <f ca="1">IFERROR(__xludf.DUMMYFUNCTION("IF(AND(NOT(K123 = """"), G123 &gt;= 15),K123/FILTER('Base Stats'!$C$2:$C1000, LOWER('Base Stats'!$B$2:$B1000) = LOWER($A123)), """")"),"")</f>
        <v/>
      </c>
      <c r="M123" t="str">
        <f ca="1">IFERROR(__xludf.DUMMYFUNCTION("1.15 + 0.02 * FILTER('Base Stats'!$C$2:$C1000, LOWER('Base Stats'!$B$2:$B1000) = LOWER($A123))"),"1.95")</f>
        <v>1.95</v>
      </c>
      <c r="N123" t="s">
        <v>527</v>
      </c>
    </row>
    <row r="124" spans="1:14" ht="12.75" x14ac:dyDescent="0.2">
      <c r="A124" s="1" t="s">
        <v>593</v>
      </c>
      <c r="B124" s="1">
        <v>61</v>
      </c>
      <c r="C124" s="1">
        <v>24</v>
      </c>
      <c r="D124" s="1">
        <v>2.5499999999999998</v>
      </c>
      <c r="E124" s="1">
        <v>0.31</v>
      </c>
      <c r="F124" s="1">
        <v>400</v>
      </c>
      <c r="G124" t="str">
        <f ca="1">IFERROR(__xludf.DUMMYFUNCTION("ROUND(B124/ FILTER('Pokemon CP/HP'!$M$2:$M1000, LOWER('Pokemon CP/HP'!$B$2:$B1000)=LOWER(A124)))"),"6")</f>
        <v>6</v>
      </c>
      <c r="H124" t="str">
        <f ca="1">IFERROR(__xludf.DUMMYFUNCTION("FILTER('Leveling Info'!$B$2:$B1000, 'Leveling Info'!$A$2:$A1000 =G124)"),"400")</f>
        <v>400</v>
      </c>
      <c r="I124" s="29">
        <f t="shared" ca="1" si="0"/>
        <v>2.4494897427831779</v>
      </c>
      <c r="J124" s="29" t="str">
        <f ca="1">IFERROR(__xludf.DUMMYFUNCTION("IF(F124 = H124,C124/FILTER('Base Stats'!$C$2:$C1000, LOWER('Base Stats'!$B$2:$B1000) = LOWER($A124)), """")"),"0.6")</f>
        <v>0.6</v>
      </c>
      <c r="K124" t="str">
        <f t="shared" ca="1" si="1"/>
        <v/>
      </c>
      <c r="L124" t="str">
        <f ca="1">IFERROR(__xludf.DUMMYFUNCTION("IF(AND(NOT(K124 = """"), G124 &gt;= 15),K124/FILTER('Base Stats'!$C$2:$C1000, LOWER('Base Stats'!$B$2:$B1000) = LOWER($A124)), """")"),"")</f>
        <v/>
      </c>
      <c r="M124" t="str">
        <f ca="1">IFERROR(__xludf.DUMMYFUNCTION("1.15 + 0.02 * FILTER('Base Stats'!$C$2:$C1000, LOWER('Base Stats'!$B$2:$B1000) = LOWER($A124))"),"1.95")</f>
        <v>1.95</v>
      </c>
      <c r="N124" t="s">
        <v>527</v>
      </c>
    </row>
    <row r="125" spans="1:14" ht="12.75" x14ac:dyDescent="0.2">
      <c r="A125" s="1" t="s">
        <v>593</v>
      </c>
      <c r="B125" s="1">
        <v>60</v>
      </c>
      <c r="C125" s="1">
        <v>22</v>
      </c>
      <c r="D125" s="1">
        <v>1.85</v>
      </c>
      <c r="E125" s="1">
        <v>0.33</v>
      </c>
      <c r="F125" s="1">
        <v>400</v>
      </c>
      <c r="G125" t="str">
        <f ca="1">IFERROR(__xludf.DUMMYFUNCTION("ROUND(B125/ FILTER('Pokemon CP/HP'!$M$2:$M1000, LOWER('Pokemon CP/HP'!$B$2:$B1000)=LOWER(A125)))"),"6")</f>
        <v>6</v>
      </c>
      <c r="H125" t="str">
        <f ca="1">IFERROR(__xludf.DUMMYFUNCTION("FILTER('Leveling Info'!$B$2:$B1000, 'Leveling Info'!$A$2:$A1000 =G125)"),"400")</f>
        <v>400</v>
      </c>
      <c r="I125" s="29">
        <f t="shared" ca="1" si="0"/>
        <v>2.4494897427831779</v>
      </c>
      <c r="J125" s="29" t="str">
        <f ca="1">IFERROR(__xludf.DUMMYFUNCTION("IF(F125 = H125,C125/FILTER('Base Stats'!$C$2:$C1000, LOWER('Base Stats'!$B$2:$B1000) = LOWER($A125)), """")"),"0.55")</f>
        <v>0.55</v>
      </c>
      <c r="K125" t="str">
        <f t="shared" ca="1" si="1"/>
        <v/>
      </c>
      <c r="L125" t="str">
        <f ca="1">IFERROR(__xludf.DUMMYFUNCTION("IF(AND(NOT(K125 = """"), G125 &gt;= 15),K125/FILTER('Base Stats'!$C$2:$C1000, LOWER('Base Stats'!$B$2:$B1000) = LOWER($A125)), """")"),"")</f>
        <v/>
      </c>
      <c r="M125" t="str">
        <f ca="1">IFERROR(__xludf.DUMMYFUNCTION("1.15 + 0.02 * FILTER('Base Stats'!$C$2:$C1000, LOWER('Base Stats'!$B$2:$B1000) = LOWER($A125))"),"1.95")</f>
        <v>1.95</v>
      </c>
      <c r="N125" t="s">
        <v>527</v>
      </c>
    </row>
    <row r="126" spans="1:14" ht="12.75" x14ac:dyDescent="0.2">
      <c r="A126" s="1" t="s">
        <v>593</v>
      </c>
      <c r="B126" s="1">
        <v>59</v>
      </c>
      <c r="C126" s="1">
        <v>23</v>
      </c>
      <c r="D126" s="1">
        <v>1.19</v>
      </c>
      <c r="E126" s="1">
        <v>0.26</v>
      </c>
      <c r="F126" s="1">
        <v>400</v>
      </c>
      <c r="G126" t="str">
        <f ca="1">IFERROR(__xludf.DUMMYFUNCTION("ROUND(B126/ FILTER('Pokemon CP/HP'!$M$2:$M1000, LOWER('Pokemon CP/HP'!$B$2:$B1000)=LOWER(A126)))"),"6")</f>
        <v>6</v>
      </c>
      <c r="H126" t="str">
        <f ca="1">IFERROR(__xludf.DUMMYFUNCTION("FILTER('Leveling Info'!$B$2:$B1000, 'Leveling Info'!$A$2:$A1000 =G126)"),"400")</f>
        <v>400</v>
      </c>
      <c r="I126" s="29">
        <f t="shared" ca="1" si="0"/>
        <v>2.4494897427831779</v>
      </c>
      <c r="J126" s="29" t="str">
        <f ca="1">IFERROR(__xludf.DUMMYFUNCTION("IF(F126 = H126,C126/FILTER('Base Stats'!$C$2:$C1000, LOWER('Base Stats'!$B$2:$B1000) = LOWER($A126)), """")"),"0.575")</f>
        <v>0.575</v>
      </c>
      <c r="K126" t="str">
        <f t="shared" ca="1" si="1"/>
        <v/>
      </c>
      <c r="L126" t="str">
        <f ca="1">IFERROR(__xludf.DUMMYFUNCTION("IF(AND(NOT(K126 = """"), G126 &gt;= 15),K126/FILTER('Base Stats'!$C$2:$C1000, LOWER('Base Stats'!$B$2:$B1000) = LOWER($A126)), """")"),"")</f>
        <v/>
      </c>
      <c r="M126" t="str">
        <f ca="1">IFERROR(__xludf.DUMMYFUNCTION("1.15 + 0.02 * FILTER('Base Stats'!$C$2:$C1000, LOWER('Base Stats'!$B$2:$B1000) = LOWER($A126))"),"1.95")</f>
        <v>1.95</v>
      </c>
      <c r="N126" t="s">
        <v>527</v>
      </c>
    </row>
    <row r="127" spans="1:14" ht="12.75" x14ac:dyDescent="0.2">
      <c r="A127" s="1" t="s">
        <v>593</v>
      </c>
      <c r="B127" s="1">
        <v>44</v>
      </c>
      <c r="C127" s="1">
        <v>19</v>
      </c>
      <c r="D127" s="1">
        <v>1.7</v>
      </c>
      <c r="E127" s="1">
        <v>0.33</v>
      </c>
      <c r="F127" s="1">
        <v>400</v>
      </c>
      <c r="G127" t="str">
        <f ca="1">IFERROR(__xludf.DUMMYFUNCTION("ROUND(B127/ FILTER('Pokemon CP/HP'!$M$2:$M1000, LOWER('Pokemon CP/HP'!$B$2:$B1000)=LOWER(A127)))"),"4")</f>
        <v>4</v>
      </c>
      <c r="H127" t="str">
        <f ca="1">IFERROR(__xludf.DUMMYFUNCTION("FILTER('Leveling Info'!$B$2:$B1000, 'Leveling Info'!$A$2:$A1000 =G127)"),"200")</f>
        <v>200</v>
      </c>
      <c r="I127" s="29">
        <f t="shared" ca="1" si="0"/>
        <v>2</v>
      </c>
      <c r="J127" s="29" t="str">
        <f ca="1">IFERROR(__xludf.DUMMYFUNCTION("IF(F127 = H127,C127/FILTER('Base Stats'!$C$2:$C1000, LOWER('Base Stats'!$B$2:$B1000) = LOWER($A127)), """")"),"")</f>
        <v/>
      </c>
      <c r="K127" t="str">
        <f t="shared" ca="1" si="1"/>
        <v/>
      </c>
      <c r="L127" t="str">
        <f ca="1">IFERROR(__xludf.DUMMYFUNCTION("IF(AND(NOT(K127 = """"), G127 &gt;= 15),K127/FILTER('Base Stats'!$C$2:$C1000, LOWER('Base Stats'!$B$2:$B1000) = LOWER($A127)), """")"),"")</f>
        <v/>
      </c>
      <c r="M127" t="str">
        <f ca="1">IFERROR(__xludf.DUMMYFUNCTION("1.15 + 0.02 * FILTER('Base Stats'!$C$2:$C1000, LOWER('Base Stats'!$B$2:$B1000) = LOWER($A127))"),"1.95")</f>
        <v>1.95</v>
      </c>
      <c r="N127" t="s">
        <v>527</v>
      </c>
    </row>
    <row r="128" spans="1:14" ht="12.75" x14ac:dyDescent="0.2">
      <c r="A128" s="1" t="s">
        <v>593</v>
      </c>
      <c r="B128" s="1">
        <v>44</v>
      </c>
      <c r="C128" s="1">
        <v>19</v>
      </c>
      <c r="D128" s="1" t="s">
        <v>594</v>
      </c>
      <c r="E128" s="1">
        <v>0.34</v>
      </c>
      <c r="F128" s="1">
        <v>400</v>
      </c>
      <c r="G128" t="str">
        <f ca="1">IFERROR(__xludf.DUMMYFUNCTION("ROUND(B128/ FILTER('Pokemon CP/HP'!$M$2:$M1000, LOWER('Pokemon CP/HP'!$B$2:$B1000)=LOWER(A128)))"),"4")</f>
        <v>4</v>
      </c>
      <c r="H128" t="str">
        <f ca="1">IFERROR(__xludf.DUMMYFUNCTION("FILTER('Leveling Info'!$B$2:$B1000, 'Leveling Info'!$A$2:$A1000 =G128)"),"200")</f>
        <v>200</v>
      </c>
      <c r="I128" s="29">
        <f t="shared" ca="1" si="0"/>
        <v>2</v>
      </c>
      <c r="J128" s="29" t="str">
        <f ca="1">IFERROR(__xludf.DUMMYFUNCTION("IF(F128 = H128,C128/FILTER('Base Stats'!$C$2:$C1000, LOWER('Base Stats'!$B$2:$B1000) = LOWER($A128)), """")"),"")</f>
        <v/>
      </c>
      <c r="K128" t="str">
        <f t="shared" ca="1" si="1"/>
        <v/>
      </c>
      <c r="L128" t="str">
        <f ca="1">IFERROR(__xludf.DUMMYFUNCTION("IF(AND(NOT(K128 = """"), G128 &gt;= 15),K128/FILTER('Base Stats'!$C$2:$C1000, LOWER('Base Stats'!$B$2:$B1000) = LOWER($A128)), """")"),"")</f>
        <v/>
      </c>
      <c r="M128" t="str">
        <f ca="1">IFERROR(__xludf.DUMMYFUNCTION("1.15 + 0.02 * FILTER('Base Stats'!$C$2:$C1000, LOWER('Base Stats'!$B$2:$B1000) = LOWER($A128))"),"1.95")</f>
        <v>1.95</v>
      </c>
      <c r="N128" t="s">
        <v>527</v>
      </c>
    </row>
    <row r="129" spans="1:14" ht="12.75" x14ac:dyDescent="0.2">
      <c r="A129" s="1" t="s">
        <v>593</v>
      </c>
      <c r="B129" s="1">
        <v>43</v>
      </c>
      <c r="C129" s="1">
        <v>20</v>
      </c>
      <c r="D129" s="1">
        <v>1.2</v>
      </c>
      <c r="E129" s="1">
        <v>0.26</v>
      </c>
      <c r="F129" s="1">
        <v>400</v>
      </c>
      <c r="G129" t="str">
        <f ca="1">IFERROR(__xludf.DUMMYFUNCTION("ROUND(B129/ FILTER('Pokemon CP/HP'!$M$2:$M1000, LOWER('Pokemon CP/HP'!$B$2:$B1000)=LOWER(A129)))"),"4")</f>
        <v>4</v>
      </c>
      <c r="H129" t="str">
        <f ca="1">IFERROR(__xludf.DUMMYFUNCTION("FILTER('Leveling Info'!$B$2:$B1000, 'Leveling Info'!$A$2:$A1000 =G129)"),"200")</f>
        <v>200</v>
      </c>
      <c r="I129" s="29">
        <f t="shared" ca="1" si="0"/>
        <v>2</v>
      </c>
      <c r="J129" s="29" t="str">
        <f ca="1">IFERROR(__xludf.DUMMYFUNCTION("IF(F129 = H129,C129/FILTER('Base Stats'!$C$2:$C1000, LOWER('Base Stats'!$B$2:$B1000) = LOWER($A129)), """")"),"")</f>
        <v/>
      </c>
      <c r="K129" t="str">
        <f t="shared" ca="1" si="1"/>
        <v/>
      </c>
      <c r="L129" t="str">
        <f ca="1">IFERROR(__xludf.DUMMYFUNCTION("IF(AND(NOT(K129 = """"), G129 &gt;= 15),K129/FILTER('Base Stats'!$C$2:$C1000, LOWER('Base Stats'!$B$2:$B1000) = LOWER($A129)), """")"),"")</f>
        <v/>
      </c>
      <c r="M129" t="str">
        <f ca="1">IFERROR(__xludf.DUMMYFUNCTION("1.15 + 0.02 * FILTER('Base Stats'!$C$2:$C1000, LOWER('Base Stats'!$B$2:$B1000) = LOWER($A129))"),"1.95")</f>
        <v>1.95</v>
      </c>
      <c r="N129" t="s">
        <v>527</v>
      </c>
    </row>
    <row r="130" spans="1:14" ht="12.75" x14ac:dyDescent="0.2">
      <c r="A130" s="1" t="s">
        <v>593</v>
      </c>
      <c r="B130" s="1">
        <v>42</v>
      </c>
      <c r="C130" s="1">
        <v>20</v>
      </c>
      <c r="D130" s="1">
        <v>0.99</v>
      </c>
      <c r="E130" s="1">
        <v>0.24</v>
      </c>
      <c r="F130" s="1">
        <v>400</v>
      </c>
      <c r="G130" t="str">
        <f ca="1">IFERROR(__xludf.DUMMYFUNCTION("ROUND(B130/ FILTER('Pokemon CP/HP'!$M$2:$M1000, LOWER('Pokemon CP/HP'!$B$2:$B1000)=LOWER(A130)))"),"4")</f>
        <v>4</v>
      </c>
      <c r="H130" t="str">
        <f ca="1">IFERROR(__xludf.DUMMYFUNCTION("FILTER('Leveling Info'!$B$2:$B1000, 'Leveling Info'!$A$2:$A1000 =G130)"),"200")</f>
        <v>200</v>
      </c>
      <c r="I130" s="29">
        <f t="shared" ca="1" si="0"/>
        <v>2</v>
      </c>
      <c r="J130" s="29" t="str">
        <f ca="1">IFERROR(__xludf.DUMMYFUNCTION("IF(F130 = H130,C130/FILTER('Base Stats'!$C$2:$C1000, LOWER('Base Stats'!$B$2:$B1000) = LOWER($A130)), """")"),"")</f>
        <v/>
      </c>
      <c r="K130" t="str">
        <f t="shared" ca="1" si="1"/>
        <v/>
      </c>
      <c r="L130" t="str">
        <f ca="1">IFERROR(__xludf.DUMMYFUNCTION("IF(AND(NOT(K130 = """"), G130 &gt;= 15),K130/FILTER('Base Stats'!$C$2:$C1000, LOWER('Base Stats'!$B$2:$B1000) = LOWER($A130)), """")"),"")</f>
        <v/>
      </c>
      <c r="M130" t="str">
        <f ca="1">IFERROR(__xludf.DUMMYFUNCTION("1.15 + 0.02 * FILTER('Base Stats'!$C$2:$C1000, LOWER('Base Stats'!$B$2:$B1000) = LOWER($A130))"),"1.95")</f>
        <v>1.95</v>
      </c>
      <c r="N130" t="s">
        <v>527</v>
      </c>
    </row>
    <row r="131" spans="1:14" ht="12.75" x14ac:dyDescent="0.2">
      <c r="A131" s="1" t="s">
        <v>593</v>
      </c>
      <c r="B131" s="1">
        <v>41</v>
      </c>
      <c r="C131" s="1">
        <v>17</v>
      </c>
      <c r="D131" s="1">
        <v>1.22</v>
      </c>
      <c r="E131" s="1">
        <v>0.27</v>
      </c>
      <c r="F131" s="1">
        <v>400</v>
      </c>
      <c r="G131" t="str">
        <f ca="1">IFERROR(__xludf.DUMMYFUNCTION("ROUND(B131/ FILTER('Pokemon CP/HP'!$M$2:$M1000, LOWER('Pokemon CP/HP'!$B$2:$B1000)=LOWER(A131)))"),"4")</f>
        <v>4</v>
      </c>
      <c r="H131" t="str">
        <f ca="1">IFERROR(__xludf.DUMMYFUNCTION("FILTER('Leveling Info'!$B$2:$B1000, 'Leveling Info'!$A$2:$A1000 =G131)"),"200")</f>
        <v>200</v>
      </c>
      <c r="I131" s="29">
        <f t="shared" ca="1" si="0"/>
        <v>2</v>
      </c>
      <c r="J131" s="29" t="str">
        <f ca="1">IFERROR(__xludf.DUMMYFUNCTION("IF(F131 = H131,C131/FILTER('Base Stats'!$C$2:$C1000, LOWER('Base Stats'!$B$2:$B1000) = LOWER($A131)), """")"),"")</f>
        <v/>
      </c>
      <c r="K131" t="str">
        <f t="shared" ca="1" si="1"/>
        <v/>
      </c>
      <c r="L131" t="str">
        <f ca="1">IFERROR(__xludf.DUMMYFUNCTION("IF(AND(NOT(K131 = """"), G131 &gt;= 15),K131/FILTER('Base Stats'!$C$2:$C1000, LOWER('Base Stats'!$B$2:$B1000) = LOWER($A131)), """")"),"")</f>
        <v/>
      </c>
      <c r="M131" t="str">
        <f ca="1">IFERROR(__xludf.DUMMYFUNCTION("1.15 + 0.02 * FILTER('Base Stats'!$C$2:$C1000, LOWER('Base Stats'!$B$2:$B1000) = LOWER($A131))"),"1.95")</f>
        <v>1.95</v>
      </c>
      <c r="N131" t="s">
        <v>527</v>
      </c>
    </row>
    <row r="132" spans="1:14" ht="12.75" x14ac:dyDescent="0.2">
      <c r="A132" s="1" t="s">
        <v>593</v>
      </c>
      <c r="B132" s="1">
        <v>39</v>
      </c>
      <c r="C132" s="1">
        <v>17</v>
      </c>
      <c r="D132" s="1">
        <v>1.8</v>
      </c>
      <c r="E132" s="1">
        <v>0.31</v>
      </c>
      <c r="F132" s="1">
        <v>400</v>
      </c>
      <c r="G132" t="str">
        <f ca="1">IFERROR(__xludf.DUMMYFUNCTION("ROUND(B132/ FILTER('Pokemon CP/HP'!$M$2:$M1000, LOWER('Pokemon CP/HP'!$B$2:$B1000)=LOWER(A132)))"),"4")</f>
        <v>4</v>
      </c>
      <c r="H132" t="str">
        <f ca="1">IFERROR(__xludf.DUMMYFUNCTION("FILTER('Leveling Info'!$B$2:$B1000, 'Leveling Info'!$A$2:$A1000 =G132)"),"200")</f>
        <v>200</v>
      </c>
      <c r="I132" s="29">
        <f t="shared" ca="1" si="0"/>
        <v>2</v>
      </c>
      <c r="J132" s="29" t="str">
        <f ca="1">IFERROR(__xludf.DUMMYFUNCTION("IF(F132 = H132,C132/FILTER('Base Stats'!$C$2:$C1000, LOWER('Base Stats'!$B$2:$B1000) = LOWER($A132)), """")"),"")</f>
        <v/>
      </c>
      <c r="K132" t="str">
        <f t="shared" ca="1" si="1"/>
        <v/>
      </c>
      <c r="L132" t="str">
        <f ca="1">IFERROR(__xludf.DUMMYFUNCTION("IF(AND(NOT(K132 = """"), G132 &gt;= 15),K132/FILTER('Base Stats'!$C$2:$C1000, LOWER('Base Stats'!$B$2:$B1000) = LOWER($A132)), """")"),"")</f>
        <v/>
      </c>
      <c r="M132" t="str">
        <f ca="1">IFERROR(__xludf.DUMMYFUNCTION("1.15 + 0.02 * FILTER('Base Stats'!$C$2:$C1000, LOWER('Base Stats'!$B$2:$B1000) = LOWER($A132))"),"1.95")</f>
        <v>1.95</v>
      </c>
      <c r="N132" t="s">
        <v>527</v>
      </c>
    </row>
    <row r="133" spans="1:14" ht="12.75" x14ac:dyDescent="0.2">
      <c r="A133" s="1" t="s">
        <v>593</v>
      </c>
      <c r="B133" s="1">
        <v>25</v>
      </c>
      <c r="C133" s="1">
        <v>15</v>
      </c>
      <c r="D133" s="1">
        <v>1.76</v>
      </c>
      <c r="E133" s="1">
        <v>0.3</v>
      </c>
      <c r="F133" s="1">
        <v>200</v>
      </c>
      <c r="G133" t="str">
        <f ca="1">IFERROR(__xludf.DUMMYFUNCTION("ROUND(B133/ FILTER('Pokemon CP/HP'!$M$2:$M1000, LOWER('Pokemon CP/HP'!$B$2:$B1000)=LOWER(A133)))"),"2")</f>
        <v>2</v>
      </c>
      <c r="H133" t="str">
        <f ca="1">IFERROR(__xludf.DUMMYFUNCTION("FILTER('Leveling Info'!$B$2:$B1000, 'Leveling Info'!$A$2:$A1000 =G133)"),"200")</f>
        <v>200</v>
      </c>
      <c r="I133" s="29">
        <f t="shared" ca="1" si="0"/>
        <v>1.4142135623730951</v>
      </c>
      <c r="J133" s="29" t="str">
        <f ca="1">IFERROR(__xludf.DUMMYFUNCTION("IF(F133 = H133,C133/FILTER('Base Stats'!$C$2:$C1000, LOWER('Base Stats'!$B$2:$B1000) = LOWER($A133)), """")"),"0.375")</f>
        <v>0.375</v>
      </c>
      <c r="K133" t="str">
        <f t="shared" ca="1" si="1"/>
        <v/>
      </c>
      <c r="L133" t="str">
        <f ca="1">IFERROR(__xludf.DUMMYFUNCTION("IF(AND(NOT(K133 = """"), G133 &gt;= 15),K133/FILTER('Base Stats'!$C$2:$C1000, LOWER('Base Stats'!$B$2:$B1000) = LOWER($A133)), """")"),"")</f>
        <v/>
      </c>
      <c r="M133" t="str">
        <f ca="1">IFERROR(__xludf.DUMMYFUNCTION("1.15 + 0.02 * FILTER('Base Stats'!$C$2:$C1000, LOWER('Base Stats'!$B$2:$B1000) = LOWER($A133))"),"1.95")</f>
        <v>1.95</v>
      </c>
      <c r="N133" t="s">
        <v>527</v>
      </c>
    </row>
    <row r="134" spans="1:14" ht="12.75" x14ac:dyDescent="0.2">
      <c r="A134" s="1" t="s">
        <v>593</v>
      </c>
      <c r="B134" s="1">
        <v>24</v>
      </c>
      <c r="C134" s="1">
        <v>14</v>
      </c>
      <c r="D134" s="1">
        <v>1.1200000000000001</v>
      </c>
      <c r="E134" s="1">
        <v>0.26</v>
      </c>
      <c r="F134" s="1">
        <v>200</v>
      </c>
      <c r="G134" t="str">
        <f ca="1">IFERROR(__xludf.DUMMYFUNCTION("ROUND(B134/ FILTER('Pokemon CP/HP'!$M$2:$M1000, LOWER('Pokemon CP/HP'!$B$2:$B1000)=LOWER(A134)))"),"2")</f>
        <v>2</v>
      </c>
      <c r="H134" t="str">
        <f ca="1">IFERROR(__xludf.DUMMYFUNCTION("FILTER('Leveling Info'!$B$2:$B1000, 'Leveling Info'!$A$2:$A1000 =G134)"),"200")</f>
        <v>200</v>
      </c>
      <c r="I134" s="29">
        <f t="shared" ca="1" si="0"/>
        <v>1.4142135623730951</v>
      </c>
      <c r="J134" s="29" t="str">
        <f ca="1">IFERROR(__xludf.DUMMYFUNCTION("IF(F134 = H134,C134/FILTER('Base Stats'!$C$2:$C1000, LOWER('Base Stats'!$B$2:$B1000) = LOWER($A134)), """")"),"0.35")</f>
        <v>0.35</v>
      </c>
      <c r="K134" t="str">
        <f t="shared" ca="1" si="1"/>
        <v/>
      </c>
      <c r="L134" t="str">
        <f ca="1">IFERROR(__xludf.DUMMYFUNCTION("IF(AND(NOT(K134 = """"), G134 &gt;= 15),K134/FILTER('Base Stats'!$C$2:$C1000, LOWER('Base Stats'!$B$2:$B1000) = LOWER($A134)), """")"),"")</f>
        <v/>
      </c>
      <c r="M134" t="str">
        <f ca="1">IFERROR(__xludf.DUMMYFUNCTION("1.15 + 0.02 * FILTER('Base Stats'!$C$2:$C1000, LOWER('Base Stats'!$B$2:$B1000) = LOWER($A134))"),"1.95")</f>
        <v>1.95</v>
      </c>
      <c r="N134" t="s">
        <v>527</v>
      </c>
    </row>
    <row r="135" spans="1:14" ht="12.75" x14ac:dyDescent="0.2">
      <c r="A135" s="1" t="s">
        <v>593</v>
      </c>
      <c r="B135" s="1">
        <v>24</v>
      </c>
      <c r="C135" s="1">
        <v>14</v>
      </c>
      <c r="D135" s="1">
        <v>1.71</v>
      </c>
      <c r="E135" s="1">
        <v>0.3</v>
      </c>
      <c r="F135" s="1">
        <v>200</v>
      </c>
      <c r="G135" t="str">
        <f ca="1">IFERROR(__xludf.DUMMYFUNCTION("ROUND(B135/ FILTER('Pokemon CP/HP'!$M$2:$M1000, LOWER('Pokemon CP/HP'!$B$2:$B1000)=LOWER(A135)))"),"2")</f>
        <v>2</v>
      </c>
      <c r="H135" t="str">
        <f ca="1">IFERROR(__xludf.DUMMYFUNCTION("FILTER('Leveling Info'!$B$2:$B1000, 'Leveling Info'!$A$2:$A1000 =G135)"),"200")</f>
        <v>200</v>
      </c>
      <c r="I135" s="29">
        <f t="shared" ca="1" si="0"/>
        <v>1.4142135623730951</v>
      </c>
      <c r="J135" s="29" t="str">
        <f ca="1">IFERROR(__xludf.DUMMYFUNCTION("IF(F135 = H135,C135/FILTER('Base Stats'!$C$2:$C1000, LOWER('Base Stats'!$B$2:$B1000) = LOWER($A135)), """")"),"0.35")</f>
        <v>0.35</v>
      </c>
      <c r="K135" t="str">
        <f t="shared" ca="1" si="1"/>
        <v/>
      </c>
      <c r="L135" t="str">
        <f ca="1">IFERROR(__xludf.DUMMYFUNCTION("IF(AND(NOT(K135 = """"), G135 &gt;= 15),K135/FILTER('Base Stats'!$C$2:$C1000, LOWER('Base Stats'!$B$2:$B1000) = LOWER($A135)), """")"),"")</f>
        <v/>
      </c>
      <c r="M135" t="str">
        <f ca="1">IFERROR(__xludf.DUMMYFUNCTION("1.15 + 0.02 * FILTER('Base Stats'!$C$2:$C1000, LOWER('Base Stats'!$B$2:$B1000) = LOWER($A135))"),"1.95")</f>
        <v>1.95</v>
      </c>
      <c r="N135" t="s">
        <v>527</v>
      </c>
    </row>
    <row r="136" spans="1:14" ht="12.75" x14ac:dyDescent="0.2">
      <c r="A136" s="1" t="s">
        <v>593</v>
      </c>
      <c r="B136" s="1">
        <v>23</v>
      </c>
      <c r="C136" s="1">
        <v>13</v>
      </c>
      <c r="D136" s="1">
        <v>2.14</v>
      </c>
      <c r="E136" s="1">
        <v>0.32</v>
      </c>
      <c r="F136" s="1">
        <v>200</v>
      </c>
      <c r="G136" t="str">
        <f ca="1">IFERROR(__xludf.DUMMYFUNCTION("ROUND(B136/ FILTER('Pokemon CP/HP'!$M$2:$M1000, LOWER('Pokemon CP/HP'!$B$2:$B1000)=LOWER(A136)))"),"2")</f>
        <v>2</v>
      </c>
      <c r="H136" t="str">
        <f ca="1">IFERROR(__xludf.DUMMYFUNCTION("FILTER('Leveling Info'!$B$2:$B1000, 'Leveling Info'!$A$2:$A1000 =G136)"),"200")</f>
        <v>200</v>
      </c>
      <c r="I136" s="29">
        <f t="shared" ca="1" si="0"/>
        <v>1.4142135623730951</v>
      </c>
      <c r="J136" s="29" t="str">
        <f ca="1">IFERROR(__xludf.DUMMYFUNCTION("IF(F136 = H136,C136/FILTER('Base Stats'!$C$2:$C1000, LOWER('Base Stats'!$B$2:$B1000) = LOWER($A136)), """")"),"0.325")</f>
        <v>0.325</v>
      </c>
      <c r="K136" t="str">
        <f t="shared" ca="1" si="1"/>
        <v/>
      </c>
      <c r="L136" t="str">
        <f ca="1">IFERROR(__xludf.DUMMYFUNCTION("IF(AND(NOT(K136 = """"), G136 &gt;= 15),K136/FILTER('Base Stats'!$C$2:$C1000, LOWER('Base Stats'!$B$2:$B1000) = LOWER($A136)), """")"),"")</f>
        <v/>
      </c>
      <c r="M136" t="str">
        <f ca="1">IFERROR(__xludf.DUMMYFUNCTION("1.15 + 0.02 * FILTER('Base Stats'!$C$2:$C1000, LOWER('Base Stats'!$B$2:$B1000) = LOWER($A136))"),"1.95")</f>
        <v>1.95</v>
      </c>
      <c r="N136" t="s">
        <v>527</v>
      </c>
    </row>
    <row r="137" spans="1:14" ht="12.75" x14ac:dyDescent="0.2">
      <c r="A137" s="1" t="s">
        <v>593</v>
      </c>
      <c r="B137" s="1">
        <v>10</v>
      </c>
      <c r="C137" s="1">
        <v>10</v>
      </c>
      <c r="D137" s="1">
        <v>1.44</v>
      </c>
      <c r="E137" s="1">
        <v>0.27</v>
      </c>
      <c r="F137" s="1">
        <v>200</v>
      </c>
      <c r="G137" t="str">
        <f ca="1">IFERROR(__xludf.DUMMYFUNCTION("ROUND(B137/ FILTER('Pokemon CP/HP'!$M$2:$M1000, LOWER('Pokemon CP/HP'!$B$2:$B1000)=LOWER(A137)))"),"1")</f>
        <v>1</v>
      </c>
      <c r="H137" t="str">
        <f ca="1">IFERROR(__xludf.DUMMYFUNCTION("FILTER('Leveling Info'!$B$2:$B1000, 'Leveling Info'!$A$2:$A1000 =G137)"),"200")</f>
        <v>200</v>
      </c>
      <c r="I137" s="29">
        <f t="shared" ca="1" si="0"/>
        <v>1</v>
      </c>
      <c r="J137" s="29" t="str">
        <f ca="1">IFERROR(__xludf.DUMMYFUNCTION("IF(F137 = H137,C137/FILTER('Base Stats'!$C$2:$C1000, LOWER('Base Stats'!$B$2:$B1000) = LOWER($A137)), """")"),"0.25")</f>
        <v>0.25</v>
      </c>
      <c r="K137" t="str">
        <f t="shared" ca="1" si="1"/>
        <v/>
      </c>
      <c r="L137" t="str">
        <f ca="1">IFERROR(__xludf.DUMMYFUNCTION("IF(AND(NOT(K137 = """"), G137 &gt;= 15),K137/FILTER('Base Stats'!$C$2:$C1000, LOWER('Base Stats'!$B$2:$B1000) = LOWER($A137)), """")"),"")</f>
        <v/>
      </c>
      <c r="M137" t="str">
        <f ca="1">IFERROR(__xludf.DUMMYFUNCTION("1.15 + 0.02 * FILTER('Base Stats'!$C$2:$C1000, LOWER('Base Stats'!$B$2:$B1000) = LOWER($A137))"),"1.95")</f>
        <v>1.95</v>
      </c>
      <c r="N137" t="s">
        <v>527</v>
      </c>
    </row>
    <row r="138" spans="1:14" ht="12.75" x14ac:dyDescent="0.2">
      <c r="A138" s="1" t="s">
        <v>593</v>
      </c>
      <c r="B138" s="1">
        <v>10</v>
      </c>
      <c r="C138" s="1">
        <v>10</v>
      </c>
      <c r="D138" s="1">
        <v>1.44</v>
      </c>
      <c r="E138" s="1">
        <v>0.27</v>
      </c>
      <c r="F138" s="1">
        <v>200</v>
      </c>
      <c r="G138" t="str">
        <f ca="1">IFERROR(__xludf.DUMMYFUNCTION("ROUND(B138/ FILTER('Pokemon CP/HP'!$M$2:$M1000, LOWER('Pokemon CP/HP'!$B$2:$B1000)=LOWER(A138)))"),"1")</f>
        <v>1</v>
      </c>
      <c r="H138" t="str">
        <f ca="1">IFERROR(__xludf.DUMMYFUNCTION("FILTER('Leveling Info'!$B$2:$B1000, 'Leveling Info'!$A$2:$A1000 =G138)"),"200")</f>
        <v>200</v>
      </c>
      <c r="I138" s="29">
        <f t="shared" ca="1" si="0"/>
        <v>1</v>
      </c>
      <c r="J138" s="29" t="str">
        <f ca="1">IFERROR(__xludf.DUMMYFUNCTION("IF(F138 = H138,C138/FILTER('Base Stats'!$C$2:$C1000, LOWER('Base Stats'!$B$2:$B1000) = LOWER($A138)), """")"),"0.25")</f>
        <v>0.25</v>
      </c>
      <c r="K138" t="str">
        <f t="shared" ca="1" si="1"/>
        <v/>
      </c>
      <c r="L138" t="str">
        <f ca="1">IFERROR(__xludf.DUMMYFUNCTION("IF(AND(NOT(K138 = """"), G138 &gt;= 15),K138/FILTER('Base Stats'!$C$2:$C1000, LOWER('Base Stats'!$B$2:$B1000) = LOWER($A138)), """")"),"")</f>
        <v/>
      </c>
      <c r="M138" t="str">
        <f ca="1">IFERROR(__xludf.DUMMYFUNCTION("1.15 + 0.02 * FILTER('Base Stats'!$C$2:$C1000, LOWER('Base Stats'!$B$2:$B1000) = LOWER($A138))"),"1.95")</f>
        <v>1.95</v>
      </c>
      <c r="N138" t="s">
        <v>527</v>
      </c>
    </row>
    <row r="139" spans="1:14" ht="12.75" x14ac:dyDescent="0.2">
      <c r="A139" s="1" t="s">
        <v>593</v>
      </c>
      <c r="B139" s="1">
        <v>10</v>
      </c>
      <c r="C139" s="1">
        <v>10</v>
      </c>
      <c r="D139" s="1">
        <v>1.87</v>
      </c>
      <c r="E139" s="1">
        <v>0.32</v>
      </c>
      <c r="F139" s="1">
        <v>200</v>
      </c>
      <c r="G139" t="str">
        <f ca="1">IFERROR(__xludf.DUMMYFUNCTION("ROUND(B139/ FILTER('Pokemon CP/HP'!$M$2:$M1000, LOWER('Pokemon CP/HP'!$B$2:$B1000)=LOWER(A139)))"),"1")</f>
        <v>1</v>
      </c>
      <c r="H139" t="str">
        <f ca="1">IFERROR(__xludf.DUMMYFUNCTION("FILTER('Leveling Info'!$B$2:$B1000, 'Leveling Info'!$A$2:$A1000 =G139)"),"200")</f>
        <v>200</v>
      </c>
      <c r="I139" s="29">
        <f t="shared" ca="1" si="0"/>
        <v>1</v>
      </c>
      <c r="J139" s="29" t="str">
        <f ca="1">IFERROR(__xludf.DUMMYFUNCTION("IF(F139 = H139,C139/FILTER('Base Stats'!$C$2:$C1000, LOWER('Base Stats'!$B$2:$B1000) = LOWER($A139)), """")"),"0.25")</f>
        <v>0.25</v>
      </c>
      <c r="K139" t="str">
        <f t="shared" ca="1" si="1"/>
        <v/>
      </c>
      <c r="L139" t="str">
        <f ca="1">IFERROR(__xludf.DUMMYFUNCTION("IF(AND(NOT(K139 = """"), G139 &gt;= 15),K139/FILTER('Base Stats'!$C$2:$C1000, LOWER('Base Stats'!$B$2:$B1000) = LOWER($A139)), """")"),"")</f>
        <v/>
      </c>
      <c r="M139" t="str">
        <f ca="1">IFERROR(__xludf.DUMMYFUNCTION("1.15 + 0.02 * FILTER('Base Stats'!$C$2:$C1000, LOWER('Base Stats'!$B$2:$B1000) = LOWER($A139))"),"1.95")</f>
        <v>1.95</v>
      </c>
      <c r="N139" t="s">
        <v>527</v>
      </c>
    </row>
    <row r="140" spans="1:14" ht="12.75" x14ac:dyDescent="0.2">
      <c r="A140" s="1" t="s">
        <v>593</v>
      </c>
      <c r="B140" s="1">
        <v>10</v>
      </c>
      <c r="C140" s="1">
        <v>10</v>
      </c>
      <c r="D140" s="1">
        <v>1.88</v>
      </c>
      <c r="E140" s="1">
        <v>0.32</v>
      </c>
      <c r="F140" s="1">
        <v>200</v>
      </c>
      <c r="G140" t="str">
        <f ca="1">IFERROR(__xludf.DUMMYFUNCTION("ROUND(B140/ FILTER('Pokemon CP/HP'!$M$2:$M1000, LOWER('Pokemon CP/HP'!$B$2:$B1000)=LOWER(A140)))"),"1")</f>
        <v>1</v>
      </c>
      <c r="H140" t="str">
        <f ca="1">IFERROR(__xludf.DUMMYFUNCTION("FILTER('Leveling Info'!$B$2:$B1000, 'Leveling Info'!$A$2:$A1000 =G140)"),"200")</f>
        <v>200</v>
      </c>
      <c r="I140" s="29">
        <f t="shared" ca="1" si="0"/>
        <v>1</v>
      </c>
      <c r="J140" s="29" t="str">
        <f ca="1">IFERROR(__xludf.DUMMYFUNCTION("IF(F140 = H140,C140/FILTER('Base Stats'!$C$2:$C1000, LOWER('Base Stats'!$B$2:$B1000) = LOWER($A140)), """")"),"0.25")</f>
        <v>0.25</v>
      </c>
      <c r="K140" t="str">
        <f t="shared" ca="1" si="1"/>
        <v/>
      </c>
      <c r="L140" t="str">
        <f ca="1">IFERROR(__xludf.DUMMYFUNCTION("IF(AND(NOT(K140 = """"), G140 &gt;= 15),K140/FILTER('Base Stats'!$C$2:$C1000, LOWER('Base Stats'!$B$2:$B1000) = LOWER($A140)), """")"),"")</f>
        <v/>
      </c>
      <c r="M140" t="str">
        <f ca="1">IFERROR(__xludf.DUMMYFUNCTION("1.15 + 0.02 * FILTER('Base Stats'!$C$2:$C1000, LOWER('Base Stats'!$B$2:$B1000) = LOWER($A140))"),"1.95")</f>
        <v>1.95</v>
      </c>
      <c r="N140" t="s">
        <v>527</v>
      </c>
    </row>
    <row r="141" spans="1:14" ht="12.75" x14ac:dyDescent="0.2">
      <c r="A141" s="1" t="s">
        <v>593</v>
      </c>
      <c r="B141" s="1">
        <v>10</v>
      </c>
      <c r="C141" s="1">
        <v>10</v>
      </c>
      <c r="D141" s="1">
        <v>2.17</v>
      </c>
      <c r="E141" s="1">
        <v>0.33</v>
      </c>
      <c r="F141" s="1">
        <v>200</v>
      </c>
      <c r="G141" t="str">
        <f ca="1">IFERROR(__xludf.DUMMYFUNCTION("ROUND(B141/ FILTER('Pokemon CP/HP'!$M$2:$M1000, LOWER('Pokemon CP/HP'!$B$2:$B1000)=LOWER(A141)))"),"1")</f>
        <v>1</v>
      </c>
      <c r="H141" t="str">
        <f ca="1">IFERROR(__xludf.DUMMYFUNCTION("FILTER('Leveling Info'!$B$2:$B1000, 'Leveling Info'!$A$2:$A1000 =G141)"),"200")</f>
        <v>200</v>
      </c>
      <c r="I141" s="29">
        <f t="shared" ca="1" si="0"/>
        <v>1</v>
      </c>
      <c r="J141" s="29" t="str">
        <f ca="1">IFERROR(__xludf.DUMMYFUNCTION("IF(F141 = H141,C141/FILTER('Base Stats'!$C$2:$C1000, LOWER('Base Stats'!$B$2:$B1000) = LOWER($A141)), """")"),"0.25")</f>
        <v>0.25</v>
      </c>
      <c r="K141" t="str">
        <f t="shared" ca="1" si="1"/>
        <v/>
      </c>
      <c r="L141" t="str">
        <f ca="1">IFERROR(__xludf.DUMMYFUNCTION("IF(AND(NOT(K141 = """"), G141 &gt;= 15),K141/FILTER('Base Stats'!$C$2:$C1000, LOWER('Base Stats'!$B$2:$B1000) = LOWER($A141)), """")"),"")</f>
        <v/>
      </c>
      <c r="M141" t="str">
        <f ca="1">IFERROR(__xludf.DUMMYFUNCTION("1.15 + 0.02 * FILTER('Base Stats'!$C$2:$C1000, LOWER('Base Stats'!$B$2:$B1000) = LOWER($A141))"),"1.95")</f>
        <v>1.95</v>
      </c>
      <c r="N141" t="s">
        <v>527</v>
      </c>
    </row>
    <row r="142" spans="1:14" ht="12.75" x14ac:dyDescent="0.2">
      <c r="A142" s="1" t="s">
        <v>593</v>
      </c>
      <c r="B142" s="1">
        <v>10</v>
      </c>
      <c r="C142" s="1">
        <v>10</v>
      </c>
      <c r="D142" s="1">
        <v>2.2000000000000002</v>
      </c>
      <c r="E142" s="1">
        <v>0.36</v>
      </c>
      <c r="F142" s="1">
        <v>200</v>
      </c>
      <c r="G142" t="str">
        <f ca="1">IFERROR(__xludf.DUMMYFUNCTION("ROUND(B142/ FILTER('Pokemon CP/HP'!$M$2:$M1000, LOWER('Pokemon CP/HP'!$B$2:$B1000)=LOWER(A142)))"),"1")</f>
        <v>1</v>
      </c>
      <c r="H142" t="str">
        <f ca="1">IFERROR(__xludf.DUMMYFUNCTION("FILTER('Leveling Info'!$B$2:$B1000, 'Leveling Info'!$A$2:$A1000 =G142)"),"200")</f>
        <v>200</v>
      </c>
      <c r="I142" s="29">
        <f t="shared" ca="1" si="0"/>
        <v>1</v>
      </c>
      <c r="J142" s="29" t="str">
        <f ca="1">IFERROR(__xludf.DUMMYFUNCTION("IF(F142 = H142,C142/FILTER('Base Stats'!$C$2:$C1000, LOWER('Base Stats'!$B$2:$B1000) = LOWER($A142)), """")"),"0.25")</f>
        <v>0.25</v>
      </c>
      <c r="K142" t="str">
        <f t="shared" ca="1" si="1"/>
        <v/>
      </c>
      <c r="L142" t="str">
        <f ca="1">IFERROR(__xludf.DUMMYFUNCTION("IF(AND(NOT(K142 = """"), G142 &gt;= 15),K142/FILTER('Base Stats'!$C$2:$C1000, LOWER('Base Stats'!$B$2:$B1000) = LOWER($A142)), """")"),"")</f>
        <v/>
      </c>
      <c r="M142" t="str">
        <f ca="1">IFERROR(__xludf.DUMMYFUNCTION("1.15 + 0.02 * FILTER('Base Stats'!$C$2:$C1000, LOWER('Base Stats'!$B$2:$B1000) = LOWER($A142))"),"1.95")</f>
        <v>1.95</v>
      </c>
      <c r="N142" t="s">
        <v>527</v>
      </c>
    </row>
    <row r="143" spans="1:14" ht="12.75" x14ac:dyDescent="0.2">
      <c r="A143" s="1" t="s">
        <v>595</v>
      </c>
      <c r="B143" s="1">
        <v>422</v>
      </c>
      <c r="C143" s="1">
        <v>67</v>
      </c>
      <c r="D143" s="1">
        <v>5.75</v>
      </c>
      <c r="E143" s="1">
        <v>1.05</v>
      </c>
      <c r="F143" s="1">
        <v>1600</v>
      </c>
      <c r="G143" t="str">
        <f ca="1">IFERROR(__xludf.DUMMYFUNCTION("ROUND(B143/ FILTER('Pokemon CP/HP'!$M$2:$M1000, LOWER('Pokemon CP/HP'!$B$2:$B1000)=LOWER(A143)))"),"23")</f>
        <v>23</v>
      </c>
      <c r="H143" t="str">
        <f ca="1">IFERROR(__xludf.DUMMYFUNCTION("FILTER('Leveling Info'!$B$2:$B1000, 'Leveling Info'!$A$2:$A1000 =G143)"),"1300")</f>
        <v>1300</v>
      </c>
      <c r="I143" s="29">
        <f t="shared" ca="1" si="0"/>
        <v>4.7958315233127191</v>
      </c>
      <c r="J143" s="29" t="str">
        <f ca="1">IFERROR(__xludf.DUMMYFUNCTION("IF(F143 = H143,C143/FILTER('Base Stats'!$C$2:$C1000, LOWER('Base Stats'!$B$2:$B1000) = LOWER($A143)), """")"),"")</f>
        <v/>
      </c>
      <c r="K143" t="str">
        <f t="shared" ca="1" si="1"/>
        <v/>
      </c>
      <c r="L143" t="str">
        <f ca="1">IFERROR(__xludf.DUMMYFUNCTION("IF(AND(NOT(K143 = """"), G143 &gt;= 15),K143/FILTER('Base Stats'!$C$2:$C1000, LOWER('Base Stats'!$B$2:$B1000) = LOWER($A143)), """")"),"")</f>
        <v/>
      </c>
      <c r="M143" t="str">
        <f ca="1">IFERROR(__xludf.DUMMYFUNCTION("1.15 + 0.02 * FILTER('Base Stats'!$C$2:$C1000, LOWER('Base Stats'!$B$2:$B1000) = LOWER($A143))"),"2.41")</f>
        <v>2.41</v>
      </c>
      <c r="N143" t="s">
        <v>527</v>
      </c>
    </row>
    <row r="144" spans="1:14" ht="12.75" x14ac:dyDescent="0.2">
      <c r="A144" s="1" t="s">
        <v>595</v>
      </c>
      <c r="B144" s="1">
        <v>417</v>
      </c>
      <c r="C144" s="1">
        <v>67</v>
      </c>
      <c r="D144" s="1">
        <v>2.63</v>
      </c>
      <c r="E144" s="1">
        <v>0.83</v>
      </c>
      <c r="F144" s="1">
        <v>1600</v>
      </c>
      <c r="G144" t="str">
        <f ca="1">IFERROR(__xludf.DUMMYFUNCTION("ROUND(B144/ FILTER('Pokemon CP/HP'!$M$2:$M1000, LOWER('Pokemon CP/HP'!$B$2:$B1000)=LOWER(A144)))"),"23")</f>
        <v>23</v>
      </c>
      <c r="H144" t="str">
        <f ca="1">IFERROR(__xludf.DUMMYFUNCTION("FILTER('Leveling Info'!$B$2:$B1000, 'Leveling Info'!$A$2:$A1000 =G144)"),"1300")</f>
        <v>1300</v>
      </c>
      <c r="I144" s="29">
        <f t="shared" ca="1" si="0"/>
        <v>4.7958315233127191</v>
      </c>
      <c r="J144" s="29" t="str">
        <f ca="1">IFERROR(__xludf.DUMMYFUNCTION("IF(F144 = H144,C144/FILTER('Base Stats'!$C$2:$C1000, LOWER('Base Stats'!$B$2:$B1000) = LOWER($A144)), """")"),"")</f>
        <v/>
      </c>
      <c r="K144" t="str">
        <f t="shared" ca="1" si="1"/>
        <v/>
      </c>
      <c r="L144" t="str">
        <f ca="1">IFERROR(__xludf.DUMMYFUNCTION("IF(AND(NOT(K144 = """"), G144 &gt;= 15),K144/FILTER('Base Stats'!$C$2:$C1000, LOWER('Base Stats'!$B$2:$B1000) = LOWER($A144)), """")"),"")</f>
        <v/>
      </c>
      <c r="M144" t="str">
        <f ca="1">IFERROR(__xludf.DUMMYFUNCTION("1.15 + 0.02 * FILTER('Base Stats'!$C$2:$C1000, LOWER('Base Stats'!$B$2:$B1000) = LOWER($A144))"),"2.41")</f>
        <v>2.41</v>
      </c>
      <c r="N144" t="s">
        <v>527</v>
      </c>
    </row>
    <row r="145" spans="1:14" ht="12.75" x14ac:dyDescent="0.2">
      <c r="A145" s="1" t="s">
        <v>595</v>
      </c>
      <c r="B145" s="1">
        <v>363</v>
      </c>
      <c r="C145" s="1">
        <v>58</v>
      </c>
      <c r="D145" s="1">
        <v>34.659999999999997</v>
      </c>
      <c r="E145" s="1">
        <v>1.18</v>
      </c>
      <c r="F145" s="1">
        <v>1300</v>
      </c>
      <c r="G145" t="str">
        <f ca="1">IFERROR(__xludf.DUMMYFUNCTION("ROUND(B145/ FILTER('Pokemon CP/HP'!$M$2:$M1000, LOWER('Pokemon CP/HP'!$B$2:$B1000)=LOWER(A145)))"),"20")</f>
        <v>20</v>
      </c>
      <c r="H145" t="str">
        <f ca="1">IFERROR(__xludf.DUMMYFUNCTION("FILTER('Leveling Info'!$B$2:$B1000, 'Leveling Info'!$A$2:$A1000 =G145)"),"1000")</f>
        <v>1000</v>
      </c>
      <c r="I145" s="29">
        <f t="shared" ca="1" si="0"/>
        <v>4.4721359549995796</v>
      </c>
      <c r="J145" s="29" t="str">
        <f ca="1">IFERROR(__xludf.DUMMYFUNCTION("IF(F145 = H145,C145/FILTER('Base Stats'!$C$2:$C1000, LOWER('Base Stats'!$B$2:$B1000) = LOWER($A145)), """")"),"")</f>
        <v/>
      </c>
      <c r="K145" t="str">
        <f t="shared" ca="1" si="1"/>
        <v/>
      </c>
      <c r="L145" t="str">
        <f ca="1">IFERROR(__xludf.DUMMYFUNCTION("IF(AND(NOT(K145 = """"), G145 &gt;= 15),K145/FILTER('Base Stats'!$C$2:$C1000, LOWER('Base Stats'!$B$2:$B1000) = LOWER($A145)), """")"),"")</f>
        <v/>
      </c>
      <c r="M145" t="str">
        <f ca="1">IFERROR(__xludf.DUMMYFUNCTION("1.15 + 0.02 * FILTER('Base Stats'!$C$2:$C1000, LOWER('Base Stats'!$B$2:$B1000) = LOWER($A145))"),"2.41")</f>
        <v>2.41</v>
      </c>
      <c r="N145" t="s">
        <v>527</v>
      </c>
    </row>
    <row r="146" spans="1:14" ht="12.75" x14ac:dyDescent="0.2">
      <c r="A146" s="1" t="s">
        <v>595</v>
      </c>
      <c r="B146" s="1">
        <v>320</v>
      </c>
      <c r="C146" s="1">
        <v>58</v>
      </c>
      <c r="D146" s="1">
        <v>30</v>
      </c>
      <c r="E146" s="1">
        <v>1.06</v>
      </c>
      <c r="F146" s="1">
        <v>1300</v>
      </c>
      <c r="G146" t="str">
        <f ca="1">IFERROR(__xludf.DUMMYFUNCTION("ROUND(B146/ FILTER('Pokemon CP/HP'!$M$2:$M1000, LOWER('Pokemon CP/HP'!$B$2:$B1000)=LOWER(A146)))"),"18")</f>
        <v>18</v>
      </c>
      <c r="H146" t="str">
        <f ca="1">IFERROR(__xludf.DUMMYFUNCTION("FILTER('Leveling Info'!$B$2:$B1000, 'Leveling Info'!$A$2:$A1000 =G146)"),"1000")</f>
        <v>1000</v>
      </c>
      <c r="I146" s="29">
        <f t="shared" ca="1" si="0"/>
        <v>4.2426406871192848</v>
      </c>
      <c r="J146" s="29" t="str">
        <f ca="1">IFERROR(__xludf.DUMMYFUNCTION("IF(F146 = H146,C146/FILTER('Base Stats'!$C$2:$C1000, LOWER('Base Stats'!$B$2:$B1000) = LOWER($A146)), """")"),"")</f>
        <v/>
      </c>
      <c r="K146" t="str">
        <f t="shared" ca="1" si="1"/>
        <v/>
      </c>
      <c r="L146" t="str">
        <f ca="1">IFERROR(__xludf.DUMMYFUNCTION("IF(AND(NOT(K146 = """"), G146 &gt;= 15),K146/FILTER('Base Stats'!$C$2:$C1000, LOWER('Base Stats'!$B$2:$B1000) = LOWER($A146)), """")"),"")</f>
        <v/>
      </c>
      <c r="M146" t="str">
        <f ca="1">IFERROR(__xludf.DUMMYFUNCTION("1.15 + 0.02 * FILTER('Base Stats'!$C$2:$C1000, LOWER('Base Stats'!$B$2:$B1000) = LOWER($A146))"),"2.41")</f>
        <v>2.41</v>
      </c>
      <c r="N146" t="s">
        <v>527</v>
      </c>
    </row>
    <row r="147" spans="1:14" ht="12.75" x14ac:dyDescent="0.2">
      <c r="A147" s="1" t="s">
        <v>595</v>
      </c>
      <c r="B147" s="1">
        <v>308</v>
      </c>
      <c r="C147" s="1">
        <v>59</v>
      </c>
      <c r="D147" s="1">
        <v>30</v>
      </c>
      <c r="E147" s="1">
        <v>1</v>
      </c>
      <c r="F147" s="1">
        <v>1000</v>
      </c>
      <c r="G147" t="str">
        <f ca="1">IFERROR(__xludf.DUMMYFUNCTION("ROUND(B147/ FILTER('Pokemon CP/HP'!$M$2:$M1000, LOWER('Pokemon CP/HP'!$B$2:$B1000)=LOWER(A147)))"),"17")</f>
        <v>17</v>
      </c>
      <c r="H147" t="str">
        <f ca="1">IFERROR(__xludf.DUMMYFUNCTION("FILTER('Leveling Info'!$B$2:$B1000, 'Leveling Info'!$A$2:$A1000 =G147)"),"1000")</f>
        <v>1000</v>
      </c>
      <c r="I147" s="29">
        <f t="shared" ca="1" si="0"/>
        <v>4.1231056256176606</v>
      </c>
      <c r="J147" s="29" t="str">
        <f ca="1">IFERROR(__xludf.DUMMYFUNCTION("IF(F147 = H147,C147/FILTER('Base Stats'!$C$2:$C1000, LOWER('Base Stats'!$B$2:$B1000) = LOWER($A147)), """")"),"0.9365079365")</f>
        <v>0.9365079365</v>
      </c>
      <c r="K147" t="str">
        <f t="shared" ca="1" si="1"/>
        <v/>
      </c>
      <c r="L147" t="str">
        <f ca="1">IFERROR(__xludf.DUMMYFUNCTION("IF(AND(NOT(K147 = """"), G147 &gt;= 15),K147/FILTER('Base Stats'!$C$2:$C1000, LOWER('Base Stats'!$B$2:$B1000) = LOWER($A147)), """")"),"0.05508870215")</f>
        <v>0.05508870215</v>
      </c>
      <c r="M147" t="str">
        <f ca="1">IFERROR(__xludf.DUMMYFUNCTION("1.15 + 0.02 * FILTER('Base Stats'!$C$2:$C1000, LOWER('Base Stats'!$B$2:$B1000) = LOWER($A147))"),"2.41")</f>
        <v>2.41</v>
      </c>
      <c r="N147">
        <v>1.4400781060000001</v>
      </c>
    </row>
    <row r="148" spans="1:14" ht="12.75" x14ac:dyDescent="0.2">
      <c r="A148" s="1" t="s">
        <v>595</v>
      </c>
      <c r="B148" s="1">
        <v>205</v>
      </c>
      <c r="C148" s="1">
        <v>46</v>
      </c>
      <c r="D148" s="1">
        <v>0.83</v>
      </c>
      <c r="E148" s="1">
        <v>0.92</v>
      </c>
      <c r="F148" s="1">
        <v>0.92</v>
      </c>
      <c r="G148" t="str">
        <f ca="1">IFERROR(__xludf.DUMMYFUNCTION("ROUND(B148/ FILTER('Pokemon CP/HP'!$M$2:$M1000, LOWER('Pokemon CP/HP'!$B$2:$B1000)=LOWER(A148)))"),"11")</f>
        <v>11</v>
      </c>
      <c r="H148" t="str">
        <f ca="1">IFERROR(__xludf.DUMMYFUNCTION("FILTER('Leveling Info'!$B$2:$B1000, 'Leveling Info'!$A$2:$A1000 =G148)"),"600")</f>
        <v>600</v>
      </c>
      <c r="I148" s="29">
        <f t="shared" ca="1" si="0"/>
        <v>3.3166247903553998</v>
      </c>
      <c r="J148" s="29" t="str">
        <f ca="1">IFERROR(__xludf.DUMMYFUNCTION("IF(F148 = H148,C148/FILTER('Base Stats'!$C$2:$C1000, LOWER('Base Stats'!$B$2:$B1000) = LOWER($A148)), """")"),"")</f>
        <v/>
      </c>
      <c r="K148" t="str">
        <f t="shared" ca="1" si="1"/>
        <v/>
      </c>
      <c r="L148" t="str">
        <f ca="1">IFERROR(__xludf.DUMMYFUNCTION("IF(AND(NOT(K148 = """"), G148 &gt;= 15),K148/FILTER('Base Stats'!$C$2:$C1000, LOWER('Base Stats'!$B$2:$B1000) = LOWER($A148)), """")"),"")</f>
        <v/>
      </c>
      <c r="M148" t="str">
        <f ca="1">IFERROR(__xludf.DUMMYFUNCTION("1.15 + 0.02 * FILTER('Base Stats'!$C$2:$C1000, LOWER('Base Stats'!$B$2:$B1000) = LOWER($A148))"),"2.41")</f>
        <v>2.41</v>
      </c>
      <c r="N148" t="s">
        <v>527</v>
      </c>
    </row>
    <row r="149" spans="1:14" ht="12.75" x14ac:dyDescent="0.2">
      <c r="A149" s="1" t="s">
        <v>595</v>
      </c>
      <c r="B149" s="1">
        <v>170</v>
      </c>
      <c r="C149" s="1">
        <v>41</v>
      </c>
      <c r="D149" s="1">
        <v>28.74</v>
      </c>
      <c r="E149" s="1">
        <v>1.03</v>
      </c>
      <c r="F149" s="1">
        <v>600</v>
      </c>
      <c r="G149" t="str">
        <f ca="1">IFERROR(__xludf.DUMMYFUNCTION("ROUND(B149/ FILTER('Pokemon CP/HP'!$M$2:$M1000, LOWER('Pokemon CP/HP'!$B$2:$B1000)=LOWER(A149)))"),"9")</f>
        <v>9</v>
      </c>
      <c r="H149" t="str">
        <f ca="1">IFERROR(__xludf.DUMMYFUNCTION("FILTER('Leveling Info'!$B$2:$B1000, 'Leveling Info'!$A$2:$A1000 =G149)"),"600")</f>
        <v>600</v>
      </c>
      <c r="I149" s="29">
        <f t="shared" ca="1" si="0"/>
        <v>3</v>
      </c>
      <c r="J149" s="29" t="str">
        <f ca="1">IFERROR(__xludf.DUMMYFUNCTION("IF(F149 = H149,C149/FILTER('Base Stats'!$C$2:$C1000, LOWER('Base Stats'!$B$2:$B1000) = LOWER($A149)), """")"),"0.6507936508")</f>
        <v>0.6507936508</v>
      </c>
      <c r="K149" t="str">
        <f t="shared" ca="1" si="1"/>
        <v/>
      </c>
      <c r="L149" t="str">
        <f ca="1">IFERROR(__xludf.DUMMYFUNCTION("IF(AND(NOT(K149 = """"), G149 &gt;= 15),K149/FILTER('Base Stats'!$C$2:$C1000, LOWER('Base Stats'!$B$2:$B1000) = LOWER($A149)), """")"),"")</f>
        <v/>
      </c>
      <c r="M149" t="str">
        <f ca="1">IFERROR(__xludf.DUMMYFUNCTION("1.15 + 0.02 * FILTER('Base Stats'!$C$2:$C1000, LOWER('Base Stats'!$B$2:$B1000) = LOWER($A149))"),"2.41")</f>
        <v>2.41</v>
      </c>
      <c r="N149" t="s">
        <v>527</v>
      </c>
    </row>
    <row r="150" spans="1:14" ht="12.75" x14ac:dyDescent="0.2">
      <c r="A150" s="1" t="s">
        <v>595</v>
      </c>
      <c r="B150" s="1">
        <v>116</v>
      </c>
      <c r="C150" s="1">
        <v>36</v>
      </c>
      <c r="D150" s="1">
        <v>37.020000000000003</v>
      </c>
      <c r="E150" s="1">
        <v>1.21</v>
      </c>
      <c r="F150" s="1">
        <v>400</v>
      </c>
      <c r="G150" t="str">
        <f ca="1">IFERROR(__xludf.DUMMYFUNCTION("ROUND(B150/ FILTER('Pokemon CP/HP'!$M$2:$M1000, LOWER('Pokemon CP/HP'!$B$2:$B1000)=LOWER(A150)))"),"6")</f>
        <v>6</v>
      </c>
      <c r="H150" t="str">
        <f ca="1">IFERROR(__xludf.DUMMYFUNCTION("FILTER('Leveling Info'!$B$2:$B1000, 'Leveling Info'!$A$2:$A1000 =G150)"),"400")</f>
        <v>400</v>
      </c>
      <c r="I150" s="29">
        <f t="shared" ca="1" si="0"/>
        <v>2.4494897427831779</v>
      </c>
      <c r="J150" s="29" t="str">
        <f ca="1">IFERROR(__xludf.DUMMYFUNCTION("IF(F150 = H150,C150/FILTER('Base Stats'!$C$2:$C1000, LOWER('Base Stats'!$B$2:$B1000) = LOWER($A150)), """")"),"0.5714285714")</f>
        <v>0.5714285714</v>
      </c>
      <c r="K150" t="str">
        <f t="shared" ca="1" si="1"/>
        <v/>
      </c>
      <c r="L150" t="str">
        <f ca="1">IFERROR(__xludf.DUMMYFUNCTION("IF(AND(NOT(K150 = """"), G150 &gt;= 15),K150/FILTER('Base Stats'!$C$2:$C1000, LOWER('Base Stats'!$B$2:$B1000) = LOWER($A150)), """")"),"")</f>
        <v/>
      </c>
      <c r="M150" t="str">
        <f ca="1">IFERROR(__xludf.DUMMYFUNCTION("1.15 + 0.02 * FILTER('Base Stats'!$C$2:$C1000, LOWER('Base Stats'!$B$2:$B1000) = LOWER($A150))"),"2.41")</f>
        <v>2.41</v>
      </c>
      <c r="N150" t="s">
        <v>527</v>
      </c>
    </row>
    <row r="151" spans="1:14" ht="12.75" x14ac:dyDescent="0.2">
      <c r="A151" s="1" t="s">
        <v>596</v>
      </c>
      <c r="B151" s="1">
        <v>836</v>
      </c>
      <c r="C151" s="1">
        <v>91</v>
      </c>
      <c r="D151" s="1">
        <v>39.5</v>
      </c>
      <c r="E151" s="1">
        <v>1.42</v>
      </c>
      <c r="F151" s="1">
        <v>1900</v>
      </c>
      <c r="G151" t="str">
        <f ca="1">IFERROR(__xludf.DUMMYFUNCTION("ROUND(B151/ FILTER('Pokemon CP/HP'!$M$2:$M1000, LOWER('Pokemon CP/HP'!$B$2:$B1000)=LOWER(A151)))"),"30")</f>
        <v>30</v>
      </c>
      <c r="H151" t="str">
        <f ca="1">IFERROR(__xludf.DUMMYFUNCTION("FILTER('Leveling Info'!$B$2:$B1000, 'Leveling Info'!$A$2:$A1000 =G151)"),"1900")</f>
        <v>1900</v>
      </c>
      <c r="I151" s="29">
        <f t="shared" ca="1" si="0"/>
        <v>5.4772255750516612</v>
      </c>
      <c r="J151" s="29" t="str">
        <f ca="1">IFERROR(__xludf.DUMMYFUNCTION("IF(F151 = H151,C151/FILTER('Base Stats'!$C$2:$C1000, LOWER('Base Stats'!$B$2:$B1000) = LOWER($A151)), """")"),"1.096385542")</f>
        <v>1.096385542</v>
      </c>
      <c r="K151" t="str">
        <f t="shared" ca="1" si="1"/>
        <v/>
      </c>
      <c r="L151" t="str">
        <f ca="1">IFERROR(__xludf.DUMMYFUNCTION("IF(AND(NOT(K151 = """"), G151 &gt;= 15),K151/FILTER('Base Stats'!$C$2:$C1000, LOWER('Base Stats'!$B$2:$B1000) = LOWER($A151)), """")"),"0.03654618474")</f>
        <v>0.03654618474</v>
      </c>
      <c r="M151" t="str">
        <f ca="1">IFERROR(__xludf.DUMMYFUNCTION("1.15 + 0.02 * FILTER('Base Stats'!$C$2:$C1000, LOWER('Base Stats'!$B$2:$B1000) = LOWER($A151))"),"2.81")</f>
        <v>2.81</v>
      </c>
      <c r="N151">
        <v>1.079478055</v>
      </c>
    </row>
    <row r="152" spans="1:14" ht="12.75" x14ac:dyDescent="0.2">
      <c r="A152" s="1" t="s">
        <v>596</v>
      </c>
      <c r="B152" s="1">
        <v>739</v>
      </c>
      <c r="C152" s="1">
        <v>85</v>
      </c>
      <c r="D152" s="1">
        <v>39.5</v>
      </c>
      <c r="E152" s="1">
        <v>1.67</v>
      </c>
      <c r="F152" s="1">
        <v>1600</v>
      </c>
      <c r="G152" t="str">
        <f ca="1">IFERROR(__xludf.DUMMYFUNCTION("ROUND(B152/ FILTER('Pokemon CP/HP'!$M$2:$M1000, LOWER('Pokemon CP/HP'!$B$2:$B1000)=LOWER(A152)))"),"27")</f>
        <v>27</v>
      </c>
      <c r="H152" t="str">
        <f ca="1">IFERROR(__xludf.DUMMYFUNCTION("FILTER('Leveling Info'!$B$2:$B1000, 'Leveling Info'!$A$2:$A1000 =G152)"),"1600")</f>
        <v>1600</v>
      </c>
      <c r="I152" s="29">
        <f t="shared" ca="1" si="0"/>
        <v>5.196152422706632</v>
      </c>
      <c r="J152" s="29" t="str">
        <f ca="1">IFERROR(__xludf.DUMMYFUNCTION("IF(F152 = H152,C152/FILTER('Base Stats'!$C$2:$C1000, LOWER('Base Stats'!$B$2:$B1000) = LOWER($A152)), """")"),"1.024096386")</f>
        <v>1.024096386</v>
      </c>
      <c r="K152" t="str">
        <f t="shared" ca="1" si="1"/>
        <v/>
      </c>
      <c r="L152" t="str">
        <f ca="1">IFERROR(__xludf.DUMMYFUNCTION("IF(AND(NOT(K152 = """"), G152 &gt;= 15),K152/FILTER('Base Stats'!$C$2:$C1000, LOWER('Base Stats'!$B$2:$B1000) = LOWER($A152)), """")"),"0.03792949576")</f>
        <v>0.03792949576</v>
      </c>
      <c r="M152" t="str">
        <f ca="1">IFERROR(__xludf.DUMMYFUNCTION("1.15 + 0.02 * FILTER('Base Stats'!$C$2:$C1000, LOWER('Base Stats'!$B$2:$B1000) = LOWER($A152))"),"2.81")</f>
        <v>2.81</v>
      </c>
      <c r="N152">
        <v>1.1203374189999999</v>
      </c>
    </row>
    <row r="153" spans="1:14" ht="12.75" x14ac:dyDescent="0.2">
      <c r="A153" s="1" t="s">
        <v>596</v>
      </c>
      <c r="B153" s="1">
        <v>318</v>
      </c>
      <c r="C153" s="1">
        <v>57</v>
      </c>
      <c r="D153" s="1">
        <v>52.5</v>
      </c>
      <c r="E153" s="1">
        <v>1.9</v>
      </c>
      <c r="F153" s="1">
        <v>600</v>
      </c>
      <c r="G153" t="str">
        <f ca="1">IFERROR(__xludf.DUMMYFUNCTION("ROUND(B153/ FILTER('Pokemon CP/HP'!$M$2:$M1000, LOWER('Pokemon CP/HP'!$B$2:$B1000)=LOWER(A153)))"),"11")</f>
        <v>11</v>
      </c>
      <c r="H153" t="str">
        <f ca="1">IFERROR(__xludf.DUMMYFUNCTION("FILTER('Leveling Info'!$B$2:$B1000, 'Leveling Info'!$A$2:$A1000 =G153)"),"600")</f>
        <v>600</v>
      </c>
      <c r="I153" s="29">
        <f t="shared" ca="1" si="0"/>
        <v>3.3166247903553998</v>
      </c>
      <c r="J153" s="29" t="str">
        <f ca="1">IFERROR(__xludf.DUMMYFUNCTION("IF(F153 = H153,C153/FILTER('Base Stats'!$C$2:$C1000, LOWER('Base Stats'!$B$2:$B1000) = LOWER($A153)), """")"),"0.686746988")</f>
        <v>0.686746988</v>
      </c>
      <c r="K153" t="str">
        <f t="shared" ca="1" si="1"/>
        <v/>
      </c>
      <c r="L153" t="str">
        <f ca="1">IFERROR(__xludf.DUMMYFUNCTION("IF(AND(NOT(K153 = """"), G153 &gt;= 15),K153/FILTER('Base Stats'!$C$2:$C1000, LOWER('Base Stats'!$B$2:$B1000) = LOWER($A153)), """")"),"")</f>
        <v/>
      </c>
      <c r="M153" t="str">
        <f ca="1">IFERROR(__xludf.DUMMYFUNCTION("1.15 + 0.02 * FILTER('Base Stats'!$C$2:$C1000, LOWER('Base Stats'!$B$2:$B1000) = LOWER($A153))"),"2.81")</f>
        <v>2.81</v>
      </c>
      <c r="N153" t="s">
        <v>527</v>
      </c>
    </row>
    <row r="154" spans="1:14" ht="12.75" x14ac:dyDescent="0.2">
      <c r="A154" s="1" t="s">
        <v>597</v>
      </c>
      <c r="B154" s="1">
        <v>165</v>
      </c>
      <c r="C154" s="1">
        <v>32</v>
      </c>
      <c r="D154" s="1">
        <v>2.35</v>
      </c>
      <c r="E154" s="1">
        <v>0.25</v>
      </c>
      <c r="F154" s="1">
        <v>1300</v>
      </c>
      <c r="G154" t="str">
        <f ca="1">IFERROR(__xludf.DUMMYFUNCTION("ROUND(B154/ FILTER('Pokemon CP/HP'!$M$2:$M1000, LOWER('Pokemon CP/HP'!$B$2:$B1000)=LOWER(A154)))"),"22")</f>
        <v>22</v>
      </c>
      <c r="H154" t="str">
        <f ca="1">IFERROR(__xludf.DUMMYFUNCTION("FILTER('Leveling Info'!$B$2:$B1000, 'Leveling Info'!$A$2:$A1000 =G154)"),"1300")</f>
        <v>1300</v>
      </c>
      <c r="I154" s="29">
        <f t="shared" ca="1" si="0"/>
        <v>4.6904157598234297</v>
      </c>
      <c r="J154" s="29" t="str">
        <f ca="1">IFERROR(__xludf.DUMMYFUNCTION("IF(F154 = H154,C154/FILTER('Base Stats'!$C$2:$C1000, LOWER('Base Stats'!$B$2:$B1000) = LOWER($A154)), """")"),"1.066666667")</f>
        <v>1.066666667</v>
      </c>
      <c r="K154" t="str">
        <f t="shared" ca="1" si="1"/>
        <v/>
      </c>
      <c r="L154" t="str">
        <f ca="1">IFERROR(__xludf.DUMMYFUNCTION("IF(AND(NOT(K154 = """"), G154 &gt;= 15),K154/FILTER('Base Stats'!$C$2:$C1000, LOWER('Base Stats'!$B$2:$B1000) = LOWER($A154)), """")"),"0.04848484848")</f>
        <v>0.04848484848</v>
      </c>
      <c r="M154" t="str">
        <f ca="1">IFERROR(__xludf.DUMMYFUNCTION("1.15 + 0.02 * FILTER('Base Stats'!$C$2:$C1000, LOWER('Base Stats'!$B$2:$B1000) = LOWER($A154))"),"1.75")</f>
        <v>1.75</v>
      </c>
      <c r="N154">
        <v>0.83116883119999996</v>
      </c>
    </row>
    <row r="155" spans="1:14" ht="12.75" x14ac:dyDescent="0.2">
      <c r="A155" s="1" t="s">
        <v>597</v>
      </c>
      <c r="B155" s="1">
        <v>144</v>
      </c>
      <c r="C155" s="1">
        <v>28</v>
      </c>
      <c r="D155" s="1">
        <v>2.61</v>
      </c>
      <c r="E155" s="1">
        <v>0.25</v>
      </c>
      <c r="F155" s="1">
        <v>1000</v>
      </c>
      <c r="G155" t="str">
        <f ca="1">IFERROR(__xludf.DUMMYFUNCTION("ROUND(B155/ FILTER('Pokemon CP/HP'!$M$2:$M1000, LOWER('Pokemon CP/HP'!$B$2:$B1000)=LOWER(A155)))"),"19")</f>
        <v>19</v>
      </c>
      <c r="H155" t="str">
        <f ca="1">IFERROR(__xludf.DUMMYFUNCTION("FILTER('Leveling Info'!$B$2:$B1000, 'Leveling Info'!$A$2:$A1000 =G155)"),"1000")</f>
        <v>1000</v>
      </c>
      <c r="I155" s="29">
        <f t="shared" ca="1" si="0"/>
        <v>4.358898943540674</v>
      </c>
      <c r="J155" s="29" t="str">
        <f ca="1">IFERROR(__xludf.DUMMYFUNCTION("IF(F155 = H155,C155/FILTER('Base Stats'!$C$2:$C1000, LOWER('Base Stats'!$B$2:$B1000) = LOWER($A155)), """")"),"0.9333333333")</f>
        <v>0.9333333333</v>
      </c>
      <c r="K155" t="str">
        <f t="shared" ca="1" si="1"/>
        <v/>
      </c>
      <c r="L155" t="str">
        <f ca="1">IFERROR(__xludf.DUMMYFUNCTION("IF(AND(NOT(K155 = """"), G155 &gt;= 15),K155/FILTER('Base Stats'!$C$2:$C1000, LOWER('Base Stats'!$B$2:$B1000) = LOWER($A155)), """")"),"0.04912280702")</f>
        <v>0.04912280702</v>
      </c>
      <c r="M155" t="str">
        <f ca="1">IFERROR(__xludf.DUMMYFUNCTION("1.15 + 0.02 * FILTER('Base Stats'!$C$2:$C1000, LOWER('Base Stats'!$B$2:$B1000) = LOWER($A155))"),"1.75")</f>
        <v>1.75</v>
      </c>
      <c r="N155">
        <v>0.84210526320000001</v>
      </c>
    </row>
    <row r="156" spans="1:14" ht="12.75" x14ac:dyDescent="0.2">
      <c r="A156" s="1" t="s">
        <v>597</v>
      </c>
      <c r="B156" s="1">
        <v>136</v>
      </c>
      <c r="C156" s="1">
        <v>27</v>
      </c>
      <c r="D156" s="1">
        <v>2.58</v>
      </c>
      <c r="E156" s="1">
        <v>0.27</v>
      </c>
      <c r="F156" s="1">
        <v>1000</v>
      </c>
      <c r="G156" t="str">
        <f ca="1">IFERROR(__xludf.DUMMYFUNCTION("ROUND(B156/ FILTER('Pokemon CP/HP'!$M$2:$M1000, LOWER('Pokemon CP/HP'!$B$2:$B1000)=LOWER(A156)))"),"18")</f>
        <v>18</v>
      </c>
      <c r="H156" t="str">
        <f ca="1">IFERROR(__xludf.DUMMYFUNCTION("FILTER('Leveling Info'!$B$2:$B1000, 'Leveling Info'!$A$2:$A1000 =G156)"),"1000")</f>
        <v>1000</v>
      </c>
      <c r="I156" s="29">
        <f t="shared" ca="1" si="0"/>
        <v>4.2426406871192848</v>
      </c>
      <c r="J156" s="29" t="str">
        <f ca="1">IFERROR(__xludf.DUMMYFUNCTION("IF(F156 = H156,C156/FILTER('Base Stats'!$C$2:$C1000, LOWER('Base Stats'!$B$2:$B1000) = LOWER($A156)), """")"),"0.9")</f>
        <v>0.9</v>
      </c>
      <c r="K156" t="str">
        <f t="shared" ca="1" si="1"/>
        <v/>
      </c>
      <c r="L156" t="str">
        <f ca="1">IFERROR(__xludf.DUMMYFUNCTION("IF(AND(NOT(K156 = """"), G156 &gt;= 15),K156/FILTER('Base Stats'!$C$2:$C1000, LOWER('Base Stats'!$B$2:$B1000) = LOWER($A156)), """")"),"0.05")</f>
        <v>0.05</v>
      </c>
      <c r="M156" t="str">
        <f ca="1">IFERROR(__xludf.DUMMYFUNCTION("1.15 + 0.02 * FILTER('Base Stats'!$C$2:$C1000, LOWER('Base Stats'!$B$2:$B1000) = LOWER($A156))"),"1.75")</f>
        <v>1.75</v>
      </c>
      <c r="N156">
        <v>0.85714285710000004</v>
      </c>
    </row>
    <row r="157" spans="1:14" ht="12.75" x14ac:dyDescent="0.2">
      <c r="A157" s="1" t="s">
        <v>597</v>
      </c>
      <c r="B157" s="1">
        <v>136</v>
      </c>
      <c r="C157" s="1">
        <v>28</v>
      </c>
      <c r="D157" s="1">
        <v>5.0999999999999996</v>
      </c>
      <c r="E157" s="1">
        <v>0.38</v>
      </c>
      <c r="F157" s="1">
        <v>1000</v>
      </c>
      <c r="G157" t="str">
        <f ca="1">IFERROR(__xludf.DUMMYFUNCTION("ROUND(B157/ FILTER('Pokemon CP/HP'!$M$2:$M1000, LOWER('Pokemon CP/HP'!$B$2:$B1000)=LOWER(A157)))"),"18")</f>
        <v>18</v>
      </c>
      <c r="H157" t="str">
        <f ca="1">IFERROR(__xludf.DUMMYFUNCTION("FILTER('Leveling Info'!$B$2:$B1000, 'Leveling Info'!$A$2:$A1000 =G157)"),"1000")</f>
        <v>1000</v>
      </c>
      <c r="I157" s="29">
        <f t="shared" ca="1" si="0"/>
        <v>4.2426406871192848</v>
      </c>
      <c r="J157" s="29" t="str">
        <f ca="1">IFERROR(__xludf.DUMMYFUNCTION("IF(F157 = H157,C157/FILTER('Base Stats'!$C$2:$C1000, LOWER('Base Stats'!$B$2:$B1000) = LOWER($A157)), """")"),"0.9333333333")</f>
        <v>0.9333333333</v>
      </c>
      <c r="K157" t="str">
        <f t="shared" ca="1" si="1"/>
        <v/>
      </c>
      <c r="L157" t="str">
        <f ca="1">IFERROR(__xludf.DUMMYFUNCTION("IF(AND(NOT(K157 = """"), G157 &gt;= 15),K157/FILTER('Base Stats'!$C$2:$C1000, LOWER('Base Stats'!$B$2:$B1000) = LOWER($A157)), """")"),"0.05185185185")</f>
        <v>0.05185185185</v>
      </c>
      <c r="M157" t="str">
        <f ca="1">IFERROR(__xludf.DUMMYFUNCTION("1.15 + 0.02 * FILTER('Base Stats'!$C$2:$C1000, LOWER('Base Stats'!$B$2:$B1000) = LOWER($A157))"),"1.75")</f>
        <v>1.75</v>
      </c>
      <c r="N157">
        <v>0.88888888889999995</v>
      </c>
    </row>
    <row r="158" spans="1:14" ht="12.75" x14ac:dyDescent="0.2">
      <c r="A158" s="1" t="s">
        <v>597</v>
      </c>
      <c r="B158" s="1">
        <v>130</v>
      </c>
      <c r="C158" s="1">
        <v>26</v>
      </c>
      <c r="D158" s="1">
        <v>1.96</v>
      </c>
      <c r="E158" s="1">
        <v>0.26</v>
      </c>
      <c r="F158" s="1">
        <v>1000</v>
      </c>
      <c r="G158" t="str">
        <f ca="1">IFERROR(__xludf.DUMMYFUNCTION("ROUND(B158/ FILTER('Pokemon CP/HP'!$M$2:$M1000, LOWER('Pokemon CP/HP'!$B$2:$B1000)=LOWER(A158)))"),"17")</f>
        <v>17</v>
      </c>
      <c r="H158" t="str">
        <f ca="1">IFERROR(__xludf.DUMMYFUNCTION("FILTER('Leveling Info'!$B$2:$B1000, 'Leveling Info'!$A$2:$A1000 =G158)"),"1000")</f>
        <v>1000</v>
      </c>
      <c r="I158" s="29">
        <f t="shared" ca="1" si="0"/>
        <v>4.1231056256176606</v>
      </c>
      <c r="J158" s="29" t="str">
        <f ca="1">IFERROR(__xludf.DUMMYFUNCTION("IF(F158 = H158,C158/FILTER('Base Stats'!$C$2:$C1000, LOWER('Base Stats'!$B$2:$B1000) = LOWER($A158)), """")"),"0.8666666667")</f>
        <v>0.8666666667</v>
      </c>
      <c r="K158" t="str">
        <f t="shared" ca="1" si="1"/>
        <v/>
      </c>
      <c r="L158" t="str">
        <f ca="1">IFERROR(__xludf.DUMMYFUNCTION("IF(AND(NOT(K158 = """"), G158 &gt;= 15),K158/FILTER('Base Stats'!$C$2:$C1000, LOWER('Base Stats'!$B$2:$B1000) = LOWER($A158)), """")"),"0.05098039216")</f>
        <v>0.05098039216</v>
      </c>
      <c r="M158" t="str">
        <f ca="1">IFERROR(__xludf.DUMMYFUNCTION("1.15 + 0.02 * FILTER('Base Stats'!$C$2:$C1000, LOWER('Base Stats'!$B$2:$B1000) = LOWER($A158))"),"1.75")</f>
        <v>1.75</v>
      </c>
      <c r="N158">
        <v>0.87394957979999999</v>
      </c>
    </row>
    <row r="159" spans="1:14" ht="12.75" x14ac:dyDescent="0.2">
      <c r="A159" s="1" t="s">
        <v>597</v>
      </c>
      <c r="B159" s="1">
        <v>123</v>
      </c>
      <c r="C159" s="1">
        <v>27</v>
      </c>
      <c r="D159" s="1">
        <v>3.5</v>
      </c>
      <c r="E159" s="1">
        <v>0.28999999999999998</v>
      </c>
      <c r="F159" s="1">
        <v>800</v>
      </c>
      <c r="G159" t="str">
        <f ca="1">IFERROR(__xludf.DUMMYFUNCTION("ROUND(B159/ FILTER('Pokemon CP/HP'!$M$2:$M1000, LOWER('Pokemon CP/HP'!$B$2:$B1000)=LOWER(A159)))"),"16")</f>
        <v>16</v>
      </c>
      <c r="H159" t="str">
        <f ca="1">IFERROR(__xludf.DUMMYFUNCTION("FILTER('Leveling Info'!$B$2:$B1000, 'Leveling Info'!$A$2:$A1000 =G159)"),"800")</f>
        <v>800</v>
      </c>
      <c r="I159" s="29">
        <f t="shared" ca="1" si="0"/>
        <v>4</v>
      </c>
      <c r="J159" s="29" t="str">
        <f ca="1">IFERROR(__xludf.DUMMYFUNCTION("IF(F159 = H159,C159/FILTER('Base Stats'!$C$2:$C1000, LOWER('Base Stats'!$B$2:$B1000) = LOWER($A159)), """")"),"0.9")</f>
        <v>0.9</v>
      </c>
      <c r="K159" t="str">
        <f t="shared" ca="1" si="1"/>
        <v/>
      </c>
      <c r="L159" t="str">
        <f ca="1">IFERROR(__xludf.DUMMYFUNCTION("IF(AND(NOT(K159 = """"), G159 &gt;= 15),K159/FILTER('Base Stats'!$C$2:$C1000, LOWER('Base Stats'!$B$2:$B1000) = LOWER($A159)), """")"),"0.05625")</f>
        <v>0.05625</v>
      </c>
      <c r="M159" t="str">
        <f ca="1">IFERROR(__xludf.DUMMYFUNCTION("1.15 + 0.02 * FILTER('Base Stats'!$C$2:$C1000, LOWER('Base Stats'!$B$2:$B1000) = LOWER($A159))"),"1.75")</f>
        <v>1.75</v>
      </c>
      <c r="N159">
        <v>0.96428571429999999</v>
      </c>
    </row>
    <row r="160" spans="1:14" ht="12.75" x14ac:dyDescent="0.2">
      <c r="A160" s="1" t="s">
        <v>597</v>
      </c>
      <c r="B160" s="1">
        <v>111</v>
      </c>
      <c r="C160" s="1">
        <v>24</v>
      </c>
      <c r="D160" s="1">
        <v>1.98</v>
      </c>
      <c r="E160" s="1">
        <v>0.2</v>
      </c>
      <c r="F160" s="1">
        <v>800</v>
      </c>
      <c r="G160" t="str">
        <f ca="1">IFERROR(__xludf.DUMMYFUNCTION("ROUND(B160/ FILTER('Pokemon CP/HP'!$M$2:$M1000, LOWER('Pokemon CP/HP'!$B$2:$B1000)=LOWER(A160)))"),"15")</f>
        <v>15</v>
      </c>
      <c r="H160" t="str">
        <f ca="1">IFERROR(__xludf.DUMMYFUNCTION("FILTER('Leveling Info'!$B$2:$B1000, 'Leveling Info'!$A$2:$A1000 =G160)"),"800")</f>
        <v>800</v>
      </c>
      <c r="I160" s="29">
        <f t="shared" ca="1" si="0"/>
        <v>3.872983346207417</v>
      </c>
      <c r="J160" s="29" t="str">
        <f ca="1">IFERROR(__xludf.DUMMYFUNCTION("IF(F160 = H160,C160/FILTER('Base Stats'!$C$2:$C1000, LOWER('Base Stats'!$B$2:$B1000) = LOWER($A160)), """")"),"0.8")</f>
        <v>0.8</v>
      </c>
      <c r="K160" t="str">
        <f t="shared" ca="1" si="1"/>
        <v/>
      </c>
      <c r="L160" t="str">
        <f ca="1">IFERROR(__xludf.DUMMYFUNCTION("IF(AND(NOT(K160 = """"), G160 &gt;= 15),K160/FILTER('Base Stats'!$C$2:$C1000, LOWER('Base Stats'!$B$2:$B1000) = LOWER($A160)), """")"),"0.05333333333")</f>
        <v>0.05333333333</v>
      </c>
      <c r="M160" t="str">
        <f ca="1">IFERROR(__xludf.DUMMYFUNCTION("1.15 + 0.02 * FILTER('Base Stats'!$C$2:$C1000, LOWER('Base Stats'!$B$2:$B1000) = LOWER($A160))"),"1.75")</f>
        <v>1.75</v>
      </c>
      <c r="N160">
        <v>0.91428571430000005</v>
      </c>
    </row>
    <row r="161" spans="1:14" ht="12.75" x14ac:dyDescent="0.2">
      <c r="A161" s="1" t="s">
        <v>597</v>
      </c>
      <c r="B161" s="1">
        <v>95</v>
      </c>
      <c r="C161" s="1">
        <v>21</v>
      </c>
      <c r="D161" s="1">
        <v>2.69</v>
      </c>
      <c r="E161" s="1">
        <v>0.25</v>
      </c>
      <c r="F161" s="1">
        <v>800</v>
      </c>
      <c r="G161" t="str">
        <f ca="1">IFERROR(__xludf.DUMMYFUNCTION("ROUND(B161/ FILTER('Pokemon CP/HP'!$M$2:$M1000, LOWER('Pokemon CP/HP'!$B$2:$B1000)=LOWER(A161)))"),"13")</f>
        <v>13</v>
      </c>
      <c r="H161" t="str">
        <f ca="1">IFERROR(__xludf.DUMMYFUNCTION("FILTER('Leveling Info'!$B$2:$B1000, 'Leveling Info'!$A$2:$A1000 =G161)"),"800")</f>
        <v>800</v>
      </c>
      <c r="I161" s="29">
        <f t="shared" ca="1" si="0"/>
        <v>3.6055512754639891</v>
      </c>
      <c r="J161" s="29" t="str">
        <f ca="1">IFERROR(__xludf.DUMMYFUNCTION("IF(F161 = H161,C161/FILTER('Base Stats'!$C$2:$C1000, LOWER('Base Stats'!$B$2:$B1000) = LOWER($A161)), """")"),"0.7")</f>
        <v>0.7</v>
      </c>
      <c r="K161" t="str">
        <f t="shared" ca="1" si="1"/>
        <v/>
      </c>
      <c r="L161" t="str">
        <f ca="1">IFERROR(__xludf.DUMMYFUNCTION("IF(AND(NOT(K161 = """"), G161 &gt;= 15),K161/FILTER('Base Stats'!$C$2:$C1000, LOWER('Base Stats'!$B$2:$B1000) = LOWER($A161)), """")"),"")</f>
        <v/>
      </c>
      <c r="M161" t="str">
        <f ca="1">IFERROR(__xludf.DUMMYFUNCTION("1.15 + 0.02 * FILTER('Base Stats'!$C$2:$C1000, LOWER('Base Stats'!$B$2:$B1000) = LOWER($A161))"),"1.75")</f>
        <v>1.75</v>
      </c>
      <c r="N161" t="s">
        <v>527</v>
      </c>
    </row>
    <row r="162" spans="1:14" ht="12.75" x14ac:dyDescent="0.2">
      <c r="A162" s="1" t="s">
        <v>597</v>
      </c>
      <c r="B162" s="1">
        <v>92</v>
      </c>
      <c r="C162" s="1">
        <v>21</v>
      </c>
      <c r="D162" s="1">
        <v>3.86</v>
      </c>
      <c r="E162" s="1">
        <v>0.3</v>
      </c>
      <c r="F162" s="1">
        <v>800</v>
      </c>
      <c r="G162" t="str">
        <f ca="1">IFERROR(__xludf.DUMMYFUNCTION("ROUND(B162/ FILTER('Pokemon CP/HP'!$M$2:$M1000, LOWER('Pokemon CP/HP'!$B$2:$B1000)=LOWER(A162)))"),"12")</f>
        <v>12</v>
      </c>
      <c r="H162" t="str">
        <f ca="1">IFERROR(__xludf.DUMMYFUNCTION("FILTER('Leveling Info'!$B$2:$B1000, 'Leveling Info'!$A$2:$A1000 =G162)"),"600")</f>
        <v>600</v>
      </c>
      <c r="I162" s="29">
        <f t="shared" ca="1" si="0"/>
        <v>3.4641016151377544</v>
      </c>
      <c r="J162" s="29" t="str">
        <f ca="1">IFERROR(__xludf.DUMMYFUNCTION("IF(F162 = H162,C162/FILTER('Base Stats'!$C$2:$C1000, LOWER('Base Stats'!$B$2:$B1000) = LOWER($A162)), """")"),"")</f>
        <v/>
      </c>
      <c r="K162" t="str">
        <f t="shared" ca="1" si="1"/>
        <v/>
      </c>
      <c r="L162" t="str">
        <f ca="1">IFERROR(__xludf.DUMMYFUNCTION("IF(AND(NOT(K162 = """"), G162 &gt;= 15),K162/FILTER('Base Stats'!$C$2:$C1000, LOWER('Base Stats'!$B$2:$B1000) = LOWER($A162)), """")"),"")</f>
        <v/>
      </c>
      <c r="M162" t="str">
        <f ca="1">IFERROR(__xludf.DUMMYFUNCTION("1.15 + 0.02 * FILTER('Base Stats'!$C$2:$C1000, LOWER('Base Stats'!$B$2:$B1000) = LOWER($A162))"),"1.75")</f>
        <v>1.75</v>
      </c>
      <c r="N162" t="s">
        <v>527</v>
      </c>
    </row>
    <row r="163" spans="1:14" ht="12.75" x14ac:dyDescent="0.2">
      <c r="A163" s="1" t="s">
        <v>597</v>
      </c>
      <c r="B163" s="1">
        <v>90</v>
      </c>
      <c r="C163" s="1">
        <v>23</v>
      </c>
      <c r="D163" s="1">
        <v>4.83</v>
      </c>
      <c r="E163" s="1">
        <v>0.34</v>
      </c>
      <c r="F163" s="1">
        <v>600</v>
      </c>
      <c r="G163" t="str">
        <f ca="1">IFERROR(__xludf.DUMMYFUNCTION("ROUND(B163/ FILTER('Pokemon CP/HP'!$M$2:$M1000, LOWER('Pokemon CP/HP'!$B$2:$B1000)=LOWER(A163)))"),"12")</f>
        <v>12</v>
      </c>
      <c r="H163" t="str">
        <f ca="1">IFERROR(__xludf.DUMMYFUNCTION("FILTER('Leveling Info'!$B$2:$B1000, 'Leveling Info'!$A$2:$A1000 =G163)"),"600")</f>
        <v>600</v>
      </c>
      <c r="I163" s="29">
        <f t="shared" ca="1" si="0"/>
        <v>3.4641016151377544</v>
      </c>
      <c r="J163" s="29" t="str">
        <f ca="1">IFERROR(__xludf.DUMMYFUNCTION("IF(F163 = H163,C163/FILTER('Base Stats'!$C$2:$C1000, LOWER('Base Stats'!$B$2:$B1000) = LOWER($A163)), """")"),"0.7666666667")</f>
        <v>0.7666666667</v>
      </c>
      <c r="K163" t="str">
        <f t="shared" ca="1" si="1"/>
        <v/>
      </c>
      <c r="L163" t="str">
        <f ca="1">IFERROR(__xludf.DUMMYFUNCTION("IF(AND(NOT(K163 = """"), G163 &gt;= 15),K163/FILTER('Base Stats'!$C$2:$C1000, LOWER('Base Stats'!$B$2:$B1000) = LOWER($A163)), """")"),"")</f>
        <v/>
      </c>
      <c r="M163" t="str">
        <f ca="1">IFERROR(__xludf.DUMMYFUNCTION("1.15 + 0.02 * FILTER('Base Stats'!$C$2:$C1000, LOWER('Base Stats'!$B$2:$B1000) = LOWER($A163))"),"1.75")</f>
        <v>1.75</v>
      </c>
      <c r="N163" t="s">
        <v>527</v>
      </c>
    </row>
    <row r="164" spans="1:14" ht="12.75" x14ac:dyDescent="0.2">
      <c r="A164" s="1" t="s">
        <v>597</v>
      </c>
      <c r="B164" s="1">
        <v>85</v>
      </c>
      <c r="C164" s="1">
        <v>23</v>
      </c>
      <c r="D164" s="1">
        <v>4.7300000000000004</v>
      </c>
      <c r="E164" s="1">
        <v>0.33</v>
      </c>
      <c r="F164" s="1">
        <v>600</v>
      </c>
      <c r="G164" t="str">
        <f ca="1">IFERROR(__xludf.DUMMYFUNCTION("ROUND(B164/ FILTER('Pokemon CP/HP'!$M$2:$M1000, LOWER('Pokemon CP/HP'!$B$2:$B1000)=LOWER(A164)))"),"11")</f>
        <v>11</v>
      </c>
      <c r="H164" t="str">
        <f ca="1">IFERROR(__xludf.DUMMYFUNCTION("FILTER('Leveling Info'!$B$2:$B1000, 'Leveling Info'!$A$2:$A1000 =G164)"),"600")</f>
        <v>600</v>
      </c>
      <c r="I164" s="29">
        <f t="shared" ca="1" si="0"/>
        <v>3.3166247903553998</v>
      </c>
      <c r="J164" s="29" t="str">
        <f ca="1">IFERROR(__xludf.DUMMYFUNCTION("IF(F164 = H164,C164/FILTER('Base Stats'!$C$2:$C1000, LOWER('Base Stats'!$B$2:$B1000) = LOWER($A164)), """")"),"0.7666666667")</f>
        <v>0.7666666667</v>
      </c>
      <c r="K164" t="str">
        <f t="shared" ca="1" si="1"/>
        <v/>
      </c>
      <c r="L164" t="str">
        <f ca="1">IFERROR(__xludf.DUMMYFUNCTION("IF(AND(NOT(K164 = """"), G164 &gt;= 15),K164/FILTER('Base Stats'!$C$2:$C1000, LOWER('Base Stats'!$B$2:$B1000) = LOWER($A164)), """")"),"")</f>
        <v/>
      </c>
      <c r="M164" t="str">
        <f ca="1">IFERROR(__xludf.DUMMYFUNCTION("1.15 + 0.02 * FILTER('Base Stats'!$C$2:$C1000, LOWER('Base Stats'!$B$2:$B1000) = LOWER($A164))"),"1.75")</f>
        <v>1.75</v>
      </c>
      <c r="N164" t="s">
        <v>527</v>
      </c>
    </row>
    <row r="165" spans="1:14" ht="12.75" x14ac:dyDescent="0.2">
      <c r="A165" s="1" t="s">
        <v>597</v>
      </c>
      <c r="B165" s="1">
        <v>79</v>
      </c>
      <c r="C165" s="1">
        <v>21</v>
      </c>
      <c r="D165" s="1">
        <v>5.64</v>
      </c>
      <c r="E165" s="1">
        <v>0.37</v>
      </c>
      <c r="F165" s="1">
        <v>600</v>
      </c>
      <c r="G165" t="str">
        <f ca="1">IFERROR(__xludf.DUMMYFUNCTION("ROUND(B165/ FILTER('Pokemon CP/HP'!$M$2:$M1000, LOWER('Pokemon CP/HP'!$B$2:$B1000)=LOWER(A165)))"),"11")</f>
        <v>11</v>
      </c>
      <c r="H165" t="str">
        <f ca="1">IFERROR(__xludf.DUMMYFUNCTION("FILTER('Leveling Info'!$B$2:$B1000, 'Leveling Info'!$A$2:$A1000 =G165)"),"600")</f>
        <v>600</v>
      </c>
      <c r="I165" s="29">
        <f t="shared" ca="1" si="0"/>
        <v>3.3166247903553998</v>
      </c>
      <c r="J165" s="29" t="str">
        <f ca="1">IFERROR(__xludf.DUMMYFUNCTION("IF(F165 = H165,C165/FILTER('Base Stats'!$C$2:$C1000, LOWER('Base Stats'!$B$2:$B1000) = LOWER($A165)), """")"),"0.7")</f>
        <v>0.7</v>
      </c>
      <c r="K165" t="str">
        <f t="shared" ca="1" si="1"/>
        <v/>
      </c>
      <c r="L165" t="str">
        <f ca="1">IFERROR(__xludf.DUMMYFUNCTION("IF(AND(NOT(K165 = """"), G165 &gt;= 15),K165/FILTER('Base Stats'!$C$2:$C1000, LOWER('Base Stats'!$B$2:$B1000) = LOWER($A165)), """")"),"")</f>
        <v/>
      </c>
      <c r="M165" t="str">
        <f ca="1">IFERROR(__xludf.DUMMYFUNCTION("1.15 + 0.02 * FILTER('Base Stats'!$C$2:$C1000, LOWER('Base Stats'!$B$2:$B1000) = LOWER($A165))"),"1.75")</f>
        <v>1.75</v>
      </c>
      <c r="N165" t="s">
        <v>527</v>
      </c>
    </row>
    <row r="166" spans="1:14" ht="12.75" x14ac:dyDescent="0.2">
      <c r="A166" s="1" t="s">
        <v>597</v>
      </c>
      <c r="B166" s="1">
        <v>78</v>
      </c>
      <c r="C166" s="1">
        <v>19</v>
      </c>
      <c r="D166" s="1">
        <v>4.47</v>
      </c>
      <c r="E166" s="1">
        <v>0.33</v>
      </c>
      <c r="F166" s="1">
        <v>600</v>
      </c>
      <c r="G166" t="str">
        <f ca="1">IFERROR(__xludf.DUMMYFUNCTION("ROUND(B166/ FILTER('Pokemon CP/HP'!$M$2:$M1000, LOWER('Pokemon CP/HP'!$B$2:$B1000)=LOWER(A166)))"),"10")</f>
        <v>10</v>
      </c>
      <c r="H166" t="str">
        <f ca="1">IFERROR(__xludf.DUMMYFUNCTION("FILTER('Leveling Info'!$B$2:$B1000, 'Leveling Info'!$A$2:$A1000 =G166)"),"600")</f>
        <v>600</v>
      </c>
      <c r="I166" s="29">
        <f t="shared" ca="1" si="0"/>
        <v>3.1622776601683795</v>
      </c>
      <c r="J166" s="29" t="str">
        <f ca="1">IFERROR(__xludf.DUMMYFUNCTION("IF(F166 = H166,C166/FILTER('Base Stats'!$C$2:$C1000, LOWER('Base Stats'!$B$2:$B1000) = LOWER($A166)), """")"),"0.6333333333")</f>
        <v>0.6333333333</v>
      </c>
      <c r="K166" t="str">
        <f t="shared" ca="1" si="1"/>
        <v/>
      </c>
      <c r="L166" t="str">
        <f ca="1">IFERROR(__xludf.DUMMYFUNCTION("IF(AND(NOT(K166 = """"), G166 &gt;= 15),K166/FILTER('Base Stats'!$C$2:$C1000, LOWER('Base Stats'!$B$2:$B1000) = LOWER($A166)), """")"),"")</f>
        <v/>
      </c>
      <c r="M166" t="str">
        <f ca="1">IFERROR(__xludf.DUMMYFUNCTION("1.15 + 0.02 * FILTER('Base Stats'!$C$2:$C1000, LOWER('Base Stats'!$B$2:$B1000) = LOWER($A166))"),"1.75")</f>
        <v>1.75</v>
      </c>
      <c r="N166" t="s">
        <v>527</v>
      </c>
    </row>
    <row r="167" spans="1:14" ht="12.75" x14ac:dyDescent="0.2">
      <c r="A167" s="1" t="s">
        <v>597</v>
      </c>
      <c r="B167" s="1">
        <v>76</v>
      </c>
      <c r="C167" s="1">
        <v>19</v>
      </c>
      <c r="D167" s="1">
        <v>3.3</v>
      </c>
      <c r="E167" s="1">
        <v>0.28999999999999998</v>
      </c>
      <c r="F167" s="1">
        <v>600</v>
      </c>
      <c r="G167" t="str">
        <f ca="1">IFERROR(__xludf.DUMMYFUNCTION("ROUND(B167/ FILTER('Pokemon CP/HP'!$M$2:$M1000, LOWER('Pokemon CP/HP'!$B$2:$B1000)=LOWER(A167)))"),"10")</f>
        <v>10</v>
      </c>
      <c r="H167" t="str">
        <f ca="1">IFERROR(__xludf.DUMMYFUNCTION("FILTER('Leveling Info'!$B$2:$B1000, 'Leveling Info'!$A$2:$A1000 =G167)"),"600")</f>
        <v>600</v>
      </c>
      <c r="I167" s="29">
        <f t="shared" ca="1" si="0"/>
        <v>3.1622776601683795</v>
      </c>
      <c r="J167" s="29" t="str">
        <f ca="1">IFERROR(__xludf.DUMMYFUNCTION("IF(F167 = H167,C167/FILTER('Base Stats'!$C$2:$C1000, LOWER('Base Stats'!$B$2:$B1000) = LOWER($A167)), """")"),"0.6333333333")</f>
        <v>0.6333333333</v>
      </c>
      <c r="K167" t="str">
        <f t="shared" ca="1" si="1"/>
        <v/>
      </c>
      <c r="L167" t="str">
        <f ca="1">IFERROR(__xludf.DUMMYFUNCTION("IF(AND(NOT(K167 = """"), G167 &gt;= 15),K167/FILTER('Base Stats'!$C$2:$C1000, LOWER('Base Stats'!$B$2:$B1000) = LOWER($A167)), """")"),"")</f>
        <v/>
      </c>
      <c r="M167" t="str">
        <f ca="1">IFERROR(__xludf.DUMMYFUNCTION("1.15 + 0.02 * FILTER('Base Stats'!$C$2:$C1000, LOWER('Base Stats'!$B$2:$B1000) = LOWER($A167))"),"1.75")</f>
        <v>1.75</v>
      </c>
      <c r="N167" t="s">
        <v>527</v>
      </c>
    </row>
    <row r="168" spans="1:14" ht="12.75" x14ac:dyDescent="0.2">
      <c r="A168" s="1" t="s">
        <v>597</v>
      </c>
      <c r="B168" s="1">
        <v>55</v>
      </c>
      <c r="C168" s="1">
        <v>18</v>
      </c>
      <c r="D168" s="1">
        <v>2.68</v>
      </c>
      <c r="E168" s="1">
        <v>0.28000000000000003</v>
      </c>
      <c r="F168" s="1">
        <v>400</v>
      </c>
      <c r="G168" t="str">
        <f ca="1">IFERROR(__xludf.DUMMYFUNCTION("ROUND(B168/ FILTER('Pokemon CP/HP'!$M$2:$M1000, LOWER('Pokemon CP/HP'!$B$2:$B1000)=LOWER(A168)))"),"7")</f>
        <v>7</v>
      </c>
      <c r="H168" t="str">
        <f ca="1">IFERROR(__xludf.DUMMYFUNCTION("FILTER('Leveling Info'!$B$2:$B1000, 'Leveling Info'!$A$2:$A1000 =G168)"),"400")</f>
        <v>400</v>
      </c>
      <c r="I168" s="29">
        <f t="shared" ca="1" si="0"/>
        <v>2.6457513110645907</v>
      </c>
      <c r="J168" s="29" t="str">
        <f ca="1">IFERROR(__xludf.DUMMYFUNCTION("IF(F168 = H168,C168/FILTER('Base Stats'!$C$2:$C1000, LOWER('Base Stats'!$B$2:$B1000) = LOWER($A168)), """")"),"0.6")</f>
        <v>0.6</v>
      </c>
      <c r="K168" t="str">
        <f t="shared" ca="1" si="1"/>
        <v/>
      </c>
      <c r="L168" t="str">
        <f ca="1">IFERROR(__xludf.DUMMYFUNCTION("IF(AND(NOT(K168 = """"), G168 &gt;= 15),K168/FILTER('Base Stats'!$C$2:$C1000, LOWER('Base Stats'!$B$2:$B1000) = LOWER($A168)), """")"),"")</f>
        <v/>
      </c>
      <c r="M168" t="str">
        <f ca="1">IFERROR(__xludf.DUMMYFUNCTION("1.15 + 0.02 * FILTER('Base Stats'!$C$2:$C1000, LOWER('Base Stats'!$B$2:$B1000) = LOWER($A168))"),"1.75")</f>
        <v>1.75</v>
      </c>
      <c r="N168" t="s">
        <v>527</v>
      </c>
    </row>
    <row r="169" spans="1:14" ht="12.75" x14ac:dyDescent="0.2">
      <c r="A169" s="1" t="s">
        <v>597</v>
      </c>
      <c r="B169" s="1">
        <v>53</v>
      </c>
      <c r="C169" s="1">
        <v>16</v>
      </c>
      <c r="D169" s="1">
        <v>3.31</v>
      </c>
      <c r="E169" s="1">
        <v>0.3</v>
      </c>
      <c r="F169" s="1">
        <v>400</v>
      </c>
      <c r="G169" t="str">
        <f ca="1">IFERROR(__xludf.DUMMYFUNCTION("ROUND(B169/ FILTER('Pokemon CP/HP'!$M$2:$M1000, LOWER('Pokemon CP/HP'!$B$2:$B1000)=LOWER(A169)))"),"7")</f>
        <v>7</v>
      </c>
      <c r="H169" t="str">
        <f ca="1">IFERROR(__xludf.DUMMYFUNCTION("FILTER('Leveling Info'!$B$2:$B1000, 'Leveling Info'!$A$2:$A1000 =G169)"),"400")</f>
        <v>400</v>
      </c>
      <c r="I169" s="29">
        <f t="shared" ca="1" si="0"/>
        <v>2.6457513110645907</v>
      </c>
      <c r="J169" s="29" t="str">
        <f ca="1">IFERROR(__xludf.DUMMYFUNCTION("IF(F169 = H169,C169/FILTER('Base Stats'!$C$2:$C1000, LOWER('Base Stats'!$B$2:$B1000) = LOWER($A169)), """")"),"0.5333333333")</f>
        <v>0.5333333333</v>
      </c>
      <c r="K169" t="str">
        <f t="shared" ca="1" si="1"/>
        <v/>
      </c>
      <c r="L169" t="str">
        <f ca="1">IFERROR(__xludf.DUMMYFUNCTION("IF(AND(NOT(K169 = """"), G169 &gt;= 15),K169/FILTER('Base Stats'!$C$2:$C1000, LOWER('Base Stats'!$B$2:$B1000) = LOWER($A169)), """")"),"")</f>
        <v/>
      </c>
      <c r="M169" t="str">
        <f ca="1">IFERROR(__xludf.DUMMYFUNCTION("1.15 + 0.02 * FILTER('Base Stats'!$C$2:$C1000, LOWER('Base Stats'!$B$2:$B1000) = LOWER($A169))"),"1.75")</f>
        <v>1.75</v>
      </c>
      <c r="N169" t="s">
        <v>527</v>
      </c>
    </row>
    <row r="170" spans="1:14" ht="12.75" x14ac:dyDescent="0.2">
      <c r="A170" s="1" t="s">
        <v>597</v>
      </c>
      <c r="B170" s="1">
        <v>51</v>
      </c>
      <c r="C170" s="1">
        <v>16</v>
      </c>
      <c r="D170" s="1">
        <v>3.91</v>
      </c>
      <c r="E170" s="1">
        <v>0.33</v>
      </c>
      <c r="F170" s="1">
        <v>400</v>
      </c>
      <c r="G170" t="str">
        <f ca="1">IFERROR(__xludf.DUMMYFUNCTION("ROUND(B170/ FILTER('Pokemon CP/HP'!$M$2:$M1000, LOWER('Pokemon CP/HP'!$B$2:$B1000)=LOWER(A170)))"),"7")</f>
        <v>7</v>
      </c>
      <c r="H170" t="str">
        <f ca="1">IFERROR(__xludf.DUMMYFUNCTION("FILTER('Leveling Info'!$B$2:$B1000, 'Leveling Info'!$A$2:$A1000 =G170)"),"400")</f>
        <v>400</v>
      </c>
      <c r="I170" s="29">
        <f t="shared" ca="1" si="0"/>
        <v>2.6457513110645907</v>
      </c>
      <c r="J170" s="29" t="str">
        <f ca="1">IFERROR(__xludf.DUMMYFUNCTION("IF(F170 = H170,C170/FILTER('Base Stats'!$C$2:$C1000, LOWER('Base Stats'!$B$2:$B1000) = LOWER($A170)), """")"),"0.5333333333")</f>
        <v>0.5333333333</v>
      </c>
      <c r="K170" t="str">
        <f t="shared" ca="1" si="1"/>
        <v/>
      </c>
      <c r="L170" t="str">
        <f ca="1">IFERROR(__xludf.DUMMYFUNCTION("IF(AND(NOT(K170 = """"), G170 &gt;= 15),K170/FILTER('Base Stats'!$C$2:$C1000, LOWER('Base Stats'!$B$2:$B1000) = LOWER($A170)), """")"),"")</f>
        <v/>
      </c>
      <c r="M170" t="str">
        <f ca="1">IFERROR(__xludf.DUMMYFUNCTION("1.15 + 0.02 * FILTER('Base Stats'!$C$2:$C1000, LOWER('Base Stats'!$B$2:$B1000) = LOWER($A170))"),"1.75")</f>
        <v>1.75</v>
      </c>
      <c r="N170" t="s">
        <v>527</v>
      </c>
    </row>
    <row r="171" spans="1:14" ht="12.75" x14ac:dyDescent="0.2">
      <c r="A171" s="1" t="s">
        <v>597</v>
      </c>
      <c r="B171" s="1">
        <v>37</v>
      </c>
      <c r="C171" s="1">
        <v>14</v>
      </c>
      <c r="D171" s="1">
        <v>3.17</v>
      </c>
      <c r="E171" s="1">
        <v>0.28000000000000003</v>
      </c>
      <c r="F171" s="1">
        <v>400</v>
      </c>
      <c r="G171" t="str">
        <f ca="1">IFERROR(__xludf.DUMMYFUNCTION("ROUND(B171/ FILTER('Pokemon CP/HP'!$M$2:$M1000, LOWER('Pokemon CP/HP'!$B$2:$B1000)=LOWER(A171)))"),"5")</f>
        <v>5</v>
      </c>
      <c r="H171" t="str">
        <f ca="1">IFERROR(__xludf.DUMMYFUNCTION("FILTER('Leveling Info'!$B$2:$B1000, 'Leveling Info'!$A$2:$A1000 =G171)"),"400")</f>
        <v>400</v>
      </c>
      <c r="I171" s="29">
        <f t="shared" ca="1" si="0"/>
        <v>2.2360679774997898</v>
      </c>
      <c r="J171" s="29" t="str">
        <f ca="1">IFERROR(__xludf.DUMMYFUNCTION("IF(F171 = H171,C171/FILTER('Base Stats'!$C$2:$C1000, LOWER('Base Stats'!$B$2:$B1000) = LOWER($A171)), """")"),"0.4666666667")</f>
        <v>0.4666666667</v>
      </c>
      <c r="K171" t="str">
        <f t="shared" ca="1" si="1"/>
        <v/>
      </c>
      <c r="L171" t="str">
        <f ca="1">IFERROR(__xludf.DUMMYFUNCTION("IF(AND(NOT(K171 = """"), G171 &gt;= 15),K171/FILTER('Base Stats'!$C$2:$C1000, LOWER('Base Stats'!$B$2:$B1000) = LOWER($A171)), """")"),"")</f>
        <v/>
      </c>
      <c r="M171" t="str">
        <f ca="1">IFERROR(__xludf.DUMMYFUNCTION("1.15 + 0.02 * FILTER('Base Stats'!$C$2:$C1000, LOWER('Base Stats'!$B$2:$B1000) = LOWER($A171))"),"1.75")</f>
        <v>1.75</v>
      </c>
      <c r="N171" t="s">
        <v>527</v>
      </c>
    </row>
    <row r="172" spans="1:14" ht="12.75" x14ac:dyDescent="0.2">
      <c r="A172" s="1" t="s">
        <v>597</v>
      </c>
      <c r="B172" s="1">
        <v>33</v>
      </c>
      <c r="C172" s="1">
        <v>13</v>
      </c>
      <c r="D172" s="1">
        <v>2.89</v>
      </c>
      <c r="E172" s="1">
        <v>0.27</v>
      </c>
      <c r="F172" s="1">
        <v>400</v>
      </c>
      <c r="G172" t="str">
        <f ca="1">IFERROR(__xludf.DUMMYFUNCTION("ROUND(B172/ FILTER('Pokemon CP/HP'!$M$2:$M1000, LOWER('Pokemon CP/HP'!$B$2:$B1000)=LOWER(A172)))"),"4")</f>
        <v>4</v>
      </c>
      <c r="H172" t="str">
        <f ca="1">IFERROR(__xludf.DUMMYFUNCTION("FILTER('Leveling Info'!$B$2:$B1000, 'Leveling Info'!$A$2:$A1000 =G172)"),"200")</f>
        <v>200</v>
      </c>
      <c r="I172" s="29">
        <f t="shared" ca="1" si="0"/>
        <v>2</v>
      </c>
      <c r="J172" s="29" t="str">
        <f ca="1">IFERROR(__xludf.DUMMYFUNCTION("IF(F172 = H172,C172/FILTER('Base Stats'!$C$2:$C1000, LOWER('Base Stats'!$B$2:$B1000) = LOWER($A172)), """")"),"")</f>
        <v/>
      </c>
      <c r="K172" t="str">
        <f t="shared" ca="1" si="1"/>
        <v/>
      </c>
      <c r="L172" t="str">
        <f ca="1">IFERROR(__xludf.DUMMYFUNCTION("IF(AND(NOT(K172 = """"), G172 &gt;= 15),K172/FILTER('Base Stats'!$C$2:$C1000, LOWER('Base Stats'!$B$2:$B1000) = LOWER($A172)), """")"),"")</f>
        <v/>
      </c>
      <c r="M172" t="str">
        <f ca="1">IFERROR(__xludf.DUMMYFUNCTION("1.15 + 0.02 * FILTER('Base Stats'!$C$2:$C1000, LOWER('Base Stats'!$B$2:$B1000) = LOWER($A172))"),"1.75")</f>
        <v>1.75</v>
      </c>
      <c r="N172" t="s">
        <v>527</v>
      </c>
    </row>
    <row r="173" spans="1:14" ht="12.75" x14ac:dyDescent="0.2">
      <c r="A173" s="1" t="s">
        <v>597</v>
      </c>
      <c r="B173" s="1">
        <v>23</v>
      </c>
      <c r="C173" s="1">
        <v>12</v>
      </c>
      <c r="D173" s="1">
        <v>2.2000000000000002</v>
      </c>
      <c r="E173" s="1">
        <v>0.26</v>
      </c>
      <c r="F173" s="1">
        <v>200</v>
      </c>
      <c r="G173" t="str">
        <f ca="1">IFERROR(__xludf.DUMMYFUNCTION("ROUND(B173/ FILTER('Pokemon CP/HP'!$M$2:$M1000, LOWER('Pokemon CP/HP'!$B$2:$B1000)=LOWER(A173)))"),"3")</f>
        <v>3</v>
      </c>
      <c r="H173" t="str">
        <f ca="1">IFERROR(__xludf.DUMMYFUNCTION("FILTER('Leveling Info'!$B$2:$B1000, 'Leveling Info'!$A$2:$A1000 =G173)"),"200")</f>
        <v>200</v>
      </c>
      <c r="I173" s="29">
        <f t="shared" ca="1" si="0"/>
        <v>1.7320508075688772</v>
      </c>
      <c r="J173" s="29" t="str">
        <f ca="1">IFERROR(__xludf.DUMMYFUNCTION("IF(F173 = H173,C173/FILTER('Base Stats'!$C$2:$C1000, LOWER('Base Stats'!$B$2:$B1000) = LOWER($A173)), """")"),"0.4")</f>
        <v>0.4</v>
      </c>
      <c r="K173" t="str">
        <f t="shared" ca="1" si="1"/>
        <v/>
      </c>
      <c r="L173" t="str">
        <f ca="1">IFERROR(__xludf.DUMMYFUNCTION("IF(AND(NOT(K173 = """"), G173 &gt;= 15),K173/FILTER('Base Stats'!$C$2:$C1000, LOWER('Base Stats'!$B$2:$B1000) = LOWER($A173)), """")"),"")</f>
        <v/>
      </c>
      <c r="M173" t="str">
        <f ca="1">IFERROR(__xludf.DUMMYFUNCTION("1.15 + 0.02 * FILTER('Base Stats'!$C$2:$C1000, LOWER('Base Stats'!$B$2:$B1000) = LOWER($A173))"),"1.75")</f>
        <v>1.75</v>
      </c>
      <c r="N173" t="s">
        <v>527</v>
      </c>
    </row>
    <row r="174" spans="1:14" ht="12.75" x14ac:dyDescent="0.2">
      <c r="A174" s="1" t="s">
        <v>597</v>
      </c>
      <c r="B174" s="1">
        <v>23</v>
      </c>
      <c r="C174" s="1">
        <v>12</v>
      </c>
      <c r="D174" s="1">
        <v>3.71</v>
      </c>
      <c r="E174" s="1">
        <v>0.28999999999999998</v>
      </c>
      <c r="F174" s="1">
        <v>200</v>
      </c>
      <c r="G174" t="str">
        <f ca="1">IFERROR(__xludf.DUMMYFUNCTION("ROUND(B174/ FILTER('Pokemon CP/HP'!$M$2:$M1000, LOWER('Pokemon CP/HP'!$B$2:$B1000)=LOWER(A174)))"),"3")</f>
        <v>3</v>
      </c>
      <c r="H174" t="str">
        <f ca="1">IFERROR(__xludf.DUMMYFUNCTION("FILTER('Leveling Info'!$B$2:$B1000, 'Leveling Info'!$A$2:$A1000 =G174)"),"200")</f>
        <v>200</v>
      </c>
      <c r="I174" s="29">
        <f t="shared" ca="1" si="0"/>
        <v>1.7320508075688772</v>
      </c>
      <c r="J174" s="29" t="str">
        <f ca="1">IFERROR(__xludf.DUMMYFUNCTION("IF(F174 = H174,C174/FILTER('Base Stats'!$C$2:$C1000, LOWER('Base Stats'!$B$2:$B1000) = LOWER($A174)), """")"),"0.4")</f>
        <v>0.4</v>
      </c>
      <c r="K174" t="str">
        <f t="shared" ca="1" si="1"/>
        <v/>
      </c>
      <c r="L174" t="str">
        <f ca="1">IFERROR(__xludf.DUMMYFUNCTION("IF(AND(NOT(K174 = """"), G174 &gt;= 15),K174/FILTER('Base Stats'!$C$2:$C1000, LOWER('Base Stats'!$B$2:$B1000) = LOWER($A174)), """")"),"")</f>
        <v/>
      </c>
      <c r="M174" t="str">
        <f ca="1">IFERROR(__xludf.DUMMYFUNCTION("1.15 + 0.02 * FILTER('Base Stats'!$C$2:$C1000, LOWER('Base Stats'!$B$2:$B1000) = LOWER($A174))"),"1.75")</f>
        <v>1.75</v>
      </c>
      <c r="N174" t="s">
        <v>527</v>
      </c>
    </row>
    <row r="175" spans="1:14" ht="12.75" x14ac:dyDescent="0.2">
      <c r="A175" s="1" t="s">
        <v>597</v>
      </c>
      <c r="B175" s="1">
        <v>22</v>
      </c>
      <c r="C175" s="1">
        <v>11</v>
      </c>
      <c r="D175" s="1">
        <v>3.79</v>
      </c>
      <c r="E175" s="1">
        <v>0.28999999999999998</v>
      </c>
      <c r="F175" s="1">
        <v>200</v>
      </c>
      <c r="G175" t="str">
        <f ca="1">IFERROR(__xludf.DUMMYFUNCTION("ROUND(B175/ FILTER('Pokemon CP/HP'!$M$2:$M1000, LOWER('Pokemon CP/HP'!$B$2:$B1000)=LOWER(A175)))"),"3")</f>
        <v>3</v>
      </c>
      <c r="H175" t="str">
        <f ca="1">IFERROR(__xludf.DUMMYFUNCTION("FILTER('Leveling Info'!$B$2:$B1000, 'Leveling Info'!$A$2:$A1000 =G175)"),"200")</f>
        <v>200</v>
      </c>
      <c r="I175" s="29">
        <f t="shared" ca="1" si="0"/>
        <v>1.7320508075688772</v>
      </c>
      <c r="J175" s="29" t="str">
        <f ca="1">IFERROR(__xludf.DUMMYFUNCTION("IF(F175 = H175,C175/FILTER('Base Stats'!$C$2:$C1000, LOWER('Base Stats'!$B$2:$B1000) = LOWER($A175)), """")"),"0.3666666667")</f>
        <v>0.3666666667</v>
      </c>
      <c r="K175" t="str">
        <f t="shared" ca="1" si="1"/>
        <v/>
      </c>
      <c r="L175" t="str">
        <f ca="1">IFERROR(__xludf.DUMMYFUNCTION("IF(AND(NOT(K175 = """"), G175 &gt;= 15),K175/FILTER('Base Stats'!$C$2:$C1000, LOWER('Base Stats'!$B$2:$B1000) = LOWER($A175)), """")"),"")</f>
        <v/>
      </c>
      <c r="M175" t="str">
        <f ca="1">IFERROR(__xludf.DUMMYFUNCTION("1.15 + 0.02 * FILTER('Base Stats'!$C$2:$C1000, LOWER('Base Stats'!$B$2:$B1000) = LOWER($A175))"),"1.75")</f>
        <v>1.75</v>
      </c>
      <c r="N175" t="s">
        <v>527</v>
      </c>
    </row>
    <row r="176" spans="1:14" ht="12.75" x14ac:dyDescent="0.2">
      <c r="A176" s="1" t="s">
        <v>597</v>
      </c>
      <c r="B176" s="1">
        <v>10</v>
      </c>
      <c r="C176" s="1">
        <v>10</v>
      </c>
      <c r="D176" s="1">
        <v>3.8</v>
      </c>
      <c r="E176" s="1">
        <v>0.28999999999999998</v>
      </c>
      <c r="F176" s="1">
        <v>200</v>
      </c>
      <c r="G176" t="str">
        <f ca="1">IFERROR(__xludf.DUMMYFUNCTION("ROUND(B176/ FILTER('Pokemon CP/HP'!$M$2:$M1000, LOWER('Pokemon CP/HP'!$B$2:$B1000)=LOWER(A176)))"),"1")</f>
        <v>1</v>
      </c>
      <c r="H176" t="str">
        <f ca="1">IFERROR(__xludf.DUMMYFUNCTION("FILTER('Leveling Info'!$B$2:$B1000, 'Leveling Info'!$A$2:$A1000 =G176)"),"200")</f>
        <v>200</v>
      </c>
      <c r="I176" s="29">
        <f t="shared" ca="1" si="0"/>
        <v>1</v>
      </c>
      <c r="J176" s="29" t="str">
        <f ca="1">IFERROR(__xludf.DUMMYFUNCTION("IF(F176 = H176,C176/FILTER('Base Stats'!$C$2:$C1000, LOWER('Base Stats'!$B$2:$B1000) = LOWER($A176)), """")"),"0.3333333333")</f>
        <v>0.3333333333</v>
      </c>
      <c r="K176" t="str">
        <f t="shared" ca="1" si="1"/>
        <v/>
      </c>
      <c r="L176" t="str">
        <f ca="1">IFERROR(__xludf.DUMMYFUNCTION("IF(AND(NOT(K176 = """"), G176 &gt;= 15),K176/FILTER('Base Stats'!$C$2:$C1000, LOWER('Base Stats'!$B$2:$B1000) = LOWER($A176)), """")"),"")</f>
        <v/>
      </c>
      <c r="M176" t="str">
        <f ca="1">IFERROR(__xludf.DUMMYFUNCTION("1.15 + 0.02 * FILTER('Base Stats'!$C$2:$C1000, LOWER('Base Stats'!$B$2:$B1000) = LOWER($A176))"),"1.75")</f>
        <v>1.75</v>
      </c>
      <c r="N176" t="s">
        <v>527</v>
      </c>
    </row>
    <row r="177" spans="1:14" ht="12.75" x14ac:dyDescent="0.2">
      <c r="A177" s="1" t="s">
        <v>597</v>
      </c>
      <c r="B177" s="1">
        <v>10</v>
      </c>
      <c r="C177" s="1">
        <v>10</v>
      </c>
      <c r="D177" s="1">
        <v>3.93</v>
      </c>
      <c r="E177" s="1">
        <v>0.3</v>
      </c>
      <c r="F177" s="1">
        <v>200</v>
      </c>
      <c r="G177" t="str">
        <f ca="1">IFERROR(__xludf.DUMMYFUNCTION("ROUND(B177/ FILTER('Pokemon CP/HP'!$M$2:$M1000, LOWER('Pokemon CP/HP'!$B$2:$B1000)=LOWER(A177)))"),"1")</f>
        <v>1</v>
      </c>
      <c r="H177" t="str">
        <f ca="1">IFERROR(__xludf.DUMMYFUNCTION("FILTER('Leveling Info'!$B$2:$B1000, 'Leveling Info'!$A$2:$A1000 =G177)"),"200")</f>
        <v>200</v>
      </c>
      <c r="I177" s="29">
        <f t="shared" ca="1" si="0"/>
        <v>1</v>
      </c>
      <c r="J177" s="29" t="str">
        <f ca="1">IFERROR(__xludf.DUMMYFUNCTION("IF(F177 = H177,C177/FILTER('Base Stats'!$C$2:$C1000, LOWER('Base Stats'!$B$2:$B1000) = LOWER($A177)), """")"),"0.3333333333")</f>
        <v>0.3333333333</v>
      </c>
      <c r="K177" t="str">
        <f t="shared" ca="1" si="1"/>
        <v/>
      </c>
      <c r="L177" t="str">
        <f ca="1">IFERROR(__xludf.DUMMYFUNCTION("IF(AND(NOT(K177 = """"), G177 &gt;= 15),K177/FILTER('Base Stats'!$C$2:$C1000, LOWER('Base Stats'!$B$2:$B1000) = LOWER($A177)), """")"),"")</f>
        <v/>
      </c>
      <c r="M177" t="str">
        <f ca="1">IFERROR(__xludf.DUMMYFUNCTION("1.15 + 0.02 * FILTER('Base Stats'!$C$2:$C1000, LOWER('Base Stats'!$B$2:$B1000) = LOWER($A177))"),"1.75")</f>
        <v>1.75</v>
      </c>
      <c r="N177" t="s">
        <v>527</v>
      </c>
    </row>
    <row r="178" spans="1:14" ht="12.75" x14ac:dyDescent="0.2">
      <c r="A178" s="1" t="s">
        <v>598</v>
      </c>
      <c r="B178" s="1">
        <v>533</v>
      </c>
      <c r="C178" s="1">
        <v>56</v>
      </c>
      <c r="D178" s="1">
        <v>18.5</v>
      </c>
      <c r="E178" s="1">
        <v>0.77</v>
      </c>
      <c r="F178" s="1">
        <v>1900</v>
      </c>
      <c r="G178" t="str">
        <f ca="1">IFERROR(__xludf.DUMMYFUNCTION("ROUND(B178/ FILTER('Pokemon CP/HP'!$M$2:$M1000, LOWER('Pokemon CP/HP'!$B$2:$B1000)=LOWER(A178)))"),"27")</f>
        <v>27</v>
      </c>
      <c r="H178" t="str">
        <f ca="1">IFERROR(__xludf.DUMMYFUNCTION("FILTER('Leveling Info'!$B$2:$B1000, 'Leveling Info'!$A$2:$A1000 =G178)"),"1600")</f>
        <v>1600</v>
      </c>
      <c r="I178" s="29">
        <f t="shared" ca="1" si="0"/>
        <v>5.196152422706632</v>
      </c>
      <c r="J178" s="29" t="str">
        <f ca="1">IFERROR(__xludf.DUMMYFUNCTION("IF(F178 = H178,C178/FILTER('Base Stats'!$C$2:$C1000, LOWER('Base Stats'!$B$2:$B1000) = LOWER($A178)), """")"),"")</f>
        <v/>
      </c>
      <c r="K178" t="str">
        <f t="shared" ca="1" si="1"/>
        <v/>
      </c>
      <c r="L178" t="str">
        <f ca="1">IFERROR(__xludf.DUMMYFUNCTION("IF(AND(NOT(K178 = """"), G178 &gt;= 15),K178/FILTER('Base Stats'!$C$2:$C1000, LOWER('Base Stats'!$B$2:$B1000) = LOWER($A178)), """")"),"")</f>
        <v/>
      </c>
      <c r="M178" t="str">
        <f ca="1">IFERROR(__xludf.DUMMYFUNCTION("1.15 + 0.02 * FILTER('Base Stats'!$C$2:$C1000, LOWER('Base Stats'!$B$2:$B1000) = LOWER($A178))"),"2.25")</f>
        <v>2.25</v>
      </c>
      <c r="N178" t="s">
        <v>527</v>
      </c>
    </row>
    <row r="179" spans="1:14" ht="12.75" x14ac:dyDescent="0.2">
      <c r="A179" s="1" t="s">
        <v>598</v>
      </c>
      <c r="B179" s="1">
        <v>496</v>
      </c>
      <c r="C179" s="1">
        <v>58</v>
      </c>
      <c r="D179" s="1">
        <v>1.33</v>
      </c>
      <c r="E179" s="1">
        <v>0.53</v>
      </c>
      <c r="F179" s="1">
        <v>1600</v>
      </c>
      <c r="G179" t="str">
        <f ca="1">IFERROR(__xludf.DUMMYFUNCTION("ROUND(B179/ FILTER('Pokemon CP/HP'!$M$2:$M1000, LOWER('Pokemon CP/HP'!$B$2:$B1000)=LOWER(A179)))"),"25")</f>
        <v>25</v>
      </c>
      <c r="H179" t="str">
        <f ca="1">IFERROR(__xludf.DUMMYFUNCTION("FILTER('Leveling Info'!$B$2:$B1000, 'Leveling Info'!$A$2:$A1000 =G179)"),"1600")</f>
        <v>1600</v>
      </c>
      <c r="I179" s="29">
        <f t="shared" ca="1" si="0"/>
        <v>5</v>
      </c>
      <c r="J179" s="29" t="str">
        <f ca="1">IFERROR(__xludf.DUMMYFUNCTION("IF(F179 = H179,C179/FILTER('Base Stats'!$C$2:$C1000, LOWER('Base Stats'!$B$2:$B1000) = LOWER($A179)), """")"),"1.054545455")</f>
        <v>1.054545455</v>
      </c>
      <c r="K179" t="str">
        <f t="shared" ca="1" si="1"/>
        <v/>
      </c>
      <c r="L179" t="str">
        <f ca="1">IFERROR(__xludf.DUMMYFUNCTION("IF(AND(NOT(K179 = """"), G179 &gt;= 15),K179/FILTER('Base Stats'!$C$2:$C1000, LOWER('Base Stats'!$B$2:$B1000) = LOWER($A179)), """")"),"0.04218181818")</f>
        <v>0.04218181818</v>
      </c>
      <c r="M179" t="str">
        <f ca="1">IFERROR(__xludf.DUMMYFUNCTION("1.15 + 0.02 * FILTER('Base Stats'!$C$2:$C1000, LOWER('Base Stats'!$B$2:$B1000) = LOWER($A179))"),"2.25")</f>
        <v>2.25</v>
      </c>
      <c r="N179">
        <v>1.031111111</v>
      </c>
    </row>
    <row r="180" spans="1:14" ht="12.75" x14ac:dyDescent="0.2">
      <c r="A180" s="1" t="s">
        <v>598</v>
      </c>
      <c r="B180" s="1">
        <v>462</v>
      </c>
      <c r="C180" s="1">
        <v>57</v>
      </c>
      <c r="D180" s="1">
        <v>3.4</v>
      </c>
      <c r="E180" s="1">
        <v>0.7</v>
      </c>
      <c r="F180" s="1">
        <v>1300</v>
      </c>
      <c r="G180" t="str">
        <f ca="1">IFERROR(__xludf.DUMMYFUNCTION("ROUND(B180/ FILTER('Pokemon CP/HP'!$M$2:$M1000, LOWER('Pokemon CP/HP'!$B$2:$B1000)=LOWER(A180)))"),"23")</f>
        <v>23</v>
      </c>
      <c r="H180" t="str">
        <f ca="1">IFERROR(__xludf.DUMMYFUNCTION("FILTER('Leveling Info'!$B$2:$B1000, 'Leveling Info'!$A$2:$A1000 =G180)"),"1300")</f>
        <v>1300</v>
      </c>
      <c r="I180" s="29">
        <f t="shared" ca="1" si="0"/>
        <v>4.7958315233127191</v>
      </c>
      <c r="J180" s="29" t="str">
        <f ca="1">IFERROR(__xludf.DUMMYFUNCTION("IF(F180 = H180,C180/FILTER('Base Stats'!$C$2:$C1000, LOWER('Base Stats'!$B$2:$B1000) = LOWER($A180)), """")"),"1.036363636")</f>
        <v>1.036363636</v>
      </c>
      <c r="K180" t="str">
        <f t="shared" ca="1" si="1"/>
        <v/>
      </c>
      <c r="L180" t="str">
        <f ca="1">IFERROR(__xludf.DUMMYFUNCTION("IF(AND(NOT(K180 = """"), G180 &gt;= 15),K180/FILTER('Base Stats'!$C$2:$C1000, LOWER('Base Stats'!$B$2:$B1000) = LOWER($A180)), """")"),"0.04505928854")</f>
        <v>0.04505928854</v>
      </c>
      <c r="M180" t="str">
        <f ca="1">IFERROR(__xludf.DUMMYFUNCTION("1.15 + 0.02 * FILTER('Base Stats'!$C$2:$C1000, LOWER('Base Stats'!$B$2:$B1000) = LOWER($A180))"),"2.25")</f>
        <v>2.25</v>
      </c>
      <c r="N180">
        <v>1.101449275</v>
      </c>
    </row>
    <row r="181" spans="1:14" ht="12.75" x14ac:dyDescent="0.2">
      <c r="A181" s="1" t="s">
        <v>598</v>
      </c>
      <c r="B181" s="1">
        <v>440</v>
      </c>
      <c r="C181" s="1">
        <v>51</v>
      </c>
      <c r="D181" s="1">
        <v>18.5</v>
      </c>
      <c r="E181" s="1">
        <v>0.46</v>
      </c>
      <c r="F181" s="1">
        <v>1300</v>
      </c>
      <c r="G181" t="str">
        <f ca="1">IFERROR(__xludf.DUMMYFUNCTION("ROUND(B181/ FILTER('Pokemon CP/HP'!$M$2:$M1000, LOWER('Pokemon CP/HP'!$B$2:$B1000)=LOWER(A181)))"),"22")</f>
        <v>22</v>
      </c>
      <c r="H181" t="str">
        <f ca="1">IFERROR(__xludf.DUMMYFUNCTION("FILTER('Leveling Info'!$B$2:$B1000, 'Leveling Info'!$A$2:$A1000 =G181)"),"1300")</f>
        <v>1300</v>
      </c>
      <c r="I181" s="29">
        <f t="shared" ca="1" si="0"/>
        <v>4.6904157598234297</v>
      </c>
      <c r="J181" s="29" t="str">
        <f ca="1">IFERROR(__xludf.DUMMYFUNCTION("IF(F181 = H181,C181/FILTER('Base Stats'!$C$2:$C1000, LOWER('Base Stats'!$B$2:$B1000) = LOWER($A181)), """")"),"0.9272727273")</f>
        <v>0.9272727273</v>
      </c>
      <c r="K181" t="str">
        <f t="shared" ca="1" si="1"/>
        <v/>
      </c>
      <c r="L181" t="str">
        <f ca="1">IFERROR(__xludf.DUMMYFUNCTION("IF(AND(NOT(K181 = """"), G181 &gt;= 15),K181/FILTER('Base Stats'!$C$2:$C1000, LOWER('Base Stats'!$B$2:$B1000) = LOWER($A181)), """")"),"0.04214876033")</f>
        <v>0.04214876033</v>
      </c>
      <c r="M181" t="str">
        <f ca="1">IFERROR(__xludf.DUMMYFUNCTION("1.15 + 0.02 * FILTER('Base Stats'!$C$2:$C1000, LOWER('Base Stats'!$B$2:$B1000) = LOWER($A181))"),"2.25")</f>
        <v>2.25</v>
      </c>
      <c r="N181">
        <v>1.03030303</v>
      </c>
    </row>
    <row r="182" spans="1:14" ht="12.75" x14ac:dyDescent="0.2">
      <c r="A182" s="1" t="s">
        <v>598</v>
      </c>
      <c r="B182" s="1">
        <v>338</v>
      </c>
      <c r="C182" s="1">
        <v>45</v>
      </c>
      <c r="D182" s="1">
        <v>7.05</v>
      </c>
      <c r="E182" s="1">
        <v>0.71</v>
      </c>
      <c r="F182" s="1">
        <v>1000</v>
      </c>
      <c r="G182" t="str">
        <f ca="1">IFERROR(__xludf.DUMMYFUNCTION("ROUND(B182/ FILTER('Pokemon CP/HP'!$M$2:$M1000, LOWER('Pokemon CP/HP'!$B$2:$B1000)=LOWER(A182)))"),"17")</f>
        <v>17</v>
      </c>
      <c r="H182" t="str">
        <f ca="1">IFERROR(__xludf.DUMMYFUNCTION("FILTER('Leveling Info'!$B$2:$B1000, 'Leveling Info'!$A$2:$A1000 =G182)"),"1000")</f>
        <v>1000</v>
      </c>
      <c r="I182" s="29">
        <f t="shared" ca="1" si="0"/>
        <v>4.1231056256176606</v>
      </c>
      <c r="J182" s="29" t="str">
        <f ca="1">IFERROR(__xludf.DUMMYFUNCTION("IF(F182 = H182,C182/FILTER('Base Stats'!$C$2:$C1000, LOWER('Base Stats'!$B$2:$B1000) = LOWER($A182)), """")"),"0.8181818182")</f>
        <v>0.8181818182</v>
      </c>
      <c r="K182" t="str">
        <f t="shared" ca="1" si="1"/>
        <v/>
      </c>
      <c r="L182" t="str">
        <f ca="1">IFERROR(__xludf.DUMMYFUNCTION("IF(AND(NOT(K182 = """"), G182 &gt;= 15),K182/FILTER('Base Stats'!$C$2:$C1000, LOWER('Base Stats'!$B$2:$B1000) = LOWER($A182)), """")"),"0.04812834225")</f>
        <v>0.04812834225</v>
      </c>
      <c r="M182" t="str">
        <f ca="1">IFERROR(__xludf.DUMMYFUNCTION("1.15 + 0.02 * FILTER('Base Stats'!$C$2:$C1000, LOWER('Base Stats'!$B$2:$B1000) = LOWER($A182))"),"2.25")</f>
        <v>2.25</v>
      </c>
      <c r="N182">
        <v>1.1764705879999999</v>
      </c>
    </row>
    <row r="183" spans="1:14" ht="12.75" x14ac:dyDescent="0.2">
      <c r="A183" s="1" t="s">
        <v>598</v>
      </c>
      <c r="B183" s="1">
        <v>297</v>
      </c>
      <c r="C183" s="1">
        <v>46</v>
      </c>
      <c r="D183" s="1">
        <v>0.98</v>
      </c>
      <c r="E183" s="1">
        <v>0.68</v>
      </c>
      <c r="F183" s="1">
        <v>800</v>
      </c>
      <c r="G183" t="str">
        <f ca="1">IFERROR(__xludf.DUMMYFUNCTION("ROUND(B183/ FILTER('Pokemon CP/HP'!$M$2:$M1000, LOWER('Pokemon CP/HP'!$B$2:$B1000)=LOWER(A183)))"),"15")</f>
        <v>15</v>
      </c>
      <c r="H183" t="str">
        <f ca="1">IFERROR(__xludf.DUMMYFUNCTION("FILTER('Leveling Info'!$B$2:$B1000, 'Leveling Info'!$A$2:$A1000 =G183)"),"800")</f>
        <v>800</v>
      </c>
      <c r="I183" s="29">
        <f t="shared" ca="1" si="0"/>
        <v>3.872983346207417</v>
      </c>
      <c r="J183" s="29" t="str">
        <f ca="1">IFERROR(__xludf.DUMMYFUNCTION("IF(F183 = H183,C183/FILTER('Base Stats'!$C$2:$C1000, LOWER('Base Stats'!$B$2:$B1000) = LOWER($A183)), """")"),"0.8363636364")</f>
        <v>0.8363636364</v>
      </c>
      <c r="K183" t="str">
        <f t="shared" ca="1" si="1"/>
        <v/>
      </c>
      <c r="L183" t="str">
        <f ca="1">IFERROR(__xludf.DUMMYFUNCTION("IF(AND(NOT(K183 = """"), G183 &gt;= 15),K183/FILTER('Base Stats'!$C$2:$C1000, LOWER('Base Stats'!$B$2:$B1000) = LOWER($A183)), """")"),"0.05575757576")</f>
        <v>0.05575757576</v>
      </c>
      <c r="M183" t="str">
        <f ca="1">IFERROR(__xludf.DUMMYFUNCTION("1.15 + 0.02 * FILTER('Base Stats'!$C$2:$C1000, LOWER('Base Stats'!$B$2:$B1000) = LOWER($A183))"),"2.25")</f>
        <v>2.25</v>
      </c>
      <c r="N183">
        <v>1.362962963</v>
      </c>
    </row>
    <row r="184" spans="1:14" ht="12.75" x14ac:dyDescent="0.2">
      <c r="A184" s="1" t="s">
        <v>599</v>
      </c>
      <c r="B184" s="1">
        <v>276</v>
      </c>
      <c r="C184" s="1">
        <v>48</v>
      </c>
      <c r="D184" s="1">
        <v>2.13</v>
      </c>
      <c r="E184" s="1">
        <v>0.31</v>
      </c>
      <c r="F184" s="1">
        <v>1900</v>
      </c>
      <c r="G184" t="str">
        <f ca="1">IFERROR(__xludf.DUMMYFUNCTION("ROUND(B184/ FILTER('Pokemon CP/HP'!$M$2:$M1000, LOWER('Pokemon CP/HP'!$B$2:$B1000)=LOWER(A184)))"),"32")</f>
        <v>32</v>
      </c>
      <c r="H184" t="str">
        <f ca="1">IFERROR(__xludf.DUMMYFUNCTION("FILTER('Leveling Info'!$B$2:$B1000, 'Leveling Info'!$A$2:$A1000 =G184)"),"1900")</f>
        <v>1900</v>
      </c>
      <c r="I184" s="29">
        <f t="shared" ca="1" si="0"/>
        <v>5.6568542494923806</v>
      </c>
      <c r="J184" s="29" t="str">
        <f ca="1">IFERROR(__xludf.DUMMYFUNCTION("IF(F184 = H184,C184/FILTER('Base Stats'!$C$2:$C1000, LOWER('Base Stats'!$B$2:$B1000) = LOWER($A184)), """")"),"1.2")</f>
        <v>1.2</v>
      </c>
      <c r="K184" t="str">
        <f t="shared" ca="1" si="1"/>
        <v/>
      </c>
      <c r="L184" t="str">
        <f ca="1">IFERROR(__xludf.DUMMYFUNCTION("IF(AND(NOT(K184 = """"), G184 &gt;= 15),K184/FILTER('Base Stats'!$C$2:$C1000, LOWER('Base Stats'!$B$2:$B1000) = LOWER($A184)), """")"),"0.0375")</f>
        <v>0.0375</v>
      </c>
      <c r="M184" t="str">
        <f ca="1">IFERROR(__xludf.DUMMYFUNCTION("1.15 + 0.02 * FILTER('Base Stats'!$C$2:$C1000, LOWER('Base Stats'!$B$2:$B1000) = LOWER($A184))"),"1.95")</f>
        <v>1.95</v>
      </c>
      <c r="N184">
        <v>0.7692307692</v>
      </c>
    </row>
    <row r="185" spans="1:14" ht="12.75" x14ac:dyDescent="0.2">
      <c r="A185" s="1" t="s">
        <v>599</v>
      </c>
      <c r="B185" s="1">
        <v>231</v>
      </c>
      <c r="C185" s="1">
        <v>42</v>
      </c>
      <c r="D185" s="1">
        <v>2.66</v>
      </c>
      <c r="E185" s="1">
        <v>0.35</v>
      </c>
      <c r="F185" s="1">
        <v>1600</v>
      </c>
      <c r="G185" t="str">
        <f ca="1">IFERROR(__xludf.DUMMYFUNCTION("ROUND(B185/ FILTER('Pokemon CP/HP'!$M$2:$M1000, LOWER('Pokemon CP/HP'!$B$2:$B1000)=LOWER(A185)))"),"27")</f>
        <v>27</v>
      </c>
      <c r="H185" t="str">
        <f ca="1">IFERROR(__xludf.DUMMYFUNCTION("FILTER('Leveling Info'!$B$2:$B1000, 'Leveling Info'!$A$2:$A1000 =G185)"),"1600")</f>
        <v>1600</v>
      </c>
      <c r="I185" s="29">
        <f t="shared" ca="1" si="0"/>
        <v>5.196152422706632</v>
      </c>
      <c r="J185" s="29" t="str">
        <f ca="1">IFERROR(__xludf.DUMMYFUNCTION("IF(F185 = H185,C185/FILTER('Base Stats'!$C$2:$C1000, LOWER('Base Stats'!$B$2:$B1000) = LOWER($A185)), """")"),"1.05")</f>
        <v>1.05</v>
      </c>
      <c r="K185" t="str">
        <f t="shared" ca="1" si="1"/>
        <v/>
      </c>
      <c r="L185" t="str">
        <f ca="1">IFERROR(__xludf.DUMMYFUNCTION("IF(AND(NOT(K185 = """"), G185 &gt;= 15),K185/FILTER('Base Stats'!$C$2:$C1000, LOWER('Base Stats'!$B$2:$B1000) = LOWER($A185)), """")"),"0.03888888889")</f>
        <v>0.03888888889</v>
      </c>
      <c r="M185" t="str">
        <f ca="1">IFERROR(__xludf.DUMMYFUNCTION("1.15 + 0.02 * FILTER('Base Stats'!$C$2:$C1000, LOWER('Base Stats'!$B$2:$B1000) = LOWER($A185))"),"1.95")</f>
        <v>1.95</v>
      </c>
      <c r="N185">
        <v>0.79772079770000004</v>
      </c>
    </row>
    <row r="186" spans="1:14" ht="12.75" x14ac:dyDescent="0.2">
      <c r="A186" s="1" t="s">
        <v>599</v>
      </c>
      <c r="B186" s="1">
        <v>208</v>
      </c>
      <c r="C186" s="1">
        <v>42</v>
      </c>
      <c r="D186" s="1">
        <v>2.6</v>
      </c>
      <c r="E186" s="1">
        <v>0.36</v>
      </c>
      <c r="F186" s="1">
        <v>1300</v>
      </c>
      <c r="G186" t="str">
        <f ca="1">IFERROR(__xludf.DUMMYFUNCTION("ROUND(B186/ FILTER('Pokemon CP/HP'!$M$2:$M1000, LOWER('Pokemon CP/HP'!$B$2:$B1000)=LOWER(A186)))"),"24")</f>
        <v>24</v>
      </c>
      <c r="H186" t="str">
        <f ca="1">IFERROR(__xludf.DUMMYFUNCTION("FILTER('Leveling Info'!$B$2:$B1000, 'Leveling Info'!$A$2:$A1000 =G186)"),"1300")</f>
        <v>1300</v>
      </c>
      <c r="I186" s="29">
        <f t="shared" ca="1" si="0"/>
        <v>4.8989794855663558</v>
      </c>
      <c r="J186" s="29" t="str">
        <f ca="1">IFERROR(__xludf.DUMMYFUNCTION("IF(F186 = H186,C186/FILTER('Base Stats'!$C$2:$C1000, LOWER('Base Stats'!$B$2:$B1000) = LOWER($A186)), """")"),"1.05")</f>
        <v>1.05</v>
      </c>
      <c r="K186" t="str">
        <f t="shared" ca="1" si="1"/>
        <v/>
      </c>
      <c r="L186" t="str">
        <f ca="1">IFERROR(__xludf.DUMMYFUNCTION("IF(AND(NOT(K186 = """"), G186 &gt;= 15),K186/FILTER('Base Stats'!$C$2:$C1000, LOWER('Base Stats'!$B$2:$B1000) = LOWER($A186)), """")"),"0.04375")</f>
        <v>0.04375</v>
      </c>
      <c r="M186" t="str">
        <f ca="1">IFERROR(__xludf.DUMMYFUNCTION("1.15 + 0.02 * FILTER('Base Stats'!$C$2:$C1000, LOWER('Base Stats'!$B$2:$B1000) = LOWER($A186))"),"1.95")</f>
        <v>1.95</v>
      </c>
      <c r="N186">
        <v>0.89743589739999996</v>
      </c>
    </row>
    <row r="187" spans="1:14" ht="12.75" x14ac:dyDescent="0.2">
      <c r="A187" s="1" t="s">
        <v>599</v>
      </c>
      <c r="B187" s="1">
        <v>178</v>
      </c>
      <c r="C187" s="1">
        <v>38</v>
      </c>
      <c r="D187" s="1">
        <v>1.9</v>
      </c>
      <c r="E187" s="1">
        <v>0.28999999999999998</v>
      </c>
      <c r="F187" s="1">
        <v>1000</v>
      </c>
      <c r="G187" t="str">
        <f ca="1">IFERROR(__xludf.DUMMYFUNCTION("ROUND(B187/ FILTER('Pokemon CP/HP'!$M$2:$M1000, LOWER('Pokemon CP/HP'!$B$2:$B1000)=LOWER(A187)))"),"20")</f>
        <v>20</v>
      </c>
      <c r="H187" t="str">
        <f ca="1">IFERROR(__xludf.DUMMYFUNCTION("FILTER('Leveling Info'!$B$2:$B1000, 'Leveling Info'!$A$2:$A1000 =G187)"),"1000")</f>
        <v>1000</v>
      </c>
      <c r="I187" s="29">
        <f t="shared" ca="1" si="0"/>
        <v>4.4721359549995796</v>
      </c>
      <c r="J187" s="29" t="str">
        <f ca="1">IFERROR(__xludf.DUMMYFUNCTION("IF(F187 = H187,C187/FILTER('Base Stats'!$C$2:$C1000, LOWER('Base Stats'!$B$2:$B1000) = LOWER($A187)), """")"),"0.95")</f>
        <v>0.95</v>
      </c>
      <c r="K187" t="str">
        <f t="shared" ca="1" si="1"/>
        <v/>
      </c>
      <c r="L187" t="str">
        <f ca="1">IFERROR(__xludf.DUMMYFUNCTION("IF(AND(NOT(K187 = """"), G187 &gt;= 15),K187/FILTER('Base Stats'!$C$2:$C1000, LOWER('Base Stats'!$B$2:$B1000) = LOWER($A187)), """")"),"0.0475")</f>
        <v>0.0475</v>
      </c>
      <c r="M187" t="str">
        <f ca="1">IFERROR(__xludf.DUMMYFUNCTION("1.15 + 0.02 * FILTER('Base Stats'!$C$2:$C1000, LOWER('Base Stats'!$B$2:$B1000) = LOWER($A187))"),"1.95")</f>
        <v>1.95</v>
      </c>
      <c r="N187">
        <v>0.97435897439999997</v>
      </c>
    </row>
    <row r="188" spans="1:14" ht="12.75" x14ac:dyDescent="0.2">
      <c r="A188" s="1" t="s">
        <v>599</v>
      </c>
      <c r="B188" s="1">
        <v>79</v>
      </c>
      <c r="C188" s="1">
        <v>24</v>
      </c>
      <c r="D188" s="1">
        <v>2.13</v>
      </c>
      <c r="E188" s="1">
        <v>0.31</v>
      </c>
      <c r="F188" s="1">
        <v>600</v>
      </c>
      <c r="G188" t="str">
        <f ca="1">IFERROR(__xludf.DUMMYFUNCTION("ROUND(B188/ FILTER('Pokemon CP/HP'!$M$2:$M1000, LOWER('Pokemon CP/HP'!$B$2:$B1000)=LOWER(A188)))"),"9")</f>
        <v>9</v>
      </c>
      <c r="H188" t="str">
        <f ca="1">IFERROR(__xludf.DUMMYFUNCTION("FILTER('Leveling Info'!$B$2:$B1000, 'Leveling Info'!$A$2:$A1000 =G188)"),"600")</f>
        <v>600</v>
      </c>
      <c r="I188" s="29">
        <f t="shared" ca="1" si="0"/>
        <v>3</v>
      </c>
      <c r="J188" s="29" t="str">
        <f ca="1">IFERROR(__xludf.DUMMYFUNCTION("IF(F188 = H188,C188/FILTER('Base Stats'!$C$2:$C1000, LOWER('Base Stats'!$B$2:$B1000) = LOWER($A188)), """")"),"0.6")</f>
        <v>0.6</v>
      </c>
      <c r="K188" t="str">
        <f t="shared" ca="1" si="1"/>
        <v/>
      </c>
      <c r="L188" t="str">
        <f ca="1">IFERROR(__xludf.DUMMYFUNCTION("IF(AND(NOT(K188 = """"), G188 &gt;= 15),K188/FILTER('Base Stats'!$C$2:$C1000, LOWER('Base Stats'!$B$2:$B1000) = LOWER($A188)), """")"),"")</f>
        <v/>
      </c>
      <c r="M188" t="str">
        <f ca="1">IFERROR(__xludf.DUMMYFUNCTION("1.15 + 0.02 * FILTER('Base Stats'!$C$2:$C1000, LOWER('Base Stats'!$B$2:$B1000) = LOWER($A188))"),"1.95")</f>
        <v>1.95</v>
      </c>
      <c r="N188" t="s">
        <v>527</v>
      </c>
    </row>
    <row r="189" spans="1:14" ht="12.75" x14ac:dyDescent="0.2">
      <c r="A189" s="1" t="s">
        <v>599</v>
      </c>
      <c r="B189" s="1">
        <v>25</v>
      </c>
      <c r="C189" s="1">
        <v>14</v>
      </c>
      <c r="D189" s="1">
        <v>2.17</v>
      </c>
      <c r="E189" s="1">
        <v>0.33</v>
      </c>
      <c r="F189" s="1">
        <v>200</v>
      </c>
      <c r="G189" t="str">
        <f ca="1">IFERROR(__xludf.DUMMYFUNCTION("ROUND(B189/ FILTER('Pokemon CP/HP'!$M$2:$M1000, LOWER('Pokemon CP/HP'!$B$2:$B1000)=LOWER(A189)))"),"3")</f>
        <v>3</v>
      </c>
      <c r="H189" t="str">
        <f ca="1">IFERROR(__xludf.DUMMYFUNCTION("FILTER('Leveling Info'!$B$2:$B1000, 'Leveling Info'!$A$2:$A1000 =G189)"),"200")</f>
        <v>200</v>
      </c>
      <c r="I189" s="29">
        <f t="shared" ca="1" si="0"/>
        <v>1.7320508075688772</v>
      </c>
      <c r="J189" s="29" t="str">
        <f ca="1">IFERROR(__xludf.DUMMYFUNCTION("IF(F189 = H189,C189/FILTER('Base Stats'!$C$2:$C1000, LOWER('Base Stats'!$B$2:$B1000) = LOWER($A189)), """")"),"0.35")</f>
        <v>0.35</v>
      </c>
      <c r="K189" t="str">
        <f t="shared" ca="1" si="1"/>
        <v/>
      </c>
      <c r="L189" t="str">
        <f ca="1">IFERROR(__xludf.DUMMYFUNCTION("IF(AND(NOT(K189 = """"), G189 &gt;= 15),K189/FILTER('Base Stats'!$C$2:$C1000, LOWER('Base Stats'!$B$2:$B1000) = LOWER($A189)), """")"),"")</f>
        <v/>
      </c>
      <c r="M189" t="str">
        <f ca="1">IFERROR(__xludf.DUMMYFUNCTION("1.15 + 0.02 * FILTER('Base Stats'!$C$2:$C1000, LOWER('Base Stats'!$B$2:$B1000) = LOWER($A189))"),"1.95")</f>
        <v>1.95</v>
      </c>
      <c r="N189" t="s">
        <v>527</v>
      </c>
    </row>
    <row r="190" spans="1:14" ht="12.75" x14ac:dyDescent="0.2">
      <c r="A190" s="1" t="s">
        <v>600</v>
      </c>
      <c r="B190" s="1">
        <v>707</v>
      </c>
      <c r="C190" s="1">
        <v>72</v>
      </c>
      <c r="D190" s="1">
        <v>4.0999999999999996</v>
      </c>
      <c r="E190" s="1">
        <v>1.2</v>
      </c>
      <c r="F190" s="1">
        <v>1900</v>
      </c>
      <c r="G190" t="str">
        <f ca="1">IFERROR(__xludf.DUMMYFUNCTION("ROUND(B190/ FILTER('Pokemon CP/HP'!$M$2:$M1000, LOWER('Pokemon CP/HP'!$B$2:$B1000)=LOWER(A190)))"),"29")</f>
        <v>29</v>
      </c>
      <c r="H190" t="str">
        <f ca="1">IFERROR(__xludf.DUMMYFUNCTION("FILTER('Leveling Info'!$B$2:$B1000, 'Leveling Info'!$A$2:$A1000 =G190)"),"1900")</f>
        <v>1900</v>
      </c>
      <c r="I190" s="29">
        <f t="shared" ca="1" si="0"/>
        <v>5.3851648071345037</v>
      </c>
      <c r="J190" s="29" t="str">
        <f ca="1">IFERROR(__xludf.DUMMYFUNCTION("IF(F190 = H190,C190/FILTER('Base Stats'!$C$2:$C1000, LOWER('Base Stats'!$B$2:$B1000) = LOWER($A190)), """")"),"1.107692308")</f>
        <v>1.107692308</v>
      </c>
      <c r="K190" t="str">
        <f t="shared" ca="1" si="1"/>
        <v/>
      </c>
      <c r="L190" t="str">
        <f ca="1">IFERROR(__xludf.DUMMYFUNCTION("IF(AND(NOT(K190 = """"), G190 &gt;= 15),K190/FILTER('Base Stats'!$C$2:$C1000, LOWER('Base Stats'!$B$2:$B1000) = LOWER($A190)), """")"),"0.03819628647")</f>
        <v>0.03819628647</v>
      </c>
      <c r="M190" t="str">
        <f ca="1">IFERROR(__xludf.DUMMYFUNCTION("1.15 + 0.02 * FILTER('Base Stats'!$C$2:$C1000, LOWER('Base Stats'!$B$2:$B1000) = LOWER($A190))"),"2.45")</f>
        <v>2.45</v>
      </c>
      <c r="N190">
        <v>1.013370866</v>
      </c>
    </row>
    <row r="191" spans="1:14" ht="12.75" x14ac:dyDescent="0.2">
      <c r="A191" s="1" t="s">
        <v>600</v>
      </c>
      <c r="B191" s="1">
        <v>457</v>
      </c>
      <c r="C191" s="1">
        <v>56</v>
      </c>
      <c r="D191" s="1">
        <v>19.03</v>
      </c>
      <c r="E191" s="1">
        <v>0.94</v>
      </c>
      <c r="F191" s="1">
        <v>1000</v>
      </c>
      <c r="G191" t="str">
        <f ca="1">IFERROR(__xludf.DUMMYFUNCTION("ROUND(B191/ FILTER('Pokemon CP/HP'!$M$2:$M1000, LOWER('Pokemon CP/HP'!$B$2:$B1000)=LOWER(A191)))"),"19")</f>
        <v>19</v>
      </c>
      <c r="H191" t="str">
        <f ca="1">IFERROR(__xludf.DUMMYFUNCTION("FILTER('Leveling Info'!$B$2:$B1000, 'Leveling Info'!$A$2:$A1000 =G191)"),"1000")</f>
        <v>1000</v>
      </c>
      <c r="I191" s="29">
        <f t="shared" ca="1" si="0"/>
        <v>4.358898943540674</v>
      </c>
      <c r="J191" s="29" t="str">
        <f ca="1">IFERROR(__xludf.DUMMYFUNCTION("IF(F191 = H191,C191/FILTER('Base Stats'!$C$2:$C1000, LOWER('Base Stats'!$B$2:$B1000) = LOWER($A191)), """")"),"0.8615384615")</f>
        <v>0.8615384615</v>
      </c>
      <c r="K191" t="str">
        <f t="shared" ca="1" si="1"/>
        <v/>
      </c>
      <c r="L191" t="str">
        <f ca="1">IFERROR(__xludf.DUMMYFUNCTION("IF(AND(NOT(K191 = """"), G191 &gt;= 15),K191/FILTER('Base Stats'!$C$2:$C1000, LOWER('Base Stats'!$B$2:$B1000) = LOWER($A191)), """")"),"0.04534412955")</f>
        <v>0.04534412955</v>
      </c>
      <c r="M191" t="str">
        <f ca="1">IFERROR(__xludf.DUMMYFUNCTION("1.15 + 0.02 * FILTER('Base Stats'!$C$2:$C1000, LOWER('Base Stats'!$B$2:$B1000) = LOWER($A191))"),"2.45")</f>
        <v>2.45</v>
      </c>
      <c r="N191">
        <v>1.203007519</v>
      </c>
    </row>
    <row r="192" spans="1:14" ht="12.75" x14ac:dyDescent="0.2">
      <c r="A192" s="1" t="s">
        <v>601</v>
      </c>
      <c r="B192" s="1">
        <v>136</v>
      </c>
      <c r="C192" s="1">
        <v>25</v>
      </c>
      <c r="D192" s="1">
        <v>3.54</v>
      </c>
      <c r="E192" s="1">
        <v>0.31</v>
      </c>
      <c r="F192" s="1">
        <v>600</v>
      </c>
      <c r="G192" t="str">
        <f ca="1">IFERROR(__xludf.DUMMYFUNCTION("ROUND(B192/ FILTER('Pokemon CP/HP'!$M$2:$M1000, LOWER('Pokemon CP/HP'!$B$2:$B1000)=LOWER(A192)))"),"12")</f>
        <v>12</v>
      </c>
      <c r="H192" t="str">
        <f ca="1">IFERROR(__xludf.DUMMYFUNCTION("FILTER('Leveling Info'!$B$2:$B1000, 'Leveling Info'!$A$2:$A1000 =G192)"),"600")</f>
        <v>600</v>
      </c>
      <c r="I192" s="29">
        <f t="shared" ca="1" si="0"/>
        <v>3.4641016151377544</v>
      </c>
      <c r="J192" s="29" t="str">
        <f ca="1">IFERROR(__xludf.DUMMYFUNCTION("IF(F192 = H192,C192/FILTER('Base Stats'!$C$2:$C1000, LOWER('Base Stats'!$B$2:$B1000) = LOWER($A192)), """")"),"0.7142857143")</f>
        <v>0.7142857143</v>
      </c>
      <c r="K192" t="str">
        <f t="shared" ca="1" si="1"/>
        <v/>
      </c>
      <c r="L192" t="str">
        <f ca="1">IFERROR(__xludf.DUMMYFUNCTION("IF(AND(NOT(K192 = """"), G192 &gt;= 15),K192/FILTER('Base Stats'!$C$2:$C1000, LOWER('Base Stats'!$B$2:$B1000) = LOWER($A192)), """")"),"")</f>
        <v/>
      </c>
      <c r="M192" t="str">
        <f ca="1">IFERROR(__xludf.DUMMYFUNCTION("1.15 + 0.02 * FILTER('Base Stats'!$C$2:$C1000, LOWER('Base Stats'!$B$2:$B1000) = LOWER($A192))"),"1.85")</f>
        <v>1.85</v>
      </c>
      <c r="N192" t="s">
        <v>527</v>
      </c>
    </row>
    <row r="193" spans="1:14" ht="12.75" x14ac:dyDescent="0.2">
      <c r="A193" s="1" t="s">
        <v>602</v>
      </c>
      <c r="B193" s="1">
        <v>73</v>
      </c>
      <c r="C193" s="1">
        <v>26</v>
      </c>
      <c r="D193" s="1">
        <v>10.09</v>
      </c>
      <c r="E193" s="1">
        <v>0.56999999999999995</v>
      </c>
      <c r="F193" s="1">
        <v>400</v>
      </c>
      <c r="G193" t="str">
        <f ca="1">IFERROR(__xludf.DUMMYFUNCTION("ROUND(B193/ FILTER('Pokemon CP/HP'!$M$2:$M1000, LOWER('Pokemon CP/HP'!$B$2:$B1000)=LOWER(A193)))"),"7")</f>
        <v>7</v>
      </c>
      <c r="H193" t="str">
        <f ca="1">IFERROR(__xludf.DUMMYFUNCTION("FILTER('Leveling Info'!$B$2:$B1000, 'Leveling Info'!$A$2:$A1000 =G193)"),"400")</f>
        <v>400</v>
      </c>
      <c r="I193" s="29">
        <f t="shared" ca="1" si="0"/>
        <v>2.6457513110645907</v>
      </c>
      <c r="J193" s="29" t="str">
        <f ca="1">IFERROR(__xludf.DUMMYFUNCTION("IF(F193 = H193,C193/FILTER('Base Stats'!$C$2:$C1000, LOWER('Base Stats'!$B$2:$B1000) = LOWER($A193)), """")"),"0.52")</f>
        <v>0.52</v>
      </c>
      <c r="K193" t="str">
        <f t="shared" ca="1" si="1"/>
        <v/>
      </c>
      <c r="L193" t="str">
        <f ca="1">IFERROR(__xludf.DUMMYFUNCTION("IF(AND(NOT(K193 = """"), G193 &gt;= 15),K193/FILTER('Base Stats'!$C$2:$C1000, LOWER('Base Stats'!$B$2:$B1000) = LOWER($A193)), """")"),"")</f>
        <v/>
      </c>
      <c r="M193" t="str">
        <f ca="1">IFERROR(__xludf.DUMMYFUNCTION("1.15 + 0.02 * FILTER('Base Stats'!$C$2:$C1000, LOWER('Base Stats'!$B$2:$B1000) = LOWER($A193))"),"2.15")</f>
        <v>2.15</v>
      </c>
      <c r="N193" t="s">
        <v>527</v>
      </c>
    </row>
    <row r="194" spans="1:14" ht="12.75" x14ac:dyDescent="0.2">
      <c r="A194" s="47" t="s">
        <v>62</v>
      </c>
      <c r="B194" s="1">
        <v>312</v>
      </c>
      <c r="C194" s="1">
        <v>61</v>
      </c>
      <c r="D194" s="1">
        <v>5.77</v>
      </c>
      <c r="E194" s="1">
        <v>0.34</v>
      </c>
      <c r="F194" s="1">
        <v>1600</v>
      </c>
      <c r="G194" t="str">
        <f ca="1">IFERROR(__xludf.DUMMYFUNCTION("ROUND(B194/ FILTER('Pokemon CP/HP'!$M$2:$M1000, LOWER('Pokemon CP/HP'!$B$2:$B1000)=LOWER(A194)))"),"28")</f>
        <v>28</v>
      </c>
      <c r="H194" t="str">
        <f ca="1">IFERROR(__xludf.DUMMYFUNCTION("FILTER('Leveling Info'!$B$2:$B1000, 'Leveling Info'!$A$2:$A1000 =G194)"),"1600")</f>
        <v>1600</v>
      </c>
      <c r="I194" s="29">
        <f t="shared" ca="1" si="0"/>
        <v>5.2915026221291814</v>
      </c>
      <c r="J194" s="29" t="str">
        <f ca="1">IFERROR(__xludf.DUMMYFUNCTION("IF(F194 = H194,C194/FILTER('Base Stats'!$C$2:$C1000, LOWER('Base Stats'!$B$2:$B1000) = LOWER($A194)), """")"),"1.109090909")</f>
        <v>1.109090909</v>
      </c>
      <c r="K194" t="str">
        <f t="shared" ca="1" si="1"/>
        <v/>
      </c>
      <c r="L194" t="str">
        <f ca="1">IFERROR(__xludf.DUMMYFUNCTION("IF(AND(NOT(K194 = """"), G194 &gt;= 15),K194/FILTER('Base Stats'!$C$2:$C1000, LOWER('Base Stats'!$B$2:$B1000) = LOWER($A194)), """")"),"0.03961038961")</f>
        <v>0.03961038961</v>
      </c>
      <c r="M194" t="str">
        <f ca="1">IFERROR(__xludf.DUMMYFUNCTION("1.15 + 0.02 * FILTER('Base Stats'!$C$2:$C1000, LOWER('Base Stats'!$B$2:$B1000) = LOWER($A194))"),"2.25")</f>
        <v>2.25</v>
      </c>
      <c r="N194">
        <v>0.96825396829999999</v>
      </c>
    </row>
    <row r="195" spans="1:14" ht="12.75" x14ac:dyDescent="0.2">
      <c r="A195" s="47" t="s">
        <v>62</v>
      </c>
      <c r="B195" s="1">
        <v>290</v>
      </c>
      <c r="C195" s="1">
        <v>54</v>
      </c>
      <c r="D195" s="1">
        <v>9.4600000000000009</v>
      </c>
      <c r="E195" s="1">
        <v>0.47</v>
      </c>
      <c r="F195" s="1">
        <v>1600</v>
      </c>
      <c r="G195" t="str">
        <f ca="1">IFERROR(__xludf.DUMMYFUNCTION("ROUND(B195/ FILTER('Pokemon CP/HP'!$M$2:$M1000, LOWER('Pokemon CP/HP'!$B$2:$B1000)=LOWER(A195)))"),"26")</f>
        <v>26</v>
      </c>
      <c r="H195" t="str">
        <f ca="1">IFERROR(__xludf.DUMMYFUNCTION("FILTER('Leveling Info'!$B$2:$B1000, 'Leveling Info'!$A$2:$A1000 =G195)"),"1600")</f>
        <v>1600</v>
      </c>
      <c r="I195" s="29">
        <f t="shared" ca="1" si="0"/>
        <v>5.0990195135927845</v>
      </c>
      <c r="J195" s="29" t="str">
        <f ca="1">IFERROR(__xludf.DUMMYFUNCTION("IF(F195 = H195,C195/FILTER('Base Stats'!$C$2:$C1000, LOWER('Base Stats'!$B$2:$B1000) = LOWER($A195)), """")"),"0.9818181818")</f>
        <v>0.9818181818</v>
      </c>
      <c r="K195" t="str">
        <f t="shared" ca="1" si="1"/>
        <v/>
      </c>
      <c r="L195" t="str">
        <f ca="1">IFERROR(__xludf.DUMMYFUNCTION("IF(AND(NOT(K195 = """"), G195 &gt;= 15),K195/FILTER('Base Stats'!$C$2:$C1000, LOWER('Base Stats'!$B$2:$B1000) = LOWER($A195)), """")"),"0.03776223776")</f>
        <v>0.03776223776</v>
      </c>
      <c r="M195" t="str">
        <f ca="1">IFERROR(__xludf.DUMMYFUNCTION("1.15 + 0.02 * FILTER('Base Stats'!$C$2:$C1000, LOWER('Base Stats'!$B$2:$B1000) = LOWER($A195))"),"2.25")</f>
        <v>2.25</v>
      </c>
      <c r="N195">
        <v>0.9230769231</v>
      </c>
    </row>
    <row r="196" spans="1:14" ht="12.75" x14ac:dyDescent="0.2">
      <c r="A196" s="47" t="s">
        <v>62</v>
      </c>
      <c r="B196" s="1">
        <v>200</v>
      </c>
      <c r="C196" s="1">
        <v>46</v>
      </c>
      <c r="D196" s="1">
        <v>7.53</v>
      </c>
      <c r="E196" s="1">
        <v>0.38</v>
      </c>
      <c r="F196" s="1">
        <v>1000</v>
      </c>
      <c r="G196" t="str">
        <f ca="1">IFERROR(__xludf.DUMMYFUNCTION("ROUND(B196/ FILTER('Pokemon CP/HP'!$M$2:$M1000, LOWER('Pokemon CP/HP'!$B$2:$B1000)=LOWER(A196)))"),"18")</f>
        <v>18</v>
      </c>
      <c r="H196" t="str">
        <f ca="1">IFERROR(__xludf.DUMMYFUNCTION("FILTER('Leveling Info'!$B$2:$B1000, 'Leveling Info'!$A$2:$A1000 =G196)"),"1000")</f>
        <v>1000</v>
      </c>
      <c r="I196" s="29">
        <f t="shared" ca="1" si="0"/>
        <v>4.2426406871192848</v>
      </c>
      <c r="J196" s="29" t="str">
        <f ca="1">IFERROR(__xludf.DUMMYFUNCTION("IF(F196 = H196,C196/FILTER('Base Stats'!$C$2:$C1000, LOWER('Base Stats'!$B$2:$B1000) = LOWER($A196)), """")"),"0.8363636364")</f>
        <v>0.8363636364</v>
      </c>
      <c r="K196" t="str">
        <f t="shared" ca="1" si="1"/>
        <v/>
      </c>
      <c r="L196" t="str">
        <f ca="1">IFERROR(__xludf.DUMMYFUNCTION("IF(AND(NOT(K196 = """"), G196 &gt;= 15),K196/FILTER('Base Stats'!$C$2:$C1000, LOWER('Base Stats'!$B$2:$B1000) = LOWER($A196)), """")"),"0.04646464646")</f>
        <v>0.04646464646</v>
      </c>
      <c r="M196" t="str">
        <f ca="1">IFERROR(__xludf.DUMMYFUNCTION("1.15 + 0.02 * FILTER('Base Stats'!$C$2:$C1000, LOWER('Base Stats'!$B$2:$B1000) = LOWER($A196))"),"2.25")</f>
        <v>2.25</v>
      </c>
      <c r="N196">
        <v>1.1358024689999999</v>
      </c>
    </row>
    <row r="197" spans="1:14" ht="12.75" x14ac:dyDescent="0.2">
      <c r="A197" s="47" t="s">
        <v>62</v>
      </c>
      <c r="B197" s="1">
        <v>192</v>
      </c>
      <c r="C197" s="1">
        <v>43</v>
      </c>
      <c r="D197" s="1">
        <v>9.31</v>
      </c>
      <c r="E197" s="1">
        <v>0.45</v>
      </c>
      <c r="F197" s="1">
        <v>1000</v>
      </c>
      <c r="G197" t="str">
        <f ca="1">IFERROR(__xludf.DUMMYFUNCTION("ROUND(B197/ FILTER('Pokemon CP/HP'!$M$2:$M1000, LOWER('Pokemon CP/HP'!$B$2:$B1000)=LOWER(A197)))"),"17")</f>
        <v>17</v>
      </c>
      <c r="H197" t="str">
        <f ca="1">IFERROR(__xludf.DUMMYFUNCTION("FILTER('Leveling Info'!$B$2:$B1000, 'Leveling Info'!$A$2:$A1000 =G197)"),"1000")</f>
        <v>1000</v>
      </c>
      <c r="I197" s="29">
        <f t="shared" ca="1" si="0"/>
        <v>4.1231056256176606</v>
      </c>
      <c r="J197" s="29" t="str">
        <f ca="1">IFERROR(__xludf.DUMMYFUNCTION("IF(F197 = H197,C197/FILTER('Base Stats'!$C$2:$C1000, LOWER('Base Stats'!$B$2:$B1000) = LOWER($A197)), """")"),"0.7818181818")</f>
        <v>0.7818181818</v>
      </c>
      <c r="K197" t="str">
        <f t="shared" ca="1" si="1"/>
        <v/>
      </c>
      <c r="L197" t="str">
        <f ca="1">IFERROR(__xludf.DUMMYFUNCTION("IF(AND(NOT(K197 = """"), G197 &gt;= 15),K197/FILTER('Base Stats'!$C$2:$C1000, LOWER('Base Stats'!$B$2:$B1000) = LOWER($A197)), """")"),"0.04598930481")</f>
        <v>0.04598930481</v>
      </c>
      <c r="M197" t="str">
        <f ca="1">IFERROR(__xludf.DUMMYFUNCTION("1.15 + 0.02 * FILTER('Base Stats'!$C$2:$C1000, LOWER('Base Stats'!$B$2:$B1000) = LOWER($A197))"),"2.25")</f>
        <v>2.25</v>
      </c>
      <c r="N197">
        <v>1.1241830070000001</v>
      </c>
    </row>
    <row r="198" spans="1:14" ht="12.75" x14ac:dyDescent="0.2">
      <c r="A198" s="47" t="s">
        <v>62</v>
      </c>
      <c r="B198" s="1">
        <v>186</v>
      </c>
      <c r="C198" s="1">
        <v>44</v>
      </c>
      <c r="D198" s="1">
        <v>9.18</v>
      </c>
      <c r="E198" s="1">
        <v>0.45</v>
      </c>
      <c r="F198" s="1">
        <v>1000</v>
      </c>
      <c r="G198" t="str">
        <f ca="1">IFERROR(__xludf.DUMMYFUNCTION("ROUND(B198/ FILTER('Pokemon CP/HP'!$M$2:$M1000, LOWER('Pokemon CP/HP'!$B$2:$B1000)=LOWER(A198)))"),"17")</f>
        <v>17</v>
      </c>
      <c r="H198" t="str">
        <f ca="1">IFERROR(__xludf.DUMMYFUNCTION("FILTER('Leveling Info'!$B$2:$B1000, 'Leveling Info'!$A$2:$A1000 =G198)"),"1000")</f>
        <v>1000</v>
      </c>
      <c r="I198" s="29">
        <f t="shared" ca="1" si="0"/>
        <v>4.1231056256176606</v>
      </c>
      <c r="J198" s="29" t="str">
        <f ca="1">IFERROR(__xludf.DUMMYFUNCTION("IF(F198 = H198,C198/FILTER('Base Stats'!$C$2:$C1000, LOWER('Base Stats'!$B$2:$B1000) = LOWER($A198)), """")"),"0.8")</f>
        <v>0.8</v>
      </c>
      <c r="K198" t="str">
        <f t="shared" ca="1" si="1"/>
        <v/>
      </c>
      <c r="L198" t="str">
        <f ca="1">IFERROR(__xludf.DUMMYFUNCTION("IF(AND(NOT(K198 = """"), G198 &gt;= 15),K198/FILTER('Base Stats'!$C$2:$C1000, LOWER('Base Stats'!$B$2:$B1000) = LOWER($A198)), """")"),"0.04705882353")</f>
        <v>0.04705882353</v>
      </c>
      <c r="M198" t="str">
        <f ca="1">IFERROR(__xludf.DUMMYFUNCTION("1.15 + 0.02 * FILTER('Base Stats'!$C$2:$C1000, LOWER('Base Stats'!$B$2:$B1000) = LOWER($A198))"),"2.25")</f>
        <v>2.25</v>
      </c>
      <c r="N198">
        <v>1.150326797</v>
      </c>
    </row>
    <row r="199" spans="1:14" ht="12.75" x14ac:dyDescent="0.2">
      <c r="A199" s="47" t="s">
        <v>62</v>
      </c>
      <c r="B199" s="1">
        <v>169</v>
      </c>
      <c r="C199" s="1">
        <v>45</v>
      </c>
      <c r="D199" s="1">
        <v>7.16</v>
      </c>
      <c r="E199" s="1">
        <v>0.39</v>
      </c>
      <c r="F199" s="1">
        <v>800</v>
      </c>
      <c r="G199" t="str">
        <f ca="1">IFERROR(__xludf.DUMMYFUNCTION("ROUND(B199/ FILTER('Pokemon CP/HP'!$M$2:$M1000, LOWER('Pokemon CP/HP'!$B$2:$B1000)=LOWER(A199)))"),"15")</f>
        <v>15</v>
      </c>
      <c r="H199" t="str">
        <f ca="1">IFERROR(__xludf.DUMMYFUNCTION("FILTER('Leveling Info'!$B$2:$B1000, 'Leveling Info'!$A$2:$A1000 =G199)"),"800")</f>
        <v>800</v>
      </c>
      <c r="I199" s="29">
        <f t="shared" ca="1" si="0"/>
        <v>3.872983346207417</v>
      </c>
      <c r="J199" s="29" t="str">
        <f ca="1">IFERROR(__xludf.DUMMYFUNCTION("IF(F199 = H199,C199/FILTER('Base Stats'!$C$2:$C1000, LOWER('Base Stats'!$B$2:$B1000) = LOWER($A199)), """")"),"0.8181818182")</f>
        <v>0.8181818182</v>
      </c>
      <c r="K199" t="str">
        <f t="shared" ca="1" si="1"/>
        <v/>
      </c>
      <c r="L199" t="str">
        <f ca="1">IFERROR(__xludf.DUMMYFUNCTION("IF(AND(NOT(K199 = """"), G199 &gt;= 15),K199/FILTER('Base Stats'!$C$2:$C1000, LOWER('Base Stats'!$B$2:$B1000) = LOWER($A199)), """")"),"0.05454545455")</f>
        <v>0.05454545455</v>
      </c>
      <c r="M199" t="str">
        <f ca="1">IFERROR(__xludf.DUMMYFUNCTION("1.15 + 0.02 * FILTER('Base Stats'!$C$2:$C1000, LOWER('Base Stats'!$B$2:$B1000) = LOWER($A199))"),"2.25")</f>
        <v>2.25</v>
      </c>
      <c r="N199">
        <v>1.3333333329999999</v>
      </c>
    </row>
    <row r="200" spans="1:14" ht="12.75" x14ac:dyDescent="0.2">
      <c r="A200" s="1" t="s">
        <v>603</v>
      </c>
      <c r="B200" s="1">
        <v>329</v>
      </c>
      <c r="C200" s="1">
        <v>61</v>
      </c>
      <c r="D200" s="1">
        <v>6.71</v>
      </c>
      <c r="E200" s="1">
        <v>0.86</v>
      </c>
      <c r="F200" s="1">
        <v>1000</v>
      </c>
      <c r="G200" t="str">
        <f ca="1">IFERROR(__xludf.DUMMYFUNCTION("ROUND(B200/ FILTER('Pokemon CP/HP'!$M$2:$M1000, LOWER('Pokemon CP/HP'!$B$2:$B1000)=LOWER(A200)))"),"17")</f>
        <v>17</v>
      </c>
      <c r="H200" t="str">
        <f ca="1">IFERROR(__xludf.DUMMYFUNCTION("FILTER('Leveling Info'!$B$2:$B1000, 'Leveling Info'!$A$2:$A1000 =G200)"),"1000")</f>
        <v>1000</v>
      </c>
      <c r="I200" s="29">
        <f t="shared" ca="1" si="0"/>
        <v>4.1231056256176606</v>
      </c>
      <c r="J200" s="29" t="str">
        <f ca="1">IFERROR(__xludf.DUMMYFUNCTION("IF(F200 = H200,C200/FILTER('Base Stats'!$C$2:$C1000, LOWER('Base Stats'!$B$2:$B1000) = LOWER($A200)), """")"),"0.8714285714")</f>
        <v>0.8714285714</v>
      </c>
      <c r="K200" t="str">
        <f t="shared" ca="1" si="1"/>
        <v/>
      </c>
      <c r="L200" t="str">
        <f ca="1">IFERROR(__xludf.DUMMYFUNCTION("IF(AND(NOT(K200 = """"), G200 &gt;= 15),K200/FILTER('Base Stats'!$C$2:$C1000, LOWER('Base Stats'!$B$2:$B1000) = LOWER($A200)), """")"),"0.0512605042")</f>
        <v>0.0512605042</v>
      </c>
      <c r="M200" t="str">
        <f ca="1">IFERROR(__xludf.DUMMYFUNCTION("1.15 + 0.02 * FILTER('Base Stats'!$C$2:$C1000, LOWER('Base Stats'!$B$2:$B1000) = LOWER($A200))"),"2.55")</f>
        <v>2.55</v>
      </c>
      <c r="N200">
        <v>1.407151096</v>
      </c>
    </row>
    <row r="201" spans="1:14" ht="12.75" x14ac:dyDescent="0.2">
      <c r="A201" s="47" t="s">
        <v>65</v>
      </c>
      <c r="B201" s="1">
        <v>257</v>
      </c>
      <c r="C201" s="1">
        <v>46</v>
      </c>
      <c r="D201" s="1">
        <v>10.4</v>
      </c>
      <c r="E201" s="1">
        <v>0.56000000000000005</v>
      </c>
      <c r="F201" s="1">
        <v>1300</v>
      </c>
      <c r="G201" t="str">
        <f ca="1">IFERROR(__xludf.DUMMYFUNCTION("ROUND(B201/ FILTER('Pokemon CP/HP'!$M$2:$M1000, LOWER('Pokemon CP/HP'!$B$2:$B1000)=LOWER(A201)))"),"21")</f>
        <v>21</v>
      </c>
      <c r="H201" t="str">
        <f ca="1">IFERROR(__xludf.DUMMYFUNCTION("FILTER('Leveling Info'!$B$2:$B1000, 'Leveling Info'!$A$2:$A1000 =G201)"),"1300")</f>
        <v>1300</v>
      </c>
      <c r="I201" s="29">
        <f t="shared" ca="1" si="0"/>
        <v>4.5825756949558398</v>
      </c>
      <c r="J201" s="29" t="str">
        <f ca="1">IFERROR(__xludf.DUMMYFUNCTION("IF(F201 = H201,C201/FILTER('Base Stats'!$C$2:$C1000, LOWER('Base Stats'!$B$2:$B1000) = LOWER($A201)), """")"),"1")</f>
        <v>1</v>
      </c>
      <c r="K201" t="str">
        <f t="shared" ca="1" si="1"/>
        <v/>
      </c>
      <c r="L201" t="str">
        <f ca="1">IFERROR(__xludf.DUMMYFUNCTION("IF(AND(NOT(K201 = """"), G201 &gt;= 15),K201/FILTER('Base Stats'!$C$2:$C1000, LOWER('Base Stats'!$B$2:$B1000) = LOWER($A201)), """")"),"0.04761904762")</f>
        <v>0.04761904762</v>
      </c>
      <c r="M201" t="str">
        <f ca="1">IFERROR(__xludf.DUMMYFUNCTION("1.15 + 0.02 * FILTER('Base Stats'!$C$2:$C1000, LOWER('Base Stats'!$B$2:$B1000) = LOWER($A201))"),"2.07")</f>
        <v>2.07</v>
      </c>
      <c r="N201">
        <v>1.0582010580000001</v>
      </c>
    </row>
    <row r="202" spans="1:14" ht="12.75" x14ac:dyDescent="0.2">
      <c r="A202" s="47" t="s">
        <v>65</v>
      </c>
      <c r="B202" s="1">
        <v>214</v>
      </c>
      <c r="C202" s="1">
        <v>40</v>
      </c>
      <c r="D202" s="1">
        <v>11.13</v>
      </c>
      <c r="E202" s="1">
        <v>0.56000000000000005</v>
      </c>
      <c r="F202" s="1">
        <v>1300</v>
      </c>
      <c r="G202" t="str">
        <f ca="1">IFERROR(__xludf.DUMMYFUNCTION("ROUND(B202/ FILTER('Pokemon CP/HP'!$M$2:$M1000, LOWER('Pokemon CP/HP'!$B$2:$B1000)=LOWER(A202)))"),"18")</f>
        <v>18</v>
      </c>
      <c r="H202" t="str">
        <f ca="1">IFERROR(__xludf.DUMMYFUNCTION("FILTER('Leveling Info'!$B$2:$B1000, 'Leveling Info'!$A$2:$A1000 =G202)"),"1000")</f>
        <v>1000</v>
      </c>
      <c r="I202" s="29">
        <f t="shared" ca="1" si="0"/>
        <v>4.2426406871192848</v>
      </c>
      <c r="J202" s="29" t="str">
        <f ca="1">IFERROR(__xludf.DUMMYFUNCTION("IF(F202 = H202,C202/FILTER('Base Stats'!$C$2:$C1000, LOWER('Base Stats'!$B$2:$B1000) = LOWER($A202)), """")"),"")</f>
        <v/>
      </c>
      <c r="K202" t="str">
        <f t="shared" ca="1" si="1"/>
        <v/>
      </c>
      <c r="L202" t="str">
        <f ca="1">IFERROR(__xludf.DUMMYFUNCTION("IF(AND(NOT(K202 = """"), G202 &gt;= 15),K202/FILTER('Base Stats'!$C$2:$C1000, LOWER('Base Stats'!$B$2:$B1000) = LOWER($A202)), """")"),"")</f>
        <v/>
      </c>
      <c r="M202" t="str">
        <f ca="1">IFERROR(__xludf.DUMMYFUNCTION("1.15 + 0.02 * FILTER('Base Stats'!$C$2:$C1000, LOWER('Base Stats'!$B$2:$B1000) = LOWER($A202))"),"2.07")</f>
        <v>2.07</v>
      </c>
      <c r="N202" t="s">
        <v>527</v>
      </c>
    </row>
    <row r="203" spans="1:14" ht="12.75" x14ac:dyDescent="0.2">
      <c r="A203" s="47" t="s">
        <v>65</v>
      </c>
      <c r="B203" s="1">
        <v>210</v>
      </c>
      <c r="C203" s="1">
        <v>42</v>
      </c>
      <c r="D203" s="1">
        <v>7.65</v>
      </c>
      <c r="E203" s="1">
        <v>0.47</v>
      </c>
      <c r="F203" s="1">
        <v>1000</v>
      </c>
      <c r="G203" t="str">
        <f ca="1">IFERROR(__xludf.DUMMYFUNCTION("ROUND(B203/ FILTER('Pokemon CP/HP'!$M$2:$M1000, LOWER('Pokemon CP/HP'!$B$2:$B1000)=LOWER(A203)))"),"18")</f>
        <v>18</v>
      </c>
      <c r="H203" t="str">
        <f ca="1">IFERROR(__xludf.DUMMYFUNCTION("FILTER('Leveling Info'!$B$2:$B1000, 'Leveling Info'!$A$2:$A1000 =G203)"),"1000")</f>
        <v>1000</v>
      </c>
      <c r="I203" s="29">
        <f t="shared" ca="1" si="0"/>
        <v>4.2426406871192848</v>
      </c>
      <c r="J203" s="29" t="str">
        <f ca="1">IFERROR(__xludf.DUMMYFUNCTION("IF(F203 = H203,C203/FILTER('Base Stats'!$C$2:$C1000, LOWER('Base Stats'!$B$2:$B1000) = LOWER($A203)), """")"),"0.9130434783")</f>
        <v>0.9130434783</v>
      </c>
      <c r="K203" t="str">
        <f t="shared" ca="1" si="1"/>
        <v/>
      </c>
      <c r="L203" t="str">
        <f ca="1">IFERROR(__xludf.DUMMYFUNCTION("IF(AND(NOT(K203 = """"), G203 &gt;= 15),K203/FILTER('Base Stats'!$C$2:$C1000, LOWER('Base Stats'!$B$2:$B1000) = LOWER($A203)), """")"),"0.05072463768")</f>
        <v>0.05072463768</v>
      </c>
      <c r="M203" t="str">
        <f ca="1">IFERROR(__xludf.DUMMYFUNCTION("1.15 + 0.02 * FILTER('Base Stats'!$C$2:$C1000, LOWER('Base Stats'!$B$2:$B1000) = LOWER($A203))"),"2.07")</f>
        <v>2.07</v>
      </c>
      <c r="N203">
        <v>1.1272141710000001</v>
      </c>
    </row>
    <row r="204" spans="1:14" ht="12.75" x14ac:dyDescent="0.2">
      <c r="A204" s="47" t="s">
        <v>65</v>
      </c>
      <c r="B204" s="1">
        <v>162</v>
      </c>
      <c r="C204" s="1">
        <v>39</v>
      </c>
      <c r="D204" s="1">
        <v>9.76</v>
      </c>
      <c r="E204" s="1">
        <v>0.45</v>
      </c>
      <c r="F204" s="1">
        <v>800</v>
      </c>
      <c r="G204" t="str">
        <f ca="1">IFERROR(__xludf.DUMMYFUNCTION("ROUND(B204/ FILTER('Pokemon CP/HP'!$M$2:$M1000, LOWER('Pokemon CP/HP'!$B$2:$B1000)=LOWER(A204)))"),"14")</f>
        <v>14</v>
      </c>
      <c r="H204" t="str">
        <f ca="1">IFERROR(__xludf.DUMMYFUNCTION("FILTER('Leveling Info'!$B$2:$B1000, 'Leveling Info'!$A$2:$A1000 =G204)"),"800")</f>
        <v>800</v>
      </c>
      <c r="I204" s="29">
        <f t="shared" ca="1" si="0"/>
        <v>3.7416573867739413</v>
      </c>
      <c r="J204" s="29" t="str">
        <f ca="1">IFERROR(__xludf.DUMMYFUNCTION("IF(F204 = H204,C204/FILTER('Base Stats'!$C$2:$C1000, LOWER('Base Stats'!$B$2:$B1000) = LOWER($A204)), """")"),"0.847826087")</f>
        <v>0.847826087</v>
      </c>
      <c r="K204" t="str">
        <f t="shared" ca="1" si="1"/>
        <v/>
      </c>
      <c r="L204" t="str">
        <f ca="1">IFERROR(__xludf.DUMMYFUNCTION("IF(AND(NOT(K204 = """"), G204 &gt;= 15),K204/FILTER('Base Stats'!$C$2:$C1000, LOWER('Base Stats'!$B$2:$B1000) = LOWER($A204)), """")"),"")</f>
        <v/>
      </c>
      <c r="M204" t="str">
        <f ca="1">IFERROR(__xludf.DUMMYFUNCTION("1.15 + 0.02 * FILTER('Base Stats'!$C$2:$C1000, LOWER('Base Stats'!$B$2:$B1000) = LOWER($A204))"),"2.07")</f>
        <v>2.07</v>
      </c>
      <c r="N204" t="s">
        <v>527</v>
      </c>
    </row>
    <row r="205" spans="1:14" ht="12.75" x14ac:dyDescent="0.2">
      <c r="A205" s="47" t="s">
        <v>65</v>
      </c>
      <c r="B205" s="1">
        <v>123</v>
      </c>
      <c r="C205" s="1">
        <v>33</v>
      </c>
      <c r="D205" s="1">
        <v>9.9499999999999993</v>
      </c>
      <c r="E205" s="1">
        <v>0.53</v>
      </c>
      <c r="F205" s="1">
        <v>600</v>
      </c>
      <c r="G205" t="str">
        <f ca="1">IFERROR(__xludf.DUMMYFUNCTION("ROUND(B205/ FILTER('Pokemon CP/HP'!$M$2:$M1000, LOWER('Pokemon CP/HP'!$B$2:$B1000)=LOWER(A205)))"),"10")</f>
        <v>10</v>
      </c>
      <c r="H205" t="str">
        <f ca="1">IFERROR(__xludf.DUMMYFUNCTION("FILTER('Leveling Info'!$B$2:$B1000, 'Leveling Info'!$A$2:$A1000 =G205)"),"600")</f>
        <v>600</v>
      </c>
      <c r="I205" s="29">
        <f t="shared" ca="1" si="0"/>
        <v>3.1622776601683795</v>
      </c>
      <c r="J205" s="29" t="str">
        <f ca="1">IFERROR(__xludf.DUMMYFUNCTION("IF(F205 = H205,C205/FILTER('Base Stats'!$C$2:$C1000, LOWER('Base Stats'!$B$2:$B1000) = LOWER($A205)), """")"),"0.7173913043")</f>
        <v>0.7173913043</v>
      </c>
      <c r="K205" t="str">
        <f t="shared" ca="1" si="1"/>
        <v/>
      </c>
      <c r="L205" t="str">
        <f ca="1">IFERROR(__xludf.DUMMYFUNCTION("IF(AND(NOT(K205 = """"), G205 &gt;= 15),K205/FILTER('Base Stats'!$C$2:$C1000, LOWER('Base Stats'!$B$2:$B1000) = LOWER($A205)), """")"),"")</f>
        <v/>
      </c>
      <c r="M205" t="str">
        <f ca="1">IFERROR(__xludf.DUMMYFUNCTION("1.15 + 0.02 * FILTER('Base Stats'!$C$2:$C1000, LOWER('Base Stats'!$B$2:$B1000) = LOWER($A205))"),"2.07")</f>
        <v>2.07</v>
      </c>
      <c r="N205" t="s">
        <v>527</v>
      </c>
    </row>
    <row r="206" spans="1:14" ht="12.75" x14ac:dyDescent="0.2">
      <c r="A206" s="47" t="s">
        <v>65</v>
      </c>
      <c r="B206" s="1">
        <v>10</v>
      </c>
      <c r="C206" s="1">
        <v>10</v>
      </c>
      <c r="D206" s="1">
        <v>9.15</v>
      </c>
      <c r="E206" s="1">
        <v>0.5</v>
      </c>
      <c r="F206" s="1">
        <v>200</v>
      </c>
      <c r="G206" t="str">
        <f ca="1">IFERROR(__xludf.DUMMYFUNCTION("ROUND(B206/ FILTER('Pokemon CP/HP'!$M$2:$M1000, LOWER('Pokemon CP/HP'!$B$2:$B1000)=LOWER(A206)))"),"1")</f>
        <v>1</v>
      </c>
      <c r="H206" t="str">
        <f ca="1">IFERROR(__xludf.DUMMYFUNCTION("FILTER('Leveling Info'!$B$2:$B1000, 'Leveling Info'!$A$2:$A1000 =G206)"),"200")</f>
        <v>200</v>
      </c>
      <c r="I206" s="29">
        <f t="shared" ca="1" si="0"/>
        <v>1</v>
      </c>
      <c r="J206" s="29" t="str">
        <f ca="1">IFERROR(__xludf.DUMMYFUNCTION("IF(F206 = H206,C206/FILTER('Base Stats'!$C$2:$C1000, LOWER('Base Stats'!$B$2:$B1000) = LOWER($A206)), """")"),"0.2173913043")</f>
        <v>0.2173913043</v>
      </c>
      <c r="K206" t="str">
        <f t="shared" ca="1" si="1"/>
        <v/>
      </c>
      <c r="L206" t="str">
        <f ca="1">IFERROR(__xludf.DUMMYFUNCTION("IF(AND(NOT(K206 = """"), G206 &gt;= 15),K206/FILTER('Base Stats'!$C$2:$C1000, LOWER('Base Stats'!$B$2:$B1000) = LOWER($A206)), """")"),"")</f>
        <v/>
      </c>
      <c r="M206" t="str">
        <f ca="1">IFERROR(__xludf.DUMMYFUNCTION("1.15 + 0.02 * FILTER('Base Stats'!$C$2:$C1000, LOWER('Base Stats'!$B$2:$B1000) = LOWER($A206))"),"2.07")</f>
        <v>2.07</v>
      </c>
      <c r="N206" t="s">
        <v>527</v>
      </c>
    </row>
    <row r="207" spans="1:14" ht="12.75" x14ac:dyDescent="0.2">
      <c r="A207" s="1" t="s">
        <v>604</v>
      </c>
      <c r="B207" s="1">
        <v>417</v>
      </c>
      <c r="C207" s="1">
        <v>57</v>
      </c>
      <c r="D207" s="1">
        <v>16.97</v>
      </c>
      <c r="E207" s="1">
        <v>0.83</v>
      </c>
      <c r="F207" s="1">
        <v>1300</v>
      </c>
      <c r="G207" t="str">
        <f ca="1">IFERROR(__xludf.DUMMYFUNCTION("ROUND(B207/ FILTER('Pokemon CP/HP'!$M$2:$M1000, LOWER('Pokemon CP/HP'!$B$2:$B1000)=LOWER(A207)))"),"21")</f>
        <v>21</v>
      </c>
      <c r="H207" t="str">
        <f ca="1">IFERROR(__xludf.DUMMYFUNCTION("FILTER('Leveling Info'!$B$2:$B1000, 'Leveling Info'!$A$2:$A1000 =G207)"),"1300")</f>
        <v>1300</v>
      </c>
      <c r="I207" s="29">
        <f t="shared" ca="1" si="0"/>
        <v>4.5825756949558398</v>
      </c>
      <c r="J207" s="29" t="str">
        <f ca="1">IFERROR(__xludf.DUMMYFUNCTION("IF(F207 = H207,C207/FILTER('Base Stats'!$C$2:$C1000, LOWER('Base Stats'!$B$2:$B1000) = LOWER($A207)), """")"),"0.9344262295")</f>
        <v>0.9344262295</v>
      </c>
      <c r="K207" t="str">
        <f t="shared" ca="1" si="1"/>
        <v/>
      </c>
      <c r="L207" t="str">
        <f ca="1">IFERROR(__xludf.DUMMYFUNCTION("IF(AND(NOT(K207 = """"), G207 &gt;= 15),K207/FILTER('Base Stats'!$C$2:$C1000, LOWER('Base Stats'!$B$2:$B1000) = LOWER($A207)), """")"),"0.04449648712")</f>
        <v>0.04449648712</v>
      </c>
      <c r="M207" t="str">
        <f ca="1">IFERROR(__xludf.DUMMYFUNCTION("1.15 + 0.02 * FILTER('Base Stats'!$C$2:$C1000, LOWER('Base Stats'!$B$2:$B1000) = LOWER($A207))"),"2.37")</f>
        <v>2.37</v>
      </c>
      <c r="N207">
        <v>1.145268234</v>
      </c>
    </row>
    <row r="208" spans="1:14" ht="12.75" x14ac:dyDescent="0.2">
      <c r="A208" s="1" t="s">
        <v>604</v>
      </c>
      <c r="B208" s="1">
        <v>301</v>
      </c>
      <c r="C208" s="1">
        <v>49</v>
      </c>
      <c r="D208" s="1">
        <v>6.51</v>
      </c>
      <c r="E208" s="1">
        <v>0.84</v>
      </c>
      <c r="F208" s="1">
        <v>800</v>
      </c>
      <c r="G208" t="str">
        <f ca="1">IFERROR(__xludf.DUMMYFUNCTION("ROUND(B208/ FILTER('Pokemon CP/HP'!$M$2:$M1000, LOWER('Pokemon CP/HP'!$B$2:$B1000)=LOWER(A208)))"),"15")</f>
        <v>15</v>
      </c>
      <c r="H208" t="str">
        <f ca="1">IFERROR(__xludf.DUMMYFUNCTION("FILTER('Leveling Info'!$B$2:$B1000, 'Leveling Info'!$A$2:$A1000 =G208)"),"800")</f>
        <v>800</v>
      </c>
      <c r="I208" s="29">
        <f t="shared" ca="1" si="0"/>
        <v>3.872983346207417</v>
      </c>
      <c r="J208" s="29" t="str">
        <f ca="1">IFERROR(__xludf.DUMMYFUNCTION("IF(F208 = H208,C208/FILTER('Base Stats'!$C$2:$C1000, LOWER('Base Stats'!$B$2:$B1000) = LOWER($A208)), """")"),"0.8032786885")</f>
        <v>0.8032786885</v>
      </c>
      <c r="K208" t="str">
        <f t="shared" ca="1" si="1"/>
        <v/>
      </c>
      <c r="L208" t="str">
        <f ca="1">IFERROR(__xludf.DUMMYFUNCTION("IF(AND(NOT(K208 = """"), G208 &gt;= 15),K208/FILTER('Base Stats'!$C$2:$C1000, LOWER('Base Stats'!$B$2:$B1000) = LOWER($A208)), """")"),"0.05355191257")</f>
        <v>0.05355191257</v>
      </c>
      <c r="M208" t="str">
        <f ca="1">IFERROR(__xludf.DUMMYFUNCTION("1.15 + 0.02 * FILTER('Base Stats'!$C$2:$C1000, LOWER('Base Stats'!$B$2:$B1000) = LOWER($A208))"),"2.37")</f>
        <v>2.37</v>
      </c>
      <c r="N208">
        <v>1.378340366</v>
      </c>
    </row>
    <row r="209" spans="1:14" ht="12.75" x14ac:dyDescent="0.2">
      <c r="A209" s="1" t="s">
        <v>605</v>
      </c>
      <c r="B209" s="1">
        <v>653</v>
      </c>
      <c r="C209" s="1">
        <v>69</v>
      </c>
      <c r="D209" s="1">
        <v>56.18</v>
      </c>
      <c r="E209" s="1">
        <v>1.49</v>
      </c>
      <c r="F209" s="1">
        <v>1000</v>
      </c>
      <c r="G209" t="str">
        <f ca="1">IFERROR(__xludf.DUMMYFUNCTION("ROUND(B209/ FILTER('Pokemon CP/HP'!$M$2:$M1000, LOWER('Pokemon CP/HP'!$B$2:$B1000)=LOWER(A209)))"),"19")</f>
        <v>19</v>
      </c>
      <c r="H209" t="str">
        <f ca="1">IFERROR(__xludf.DUMMYFUNCTION("FILTER('Leveling Info'!$B$2:$B1000, 'Leveling Info'!$A$2:$A1000 =G209)"),"1000")</f>
        <v>1000</v>
      </c>
      <c r="I209" s="29">
        <f t="shared" ca="1" si="0"/>
        <v>4.358898943540674</v>
      </c>
      <c r="J209" s="29" t="str">
        <f ca="1">IFERROR(__xludf.DUMMYFUNCTION("IF(F209 = H209,C209/FILTER('Base Stats'!$C$2:$C1000, LOWER('Base Stats'!$B$2:$B1000) = LOWER($A209)), """")"),"0.8518518519")</f>
        <v>0.8518518519</v>
      </c>
      <c r="K209" t="str">
        <f t="shared" ca="1" si="1"/>
        <v/>
      </c>
      <c r="L209" t="str">
        <f ca="1">IFERROR(__xludf.DUMMYFUNCTION("IF(AND(NOT(K209 = """"), G209 &gt;= 15),K209/FILTER('Base Stats'!$C$2:$C1000, LOWER('Base Stats'!$B$2:$B1000) = LOWER($A209)), """")"),"0.04483430799")</f>
        <v>0.04483430799</v>
      </c>
      <c r="M209" t="str">
        <f ca="1">IFERROR(__xludf.DUMMYFUNCTION("1.15 + 0.02 * FILTER('Base Stats'!$C$2:$C1000, LOWER('Base Stats'!$B$2:$B1000) = LOWER($A209))"),"2.77")</f>
        <v>2.77</v>
      </c>
      <c r="N209">
        <v>1.3110393309999999</v>
      </c>
    </row>
    <row r="210" spans="1:14" ht="12.75" x14ac:dyDescent="0.2">
      <c r="A210" s="1" t="s">
        <v>606</v>
      </c>
      <c r="B210" s="1">
        <v>420</v>
      </c>
      <c r="C210" s="1">
        <v>71</v>
      </c>
      <c r="D210" s="1">
        <v>7.59</v>
      </c>
      <c r="E210" s="1">
        <v>0.6</v>
      </c>
      <c r="F210" s="1">
        <v>1600</v>
      </c>
      <c r="G210" t="str">
        <f ca="1">IFERROR(__xludf.DUMMYFUNCTION("ROUND(B210/ FILTER('Pokemon CP/HP'!$M$2:$M1000, LOWER('Pokemon CP/HP'!$B$2:$B1000)=LOWER(A210)))"),"26")</f>
        <v>26</v>
      </c>
      <c r="H210" t="str">
        <f ca="1">IFERROR(__xludf.DUMMYFUNCTION("FILTER('Leveling Info'!$B$2:$B1000, 'Leveling Info'!$A$2:$A1000 =G210)"),"1600")</f>
        <v>1600</v>
      </c>
      <c r="I210" s="29">
        <f t="shared" ca="1" si="0"/>
        <v>5.0990195135927845</v>
      </c>
      <c r="J210" s="29" t="str">
        <f ca="1">IFERROR(__xludf.DUMMYFUNCTION("IF(F210 = H210,C210/FILTER('Base Stats'!$C$2:$C1000, LOWER('Base Stats'!$B$2:$B1000) = LOWER($A210)), """")"),"1.014285714")</f>
        <v>1.014285714</v>
      </c>
      <c r="K210" t="str">
        <f t="shared" ca="1" si="1"/>
        <v/>
      </c>
      <c r="L210" t="str">
        <f ca="1">IFERROR(__xludf.DUMMYFUNCTION("IF(AND(NOT(K210 = """"), G210 &gt;= 15),K210/FILTER('Base Stats'!$C$2:$C1000, LOWER('Base Stats'!$B$2:$B1000) = LOWER($A210)), """")"),"0.03901098901")</f>
        <v>0.03901098901</v>
      </c>
      <c r="M210" t="str">
        <f ca="1">IFERROR(__xludf.DUMMYFUNCTION("1.15 + 0.02 * FILTER('Base Stats'!$C$2:$C1000, LOWER('Base Stats'!$B$2:$B1000) = LOWER($A210))"),"2.55")</f>
        <v>2.55</v>
      </c>
      <c r="N210">
        <v>1.070889894</v>
      </c>
    </row>
    <row r="211" spans="1:14" ht="12.75" x14ac:dyDescent="0.2">
      <c r="A211" s="1" t="s">
        <v>606</v>
      </c>
      <c r="B211" s="1">
        <v>404</v>
      </c>
      <c r="C211" s="1">
        <v>71</v>
      </c>
      <c r="D211" s="1">
        <v>6.52</v>
      </c>
      <c r="E211" s="1">
        <v>0.61</v>
      </c>
      <c r="F211" s="1">
        <v>1300</v>
      </c>
      <c r="G211" t="str">
        <f ca="1">IFERROR(__xludf.DUMMYFUNCTION("ROUND(B211/ FILTER('Pokemon CP/HP'!$M$2:$M1000, LOWER('Pokemon CP/HP'!$B$2:$B1000)=LOWER(A211)))"),"25")</f>
        <v>25</v>
      </c>
      <c r="H211" t="str">
        <f ca="1">IFERROR(__xludf.DUMMYFUNCTION("FILTER('Leveling Info'!$B$2:$B1000, 'Leveling Info'!$A$2:$A1000 =G211)"),"1600")</f>
        <v>1600</v>
      </c>
      <c r="I211" s="29">
        <f t="shared" ca="1" si="0"/>
        <v>5</v>
      </c>
      <c r="J211" s="29" t="str">
        <f ca="1">IFERROR(__xludf.DUMMYFUNCTION("IF(F211 = H211,C211/FILTER('Base Stats'!$C$2:$C1000, LOWER('Base Stats'!$B$2:$B1000) = LOWER($A211)), """")"),"")</f>
        <v/>
      </c>
      <c r="K211" t="str">
        <f t="shared" ca="1" si="1"/>
        <v/>
      </c>
      <c r="L211" t="str">
        <f ca="1">IFERROR(__xludf.DUMMYFUNCTION("IF(AND(NOT(K211 = """"), G211 &gt;= 15),K211/FILTER('Base Stats'!$C$2:$C1000, LOWER('Base Stats'!$B$2:$B1000) = LOWER($A211)), """")"),"")</f>
        <v/>
      </c>
      <c r="M211" t="str">
        <f ca="1">IFERROR(__xludf.DUMMYFUNCTION("1.15 + 0.02 * FILTER('Base Stats'!$C$2:$C1000, LOWER('Base Stats'!$B$2:$B1000) = LOWER($A211))"),"2.55")</f>
        <v>2.55</v>
      </c>
      <c r="N211" t="s">
        <v>527</v>
      </c>
    </row>
    <row r="212" spans="1:14" ht="12.75" x14ac:dyDescent="0.2">
      <c r="A212" s="1" t="s">
        <v>606</v>
      </c>
      <c r="B212" s="1">
        <v>388</v>
      </c>
      <c r="C212" s="1">
        <v>68</v>
      </c>
      <c r="D212" s="1">
        <v>9.91</v>
      </c>
      <c r="E212" s="1">
        <v>0.66</v>
      </c>
      <c r="F212" s="1">
        <v>1600</v>
      </c>
      <c r="G212" t="str">
        <f ca="1">IFERROR(__xludf.DUMMYFUNCTION("ROUND(B212/ FILTER('Pokemon CP/HP'!$M$2:$M1000, LOWER('Pokemon CP/HP'!$B$2:$B1000)=LOWER(A212)))"),"24")</f>
        <v>24</v>
      </c>
      <c r="H212" t="str">
        <f ca="1">IFERROR(__xludf.DUMMYFUNCTION("FILTER('Leveling Info'!$B$2:$B1000, 'Leveling Info'!$A$2:$A1000 =G212)"),"1300")</f>
        <v>1300</v>
      </c>
      <c r="I212" s="29">
        <f t="shared" ca="1" si="0"/>
        <v>4.8989794855663558</v>
      </c>
      <c r="J212" s="29" t="str">
        <f ca="1">IFERROR(__xludf.DUMMYFUNCTION("IF(F212 = H212,C212/FILTER('Base Stats'!$C$2:$C1000, LOWER('Base Stats'!$B$2:$B1000) = LOWER($A212)), """")"),"")</f>
        <v/>
      </c>
      <c r="K212" t="str">
        <f t="shared" ca="1" si="1"/>
        <v/>
      </c>
      <c r="L212" t="str">
        <f ca="1">IFERROR(__xludf.DUMMYFUNCTION("IF(AND(NOT(K212 = """"), G212 &gt;= 15),K212/FILTER('Base Stats'!$C$2:$C1000, LOWER('Base Stats'!$B$2:$B1000) = LOWER($A212)), """")"),"")</f>
        <v/>
      </c>
      <c r="M212" t="str">
        <f ca="1">IFERROR(__xludf.DUMMYFUNCTION("1.15 + 0.02 * FILTER('Base Stats'!$C$2:$C1000, LOWER('Base Stats'!$B$2:$B1000) = LOWER($A212))"),"2.55")</f>
        <v>2.55</v>
      </c>
      <c r="N212" t="s">
        <v>527</v>
      </c>
    </row>
    <row r="213" spans="1:14" ht="12.75" x14ac:dyDescent="0.2">
      <c r="A213" s="1" t="s">
        <v>606</v>
      </c>
      <c r="B213" s="1">
        <v>387</v>
      </c>
      <c r="C213" s="1">
        <v>69</v>
      </c>
      <c r="D213" s="1">
        <v>9.17</v>
      </c>
      <c r="E213" s="1">
        <v>0.6</v>
      </c>
      <c r="F213" s="1">
        <v>1600</v>
      </c>
      <c r="G213" t="str">
        <f ca="1">IFERROR(__xludf.DUMMYFUNCTION("ROUND(B213/ FILTER('Pokemon CP/HP'!$M$2:$M1000, LOWER('Pokemon CP/HP'!$B$2:$B1000)=LOWER(A213)))"),"24")</f>
        <v>24</v>
      </c>
      <c r="H213" t="str">
        <f ca="1">IFERROR(__xludf.DUMMYFUNCTION("FILTER('Leveling Info'!$B$2:$B1000, 'Leveling Info'!$A$2:$A1000 =G213)"),"1300")</f>
        <v>1300</v>
      </c>
      <c r="I213" s="29">
        <f t="shared" ca="1" si="0"/>
        <v>4.8989794855663558</v>
      </c>
      <c r="J213" s="29" t="str">
        <f ca="1">IFERROR(__xludf.DUMMYFUNCTION("IF(F213 = H213,C213/FILTER('Base Stats'!$C$2:$C1000, LOWER('Base Stats'!$B$2:$B1000) = LOWER($A213)), """")"),"")</f>
        <v/>
      </c>
      <c r="K213" t="str">
        <f t="shared" ca="1" si="1"/>
        <v/>
      </c>
      <c r="L213" t="str">
        <f ca="1">IFERROR(__xludf.DUMMYFUNCTION("IF(AND(NOT(K213 = """"), G213 &gt;= 15),K213/FILTER('Base Stats'!$C$2:$C1000, LOWER('Base Stats'!$B$2:$B1000) = LOWER($A213)), """")"),"")</f>
        <v/>
      </c>
      <c r="M213" t="str">
        <f ca="1">IFERROR(__xludf.DUMMYFUNCTION("1.15 + 0.02 * FILTER('Base Stats'!$C$2:$C1000, LOWER('Base Stats'!$B$2:$B1000) = LOWER($A213))"),"2.55")</f>
        <v>2.55</v>
      </c>
      <c r="N213" t="s">
        <v>527</v>
      </c>
    </row>
    <row r="214" spans="1:14" ht="12.75" x14ac:dyDescent="0.2">
      <c r="A214" s="1" t="s">
        <v>606</v>
      </c>
      <c r="B214" s="1">
        <v>353</v>
      </c>
      <c r="C214" s="1">
        <v>66</v>
      </c>
      <c r="D214" s="1">
        <v>6.07</v>
      </c>
      <c r="E214" s="1">
        <v>0.55000000000000004</v>
      </c>
      <c r="F214" s="1">
        <v>1300</v>
      </c>
      <c r="G214" t="str">
        <f ca="1">IFERROR(__xludf.DUMMYFUNCTION("ROUND(B214/ FILTER('Pokemon CP/HP'!$M$2:$M1000, LOWER('Pokemon CP/HP'!$B$2:$B1000)=LOWER(A214)))"),"22")</f>
        <v>22</v>
      </c>
      <c r="H214" t="str">
        <f ca="1">IFERROR(__xludf.DUMMYFUNCTION("FILTER('Leveling Info'!$B$2:$B1000, 'Leveling Info'!$A$2:$A1000 =G214)"),"1300")</f>
        <v>1300</v>
      </c>
      <c r="I214" s="29">
        <f t="shared" ca="1" si="0"/>
        <v>4.6904157598234297</v>
      </c>
      <c r="J214" s="29" t="str">
        <f ca="1">IFERROR(__xludf.DUMMYFUNCTION("IF(F214 = H214,C214/FILTER('Base Stats'!$C$2:$C1000, LOWER('Base Stats'!$B$2:$B1000) = LOWER($A214)), """")"),"0.9428571429")</f>
        <v>0.9428571429</v>
      </c>
      <c r="K214" t="str">
        <f t="shared" ca="1" si="1"/>
        <v/>
      </c>
      <c r="L214" t="str">
        <f ca="1">IFERROR(__xludf.DUMMYFUNCTION("IF(AND(NOT(K214 = """"), G214 &gt;= 15),K214/FILTER('Base Stats'!$C$2:$C1000, LOWER('Base Stats'!$B$2:$B1000) = LOWER($A214)), """")"),"0.04285714286")</f>
        <v>0.04285714286</v>
      </c>
      <c r="M214" t="str">
        <f ca="1">IFERROR(__xludf.DUMMYFUNCTION("1.15 + 0.02 * FILTER('Base Stats'!$C$2:$C1000, LOWER('Base Stats'!$B$2:$B1000) = LOWER($A214))"),"2.55")</f>
        <v>2.55</v>
      </c>
      <c r="N214">
        <v>1.1764705879999999</v>
      </c>
    </row>
    <row r="215" spans="1:14" ht="12.75" x14ac:dyDescent="0.2">
      <c r="A215" s="1" t="s">
        <v>606</v>
      </c>
      <c r="B215" s="1">
        <v>335</v>
      </c>
      <c r="C215" s="1">
        <v>65</v>
      </c>
      <c r="D215" s="1">
        <v>7.09</v>
      </c>
      <c r="E215" s="1">
        <v>0.57999999999999996</v>
      </c>
      <c r="F215" s="1">
        <v>1300</v>
      </c>
      <c r="G215" t="str">
        <f ca="1">IFERROR(__xludf.DUMMYFUNCTION("ROUND(B215/ FILTER('Pokemon CP/HP'!$M$2:$M1000, LOWER('Pokemon CP/HP'!$B$2:$B1000)=LOWER(A215)))"),"21")</f>
        <v>21</v>
      </c>
      <c r="H215" t="str">
        <f ca="1">IFERROR(__xludf.DUMMYFUNCTION("FILTER('Leveling Info'!$B$2:$B1000, 'Leveling Info'!$A$2:$A1000 =G215)"),"1300")</f>
        <v>1300</v>
      </c>
      <c r="I215" s="29">
        <f t="shared" ca="1" si="0"/>
        <v>4.5825756949558398</v>
      </c>
      <c r="J215" s="29" t="str">
        <f ca="1">IFERROR(__xludf.DUMMYFUNCTION("IF(F215 = H215,C215/FILTER('Base Stats'!$C$2:$C1000, LOWER('Base Stats'!$B$2:$B1000) = LOWER($A215)), """")"),"0.9285714286")</f>
        <v>0.9285714286</v>
      </c>
      <c r="K215" t="str">
        <f t="shared" ca="1" si="1"/>
        <v/>
      </c>
      <c r="L215" t="str">
        <f ca="1">IFERROR(__xludf.DUMMYFUNCTION("IF(AND(NOT(K215 = """"), G215 &gt;= 15),K215/FILTER('Base Stats'!$C$2:$C1000, LOWER('Base Stats'!$B$2:$B1000) = LOWER($A215)), """")"),"0.04421768707")</f>
        <v>0.04421768707</v>
      </c>
      <c r="M215" t="str">
        <f ca="1">IFERROR(__xludf.DUMMYFUNCTION("1.15 + 0.02 * FILTER('Base Stats'!$C$2:$C1000, LOWER('Base Stats'!$B$2:$B1000) = LOWER($A215))"),"2.55")</f>
        <v>2.55</v>
      </c>
      <c r="N215">
        <v>1.213818861</v>
      </c>
    </row>
    <row r="216" spans="1:14" ht="12.75" x14ac:dyDescent="0.2">
      <c r="A216" s="1" t="s">
        <v>606</v>
      </c>
      <c r="B216" s="1">
        <v>306</v>
      </c>
      <c r="C216" s="1">
        <v>61</v>
      </c>
      <c r="D216" s="1">
        <v>5.85</v>
      </c>
      <c r="E216" s="1">
        <v>0.52</v>
      </c>
      <c r="F216" s="1">
        <v>1000</v>
      </c>
      <c r="G216" t="str">
        <f ca="1">IFERROR(__xludf.DUMMYFUNCTION("ROUND(B216/ FILTER('Pokemon CP/HP'!$M$2:$M1000, LOWER('Pokemon CP/HP'!$B$2:$B1000)=LOWER(A216)))"),"19")</f>
        <v>19</v>
      </c>
      <c r="H216" t="str">
        <f ca="1">IFERROR(__xludf.DUMMYFUNCTION("FILTER('Leveling Info'!$B$2:$B1000, 'Leveling Info'!$A$2:$A1000 =G216)"),"1000")</f>
        <v>1000</v>
      </c>
      <c r="I216" s="29">
        <f t="shared" ca="1" si="0"/>
        <v>4.358898943540674</v>
      </c>
      <c r="J216" s="29" t="str">
        <f ca="1">IFERROR(__xludf.DUMMYFUNCTION("IF(F216 = H216,C216/FILTER('Base Stats'!$C$2:$C1000, LOWER('Base Stats'!$B$2:$B1000) = LOWER($A216)), """")"),"0.8714285714")</f>
        <v>0.8714285714</v>
      </c>
      <c r="K216" t="str">
        <f t="shared" ca="1" si="1"/>
        <v/>
      </c>
      <c r="L216" t="str">
        <f ca="1">IFERROR(__xludf.DUMMYFUNCTION("IF(AND(NOT(K216 = """"), G216 &gt;= 15),K216/FILTER('Base Stats'!$C$2:$C1000, LOWER('Base Stats'!$B$2:$B1000) = LOWER($A216)), """")"),"0.04586466165")</f>
        <v>0.04586466165</v>
      </c>
      <c r="M216" t="str">
        <f ca="1">IFERROR(__xludf.DUMMYFUNCTION("1.15 + 0.02 * FILTER('Base Stats'!$C$2:$C1000, LOWER('Base Stats'!$B$2:$B1000) = LOWER($A216))"),"2.55")</f>
        <v>2.55</v>
      </c>
      <c r="N216">
        <v>1.2590299279999999</v>
      </c>
    </row>
    <row r="217" spans="1:14" ht="12.75" x14ac:dyDescent="0.2">
      <c r="A217" s="1" t="s">
        <v>606</v>
      </c>
      <c r="B217" s="1">
        <v>107</v>
      </c>
      <c r="C217" s="1">
        <v>35</v>
      </c>
      <c r="D217" s="1">
        <v>6.46</v>
      </c>
      <c r="E217" s="1">
        <v>0.56999999999999995</v>
      </c>
      <c r="F217" s="1">
        <v>400</v>
      </c>
      <c r="G217" t="str">
        <f ca="1">IFERROR(__xludf.DUMMYFUNCTION("ROUND(B217/ FILTER('Pokemon CP/HP'!$M$2:$M1000, LOWER('Pokemon CP/HP'!$B$2:$B1000)=LOWER(A217)))"),"7")</f>
        <v>7</v>
      </c>
      <c r="H217" t="str">
        <f ca="1">IFERROR(__xludf.DUMMYFUNCTION("FILTER('Leveling Info'!$B$2:$B1000, 'Leveling Info'!$A$2:$A1000 =G217)"),"400")</f>
        <v>400</v>
      </c>
      <c r="I217" s="29">
        <f t="shared" ca="1" si="0"/>
        <v>2.6457513110645907</v>
      </c>
      <c r="J217" s="29" t="str">
        <f ca="1">IFERROR(__xludf.DUMMYFUNCTION("IF(F217 = H217,C217/FILTER('Base Stats'!$C$2:$C1000, LOWER('Base Stats'!$B$2:$B1000) = LOWER($A217)), """")"),"0.5")</f>
        <v>0.5</v>
      </c>
      <c r="K217" t="str">
        <f t="shared" ca="1" si="1"/>
        <v/>
      </c>
      <c r="L217" t="str">
        <f ca="1">IFERROR(__xludf.DUMMYFUNCTION("IF(AND(NOT(K217 = """"), G217 &gt;= 15),K217/FILTER('Base Stats'!$C$2:$C1000, LOWER('Base Stats'!$B$2:$B1000) = LOWER($A217)), """")"),"")</f>
        <v/>
      </c>
      <c r="M217" t="str">
        <f ca="1">IFERROR(__xludf.DUMMYFUNCTION("1.15 + 0.02 * FILTER('Base Stats'!$C$2:$C1000, LOWER('Base Stats'!$B$2:$B1000) = LOWER($A217))"),"2.55")</f>
        <v>2.55</v>
      </c>
      <c r="N217" t="s">
        <v>527</v>
      </c>
    </row>
    <row r="218" spans="1:14" ht="12.75" x14ac:dyDescent="0.2">
      <c r="A218" s="1" t="s">
        <v>607</v>
      </c>
      <c r="B218" s="1">
        <v>984</v>
      </c>
      <c r="C218" s="1">
        <v>103</v>
      </c>
      <c r="D218" s="1">
        <v>38.22</v>
      </c>
      <c r="E218" s="1">
        <v>1.1499999999999999</v>
      </c>
      <c r="F218" s="1">
        <v>1900</v>
      </c>
      <c r="G218" t="str">
        <f ca="1">IFERROR(__xludf.DUMMYFUNCTION("ROUND(B218/ FILTER('Pokemon CP/HP'!$M$2:$M1000, LOWER('Pokemon CP/HP'!$B$2:$B1000)=LOWER(A218)))"),"31")</f>
        <v>31</v>
      </c>
      <c r="H218" t="str">
        <f ca="1">IFERROR(__xludf.DUMMYFUNCTION("FILTER('Leveling Info'!$B$2:$B1000, 'Leveling Info'!$A$2:$A1000 =G218)"),"1900")</f>
        <v>1900</v>
      </c>
      <c r="I218" s="29">
        <f t="shared" ca="1" si="0"/>
        <v>5.5677643628300215</v>
      </c>
      <c r="J218" s="29" t="str">
        <f ca="1">IFERROR(__xludf.DUMMYFUNCTION("IF(F218 = H218,C218/FILTER('Base Stats'!$C$2:$C1000, LOWER('Base Stats'!$B$2:$B1000) = LOWER($A218)), """")"),"1.084210526")</f>
        <v>1.084210526</v>
      </c>
      <c r="K218" t="str">
        <f t="shared" ca="1" si="1"/>
        <v/>
      </c>
      <c r="L218" t="str">
        <f ca="1">IFERROR(__xludf.DUMMYFUNCTION("IF(AND(NOT(K218 = """"), G218 &gt;= 15),K218/FILTER('Base Stats'!$C$2:$C1000, LOWER('Base Stats'!$B$2:$B1000) = LOWER($A218)), """")"),"0.03497453311")</f>
        <v>0.03497453311</v>
      </c>
      <c r="M218" t="str">
        <f ca="1">IFERROR(__xludf.DUMMYFUNCTION("1.15 + 0.02 * FILTER('Base Stats'!$C$2:$C1000, LOWER('Base Stats'!$B$2:$B1000) = LOWER($A218))"),"3.05")</f>
        <v>3.05</v>
      </c>
      <c r="N218">
        <v>1.0893707029999999</v>
      </c>
    </row>
    <row r="219" spans="1:14" ht="12.75" x14ac:dyDescent="0.2">
      <c r="A219" s="1" t="s">
        <v>608</v>
      </c>
      <c r="B219" s="1">
        <v>279</v>
      </c>
      <c r="C219" s="1">
        <v>39</v>
      </c>
      <c r="D219" s="1">
        <v>6.89</v>
      </c>
      <c r="E219" s="1">
        <v>0.56000000000000005</v>
      </c>
      <c r="F219" s="1">
        <v>1600</v>
      </c>
      <c r="G219" t="str">
        <f ca="1">IFERROR(__xludf.DUMMYFUNCTION("ROUND(B219/ FILTER('Pokemon CP/HP'!$M$2:$M1000, LOWER('Pokemon CP/HP'!$B$2:$B1000)=LOWER(A219)))"),"23")</f>
        <v>23</v>
      </c>
      <c r="H219" t="str">
        <f ca="1">IFERROR(__xludf.DUMMYFUNCTION("FILTER('Leveling Info'!$B$2:$B1000, 'Leveling Info'!$A$2:$A1000 =G219)"),"1300")</f>
        <v>1300</v>
      </c>
      <c r="I219" s="29">
        <f t="shared" ca="1" si="0"/>
        <v>4.7958315233127191</v>
      </c>
      <c r="J219" s="29" t="str">
        <f ca="1">IFERROR(__xludf.DUMMYFUNCTION("IF(F219 = H219,C219/FILTER('Base Stats'!$C$2:$C1000, LOWER('Base Stats'!$B$2:$B1000) = LOWER($A219)), """")"),"")</f>
        <v/>
      </c>
      <c r="K219" t="str">
        <f t="shared" ca="1" si="1"/>
        <v/>
      </c>
      <c r="L219" t="str">
        <f ca="1">IFERROR(__xludf.DUMMYFUNCTION("IF(AND(NOT(K219 = """"), G219 &gt;= 15),K219/FILTER('Base Stats'!$C$2:$C1000, LOWER('Base Stats'!$B$2:$B1000) = LOWER($A219)), """")"),"")</f>
        <v/>
      </c>
      <c r="M219" t="str">
        <f ca="1">IFERROR(__xludf.DUMMYFUNCTION("1.15 + 0.02 * FILTER('Base Stats'!$C$2:$C1000, LOWER('Base Stats'!$B$2:$B1000) = LOWER($A219))"),"1.91")</f>
        <v>1.91</v>
      </c>
      <c r="N219" t="s">
        <v>527</v>
      </c>
    </row>
    <row r="220" spans="1:14" ht="12.75" x14ac:dyDescent="0.2">
      <c r="A220" s="1" t="s">
        <v>608</v>
      </c>
      <c r="B220" s="1">
        <v>56</v>
      </c>
      <c r="C220" s="1">
        <v>18</v>
      </c>
      <c r="D220" s="1">
        <v>8.59</v>
      </c>
      <c r="E220" s="1">
        <v>0.55000000000000004</v>
      </c>
      <c r="F220" s="1">
        <v>400</v>
      </c>
      <c r="G220" t="str">
        <f ca="1">IFERROR(__xludf.DUMMYFUNCTION("ROUND(B220/ FILTER('Pokemon CP/HP'!$M$2:$M1000, LOWER('Pokemon CP/HP'!$B$2:$B1000)=LOWER(A220)))"),"5")</f>
        <v>5</v>
      </c>
      <c r="H220" t="str">
        <f ca="1">IFERROR(__xludf.DUMMYFUNCTION("FILTER('Leveling Info'!$B$2:$B1000, 'Leveling Info'!$A$2:$A1000 =G220)"),"400")</f>
        <v>400</v>
      </c>
      <c r="I220" s="29">
        <f t="shared" ca="1" si="0"/>
        <v>2.2360679774997898</v>
      </c>
      <c r="J220" s="29" t="str">
        <f ca="1">IFERROR(__xludf.DUMMYFUNCTION("IF(F220 = H220,C220/FILTER('Base Stats'!$C$2:$C1000, LOWER('Base Stats'!$B$2:$B1000) = LOWER($A220)), """")"),"0.4736842105")</f>
        <v>0.4736842105</v>
      </c>
      <c r="K220" t="str">
        <f t="shared" ca="1" si="1"/>
        <v/>
      </c>
      <c r="L220" t="str">
        <f ca="1">IFERROR(__xludf.DUMMYFUNCTION("IF(AND(NOT(K220 = """"), G220 &gt;= 15),K220/FILTER('Base Stats'!$C$2:$C1000, LOWER('Base Stats'!$B$2:$B1000) = LOWER($A220)), """")"),"")</f>
        <v/>
      </c>
      <c r="M220" t="str">
        <f ca="1">IFERROR(__xludf.DUMMYFUNCTION("1.15 + 0.02 * FILTER('Base Stats'!$C$2:$C1000, LOWER('Base Stats'!$B$2:$B1000) = LOWER($A220))"),"1.91")</f>
        <v>1.91</v>
      </c>
      <c r="N220" t="s">
        <v>527</v>
      </c>
    </row>
    <row r="221" spans="1:14" ht="12.75" x14ac:dyDescent="0.2">
      <c r="A221" s="1" t="s">
        <v>609</v>
      </c>
      <c r="B221" s="1">
        <v>288</v>
      </c>
      <c r="C221" s="1">
        <v>113</v>
      </c>
      <c r="D221" s="1">
        <v>2.75</v>
      </c>
      <c r="E221" s="1">
        <v>0.31</v>
      </c>
      <c r="F221" s="1">
        <v>1300</v>
      </c>
      <c r="G221" t="str">
        <f ca="1">IFERROR(__xludf.DUMMYFUNCTION("ROUND(B221/ FILTER('Pokemon CP/HP'!$M$2:$M1000, LOWER('Pokemon CP/HP'!$B$2:$B1000)=LOWER(A221)))"),"26")</f>
        <v>26</v>
      </c>
      <c r="H221" t="str">
        <f ca="1">IFERROR(__xludf.DUMMYFUNCTION("FILTER('Leveling Info'!$B$2:$B1000, 'Leveling Info'!$A$2:$A1000 =G221)"),"1600")</f>
        <v>1600</v>
      </c>
      <c r="I221" s="29">
        <f t="shared" ca="1" si="0"/>
        <v>5.0990195135927845</v>
      </c>
      <c r="J221" s="29" t="str">
        <f ca="1">IFERROR(__xludf.DUMMYFUNCTION("IF(F221 = H221,C221/FILTER('Base Stats'!$C$2:$C1000, LOWER('Base Stats'!$B$2:$B1000) = LOWER($A221)), """")"),"")</f>
        <v/>
      </c>
      <c r="K221" t="str">
        <f t="shared" ca="1" si="1"/>
        <v/>
      </c>
      <c r="L221" t="str">
        <f ca="1">IFERROR(__xludf.DUMMYFUNCTION("IF(AND(NOT(K221 = """"), G221 &gt;= 15),K221/FILTER('Base Stats'!$C$2:$C1000, LOWER('Base Stats'!$B$2:$B1000) = LOWER($A221)), """")"),"")</f>
        <v/>
      </c>
      <c r="M221" t="str">
        <f ca="1">IFERROR(__xludf.DUMMYFUNCTION("1.15 + 0.02 * FILTER('Base Stats'!$C$2:$C1000, LOWER('Base Stats'!$B$2:$B1000) = LOWER($A221))"),"3.45")</f>
        <v>3.45</v>
      </c>
      <c r="N221" t="s">
        <v>527</v>
      </c>
    </row>
    <row r="222" spans="1:14" ht="12.75" x14ac:dyDescent="0.2">
      <c r="A222" s="1" t="s">
        <v>609</v>
      </c>
      <c r="B222" s="1">
        <v>195</v>
      </c>
      <c r="C222" s="1">
        <v>95</v>
      </c>
      <c r="D222" s="1">
        <v>5.95</v>
      </c>
      <c r="E222" s="1">
        <v>0.49</v>
      </c>
      <c r="F222" s="1">
        <v>1000</v>
      </c>
      <c r="G222" t="str">
        <f ca="1">IFERROR(__xludf.DUMMYFUNCTION("ROUND(B222/ FILTER('Pokemon CP/HP'!$M$2:$M1000, LOWER('Pokemon CP/HP'!$B$2:$B1000)=LOWER(A222)))"),"18")</f>
        <v>18</v>
      </c>
      <c r="H222" t="str">
        <f ca="1">IFERROR(__xludf.DUMMYFUNCTION("FILTER('Leveling Info'!$B$2:$B1000, 'Leveling Info'!$A$2:$A1000 =G222)"),"1000")</f>
        <v>1000</v>
      </c>
      <c r="I222" s="29">
        <f t="shared" ca="1" si="0"/>
        <v>4.2426406871192848</v>
      </c>
      <c r="J222" s="29" t="str">
        <f ca="1">IFERROR(__xludf.DUMMYFUNCTION("IF(F222 = H222,C222/FILTER('Base Stats'!$C$2:$C1000, LOWER('Base Stats'!$B$2:$B1000) = LOWER($A222)), """")"),"0.8260869565")</f>
        <v>0.8260869565</v>
      </c>
      <c r="K222" t="str">
        <f t="shared" ca="1" si="1"/>
        <v/>
      </c>
      <c r="L222" t="str">
        <f ca="1">IFERROR(__xludf.DUMMYFUNCTION("IF(AND(NOT(K222 = """"), G222 &gt;= 15),K222/FILTER('Base Stats'!$C$2:$C1000, LOWER('Base Stats'!$B$2:$B1000) = LOWER($A222)), """")"),"0.04589371981")</f>
        <v>0.04589371981</v>
      </c>
      <c r="M222" t="str">
        <f ca="1">IFERROR(__xludf.DUMMYFUNCTION("1.15 + 0.02 * FILTER('Base Stats'!$C$2:$C1000, LOWER('Base Stats'!$B$2:$B1000) = LOWER($A222))"),"3.45")</f>
        <v>3.45</v>
      </c>
      <c r="N222">
        <v>1.52979066</v>
      </c>
    </row>
    <row r="223" spans="1:14" ht="12.75" x14ac:dyDescent="0.2">
      <c r="A223" s="1" t="s">
        <v>609</v>
      </c>
      <c r="B223" s="1">
        <v>147</v>
      </c>
      <c r="C223" s="1">
        <v>83</v>
      </c>
      <c r="D223" s="1">
        <v>6.72</v>
      </c>
      <c r="E223" s="1">
        <v>0.56000000000000005</v>
      </c>
      <c r="F223" s="1">
        <v>800</v>
      </c>
      <c r="G223" t="str">
        <f ca="1">IFERROR(__xludf.DUMMYFUNCTION("ROUND(B223/ FILTER('Pokemon CP/HP'!$M$2:$M1000, LOWER('Pokemon CP/HP'!$B$2:$B1000)=LOWER(A223)))"),"13")</f>
        <v>13</v>
      </c>
      <c r="H223" t="str">
        <f ca="1">IFERROR(__xludf.DUMMYFUNCTION("FILTER('Leveling Info'!$B$2:$B1000, 'Leveling Info'!$A$2:$A1000 =G223)"),"800")</f>
        <v>800</v>
      </c>
      <c r="I223" s="29">
        <f t="shared" ca="1" si="0"/>
        <v>3.6055512754639891</v>
      </c>
      <c r="J223" s="29" t="str">
        <f ca="1">IFERROR(__xludf.DUMMYFUNCTION("IF(F223 = H223,C223/FILTER('Base Stats'!$C$2:$C1000, LOWER('Base Stats'!$B$2:$B1000) = LOWER($A223)), """")"),"0.7217391304")</f>
        <v>0.7217391304</v>
      </c>
      <c r="K223" t="str">
        <f t="shared" ca="1" si="1"/>
        <v/>
      </c>
      <c r="L223" t="str">
        <f ca="1">IFERROR(__xludf.DUMMYFUNCTION("IF(AND(NOT(K223 = """"), G223 &gt;= 15),K223/FILTER('Base Stats'!$C$2:$C1000, LOWER('Base Stats'!$B$2:$B1000) = LOWER($A223)), """")"),"")</f>
        <v/>
      </c>
      <c r="M223" t="str">
        <f ca="1">IFERROR(__xludf.DUMMYFUNCTION("1.15 + 0.02 * FILTER('Base Stats'!$C$2:$C1000, LOWER('Base Stats'!$B$2:$B1000) = LOWER($A223))"),"3.45")</f>
        <v>3.45</v>
      </c>
      <c r="N223" t="s">
        <v>527</v>
      </c>
    </row>
    <row r="224" spans="1:14" ht="12.75" x14ac:dyDescent="0.2">
      <c r="A224" s="1" t="s">
        <v>609</v>
      </c>
      <c r="B224" s="1">
        <v>103</v>
      </c>
      <c r="C224" s="1">
        <v>69</v>
      </c>
      <c r="D224" s="1">
        <v>3.36</v>
      </c>
      <c r="E224" s="1">
        <v>0.41</v>
      </c>
      <c r="F224" s="1">
        <v>600</v>
      </c>
      <c r="G224" t="str">
        <f ca="1">IFERROR(__xludf.DUMMYFUNCTION("ROUND(B224/ FILTER('Pokemon CP/HP'!$M$2:$M1000, LOWER('Pokemon CP/HP'!$B$2:$B1000)=LOWER(A224)))"),"9")</f>
        <v>9</v>
      </c>
      <c r="H224" t="str">
        <f ca="1">IFERROR(__xludf.DUMMYFUNCTION("FILTER('Leveling Info'!$B$2:$B1000, 'Leveling Info'!$A$2:$A1000 =G224)"),"600")</f>
        <v>600</v>
      </c>
      <c r="I224" s="29">
        <f t="shared" ca="1" si="0"/>
        <v>3</v>
      </c>
      <c r="J224" s="29" t="str">
        <f ca="1">IFERROR(__xludf.DUMMYFUNCTION("IF(F224 = H224,C224/FILTER('Base Stats'!$C$2:$C1000, LOWER('Base Stats'!$B$2:$B1000) = LOWER($A224)), """")"),"0.6")</f>
        <v>0.6</v>
      </c>
      <c r="K224" t="str">
        <f t="shared" ca="1" si="1"/>
        <v/>
      </c>
      <c r="L224" t="str">
        <f ca="1">IFERROR(__xludf.DUMMYFUNCTION("IF(AND(NOT(K224 = """"), G224 &gt;= 15),K224/FILTER('Base Stats'!$C$2:$C1000, LOWER('Base Stats'!$B$2:$B1000) = LOWER($A224)), """")"),"")</f>
        <v/>
      </c>
      <c r="M224" t="str">
        <f ca="1">IFERROR(__xludf.DUMMYFUNCTION("1.15 + 0.02 * FILTER('Base Stats'!$C$2:$C1000, LOWER('Base Stats'!$B$2:$B1000) = LOWER($A224))"),"3.45")</f>
        <v>3.45</v>
      </c>
      <c r="N224" t="s">
        <v>527</v>
      </c>
    </row>
    <row r="225" spans="1:14" ht="12.75" x14ac:dyDescent="0.2">
      <c r="A225" s="1" t="s">
        <v>609</v>
      </c>
      <c r="B225" s="1">
        <v>79</v>
      </c>
      <c r="C225" s="1">
        <v>58</v>
      </c>
      <c r="D225" s="1">
        <v>6.83</v>
      </c>
      <c r="E225" s="1">
        <v>0.55000000000000004</v>
      </c>
      <c r="F225" s="1">
        <v>400</v>
      </c>
      <c r="G225" t="str">
        <f ca="1">IFERROR(__xludf.DUMMYFUNCTION("ROUND(B225/ FILTER('Pokemon CP/HP'!$M$2:$M1000, LOWER('Pokemon CP/HP'!$B$2:$B1000)=LOWER(A225)))"),"7")</f>
        <v>7</v>
      </c>
      <c r="H225" t="str">
        <f ca="1">IFERROR(__xludf.DUMMYFUNCTION("FILTER('Leveling Info'!$B$2:$B1000, 'Leveling Info'!$A$2:$A1000 =G225)"),"400")</f>
        <v>400</v>
      </c>
      <c r="I225" s="29">
        <f t="shared" ca="1" si="0"/>
        <v>2.6457513110645907</v>
      </c>
      <c r="J225" s="29" t="str">
        <f ca="1">IFERROR(__xludf.DUMMYFUNCTION("IF(F225 = H225,C225/FILTER('Base Stats'!$C$2:$C1000, LOWER('Base Stats'!$B$2:$B1000) = LOWER($A225)), """")"),"0.5043478261")</f>
        <v>0.5043478261</v>
      </c>
      <c r="K225" t="str">
        <f t="shared" ca="1" si="1"/>
        <v/>
      </c>
      <c r="L225" t="str">
        <f ca="1">IFERROR(__xludf.DUMMYFUNCTION("IF(AND(NOT(K225 = """"), G225 &gt;= 15),K225/FILTER('Base Stats'!$C$2:$C1000, LOWER('Base Stats'!$B$2:$B1000) = LOWER($A225)), """")"),"")</f>
        <v/>
      </c>
      <c r="M225" t="str">
        <f ca="1">IFERROR(__xludf.DUMMYFUNCTION("1.15 + 0.02 * FILTER('Base Stats'!$C$2:$C1000, LOWER('Base Stats'!$B$2:$B1000) = LOWER($A225))"),"3.45")</f>
        <v>3.45</v>
      </c>
      <c r="N225" t="s">
        <v>527</v>
      </c>
    </row>
    <row r="226" spans="1:14" ht="12.75" x14ac:dyDescent="0.2">
      <c r="A226" s="1" t="s">
        <v>610</v>
      </c>
      <c r="B226" s="1">
        <v>235</v>
      </c>
      <c r="C226" s="1">
        <v>45</v>
      </c>
      <c r="D226" s="1">
        <v>5.76</v>
      </c>
      <c r="E226" s="1">
        <v>0.75</v>
      </c>
      <c r="F226" s="1">
        <v>1600</v>
      </c>
      <c r="G226" t="str">
        <f ca="1">IFERROR(__xludf.DUMMYFUNCTION("ROUND(B226/ FILTER('Pokemon CP/HP'!$M$2:$M1000, LOWER('Pokemon CP/HP'!$B$2:$B1000)=LOWER(A226)))"),"28")</f>
        <v>28</v>
      </c>
      <c r="H226" t="str">
        <f ca="1">IFERROR(__xludf.DUMMYFUNCTION("FILTER('Leveling Info'!$B$2:$B1000, 'Leveling Info'!$A$2:$A1000 =G226)"),"1600")</f>
        <v>1600</v>
      </c>
      <c r="I226" s="29">
        <f t="shared" ca="1" si="0"/>
        <v>5.2915026221291814</v>
      </c>
      <c r="J226" s="29" t="str">
        <f ca="1">IFERROR(__xludf.DUMMYFUNCTION("IF(F226 = H226,C226/FILTER('Base Stats'!$C$2:$C1000, LOWER('Base Stats'!$B$2:$B1000) = LOWER($A226)), """")"),"1.125")</f>
        <v>1.125</v>
      </c>
      <c r="K226" t="str">
        <f t="shared" ca="1" si="1"/>
        <v/>
      </c>
      <c r="L226" t="str">
        <f ca="1">IFERROR(__xludf.DUMMYFUNCTION("IF(AND(NOT(K226 = """"), G226 &gt;= 15),K226/FILTER('Base Stats'!$C$2:$C1000, LOWER('Base Stats'!$B$2:$B1000) = LOWER($A226)), """")"),"0.04017857143")</f>
        <v>0.04017857143</v>
      </c>
      <c r="M226" t="str">
        <f ca="1">IFERROR(__xludf.DUMMYFUNCTION("1.15 + 0.02 * FILTER('Base Stats'!$C$2:$C1000, LOWER('Base Stats'!$B$2:$B1000) = LOWER($A226))"),"1.95")</f>
        <v>1.95</v>
      </c>
      <c r="N226">
        <v>0.82417582420000002</v>
      </c>
    </row>
    <row r="227" spans="1:14" ht="12.75" x14ac:dyDescent="0.2">
      <c r="A227" s="1" t="s">
        <v>610</v>
      </c>
      <c r="B227" s="1">
        <v>170</v>
      </c>
      <c r="C227" s="1">
        <v>37</v>
      </c>
      <c r="D227" s="1">
        <v>7.15</v>
      </c>
      <c r="E227" s="1">
        <v>0.76</v>
      </c>
      <c r="F227" s="1">
        <v>1000</v>
      </c>
      <c r="G227" t="str">
        <f ca="1">IFERROR(__xludf.DUMMYFUNCTION("ROUND(B227/ FILTER('Pokemon CP/HP'!$M$2:$M1000, LOWER('Pokemon CP/HP'!$B$2:$B1000)=LOWER(A227)))"),"20")</f>
        <v>20</v>
      </c>
      <c r="H227" t="str">
        <f ca="1">IFERROR(__xludf.DUMMYFUNCTION("FILTER('Leveling Info'!$B$2:$B1000, 'Leveling Info'!$A$2:$A1000 =G227)"),"1000")</f>
        <v>1000</v>
      </c>
      <c r="I227" s="29">
        <f t="shared" ca="1" si="0"/>
        <v>4.4721359549995796</v>
      </c>
      <c r="J227" s="29" t="str">
        <f ca="1">IFERROR(__xludf.DUMMYFUNCTION("IF(F227 = H227,C227/FILTER('Base Stats'!$C$2:$C1000, LOWER('Base Stats'!$B$2:$B1000) = LOWER($A227)), """")"),"0.925")</f>
        <v>0.925</v>
      </c>
      <c r="K227" t="str">
        <f t="shared" ca="1" si="1"/>
        <v/>
      </c>
      <c r="L227" t="str">
        <f ca="1">IFERROR(__xludf.DUMMYFUNCTION("IF(AND(NOT(K227 = """"), G227 &gt;= 15),K227/FILTER('Base Stats'!$C$2:$C1000, LOWER('Base Stats'!$B$2:$B1000) = LOWER($A227)), """")"),"0.04625")</f>
        <v>0.04625</v>
      </c>
      <c r="M227" t="str">
        <f ca="1">IFERROR(__xludf.DUMMYFUNCTION("1.15 + 0.02 * FILTER('Base Stats'!$C$2:$C1000, LOWER('Base Stats'!$B$2:$B1000) = LOWER($A227))"),"1.95")</f>
        <v>1.95</v>
      </c>
      <c r="N227">
        <v>0.94871794870000004</v>
      </c>
    </row>
    <row r="228" spans="1:14" ht="12.75" x14ac:dyDescent="0.2">
      <c r="A228" s="1" t="s">
        <v>610</v>
      </c>
      <c r="B228" s="1">
        <v>160</v>
      </c>
      <c r="C228" s="1">
        <v>38</v>
      </c>
      <c r="D228" s="1">
        <v>7.91</v>
      </c>
      <c r="E228" s="1">
        <v>0.77</v>
      </c>
      <c r="F228" s="1">
        <v>1000</v>
      </c>
      <c r="G228" t="str">
        <f ca="1">IFERROR(__xludf.DUMMYFUNCTION("ROUND(B228/ FILTER('Pokemon CP/HP'!$M$2:$M1000, LOWER('Pokemon CP/HP'!$B$2:$B1000)=LOWER(A228)))"),"19")</f>
        <v>19</v>
      </c>
      <c r="H228" t="str">
        <f ca="1">IFERROR(__xludf.DUMMYFUNCTION("FILTER('Leveling Info'!$B$2:$B1000, 'Leveling Info'!$A$2:$A1000 =G228)"),"1000")</f>
        <v>1000</v>
      </c>
      <c r="I228" s="29">
        <f t="shared" ca="1" si="0"/>
        <v>4.358898943540674</v>
      </c>
      <c r="J228" s="29" t="str">
        <f ca="1">IFERROR(__xludf.DUMMYFUNCTION("IF(F228 = H228,C228/FILTER('Base Stats'!$C$2:$C1000, LOWER('Base Stats'!$B$2:$B1000) = LOWER($A228)), """")"),"0.95")</f>
        <v>0.95</v>
      </c>
      <c r="K228" t="str">
        <f t="shared" ca="1" si="1"/>
        <v/>
      </c>
      <c r="L228" t="str">
        <f ca="1">IFERROR(__xludf.DUMMYFUNCTION("IF(AND(NOT(K228 = """"), G228 &gt;= 15),K228/FILTER('Base Stats'!$C$2:$C1000, LOWER('Base Stats'!$B$2:$B1000) = LOWER($A228)), """")"),"0.05")</f>
        <v>0.05</v>
      </c>
      <c r="M228" t="str">
        <f ca="1">IFERROR(__xludf.DUMMYFUNCTION("1.15 + 0.02 * FILTER('Base Stats'!$C$2:$C1000, LOWER('Base Stats'!$B$2:$B1000) = LOWER($A228))"),"1.95")</f>
        <v>1.95</v>
      </c>
      <c r="N228">
        <v>1.025641026</v>
      </c>
    </row>
    <row r="229" spans="1:14" ht="12.75" x14ac:dyDescent="0.2">
      <c r="A229" s="1" t="s">
        <v>610</v>
      </c>
      <c r="B229" s="1">
        <v>158</v>
      </c>
      <c r="C229" s="1">
        <v>37</v>
      </c>
      <c r="D229" s="1">
        <v>12.67</v>
      </c>
      <c r="E229" s="1">
        <v>1.05</v>
      </c>
      <c r="F229" s="1">
        <v>1000</v>
      </c>
      <c r="G229" t="str">
        <f ca="1">IFERROR(__xludf.DUMMYFUNCTION("ROUND(B229/ FILTER('Pokemon CP/HP'!$M$2:$M1000, LOWER('Pokemon CP/HP'!$B$2:$B1000)=LOWER(A229)))"),"19")</f>
        <v>19</v>
      </c>
      <c r="H229" t="str">
        <f ca="1">IFERROR(__xludf.DUMMYFUNCTION("FILTER('Leveling Info'!$B$2:$B1000, 'Leveling Info'!$A$2:$A1000 =G229)"),"1000")</f>
        <v>1000</v>
      </c>
      <c r="I229" s="29">
        <f t="shared" ca="1" si="0"/>
        <v>4.358898943540674</v>
      </c>
      <c r="J229" s="29" t="str">
        <f ca="1">IFERROR(__xludf.DUMMYFUNCTION("IF(F229 = H229,C229/FILTER('Base Stats'!$C$2:$C1000, LOWER('Base Stats'!$B$2:$B1000) = LOWER($A229)), """")"),"0.925")</f>
        <v>0.925</v>
      </c>
      <c r="K229" t="str">
        <f t="shared" ca="1" si="1"/>
        <v/>
      </c>
      <c r="L229" t="str">
        <f ca="1">IFERROR(__xludf.DUMMYFUNCTION("IF(AND(NOT(K229 = """"), G229 &gt;= 15),K229/FILTER('Base Stats'!$C$2:$C1000, LOWER('Base Stats'!$B$2:$B1000) = LOWER($A229)), """")"),"0.04868421053")</f>
        <v>0.04868421053</v>
      </c>
      <c r="M229" t="str">
        <f ca="1">IFERROR(__xludf.DUMMYFUNCTION("1.15 + 0.02 * FILTER('Base Stats'!$C$2:$C1000, LOWER('Base Stats'!$B$2:$B1000) = LOWER($A229))"),"1.95")</f>
        <v>1.95</v>
      </c>
      <c r="N229">
        <v>0.99865047230000004</v>
      </c>
    </row>
    <row r="230" spans="1:14" ht="12.75" x14ac:dyDescent="0.2">
      <c r="A230" s="1" t="s">
        <v>610</v>
      </c>
      <c r="B230" s="1">
        <v>129</v>
      </c>
      <c r="C230" s="1">
        <v>34</v>
      </c>
      <c r="D230" s="1">
        <v>4.96</v>
      </c>
      <c r="E230" s="1">
        <v>0.63</v>
      </c>
      <c r="F230" s="1">
        <v>800</v>
      </c>
      <c r="G230" t="str">
        <f ca="1">IFERROR(__xludf.DUMMYFUNCTION("ROUND(B230/ FILTER('Pokemon CP/HP'!$M$2:$M1000, LOWER('Pokemon CP/HP'!$B$2:$B1000)=LOWER(A230)))"),"15")</f>
        <v>15</v>
      </c>
      <c r="H230" t="str">
        <f ca="1">IFERROR(__xludf.DUMMYFUNCTION("FILTER('Leveling Info'!$B$2:$B1000, 'Leveling Info'!$A$2:$A1000 =G230)"),"800")</f>
        <v>800</v>
      </c>
      <c r="I230" s="29">
        <f t="shared" ca="1" si="0"/>
        <v>3.872983346207417</v>
      </c>
      <c r="J230" s="29" t="str">
        <f ca="1">IFERROR(__xludf.DUMMYFUNCTION("IF(F230 = H230,C230/FILTER('Base Stats'!$C$2:$C1000, LOWER('Base Stats'!$B$2:$B1000) = LOWER($A230)), """")"),"0.85")</f>
        <v>0.85</v>
      </c>
      <c r="K230" t="str">
        <f t="shared" ca="1" si="1"/>
        <v/>
      </c>
      <c r="L230" t="str">
        <f ca="1">IFERROR(__xludf.DUMMYFUNCTION("IF(AND(NOT(K230 = """"), G230 &gt;= 15),K230/FILTER('Base Stats'!$C$2:$C1000, LOWER('Base Stats'!$B$2:$B1000) = LOWER($A230)), """")"),"0.05666666667")</f>
        <v>0.05666666667</v>
      </c>
      <c r="M230" t="str">
        <f ca="1">IFERROR(__xludf.DUMMYFUNCTION("1.15 + 0.02 * FILTER('Base Stats'!$C$2:$C1000, LOWER('Base Stats'!$B$2:$B1000) = LOWER($A230))"),"1.95")</f>
        <v>1.95</v>
      </c>
      <c r="N230">
        <v>1.1623931620000001</v>
      </c>
    </row>
    <row r="231" spans="1:14" ht="12.75" x14ac:dyDescent="0.2">
      <c r="A231" s="1" t="s">
        <v>610</v>
      </c>
      <c r="B231" s="1">
        <v>103</v>
      </c>
      <c r="C231" s="1">
        <v>29</v>
      </c>
      <c r="D231" s="1">
        <v>6.56</v>
      </c>
      <c r="E231" s="1">
        <v>0.69</v>
      </c>
      <c r="F231" s="1">
        <v>800</v>
      </c>
      <c r="G231" t="str">
        <f ca="1">IFERROR(__xludf.DUMMYFUNCTION("ROUND(B231/ FILTER('Pokemon CP/HP'!$M$2:$M1000, LOWER('Pokemon CP/HP'!$B$2:$B1000)=LOWER(A231)))"),"12")</f>
        <v>12</v>
      </c>
      <c r="H231" t="str">
        <f ca="1">IFERROR(__xludf.DUMMYFUNCTION("FILTER('Leveling Info'!$B$2:$B1000, 'Leveling Info'!$A$2:$A1000 =G231)"),"600")</f>
        <v>600</v>
      </c>
      <c r="I231" s="29">
        <f t="shared" ca="1" si="0"/>
        <v>3.4641016151377544</v>
      </c>
      <c r="J231" s="29" t="str">
        <f ca="1">IFERROR(__xludf.DUMMYFUNCTION("IF(F231 = H231,C231/FILTER('Base Stats'!$C$2:$C1000, LOWER('Base Stats'!$B$2:$B1000) = LOWER($A231)), """")"),"")</f>
        <v/>
      </c>
      <c r="K231" t="str">
        <f t="shared" ca="1" si="1"/>
        <v/>
      </c>
      <c r="L231" t="str">
        <f ca="1">IFERROR(__xludf.DUMMYFUNCTION("IF(AND(NOT(K231 = """"), G231 &gt;= 15),K231/FILTER('Base Stats'!$C$2:$C1000, LOWER('Base Stats'!$B$2:$B1000) = LOWER($A231)), """")"),"")</f>
        <v/>
      </c>
      <c r="M231" t="str">
        <f ca="1">IFERROR(__xludf.DUMMYFUNCTION("1.15 + 0.02 * FILTER('Base Stats'!$C$2:$C1000, LOWER('Base Stats'!$B$2:$B1000) = LOWER($A231))"),"1.95")</f>
        <v>1.95</v>
      </c>
      <c r="N231" t="s">
        <v>527</v>
      </c>
    </row>
    <row r="232" spans="1:14" ht="12.75" x14ac:dyDescent="0.2">
      <c r="A232" s="1" t="s">
        <v>610</v>
      </c>
      <c r="B232" s="1">
        <v>96</v>
      </c>
      <c r="C232" s="1">
        <v>28</v>
      </c>
      <c r="D232" s="1">
        <v>5</v>
      </c>
      <c r="E232" s="1">
        <v>0.7</v>
      </c>
      <c r="F232" s="1">
        <v>600</v>
      </c>
      <c r="G232" t="str">
        <f ca="1">IFERROR(__xludf.DUMMYFUNCTION("ROUND(B232/ FILTER('Pokemon CP/HP'!$M$2:$M1000, LOWER('Pokemon CP/HP'!$B$2:$B1000)=LOWER(A232)))"),"11")</f>
        <v>11</v>
      </c>
      <c r="H232" t="str">
        <f ca="1">IFERROR(__xludf.DUMMYFUNCTION("FILTER('Leveling Info'!$B$2:$B1000, 'Leveling Info'!$A$2:$A1000 =G232)"),"600")</f>
        <v>600</v>
      </c>
      <c r="I232" s="29">
        <f t="shared" ca="1" si="0"/>
        <v>3.3166247903553998</v>
      </c>
      <c r="J232" s="29" t="str">
        <f ca="1">IFERROR(__xludf.DUMMYFUNCTION("IF(F232 = H232,C232/FILTER('Base Stats'!$C$2:$C1000, LOWER('Base Stats'!$B$2:$B1000) = LOWER($A232)), """")"),"0.7")</f>
        <v>0.7</v>
      </c>
      <c r="K232" t="str">
        <f t="shared" ca="1" si="1"/>
        <v/>
      </c>
      <c r="L232" t="str">
        <f ca="1">IFERROR(__xludf.DUMMYFUNCTION("IF(AND(NOT(K232 = """"), G232 &gt;= 15),K232/FILTER('Base Stats'!$C$2:$C1000, LOWER('Base Stats'!$B$2:$B1000) = LOWER($A232)), """")"),"")</f>
        <v/>
      </c>
      <c r="M232" t="str">
        <f ca="1">IFERROR(__xludf.DUMMYFUNCTION("1.15 + 0.02 * FILTER('Base Stats'!$C$2:$C1000, LOWER('Base Stats'!$B$2:$B1000) = LOWER($A232))"),"1.95")</f>
        <v>1.95</v>
      </c>
      <c r="N232" t="s">
        <v>527</v>
      </c>
    </row>
    <row r="233" spans="1:14" ht="12.75" x14ac:dyDescent="0.2">
      <c r="A233" s="1" t="s">
        <v>610</v>
      </c>
      <c r="B233" s="1">
        <v>10</v>
      </c>
      <c r="C233" s="1">
        <v>10</v>
      </c>
      <c r="D233" s="1">
        <v>11.78</v>
      </c>
      <c r="E233" s="1">
        <v>0.93</v>
      </c>
      <c r="F233" s="1">
        <v>200</v>
      </c>
      <c r="G233" t="str">
        <f ca="1">IFERROR(__xludf.DUMMYFUNCTION("ROUND(B233/ FILTER('Pokemon CP/HP'!$M$2:$M1000, LOWER('Pokemon CP/HP'!$B$2:$B1000)=LOWER(A233)))"),"1")</f>
        <v>1</v>
      </c>
      <c r="H233" t="str">
        <f ca="1">IFERROR(__xludf.DUMMYFUNCTION("FILTER('Leveling Info'!$B$2:$B1000, 'Leveling Info'!$A$2:$A1000 =G233)"),"200")</f>
        <v>200</v>
      </c>
      <c r="I233" s="29">
        <f t="shared" ca="1" si="0"/>
        <v>1</v>
      </c>
      <c r="J233" s="29" t="str">
        <f ca="1">IFERROR(__xludf.DUMMYFUNCTION("IF(F233 = H233,C233/FILTER('Base Stats'!$C$2:$C1000, LOWER('Base Stats'!$B$2:$B1000) = LOWER($A233)), """")"),"0.25")</f>
        <v>0.25</v>
      </c>
      <c r="K233" t="str">
        <f t="shared" ca="1" si="1"/>
        <v/>
      </c>
      <c r="L233" t="str">
        <f ca="1">IFERROR(__xludf.DUMMYFUNCTION("IF(AND(NOT(K233 = """"), G233 &gt;= 15),K233/FILTER('Base Stats'!$C$2:$C1000, LOWER('Base Stats'!$B$2:$B1000) = LOWER($A233)), """")"),"")</f>
        <v/>
      </c>
      <c r="M233" t="str">
        <f ca="1">IFERROR(__xludf.DUMMYFUNCTION("1.15 + 0.02 * FILTER('Base Stats'!$C$2:$C1000, LOWER('Base Stats'!$B$2:$B1000) = LOWER($A233))"),"1.95")</f>
        <v>1.95</v>
      </c>
      <c r="N233" t="s">
        <v>527</v>
      </c>
    </row>
    <row r="234" spans="1:14" ht="12.75" x14ac:dyDescent="0.2">
      <c r="A234" s="1" t="s">
        <v>611</v>
      </c>
      <c r="B234" s="1">
        <v>425</v>
      </c>
      <c r="C234" s="1">
        <v>58</v>
      </c>
      <c r="D234" s="1">
        <v>13.01</v>
      </c>
      <c r="E234" s="1">
        <v>1.92</v>
      </c>
      <c r="F234" s="1">
        <v>800</v>
      </c>
      <c r="G234" t="str">
        <f ca="1">IFERROR(__xludf.DUMMYFUNCTION("ROUND(B234/ FILTER('Pokemon CP/HP'!$M$2:$M1000, LOWER('Pokemon CP/HP'!$B$2:$B1000)=LOWER(A234)))"),"16")</f>
        <v>16</v>
      </c>
      <c r="H234" t="str">
        <f ca="1">IFERROR(__xludf.DUMMYFUNCTION("FILTER('Leveling Info'!$B$2:$B1000, 'Leveling Info'!$A$2:$A1000 =G234)"),"800")</f>
        <v>800</v>
      </c>
      <c r="I234" s="29">
        <f t="shared" ca="1" si="0"/>
        <v>4</v>
      </c>
      <c r="J234" s="29" t="str">
        <f ca="1">IFERROR(__xludf.DUMMYFUNCTION("IF(F234 = H234,C234/FILTER('Base Stats'!$C$2:$C1000, LOWER('Base Stats'!$B$2:$B1000) = LOWER($A234)), """")"),"0.7733333333")</f>
        <v>0.7733333333</v>
      </c>
      <c r="K234" t="str">
        <f t="shared" ca="1" si="1"/>
        <v/>
      </c>
      <c r="L234" t="str">
        <f ca="1">IFERROR(__xludf.DUMMYFUNCTION("IF(AND(NOT(K234 = """"), G234 &gt;= 15),K234/FILTER('Base Stats'!$C$2:$C1000, LOWER('Base Stats'!$B$2:$B1000) = LOWER($A234)), """")"),"0.04833333333")</f>
        <v>0.04833333333</v>
      </c>
      <c r="M234" t="str">
        <f ca="1">IFERROR(__xludf.DUMMYFUNCTION("1.15 + 0.02 * FILTER('Base Stats'!$C$2:$C1000, LOWER('Base Stats'!$B$2:$B1000) = LOWER($A234))"),"2.65")</f>
        <v>2.65</v>
      </c>
      <c r="N234">
        <v>1.3679245280000001</v>
      </c>
    </row>
    <row r="235" spans="1:14" ht="12.75" x14ac:dyDescent="0.2">
      <c r="A235" s="1" t="s">
        <v>611</v>
      </c>
      <c r="B235" s="1">
        <v>350</v>
      </c>
      <c r="C235" s="1">
        <v>55</v>
      </c>
      <c r="D235" s="1">
        <v>8.08</v>
      </c>
      <c r="E235" s="1">
        <v>1.58</v>
      </c>
      <c r="F235" s="1">
        <v>800</v>
      </c>
      <c r="G235" t="str">
        <f ca="1">IFERROR(__xludf.DUMMYFUNCTION("ROUND(B235/ FILTER('Pokemon CP/HP'!$M$2:$M1000, LOWER('Pokemon CP/HP'!$B$2:$B1000)=LOWER(A235)))"),"13")</f>
        <v>13</v>
      </c>
      <c r="H235" t="str">
        <f ca="1">IFERROR(__xludf.DUMMYFUNCTION("FILTER('Leveling Info'!$B$2:$B1000, 'Leveling Info'!$A$2:$A1000 =G235)"),"800")</f>
        <v>800</v>
      </c>
      <c r="I235" s="29">
        <f t="shared" ca="1" si="0"/>
        <v>3.6055512754639891</v>
      </c>
      <c r="J235" s="29" t="str">
        <f ca="1">IFERROR(__xludf.DUMMYFUNCTION("IF(F235 = H235,C235/FILTER('Base Stats'!$C$2:$C1000, LOWER('Base Stats'!$B$2:$B1000) = LOWER($A235)), """")"),"0.7333333333")</f>
        <v>0.7333333333</v>
      </c>
      <c r="K235" t="str">
        <f t="shared" ca="1" si="1"/>
        <v/>
      </c>
      <c r="L235" t="str">
        <f ca="1">IFERROR(__xludf.DUMMYFUNCTION("IF(AND(NOT(K235 = """"), G235 &gt;= 15),K235/FILTER('Base Stats'!$C$2:$C1000, LOWER('Base Stats'!$B$2:$B1000) = LOWER($A235)), """")"),"")</f>
        <v/>
      </c>
      <c r="M235" t="str">
        <f ca="1">IFERROR(__xludf.DUMMYFUNCTION("1.15 + 0.02 * FILTER('Base Stats'!$C$2:$C1000, LOWER('Base Stats'!$B$2:$B1000) = LOWER($A235))"),"2.65")</f>
        <v>2.65</v>
      </c>
      <c r="N235" t="s">
        <v>527</v>
      </c>
    </row>
    <row r="236" spans="1:14" ht="12.75" x14ac:dyDescent="0.2">
      <c r="A236" s="1" t="s">
        <v>612</v>
      </c>
      <c r="B236" s="1">
        <v>509</v>
      </c>
      <c r="C236" s="1">
        <v>57</v>
      </c>
      <c r="D236" s="1">
        <v>4.4000000000000004</v>
      </c>
      <c r="E236" s="1">
        <v>0.42</v>
      </c>
      <c r="F236" s="1">
        <v>2200</v>
      </c>
      <c r="G236" t="str">
        <f ca="1">IFERROR(__xludf.DUMMYFUNCTION("ROUND(B236/ FILTER('Pokemon CP/HP'!$M$2:$M1000, LOWER('Pokemon CP/HP'!$B$2:$B1000)=LOWER(A236)))"),"34")</f>
        <v>34</v>
      </c>
      <c r="H236" t="str">
        <f ca="1">IFERROR(__xludf.DUMMYFUNCTION("FILTER('Leveling Info'!$B$2:$B1000, 'Leveling Info'!$A$2:$A1000 =G236)"),"2200")</f>
        <v>2200</v>
      </c>
      <c r="I236" s="29">
        <f t="shared" ca="1" si="0"/>
        <v>5.8309518948453007</v>
      </c>
      <c r="J236" s="29" t="str">
        <f ca="1">IFERROR(__xludf.DUMMYFUNCTION("IF(F236 = H236,C236/FILTER('Base Stats'!$C$2:$C1000, LOWER('Base Stats'!$B$2:$B1000) = LOWER($A236)), """")"),"1.266666667")</f>
        <v>1.266666667</v>
      </c>
      <c r="K236" t="str">
        <f t="shared" ca="1" si="1"/>
        <v/>
      </c>
      <c r="L236" t="str">
        <f ca="1">IFERROR(__xludf.DUMMYFUNCTION("IF(AND(NOT(K236 = """"), G236 &gt;= 15),K236/FILTER('Base Stats'!$C$2:$C1000, LOWER('Base Stats'!$B$2:$B1000) = LOWER($A236)), """")"),"0.03725490196")</f>
        <v>0.03725490196</v>
      </c>
      <c r="M236" t="str">
        <f ca="1">IFERROR(__xludf.DUMMYFUNCTION("1.15 + 0.02 * FILTER('Base Stats'!$C$2:$C1000, LOWER('Base Stats'!$B$2:$B1000) = LOWER($A236))"),"2.05")</f>
        <v>2.05</v>
      </c>
      <c r="N236">
        <v>0.81779053079999997</v>
      </c>
    </row>
    <row r="237" spans="1:14" ht="12.75" x14ac:dyDescent="0.2">
      <c r="A237" s="1" t="s">
        <v>612</v>
      </c>
      <c r="B237" s="1">
        <v>312</v>
      </c>
      <c r="C237" s="1">
        <v>43</v>
      </c>
      <c r="D237" s="1">
        <v>5.78</v>
      </c>
      <c r="E237" s="1">
        <v>0.55000000000000004</v>
      </c>
      <c r="F237" s="1">
        <v>1000</v>
      </c>
      <c r="G237" t="str">
        <f ca="1">IFERROR(__xludf.DUMMYFUNCTION("ROUND(B237/ FILTER('Pokemon CP/HP'!$M$2:$M1000, LOWER('Pokemon CP/HP'!$B$2:$B1000)=LOWER(A237)))"),"21")</f>
        <v>21</v>
      </c>
      <c r="H237" t="str">
        <f ca="1">IFERROR(__xludf.DUMMYFUNCTION("FILTER('Leveling Info'!$B$2:$B1000, 'Leveling Info'!$A$2:$A1000 =G237)"),"1300")</f>
        <v>1300</v>
      </c>
      <c r="I237" s="29">
        <f t="shared" ca="1" si="0"/>
        <v>4.5825756949558398</v>
      </c>
      <c r="J237" s="29" t="str">
        <f ca="1">IFERROR(__xludf.DUMMYFUNCTION("IF(F237 = H237,C237/FILTER('Base Stats'!$C$2:$C1000, LOWER('Base Stats'!$B$2:$B1000) = LOWER($A237)), """")"),"")</f>
        <v/>
      </c>
      <c r="K237" t="str">
        <f t="shared" ca="1" si="1"/>
        <v/>
      </c>
      <c r="L237" t="str">
        <f ca="1">IFERROR(__xludf.DUMMYFUNCTION("IF(AND(NOT(K237 = """"), G237 &gt;= 15),K237/FILTER('Base Stats'!$C$2:$C1000, LOWER('Base Stats'!$B$2:$B1000) = LOWER($A237)), """")"),"")</f>
        <v/>
      </c>
      <c r="M237" t="str">
        <f ca="1">IFERROR(__xludf.DUMMYFUNCTION("1.15 + 0.02 * FILTER('Base Stats'!$C$2:$C1000, LOWER('Base Stats'!$B$2:$B1000) = LOWER($A237))"),"2.05")</f>
        <v>2.05</v>
      </c>
      <c r="N237" t="s">
        <v>527</v>
      </c>
    </row>
    <row r="238" spans="1:14" ht="12.75" x14ac:dyDescent="0.2">
      <c r="A238" s="1" t="s">
        <v>612</v>
      </c>
      <c r="B238" s="1">
        <v>304</v>
      </c>
      <c r="C238" s="1">
        <v>42</v>
      </c>
      <c r="D238" s="1">
        <v>3.1</v>
      </c>
      <c r="E238" s="1">
        <v>0.42</v>
      </c>
      <c r="F238" s="1">
        <v>1000</v>
      </c>
      <c r="G238" t="str">
        <f ca="1">IFERROR(__xludf.DUMMYFUNCTION("ROUND(B238/ FILTER('Pokemon CP/HP'!$M$2:$M1000, LOWER('Pokemon CP/HP'!$B$2:$B1000)=LOWER(A238)))"),"20")</f>
        <v>20</v>
      </c>
      <c r="H238" t="str">
        <f ca="1">IFERROR(__xludf.DUMMYFUNCTION("FILTER('Leveling Info'!$B$2:$B1000, 'Leveling Info'!$A$2:$A1000 =G238)"),"1000")</f>
        <v>1000</v>
      </c>
      <c r="I238" s="29">
        <f t="shared" ca="1" si="0"/>
        <v>4.4721359549995796</v>
      </c>
      <c r="J238" s="29" t="str">
        <f ca="1">IFERROR(__xludf.DUMMYFUNCTION("IF(F238 = H238,C238/FILTER('Base Stats'!$C$2:$C1000, LOWER('Base Stats'!$B$2:$B1000) = LOWER($A238)), """")"),"0.9333333333")</f>
        <v>0.9333333333</v>
      </c>
      <c r="K238" t="str">
        <f t="shared" ca="1" si="1"/>
        <v/>
      </c>
      <c r="L238" t="str">
        <f ca="1">IFERROR(__xludf.DUMMYFUNCTION("IF(AND(NOT(K238 = """"), G238 &gt;= 15),K238/FILTER('Base Stats'!$C$2:$C1000, LOWER('Base Stats'!$B$2:$B1000) = LOWER($A238)), """")"),"0.04666666667")</f>
        <v>0.04666666667</v>
      </c>
      <c r="M238" t="str">
        <f ca="1">IFERROR(__xludf.DUMMYFUNCTION("1.15 + 0.02 * FILTER('Base Stats'!$C$2:$C1000, LOWER('Base Stats'!$B$2:$B1000) = LOWER($A238))"),"2.05")</f>
        <v>2.05</v>
      </c>
      <c r="N238">
        <v>1.0243902439999999</v>
      </c>
    </row>
    <row r="239" spans="1:14" ht="12.75" x14ac:dyDescent="0.2">
      <c r="A239" s="1" t="s">
        <v>612</v>
      </c>
      <c r="B239" s="1">
        <v>297</v>
      </c>
      <c r="C239" s="1">
        <v>39</v>
      </c>
      <c r="D239" s="1">
        <v>4.3899999999999997</v>
      </c>
      <c r="E239" s="1">
        <v>0.42</v>
      </c>
      <c r="F239" s="1">
        <v>1000</v>
      </c>
      <c r="G239" t="str">
        <f ca="1">IFERROR(__xludf.DUMMYFUNCTION("ROUND(B239/ FILTER('Pokemon CP/HP'!$M$2:$M1000, LOWER('Pokemon CP/HP'!$B$2:$B1000)=LOWER(A239)))"),"20")</f>
        <v>20</v>
      </c>
      <c r="H239" t="str">
        <f ca="1">IFERROR(__xludf.DUMMYFUNCTION("FILTER('Leveling Info'!$B$2:$B1000, 'Leveling Info'!$A$2:$A1000 =G239)"),"1000")</f>
        <v>1000</v>
      </c>
      <c r="I239" s="29">
        <f t="shared" ca="1" si="0"/>
        <v>4.4721359549995796</v>
      </c>
      <c r="J239" s="29" t="str">
        <f ca="1">IFERROR(__xludf.DUMMYFUNCTION("IF(F239 = H239,C239/FILTER('Base Stats'!$C$2:$C1000, LOWER('Base Stats'!$B$2:$B1000) = LOWER($A239)), """")"),"0.8666666667")</f>
        <v>0.8666666667</v>
      </c>
      <c r="K239" t="str">
        <f t="shared" ca="1" si="1"/>
        <v/>
      </c>
      <c r="L239" t="str">
        <f ca="1">IFERROR(__xludf.DUMMYFUNCTION("IF(AND(NOT(K239 = """"), G239 &gt;= 15),K239/FILTER('Base Stats'!$C$2:$C1000, LOWER('Base Stats'!$B$2:$B1000) = LOWER($A239)), """")"),"0.04333333333")</f>
        <v>0.04333333333</v>
      </c>
      <c r="M239" t="str">
        <f ca="1">IFERROR(__xludf.DUMMYFUNCTION("1.15 + 0.02 * FILTER('Base Stats'!$C$2:$C1000, LOWER('Base Stats'!$B$2:$B1000) = LOWER($A239))"),"2.05")</f>
        <v>2.05</v>
      </c>
      <c r="N239">
        <v>0.95121951220000001</v>
      </c>
    </row>
    <row r="240" spans="1:14" ht="12.75" x14ac:dyDescent="0.2">
      <c r="A240" s="1" t="s">
        <v>612</v>
      </c>
      <c r="B240" s="1">
        <v>243</v>
      </c>
      <c r="C240" s="1">
        <v>39</v>
      </c>
      <c r="D240" s="1">
        <v>3.99</v>
      </c>
      <c r="E240" s="1">
        <v>0.48</v>
      </c>
      <c r="F240" s="1">
        <v>800</v>
      </c>
      <c r="G240" t="str">
        <f ca="1">IFERROR(__xludf.DUMMYFUNCTION("ROUND(B240/ FILTER('Pokemon CP/HP'!$M$2:$M1000, LOWER('Pokemon CP/HP'!$B$2:$B1000)=LOWER(A240)))"),"16")</f>
        <v>16</v>
      </c>
      <c r="H240" t="str">
        <f ca="1">IFERROR(__xludf.DUMMYFUNCTION("FILTER('Leveling Info'!$B$2:$B1000, 'Leveling Info'!$A$2:$A1000 =G240)"),"800")</f>
        <v>800</v>
      </c>
      <c r="I240" s="29">
        <f t="shared" ca="1" si="0"/>
        <v>4</v>
      </c>
      <c r="J240" s="29" t="str">
        <f ca="1">IFERROR(__xludf.DUMMYFUNCTION("IF(F240 = H240,C240/FILTER('Base Stats'!$C$2:$C1000, LOWER('Base Stats'!$B$2:$B1000) = LOWER($A240)), """")"),"0.8666666667")</f>
        <v>0.8666666667</v>
      </c>
      <c r="K240" t="str">
        <f t="shared" ca="1" si="1"/>
        <v/>
      </c>
      <c r="L240" t="str">
        <f ca="1">IFERROR(__xludf.DUMMYFUNCTION("IF(AND(NOT(K240 = """"), G240 &gt;= 15),K240/FILTER('Base Stats'!$C$2:$C1000, LOWER('Base Stats'!$B$2:$B1000) = LOWER($A240)), """")"),"0.05416666667")</f>
        <v>0.05416666667</v>
      </c>
      <c r="M240" t="str">
        <f ca="1">IFERROR(__xludf.DUMMYFUNCTION("1.15 + 0.02 * FILTER('Base Stats'!$C$2:$C1000, LOWER('Base Stats'!$B$2:$B1000) = LOWER($A240))"),"2.05")</f>
        <v>2.05</v>
      </c>
      <c r="N240">
        <v>1.1890243899999999</v>
      </c>
    </row>
    <row r="241" spans="1:14" ht="12.75" x14ac:dyDescent="0.2">
      <c r="A241" s="1" t="s">
        <v>612</v>
      </c>
      <c r="B241" s="1">
        <v>200</v>
      </c>
      <c r="C241" s="1">
        <v>35</v>
      </c>
      <c r="D241" s="1">
        <v>4.1900000000000004</v>
      </c>
      <c r="E241" s="1">
        <v>0.44</v>
      </c>
      <c r="F241" s="1">
        <v>800</v>
      </c>
      <c r="G241" t="str">
        <f ca="1">IFERROR(__xludf.DUMMYFUNCTION("ROUND(B241/ FILTER('Pokemon CP/HP'!$M$2:$M1000, LOWER('Pokemon CP/HP'!$B$2:$B1000)=LOWER(A241)))"),"13")</f>
        <v>13</v>
      </c>
      <c r="H241" t="str">
        <f ca="1">IFERROR(__xludf.DUMMYFUNCTION("FILTER('Leveling Info'!$B$2:$B1000, 'Leveling Info'!$A$2:$A1000 =G241)"),"800")</f>
        <v>800</v>
      </c>
      <c r="I241" s="29">
        <f t="shared" ca="1" si="0"/>
        <v>3.6055512754639891</v>
      </c>
      <c r="J241" s="29" t="str">
        <f ca="1">IFERROR(__xludf.DUMMYFUNCTION("IF(F241 = H241,C241/FILTER('Base Stats'!$C$2:$C1000, LOWER('Base Stats'!$B$2:$B1000) = LOWER($A241)), """")"),"0.7777777778")</f>
        <v>0.7777777778</v>
      </c>
      <c r="K241" t="str">
        <f t="shared" ca="1" si="1"/>
        <v/>
      </c>
      <c r="L241" t="str">
        <f ca="1">IFERROR(__xludf.DUMMYFUNCTION("IF(AND(NOT(K241 = """"), G241 &gt;= 15),K241/FILTER('Base Stats'!$C$2:$C1000, LOWER('Base Stats'!$B$2:$B1000) = LOWER($A241)), """")"),"")</f>
        <v/>
      </c>
      <c r="M241" t="str">
        <f ca="1">IFERROR(__xludf.DUMMYFUNCTION("1.15 + 0.02 * FILTER('Base Stats'!$C$2:$C1000, LOWER('Base Stats'!$B$2:$B1000) = LOWER($A241))"),"2.05")</f>
        <v>2.05</v>
      </c>
      <c r="N241" t="s">
        <v>527</v>
      </c>
    </row>
    <row r="242" spans="1:14" ht="12.75" x14ac:dyDescent="0.2">
      <c r="A242" s="1" t="s">
        <v>612</v>
      </c>
      <c r="B242" s="1">
        <v>149</v>
      </c>
      <c r="C242" s="1">
        <v>30</v>
      </c>
      <c r="D242" s="1">
        <v>5.94</v>
      </c>
      <c r="E242" s="1">
        <v>0.54</v>
      </c>
      <c r="F242" s="1">
        <v>600</v>
      </c>
      <c r="G242" t="str">
        <f ca="1">IFERROR(__xludf.DUMMYFUNCTION("ROUND(B242/ FILTER('Pokemon CP/HP'!$M$2:$M1000, LOWER('Pokemon CP/HP'!$B$2:$B1000)=LOWER(A242)))"),"10")</f>
        <v>10</v>
      </c>
      <c r="H242" t="str">
        <f ca="1">IFERROR(__xludf.DUMMYFUNCTION("FILTER('Leveling Info'!$B$2:$B1000, 'Leveling Info'!$A$2:$A1000 =G242)"),"600")</f>
        <v>600</v>
      </c>
      <c r="I242" s="29">
        <f t="shared" ca="1" si="0"/>
        <v>3.1622776601683795</v>
      </c>
      <c r="J242" s="29" t="str">
        <f ca="1">IFERROR(__xludf.DUMMYFUNCTION("IF(F242 = H242,C242/FILTER('Base Stats'!$C$2:$C1000, LOWER('Base Stats'!$B$2:$B1000) = LOWER($A242)), """")"),"0.6666666667")</f>
        <v>0.6666666667</v>
      </c>
      <c r="K242" t="str">
        <f t="shared" ca="1" si="1"/>
        <v/>
      </c>
      <c r="L242" t="str">
        <f ca="1">IFERROR(__xludf.DUMMYFUNCTION("IF(AND(NOT(K242 = """"), G242 &gt;= 15),K242/FILTER('Base Stats'!$C$2:$C1000, LOWER('Base Stats'!$B$2:$B1000) = LOWER($A242)), """")"),"")</f>
        <v/>
      </c>
      <c r="M242" t="str">
        <f ca="1">IFERROR(__xludf.DUMMYFUNCTION("1.15 + 0.02 * FILTER('Base Stats'!$C$2:$C1000, LOWER('Base Stats'!$B$2:$B1000) = LOWER($A242))"),"2.05")</f>
        <v>2.05</v>
      </c>
      <c r="N242" t="s">
        <v>527</v>
      </c>
    </row>
    <row r="243" spans="1:14" ht="12.75" x14ac:dyDescent="0.2">
      <c r="A243" s="1" t="s">
        <v>612</v>
      </c>
      <c r="B243" s="1">
        <v>145</v>
      </c>
      <c r="C243" s="1">
        <v>29</v>
      </c>
      <c r="D243" s="1">
        <v>3.59</v>
      </c>
      <c r="E243" s="1">
        <v>0.41</v>
      </c>
      <c r="F243" s="1">
        <v>600</v>
      </c>
      <c r="G243" t="str">
        <f ca="1">IFERROR(__xludf.DUMMYFUNCTION("ROUND(B243/ FILTER('Pokemon CP/HP'!$M$2:$M1000, LOWER('Pokemon CP/HP'!$B$2:$B1000)=LOWER(A243)))"),"10")</f>
        <v>10</v>
      </c>
      <c r="H243" t="str">
        <f ca="1">IFERROR(__xludf.DUMMYFUNCTION("FILTER('Leveling Info'!$B$2:$B1000, 'Leveling Info'!$A$2:$A1000 =G243)"),"600")</f>
        <v>600</v>
      </c>
      <c r="I243" s="29">
        <f t="shared" ca="1" si="0"/>
        <v>3.1622776601683795</v>
      </c>
      <c r="J243" s="29" t="str">
        <f ca="1">IFERROR(__xludf.DUMMYFUNCTION("IF(F243 = H243,C243/FILTER('Base Stats'!$C$2:$C1000, LOWER('Base Stats'!$B$2:$B1000) = LOWER($A243)), """")"),"0.6444444444")</f>
        <v>0.6444444444</v>
      </c>
      <c r="K243" t="str">
        <f t="shared" ca="1" si="1"/>
        <v/>
      </c>
      <c r="L243" t="str">
        <f ca="1">IFERROR(__xludf.DUMMYFUNCTION("IF(AND(NOT(K243 = """"), G243 &gt;= 15),K243/FILTER('Base Stats'!$C$2:$C1000, LOWER('Base Stats'!$B$2:$B1000) = LOWER($A243)), """")"),"")</f>
        <v/>
      </c>
      <c r="M243" t="str">
        <f ca="1">IFERROR(__xludf.DUMMYFUNCTION("1.15 + 0.02 * FILTER('Base Stats'!$C$2:$C1000, LOWER('Base Stats'!$B$2:$B1000) = LOWER($A243))"),"2.05")</f>
        <v>2.05</v>
      </c>
      <c r="N243" t="s">
        <v>527</v>
      </c>
    </row>
    <row r="244" spans="1:14" ht="12.75" x14ac:dyDescent="0.2">
      <c r="A244" s="1" t="s">
        <v>613</v>
      </c>
      <c r="B244" s="1">
        <v>487</v>
      </c>
      <c r="C244" s="1">
        <v>57</v>
      </c>
      <c r="D244" s="1">
        <v>8.49</v>
      </c>
      <c r="E244" s="1">
        <v>0.75</v>
      </c>
      <c r="F244" s="1">
        <v>1300</v>
      </c>
      <c r="G244" t="str">
        <f ca="1">IFERROR(__xludf.DUMMYFUNCTION("ROUND(B244/ FILTER('Pokemon CP/HP'!$M$2:$M1000, LOWER('Pokemon CP/HP'!$B$2:$B1000)=LOWER(A244)))"),"23")</f>
        <v>23</v>
      </c>
      <c r="H244" t="str">
        <f ca="1">IFERROR(__xludf.DUMMYFUNCTION("FILTER('Leveling Info'!$B$2:$B1000, 'Leveling Info'!$A$2:$A1000 =G244)"),"1300")</f>
        <v>1300</v>
      </c>
      <c r="I244" s="29">
        <f t="shared" ca="1" si="0"/>
        <v>4.7958315233127191</v>
      </c>
      <c r="J244" s="29" t="str">
        <f ca="1">IFERROR(__xludf.DUMMYFUNCTION("IF(F244 = H244,C244/FILTER('Base Stats'!$C$2:$C1000, LOWER('Base Stats'!$B$2:$B1000) = LOWER($A244)), """")"),"0.95")</f>
        <v>0.95</v>
      </c>
      <c r="K244" t="str">
        <f t="shared" ca="1" si="1"/>
        <v/>
      </c>
      <c r="L244" t="str">
        <f ca="1">IFERROR(__xludf.DUMMYFUNCTION("IF(AND(NOT(K244 = """"), G244 &gt;= 15),K244/FILTER('Base Stats'!$C$2:$C1000, LOWER('Base Stats'!$B$2:$B1000) = LOWER($A244)), """")"),"0.04130434783")</f>
        <v>0.04130434783</v>
      </c>
      <c r="M244" t="str">
        <f ca="1">IFERROR(__xludf.DUMMYFUNCTION("1.15 + 0.02 * FILTER('Base Stats'!$C$2:$C1000, LOWER('Base Stats'!$B$2:$B1000) = LOWER($A244))"),"2.35")</f>
        <v>2.35</v>
      </c>
      <c r="N244">
        <v>1.0545790930000001</v>
      </c>
    </row>
    <row r="245" spans="1:14" ht="12.75" x14ac:dyDescent="0.2">
      <c r="A245" s="1" t="s">
        <v>613</v>
      </c>
      <c r="B245" s="1">
        <v>315</v>
      </c>
      <c r="C245" s="1">
        <v>45</v>
      </c>
      <c r="D245" s="1">
        <v>7.4</v>
      </c>
      <c r="E245" s="1">
        <v>0.83</v>
      </c>
      <c r="F245" s="1">
        <v>800</v>
      </c>
      <c r="G245" t="str">
        <f ca="1">IFERROR(__xludf.DUMMYFUNCTION("ROUND(B245/ FILTER('Pokemon CP/HP'!$M$2:$M1000, LOWER('Pokemon CP/HP'!$B$2:$B1000)=LOWER(A245)))"),"15")</f>
        <v>15</v>
      </c>
      <c r="H245" t="str">
        <f ca="1">IFERROR(__xludf.DUMMYFUNCTION("FILTER('Leveling Info'!$B$2:$B1000, 'Leveling Info'!$A$2:$A1000 =G245)"),"800")</f>
        <v>800</v>
      </c>
      <c r="I245" s="29">
        <f t="shared" ca="1" si="0"/>
        <v>3.872983346207417</v>
      </c>
      <c r="J245" s="29" t="str">
        <f ca="1">IFERROR(__xludf.DUMMYFUNCTION("IF(F245 = H245,C245/FILTER('Base Stats'!$C$2:$C1000, LOWER('Base Stats'!$B$2:$B1000) = LOWER($A245)), """")"),"0.75")</f>
        <v>0.75</v>
      </c>
      <c r="K245" t="str">
        <f t="shared" ca="1" si="1"/>
        <v/>
      </c>
      <c r="L245" t="str">
        <f ca="1">IFERROR(__xludf.DUMMYFUNCTION("IF(AND(NOT(K245 = """"), G245 &gt;= 15),K245/FILTER('Base Stats'!$C$2:$C1000, LOWER('Base Stats'!$B$2:$B1000) = LOWER($A245)), """")"),"0.05")</f>
        <v>0.05</v>
      </c>
      <c r="M245" t="str">
        <f ca="1">IFERROR(__xludf.DUMMYFUNCTION("1.15 + 0.02 * FILTER('Base Stats'!$C$2:$C1000, LOWER('Base Stats'!$B$2:$B1000) = LOWER($A245))"),"2.35")</f>
        <v>2.35</v>
      </c>
      <c r="N245">
        <v>1.2765957450000001</v>
      </c>
    </row>
    <row r="246" spans="1:14" ht="12.75" x14ac:dyDescent="0.2">
      <c r="A246" s="1" t="s">
        <v>614</v>
      </c>
      <c r="B246" s="1">
        <v>358</v>
      </c>
      <c r="C246" s="1">
        <v>49</v>
      </c>
      <c r="D246" s="1">
        <v>27.07</v>
      </c>
      <c r="E246" s="1">
        <v>1.43</v>
      </c>
      <c r="F246" s="1">
        <v>600</v>
      </c>
      <c r="G246" t="str">
        <f ca="1">IFERROR(__xludf.DUMMYFUNCTION("ROUND(B246/ FILTER('Pokemon CP/HP'!$M$2:$M1000, LOWER('Pokemon CP/HP'!$B$2:$B1000)=LOWER(A246)))"),"11")</f>
        <v>11</v>
      </c>
      <c r="H246" t="str">
        <f ca="1">IFERROR(__xludf.DUMMYFUNCTION("FILTER('Leveling Info'!$B$2:$B1000, 'Leveling Info'!$A$2:$A1000 =G246)"),"600")</f>
        <v>600</v>
      </c>
      <c r="I246" s="29">
        <f t="shared" ca="1" si="0"/>
        <v>3.3166247903553998</v>
      </c>
      <c r="J246" s="29" t="str">
        <f ca="1">IFERROR(__xludf.DUMMYFUNCTION("IF(F246 = H246,C246/FILTER('Base Stats'!$C$2:$C1000, LOWER('Base Stats'!$B$2:$B1000) = LOWER($A246)), """")"),"0.6533333333")</f>
        <v>0.6533333333</v>
      </c>
      <c r="K246" t="str">
        <f t="shared" ca="1" si="1"/>
        <v/>
      </c>
      <c r="L246" t="str">
        <f ca="1">IFERROR(__xludf.DUMMYFUNCTION("IF(AND(NOT(K246 = """"), G246 &gt;= 15),K246/FILTER('Base Stats'!$C$2:$C1000, LOWER('Base Stats'!$B$2:$B1000) = LOWER($A246)), """")"),"")</f>
        <v/>
      </c>
      <c r="M246" t="str">
        <f ca="1">IFERROR(__xludf.DUMMYFUNCTION("1.15 + 0.02 * FILTER('Base Stats'!$C$2:$C1000, LOWER('Base Stats'!$B$2:$B1000) = LOWER($A246))"),"2.65")</f>
        <v>2.65</v>
      </c>
      <c r="N246" t="s">
        <v>527</v>
      </c>
    </row>
    <row r="247" spans="1:14" ht="12.75" x14ac:dyDescent="0.2">
      <c r="A247" s="1" t="s">
        <v>615</v>
      </c>
      <c r="B247" s="1">
        <v>314</v>
      </c>
      <c r="C247" s="1">
        <v>39</v>
      </c>
      <c r="D247" s="1">
        <v>2.8</v>
      </c>
      <c r="E247" s="1">
        <v>0.25</v>
      </c>
      <c r="F247" s="1">
        <v>1600</v>
      </c>
      <c r="G247" t="str">
        <f ca="1">IFERROR(__xludf.DUMMYFUNCTION("ROUND(B247/ FILTER('Pokemon CP/HP'!$M$2:$M1000, LOWER('Pokemon CP/HP'!$B$2:$B1000)=LOWER(A247)))"),"26")</f>
        <v>26</v>
      </c>
      <c r="H247" t="str">
        <f ca="1">IFERROR(__xludf.DUMMYFUNCTION("FILTER('Leveling Info'!$B$2:$B1000, 'Leveling Info'!$A$2:$A1000 =G247)"),"1600")</f>
        <v>1600</v>
      </c>
      <c r="I247" s="29">
        <f t="shared" ca="1" si="0"/>
        <v>5.0990195135927845</v>
      </c>
      <c r="J247" s="29" t="str">
        <f ca="1">IFERROR(__xludf.DUMMYFUNCTION("IF(F247 = H247,C247/FILTER('Base Stats'!$C$2:$C1000, LOWER('Base Stats'!$B$2:$B1000) = LOWER($A247)), """")"),"1.114285714")</f>
        <v>1.114285714</v>
      </c>
      <c r="K247" t="str">
        <f t="shared" ca="1" si="1"/>
        <v/>
      </c>
      <c r="L247" t="str">
        <f ca="1">IFERROR(__xludf.DUMMYFUNCTION("IF(AND(NOT(K247 = """"), G247 &gt;= 15),K247/FILTER('Base Stats'!$C$2:$C1000, LOWER('Base Stats'!$B$2:$B1000) = LOWER($A247)), """")"),"0.04285714286")</f>
        <v>0.04285714286</v>
      </c>
      <c r="M247" t="str">
        <f ca="1">IFERROR(__xludf.DUMMYFUNCTION("1.15 + 0.02 * FILTER('Base Stats'!$C$2:$C1000, LOWER('Base Stats'!$B$2:$B1000) = LOWER($A247))"),"1.85")</f>
        <v>1.85</v>
      </c>
      <c r="N247">
        <v>0.81081081079999995</v>
      </c>
    </row>
    <row r="248" spans="1:14" ht="12.75" x14ac:dyDescent="0.2">
      <c r="A248" s="1" t="s">
        <v>615</v>
      </c>
      <c r="B248" s="1">
        <v>254</v>
      </c>
      <c r="C248" s="1">
        <v>31</v>
      </c>
      <c r="D248" s="1">
        <v>5.79</v>
      </c>
      <c r="E248" s="1">
        <v>0.27</v>
      </c>
      <c r="F248" s="1">
        <v>1300</v>
      </c>
      <c r="G248" t="str">
        <f ca="1">IFERROR(__xludf.DUMMYFUNCTION("ROUND(B248/ FILTER('Pokemon CP/HP'!$M$2:$M1000, LOWER('Pokemon CP/HP'!$B$2:$B1000)=LOWER(A248)))"),"21")</f>
        <v>21</v>
      </c>
      <c r="H248" t="str">
        <f ca="1">IFERROR(__xludf.DUMMYFUNCTION("FILTER('Leveling Info'!$B$2:$B1000, 'Leveling Info'!$A$2:$A1000 =G248)"),"1300")</f>
        <v>1300</v>
      </c>
      <c r="I248" s="29">
        <f t="shared" ca="1" si="0"/>
        <v>4.5825756949558398</v>
      </c>
      <c r="J248" s="29" t="str">
        <f ca="1">IFERROR(__xludf.DUMMYFUNCTION("IF(F248 = H248,C248/FILTER('Base Stats'!$C$2:$C1000, LOWER('Base Stats'!$B$2:$B1000) = LOWER($A248)), """")"),"0.8857142857")</f>
        <v>0.8857142857</v>
      </c>
      <c r="K248" t="str">
        <f t="shared" ca="1" si="1"/>
        <v/>
      </c>
      <c r="L248" t="str">
        <f ca="1">IFERROR(__xludf.DUMMYFUNCTION("IF(AND(NOT(K248 = """"), G248 &gt;= 15),K248/FILTER('Base Stats'!$C$2:$C1000, LOWER('Base Stats'!$B$2:$B1000) = LOWER($A248)), """")"),"0.04217687075")</f>
        <v>0.04217687075</v>
      </c>
      <c r="M248" t="str">
        <f ca="1">IFERROR(__xludf.DUMMYFUNCTION("1.15 + 0.02 * FILTER('Base Stats'!$C$2:$C1000, LOWER('Base Stats'!$B$2:$B1000) = LOWER($A248))"),"1.85")</f>
        <v>1.85</v>
      </c>
      <c r="N248">
        <v>0.79794079790000005</v>
      </c>
    </row>
    <row r="249" spans="1:14" ht="12.75" x14ac:dyDescent="0.2">
      <c r="A249" s="1" t="s">
        <v>615</v>
      </c>
      <c r="B249" s="1">
        <v>241</v>
      </c>
      <c r="C249" s="1">
        <v>32</v>
      </c>
      <c r="D249" s="1">
        <v>6.83</v>
      </c>
      <c r="E249" s="1">
        <v>0.31</v>
      </c>
      <c r="F249" s="1">
        <v>1000</v>
      </c>
      <c r="G249" t="str">
        <f ca="1">IFERROR(__xludf.DUMMYFUNCTION("ROUND(B249/ FILTER('Pokemon CP/HP'!$M$2:$M1000, LOWER('Pokemon CP/HP'!$B$2:$B1000)=LOWER(A249)))"),"20")</f>
        <v>20</v>
      </c>
      <c r="H249" t="str">
        <f ca="1">IFERROR(__xludf.DUMMYFUNCTION("FILTER('Leveling Info'!$B$2:$B1000, 'Leveling Info'!$A$2:$A1000 =G249)"),"1000")</f>
        <v>1000</v>
      </c>
      <c r="I249" s="29">
        <f t="shared" ca="1" si="0"/>
        <v>4.4721359549995796</v>
      </c>
      <c r="J249" s="29" t="str">
        <f ca="1">IFERROR(__xludf.DUMMYFUNCTION("IF(F249 = H249,C249/FILTER('Base Stats'!$C$2:$C1000, LOWER('Base Stats'!$B$2:$B1000) = LOWER($A249)), """")"),"0.9142857143")</f>
        <v>0.9142857143</v>
      </c>
      <c r="K249" t="str">
        <f t="shared" ca="1" si="1"/>
        <v/>
      </c>
      <c r="L249" t="str">
        <f ca="1">IFERROR(__xludf.DUMMYFUNCTION("IF(AND(NOT(K249 = """"), G249 &gt;= 15),K249/FILTER('Base Stats'!$C$2:$C1000, LOWER('Base Stats'!$B$2:$B1000) = LOWER($A249)), """")"),"0.04571428571")</f>
        <v>0.04571428571</v>
      </c>
      <c r="M249" t="str">
        <f ca="1">IFERROR(__xludf.DUMMYFUNCTION("1.15 + 0.02 * FILTER('Base Stats'!$C$2:$C1000, LOWER('Base Stats'!$B$2:$B1000) = LOWER($A249))"),"1.85")</f>
        <v>1.85</v>
      </c>
      <c r="N249">
        <v>0.86486486490000003</v>
      </c>
    </row>
    <row r="250" spans="1:14" ht="12.75" x14ac:dyDescent="0.2">
      <c r="A250" s="1" t="s">
        <v>616</v>
      </c>
      <c r="B250" s="1">
        <v>427</v>
      </c>
      <c r="C250" s="1">
        <v>66</v>
      </c>
      <c r="D250" s="1">
        <v>36.869999999999997</v>
      </c>
      <c r="E250" s="1">
        <v>1.0900000000000001</v>
      </c>
      <c r="F250" s="1">
        <v>1900</v>
      </c>
      <c r="G250" t="str">
        <f ca="1">IFERROR(__xludf.DUMMYFUNCTION("ROUND(B250/ FILTER('Pokemon CP/HP'!$M$2:$M1000, LOWER('Pokemon CP/HP'!$B$2:$B1000)=LOWER(A250)))"),"31")</f>
        <v>31</v>
      </c>
      <c r="H250" t="str">
        <f ca="1">IFERROR(__xludf.DUMMYFUNCTION("FILTER('Leveling Info'!$B$2:$B1000, 'Leveling Info'!$A$2:$A1000 =G250)"),"1900")</f>
        <v>1900</v>
      </c>
      <c r="I250" s="29">
        <f t="shared" ca="1" si="0"/>
        <v>5.5677643628300215</v>
      </c>
      <c r="J250" s="29" t="str">
        <f ca="1">IFERROR(__xludf.DUMMYFUNCTION("IF(F250 = H250,C250/FILTER('Base Stats'!$C$2:$C1000, LOWER('Base Stats'!$B$2:$B1000) = LOWER($A250)), """")"),"1.1")</f>
        <v>1.1</v>
      </c>
      <c r="K250" t="str">
        <f t="shared" ca="1" si="1"/>
        <v/>
      </c>
      <c r="L250" t="str">
        <f ca="1">IFERROR(__xludf.DUMMYFUNCTION("IF(AND(NOT(K250 = """"), G250 &gt;= 15),K250/FILTER('Base Stats'!$C$2:$C1000, LOWER('Base Stats'!$B$2:$B1000) = LOWER($A250)), """")"),"0.03548387097")</f>
        <v>0.03548387097</v>
      </c>
      <c r="M250" t="str">
        <f ca="1">IFERROR(__xludf.DUMMYFUNCTION("1.15 + 0.02 * FILTER('Base Stats'!$C$2:$C1000, LOWER('Base Stats'!$B$2:$B1000) = LOWER($A250))"),"2.35")</f>
        <v>2.35</v>
      </c>
      <c r="N250">
        <v>0.90597117360000001</v>
      </c>
    </row>
    <row r="251" spans="1:14" ht="12.75" x14ac:dyDescent="0.2">
      <c r="A251" s="1" t="s">
        <v>616</v>
      </c>
      <c r="B251" s="1">
        <v>426</v>
      </c>
      <c r="C251" s="1">
        <v>67</v>
      </c>
      <c r="D251" s="1">
        <v>26.19</v>
      </c>
      <c r="E251" s="1">
        <v>0.98</v>
      </c>
      <c r="F251" s="1">
        <v>1900</v>
      </c>
      <c r="G251" t="str">
        <f ca="1">IFERROR(__xludf.DUMMYFUNCTION("ROUND(B251/ FILTER('Pokemon CP/HP'!$M$2:$M1000, LOWER('Pokemon CP/HP'!$B$2:$B1000)=LOWER(A251)))"),"30")</f>
        <v>30</v>
      </c>
      <c r="H251" t="str">
        <f ca="1">IFERROR(__xludf.DUMMYFUNCTION("FILTER('Leveling Info'!$B$2:$B1000, 'Leveling Info'!$A$2:$A1000 =G251)"),"1900")</f>
        <v>1900</v>
      </c>
      <c r="I251" s="29">
        <f t="shared" ca="1" si="0"/>
        <v>5.4772255750516612</v>
      </c>
      <c r="J251" s="29" t="str">
        <f ca="1">IFERROR(__xludf.DUMMYFUNCTION("IF(F251 = H251,C251/FILTER('Base Stats'!$C$2:$C1000, LOWER('Base Stats'!$B$2:$B1000) = LOWER($A251)), """")"),"1.116666667")</f>
        <v>1.116666667</v>
      </c>
      <c r="K251" t="str">
        <f t="shared" ca="1" si="1"/>
        <v/>
      </c>
      <c r="L251" t="str">
        <f ca="1">IFERROR(__xludf.DUMMYFUNCTION("IF(AND(NOT(K251 = """"), G251 &gt;= 15),K251/FILTER('Base Stats'!$C$2:$C1000, LOWER('Base Stats'!$B$2:$B1000) = LOWER($A251)), """")"),"0.03722222222")</f>
        <v>0.03722222222</v>
      </c>
      <c r="M251" t="str">
        <f ca="1">IFERROR(__xludf.DUMMYFUNCTION("1.15 + 0.02 * FILTER('Base Stats'!$C$2:$C1000, LOWER('Base Stats'!$B$2:$B1000) = LOWER($A251))"),"2.35")</f>
        <v>2.35</v>
      </c>
      <c r="N251">
        <v>0.95035460989999998</v>
      </c>
    </row>
    <row r="252" spans="1:14" ht="12.75" x14ac:dyDescent="0.2">
      <c r="A252" s="1" t="s">
        <v>616</v>
      </c>
      <c r="B252" s="1">
        <v>365</v>
      </c>
      <c r="C252" s="1">
        <v>62</v>
      </c>
      <c r="D252" s="1">
        <v>47.35</v>
      </c>
      <c r="E252" s="1">
        <v>1.21</v>
      </c>
      <c r="F252" s="1">
        <v>1600</v>
      </c>
      <c r="G252" t="str">
        <f ca="1">IFERROR(__xludf.DUMMYFUNCTION("ROUND(B252/ FILTER('Pokemon CP/HP'!$M$2:$M1000, LOWER('Pokemon CP/HP'!$B$2:$B1000)=LOWER(A252)))"),"26")</f>
        <v>26</v>
      </c>
      <c r="H252" t="str">
        <f ca="1">IFERROR(__xludf.DUMMYFUNCTION("FILTER('Leveling Info'!$B$2:$B1000, 'Leveling Info'!$A$2:$A1000 =G252)"),"1600")</f>
        <v>1600</v>
      </c>
      <c r="I252" s="29">
        <f t="shared" ca="1" si="0"/>
        <v>5.0990195135927845</v>
      </c>
      <c r="J252" s="29" t="str">
        <f ca="1">IFERROR(__xludf.DUMMYFUNCTION("IF(F252 = H252,C252/FILTER('Base Stats'!$C$2:$C1000, LOWER('Base Stats'!$B$2:$B1000) = LOWER($A252)), """")"),"1.033333333")</f>
        <v>1.033333333</v>
      </c>
      <c r="K252" t="str">
        <f t="shared" ca="1" si="1"/>
        <v/>
      </c>
      <c r="L252" t="str">
        <f ca="1">IFERROR(__xludf.DUMMYFUNCTION("IF(AND(NOT(K252 = """"), G252 &gt;= 15),K252/FILTER('Base Stats'!$C$2:$C1000, LOWER('Base Stats'!$B$2:$B1000) = LOWER($A252)), """")"),"0.03974358974")</f>
        <v>0.03974358974</v>
      </c>
      <c r="M252" t="str">
        <f ca="1">IFERROR(__xludf.DUMMYFUNCTION("1.15 + 0.02 * FILTER('Base Stats'!$C$2:$C1000, LOWER('Base Stats'!$B$2:$B1000) = LOWER($A252))"),"2.35")</f>
        <v>2.35</v>
      </c>
      <c r="N252">
        <v>1.0147299510000001</v>
      </c>
    </row>
    <row r="253" spans="1:14" ht="12.75" x14ac:dyDescent="0.2">
      <c r="A253" s="1" t="s">
        <v>616</v>
      </c>
      <c r="B253" s="1">
        <v>244</v>
      </c>
      <c r="C253" s="1">
        <v>48</v>
      </c>
      <c r="D253" s="1">
        <v>17.690000000000001</v>
      </c>
      <c r="E253" s="1">
        <v>0.79</v>
      </c>
      <c r="F253" s="1">
        <v>1000</v>
      </c>
      <c r="G253" t="str">
        <f ca="1">IFERROR(__xludf.DUMMYFUNCTION("ROUND(B253/ FILTER('Pokemon CP/HP'!$M$2:$M1000, LOWER('Pokemon CP/HP'!$B$2:$B1000)=LOWER(A253)))"),"17")</f>
        <v>17</v>
      </c>
      <c r="H253" t="str">
        <f ca="1">IFERROR(__xludf.DUMMYFUNCTION("FILTER('Leveling Info'!$B$2:$B1000, 'Leveling Info'!$A$2:$A1000 =G253)"),"1000")</f>
        <v>1000</v>
      </c>
      <c r="I253" s="29">
        <f t="shared" ca="1" si="0"/>
        <v>4.1231056256176606</v>
      </c>
      <c r="J253" s="29" t="str">
        <f ca="1">IFERROR(__xludf.DUMMYFUNCTION("IF(F253 = H253,C253/FILTER('Base Stats'!$C$2:$C1000, LOWER('Base Stats'!$B$2:$B1000) = LOWER($A253)), """")"),"0.8")</f>
        <v>0.8</v>
      </c>
      <c r="K253" t="str">
        <f t="shared" ca="1" si="1"/>
        <v/>
      </c>
      <c r="L253" t="str">
        <f ca="1">IFERROR(__xludf.DUMMYFUNCTION("IF(AND(NOT(K253 = """"), G253 &gt;= 15),K253/FILTER('Base Stats'!$C$2:$C1000, LOWER('Base Stats'!$B$2:$B1000) = LOWER($A253)), """")"),"0.04705882353")</f>
        <v>0.04705882353</v>
      </c>
      <c r="M253" t="str">
        <f ca="1">IFERROR(__xludf.DUMMYFUNCTION("1.15 + 0.02 * FILTER('Base Stats'!$C$2:$C1000, LOWER('Base Stats'!$B$2:$B1000) = LOWER($A253))"),"2.35")</f>
        <v>2.35</v>
      </c>
      <c r="N253">
        <v>1.2015018770000001</v>
      </c>
    </row>
    <row r="254" spans="1:14" ht="12.75" x14ac:dyDescent="0.2">
      <c r="A254" s="1" t="s">
        <v>616</v>
      </c>
      <c r="B254" s="1">
        <v>192</v>
      </c>
      <c r="C254" s="1">
        <v>46</v>
      </c>
      <c r="D254" s="1">
        <v>31.13</v>
      </c>
      <c r="E254" s="1">
        <v>0.99</v>
      </c>
      <c r="F254" s="1">
        <v>800</v>
      </c>
      <c r="G254" t="str">
        <f ca="1">IFERROR(__xludf.DUMMYFUNCTION("ROUND(B254/ FILTER('Pokemon CP/HP'!$M$2:$M1000, LOWER('Pokemon CP/HP'!$B$2:$B1000)=LOWER(A254)))"),"14")</f>
        <v>14</v>
      </c>
      <c r="H254" t="str">
        <f ca="1">IFERROR(__xludf.DUMMYFUNCTION("FILTER('Leveling Info'!$B$2:$B1000, 'Leveling Info'!$A$2:$A1000 =G254)"),"800")</f>
        <v>800</v>
      </c>
      <c r="I254" s="29">
        <f t="shared" ca="1" si="0"/>
        <v>3.7416573867739413</v>
      </c>
      <c r="J254" s="29" t="str">
        <f ca="1">IFERROR(__xludf.DUMMYFUNCTION("IF(F254 = H254,C254/FILTER('Base Stats'!$C$2:$C1000, LOWER('Base Stats'!$B$2:$B1000) = LOWER($A254)), """")"),"0.7666666667")</f>
        <v>0.7666666667</v>
      </c>
      <c r="K254" t="str">
        <f t="shared" ca="1" si="1"/>
        <v/>
      </c>
      <c r="L254" t="str">
        <f ca="1">IFERROR(__xludf.DUMMYFUNCTION("IF(AND(NOT(K254 = """"), G254 &gt;= 15),K254/FILTER('Base Stats'!$C$2:$C1000, LOWER('Base Stats'!$B$2:$B1000) = LOWER($A254)), """")"),"")</f>
        <v/>
      </c>
      <c r="M254" t="str">
        <f ca="1">IFERROR(__xludf.DUMMYFUNCTION("1.15 + 0.02 * FILTER('Base Stats'!$C$2:$C1000, LOWER('Base Stats'!$B$2:$B1000) = LOWER($A254))"),"2.35")</f>
        <v>2.35</v>
      </c>
      <c r="N254" t="s">
        <v>527</v>
      </c>
    </row>
    <row r="255" spans="1:14" ht="12.75" x14ac:dyDescent="0.2">
      <c r="A255" s="1" t="s">
        <v>616</v>
      </c>
      <c r="B255" s="1">
        <v>187</v>
      </c>
      <c r="C255" s="1">
        <v>46</v>
      </c>
      <c r="D255" s="1">
        <v>26.64</v>
      </c>
      <c r="E255" s="1">
        <v>1.02</v>
      </c>
      <c r="F255" s="1">
        <v>800</v>
      </c>
      <c r="G255" t="str">
        <f ca="1">IFERROR(__xludf.DUMMYFUNCTION("ROUND(B255/ FILTER('Pokemon CP/HP'!$M$2:$M1000, LOWER('Pokemon CP/HP'!$B$2:$B1000)=LOWER(A255)))"),"13")</f>
        <v>13</v>
      </c>
      <c r="H255" t="str">
        <f ca="1">IFERROR(__xludf.DUMMYFUNCTION("FILTER('Leveling Info'!$B$2:$B1000, 'Leveling Info'!$A$2:$A1000 =G255)"),"800")</f>
        <v>800</v>
      </c>
      <c r="I255" s="29">
        <f t="shared" ca="1" si="0"/>
        <v>3.6055512754639891</v>
      </c>
      <c r="J255" s="29" t="str">
        <f ca="1">IFERROR(__xludf.DUMMYFUNCTION("IF(F255 = H255,C255/FILTER('Base Stats'!$C$2:$C1000, LOWER('Base Stats'!$B$2:$B1000) = LOWER($A255)), """")"),"0.7666666667")</f>
        <v>0.7666666667</v>
      </c>
      <c r="K255" t="str">
        <f t="shared" ca="1" si="1"/>
        <v/>
      </c>
      <c r="L255" t="str">
        <f ca="1">IFERROR(__xludf.DUMMYFUNCTION("IF(AND(NOT(K255 = """"), G255 &gt;= 15),K255/FILTER('Base Stats'!$C$2:$C1000, LOWER('Base Stats'!$B$2:$B1000) = LOWER($A255)), """")"),"")</f>
        <v/>
      </c>
      <c r="M255" t="str">
        <f ca="1">IFERROR(__xludf.DUMMYFUNCTION("1.15 + 0.02 * FILTER('Base Stats'!$C$2:$C1000, LOWER('Base Stats'!$B$2:$B1000) = LOWER($A255))"),"2.35")</f>
        <v>2.35</v>
      </c>
      <c r="N255" t="s">
        <v>527</v>
      </c>
    </row>
    <row r="256" spans="1:14" ht="12.75" x14ac:dyDescent="0.2">
      <c r="A256" s="1" t="s">
        <v>616</v>
      </c>
      <c r="B256" s="1">
        <v>176</v>
      </c>
      <c r="C256" s="1">
        <v>41</v>
      </c>
      <c r="D256" s="1">
        <v>32.75</v>
      </c>
      <c r="E256" s="1">
        <v>0.97</v>
      </c>
      <c r="F256" s="1">
        <v>800</v>
      </c>
      <c r="G256" t="str">
        <f ca="1">IFERROR(__xludf.DUMMYFUNCTION("ROUND(B256/ FILTER('Pokemon CP/HP'!$M$2:$M1000, LOWER('Pokemon CP/HP'!$B$2:$B1000)=LOWER(A256)))"),"13")</f>
        <v>13</v>
      </c>
      <c r="H256" t="str">
        <f ca="1">IFERROR(__xludf.DUMMYFUNCTION("FILTER('Leveling Info'!$B$2:$B1000, 'Leveling Info'!$A$2:$A1000 =G256)"),"800")</f>
        <v>800</v>
      </c>
      <c r="I256" s="29">
        <f t="shared" ca="1" si="0"/>
        <v>3.6055512754639891</v>
      </c>
      <c r="J256" s="29" t="str">
        <f ca="1">IFERROR(__xludf.DUMMYFUNCTION("IF(F256 = H256,C256/FILTER('Base Stats'!$C$2:$C1000, LOWER('Base Stats'!$B$2:$B1000) = LOWER($A256)), """")"),"0.6833333333")</f>
        <v>0.6833333333</v>
      </c>
      <c r="K256" t="str">
        <f t="shared" ca="1" si="1"/>
        <v/>
      </c>
      <c r="L256" t="str">
        <f ca="1">IFERROR(__xludf.DUMMYFUNCTION("IF(AND(NOT(K256 = """"), G256 &gt;= 15),K256/FILTER('Base Stats'!$C$2:$C1000, LOWER('Base Stats'!$B$2:$B1000) = LOWER($A256)), """")"),"")</f>
        <v/>
      </c>
      <c r="M256" t="str">
        <f ca="1">IFERROR(__xludf.DUMMYFUNCTION("1.15 + 0.02 * FILTER('Base Stats'!$C$2:$C1000, LOWER('Base Stats'!$B$2:$B1000) = LOWER($A256))"),"2.35")</f>
        <v>2.35</v>
      </c>
      <c r="N256" t="s">
        <v>527</v>
      </c>
    </row>
    <row r="257" spans="1:14" ht="12.75" x14ac:dyDescent="0.2">
      <c r="A257" s="1" t="s">
        <v>616</v>
      </c>
      <c r="B257" s="1">
        <v>154</v>
      </c>
      <c r="C257" s="1">
        <v>38</v>
      </c>
      <c r="D257" s="1">
        <v>46.45</v>
      </c>
      <c r="E257" s="1">
        <v>1.21</v>
      </c>
      <c r="F257" s="1">
        <v>600</v>
      </c>
      <c r="G257" t="str">
        <f ca="1">IFERROR(__xludf.DUMMYFUNCTION("ROUND(B257/ FILTER('Pokemon CP/HP'!$M$2:$M1000, LOWER('Pokemon CP/HP'!$B$2:$B1000)=LOWER(A257)))"),"11")</f>
        <v>11</v>
      </c>
      <c r="H257" t="str">
        <f ca="1">IFERROR(__xludf.DUMMYFUNCTION("FILTER('Leveling Info'!$B$2:$B1000, 'Leveling Info'!$A$2:$A1000 =G257)"),"600")</f>
        <v>600</v>
      </c>
      <c r="I257" s="29">
        <f t="shared" ca="1" si="0"/>
        <v>3.3166247903553998</v>
      </c>
      <c r="J257" s="29" t="str">
        <f ca="1">IFERROR(__xludf.DUMMYFUNCTION("IF(F257 = H257,C257/FILTER('Base Stats'!$C$2:$C1000, LOWER('Base Stats'!$B$2:$B1000) = LOWER($A257)), """")"),"0.6333333333")</f>
        <v>0.6333333333</v>
      </c>
      <c r="K257" t="str">
        <f t="shared" ca="1" si="1"/>
        <v/>
      </c>
      <c r="L257" t="str">
        <f ca="1">IFERROR(__xludf.DUMMYFUNCTION("IF(AND(NOT(K257 = """"), G257 &gt;= 15),K257/FILTER('Base Stats'!$C$2:$C1000, LOWER('Base Stats'!$B$2:$B1000) = LOWER($A257)), """")"),"")</f>
        <v/>
      </c>
      <c r="M257" t="str">
        <f ca="1">IFERROR(__xludf.DUMMYFUNCTION("1.15 + 0.02 * FILTER('Base Stats'!$C$2:$C1000, LOWER('Base Stats'!$B$2:$B1000) = LOWER($A257))"),"2.35")</f>
        <v>2.35</v>
      </c>
      <c r="N257" t="s">
        <v>527</v>
      </c>
    </row>
    <row r="258" spans="1:14" ht="12.75" x14ac:dyDescent="0.2">
      <c r="A258" s="1" t="s">
        <v>617</v>
      </c>
      <c r="B258" s="1">
        <v>463</v>
      </c>
      <c r="C258" s="1">
        <v>58</v>
      </c>
      <c r="D258" s="1">
        <v>23.4</v>
      </c>
      <c r="E258" s="1">
        <v>1.23</v>
      </c>
      <c r="F258" s="1">
        <v>1000</v>
      </c>
      <c r="G258" t="str">
        <f ca="1">IFERROR(__xludf.DUMMYFUNCTION("ROUND(B258/ FILTER('Pokemon CP/HP'!$M$2:$M1000, LOWER('Pokemon CP/HP'!$B$2:$B1000)=LOWER(A258)))"),"17")</f>
        <v>17</v>
      </c>
      <c r="H258" t="str">
        <f ca="1">IFERROR(__xludf.DUMMYFUNCTION("FILTER('Leveling Info'!$B$2:$B1000, 'Leveling Info'!$A$2:$A1000 =G258)"),"1000")</f>
        <v>1000</v>
      </c>
      <c r="I258" s="29">
        <f t="shared" ca="1" si="0"/>
        <v>4.1231056256176606</v>
      </c>
      <c r="J258" s="29" t="str">
        <f ca="1">IFERROR(__xludf.DUMMYFUNCTION("IF(F258 = H258,C258/FILTER('Base Stats'!$C$2:$C1000, LOWER('Base Stats'!$B$2:$B1000) = LOWER($A258)), """")"),"0.8285714286")</f>
        <v>0.8285714286</v>
      </c>
      <c r="K258" t="str">
        <f t="shared" ca="1" si="1"/>
        <v/>
      </c>
      <c r="L258" t="str">
        <f ca="1">IFERROR(__xludf.DUMMYFUNCTION("IF(AND(NOT(K258 = """"), G258 &gt;= 15),K258/FILTER('Base Stats'!$C$2:$C1000, LOWER('Base Stats'!$B$2:$B1000) = LOWER($A258)), """")"),"0.0487394958")</f>
        <v>0.0487394958</v>
      </c>
      <c r="M258" t="str">
        <f ca="1">IFERROR(__xludf.DUMMYFUNCTION("1.15 + 0.02 * FILTER('Base Stats'!$C$2:$C1000, LOWER('Base Stats'!$B$2:$B1000) = LOWER($A258))"),"2.55")</f>
        <v>2.55</v>
      </c>
      <c r="N258">
        <v>1.3379469429999999</v>
      </c>
    </row>
    <row r="259" spans="1:14" ht="12.75" x14ac:dyDescent="0.2">
      <c r="A259" s="1" t="s">
        <v>618</v>
      </c>
      <c r="B259" s="1">
        <v>216</v>
      </c>
      <c r="C259" s="1">
        <v>40</v>
      </c>
      <c r="D259" s="1">
        <v>3.76</v>
      </c>
      <c r="E259" s="1">
        <v>0.4</v>
      </c>
      <c r="F259" s="1">
        <v>1300</v>
      </c>
      <c r="G259" t="str">
        <f ca="1">IFERROR(__xludf.DUMMYFUNCTION("ROUND(B259/ FILTER('Pokemon CP/HP'!$M$2:$M1000, LOWER('Pokemon CP/HP'!$B$2:$B1000)=LOWER(A259)))"),"21")</f>
        <v>21</v>
      </c>
      <c r="H259" t="str">
        <f ca="1">IFERROR(__xludf.DUMMYFUNCTION("FILTER('Leveling Info'!$B$2:$B1000, 'Leveling Info'!$A$2:$A1000 =G259)"),"1300")</f>
        <v>1300</v>
      </c>
      <c r="I259" s="29">
        <f t="shared" ca="1" si="0"/>
        <v>4.5825756949558398</v>
      </c>
      <c r="J259" s="29" t="str">
        <f ca="1">IFERROR(__xludf.DUMMYFUNCTION("IF(F259 = H259,C259/FILTER('Base Stats'!$C$2:$C1000, LOWER('Base Stats'!$B$2:$B1000) = LOWER($A259)), """")"),"1")</f>
        <v>1</v>
      </c>
      <c r="K259" t="str">
        <f t="shared" ca="1" si="1"/>
        <v/>
      </c>
      <c r="L259" t="str">
        <f ca="1">IFERROR(__xludf.DUMMYFUNCTION("IF(AND(NOT(K259 = """"), G259 &gt;= 15),K259/FILTER('Base Stats'!$C$2:$C1000, LOWER('Base Stats'!$B$2:$B1000) = LOWER($A259)), """")"),"0.04761904762")</f>
        <v>0.04761904762</v>
      </c>
      <c r="M259" t="str">
        <f ca="1">IFERROR(__xludf.DUMMYFUNCTION("1.15 + 0.02 * FILTER('Base Stats'!$C$2:$C1000, LOWER('Base Stats'!$B$2:$B1000) = LOWER($A259))"),"1.95")</f>
        <v>1.95</v>
      </c>
      <c r="N259">
        <v>0.9768009768</v>
      </c>
    </row>
    <row r="260" spans="1:14" ht="12.75" x14ac:dyDescent="0.2">
      <c r="A260" s="1" t="s">
        <v>618</v>
      </c>
      <c r="B260" s="1">
        <v>92</v>
      </c>
      <c r="C260" s="1">
        <v>24</v>
      </c>
      <c r="D260" s="1">
        <v>3.65</v>
      </c>
      <c r="E260" s="1">
        <v>0.37</v>
      </c>
      <c r="F260" s="1">
        <v>600</v>
      </c>
      <c r="G260" t="str">
        <f ca="1">IFERROR(__xludf.DUMMYFUNCTION("ROUND(B260/ FILTER('Pokemon CP/HP'!$M$2:$M1000, LOWER('Pokemon CP/HP'!$B$2:$B1000)=LOWER(A260)))"),"9")</f>
        <v>9</v>
      </c>
      <c r="H260" t="str">
        <f ca="1">IFERROR(__xludf.DUMMYFUNCTION("FILTER('Leveling Info'!$B$2:$B1000, 'Leveling Info'!$A$2:$A1000 =G260)"),"600")</f>
        <v>600</v>
      </c>
      <c r="I260" s="29">
        <f t="shared" ca="1" si="0"/>
        <v>3</v>
      </c>
      <c r="J260" s="29" t="str">
        <f ca="1">IFERROR(__xludf.DUMMYFUNCTION("IF(F260 = H260,C260/FILTER('Base Stats'!$C$2:$C1000, LOWER('Base Stats'!$B$2:$B1000) = LOWER($A260)), """")"),"0.6")</f>
        <v>0.6</v>
      </c>
      <c r="K260" t="str">
        <f t="shared" ca="1" si="1"/>
        <v/>
      </c>
      <c r="L260" t="str">
        <f ca="1">IFERROR(__xludf.DUMMYFUNCTION("IF(AND(NOT(K260 = """"), G260 &gt;= 15),K260/FILTER('Base Stats'!$C$2:$C1000, LOWER('Base Stats'!$B$2:$B1000) = LOWER($A260)), """")"),"")</f>
        <v/>
      </c>
      <c r="M260" t="str">
        <f ca="1">IFERROR(__xludf.DUMMYFUNCTION("1.15 + 0.02 * FILTER('Base Stats'!$C$2:$C1000, LOWER('Base Stats'!$B$2:$B1000) = LOWER($A260))"),"1.95")</f>
        <v>1.95</v>
      </c>
      <c r="N260" t="s">
        <v>527</v>
      </c>
    </row>
    <row r="261" spans="1:14" ht="12.75" x14ac:dyDescent="0.2">
      <c r="A261" s="1" t="s">
        <v>619</v>
      </c>
      <c r="B261" s="1">
        <v>202</v>
      </c>
      <c r="C261" s="1">
        <v>40</v>
      </c>
      <c r="D261" s="1">
        <v>26.98</v>
      </c>
      <c r="E261" s="1">
        <v>0.94</v>
      </c>
      <c r="F261" s="1">
        <v>600</v>
      </c>
      <c r="G261" t="str">
        <f ca="1">IFERROR(__xludf.DUMMYFUNCTION("ROUND(B261/ FILTER('Pokemon CP/HP'!$M$2:$M1000, LOWER('Pokemon CP/HP'!$B$2:$B1000)=LOWER(A261)))"),"9")</f>
        <v>9</v>
      </c>
      <c r="H261" t="str">
        <f ca="1">IFERROR(__xludf.DUMMYFUNCTION("FILTER('Leveling Info'!$B$2:$B1000, 'Leveling Info'!$A$2:$A1000 =G261)"),"600")</f>
        <v>600</v>
      </c>
      <c r="I261" s="29">
        <f t="shared" ca="1" si="0"/>
        <v>3</v>
      </c>
      <c r="J261" s="29" t="str">
        <f ca="1">IFERROR(__xludf.DUMMYFUNCTION("IF(F261 = H261,C261/FILTER('Base Stats'!$C$2:$C1000, LOWER('Base Stats'!$B$2:$B1000) = LOWER($A261)), """")"),"0.6153846154")</f>
        <v>0.6153846154</v>
      </c>
      <c r="K261" t="str">
        <f t="shared" ca="1" si="1"/>
        <v/>
      </c>
      <c r="L261" t="str">
        <f ca="1">IFERROR(__xludf.DUMMYFUNCTION("IF(AND(NOT(K261 = """"), G261 &gt;= 15),K261/FILTER('Base Stats'!$C$2:$C1000, LOWER('Base Stats'!$B$2:$B1000) = LOWER($A261)), """")"),"")</f>
        <v/>
      </c>
      <c r="M261" t="str">
        <f ca="1">IFERROR(__xludf.DUMMYFUNCTION("1.15 + 0.02 * FILTER('Base Stats'!$C$2:$C1000, LOWER('Base Stats'!$B$2:$B1000) = LOWER($A261))"),"2.45")</f>
        <v>2.45</v>
      </c>
      <c r="N261" t="s">
        <v>527</v>
      </c>
    </row>
    <row r="262" spans="1:14" ht="12.75" x14ac:dyDescent="0.2">
      <c r="A262" s="1" t="s">
        <v>620</v>
      </c>
      <c r="B262" s="1">
        <v>425</v>
      </c>
      <c r="C262" s="1">
        <v>52</v>
      </c>
      <c r="D262" s="1">
        <v>7.47</v>
      </c>
      <c r="E262" s="1">
        <v>0.55000000000000004</v>
      </c>
      <c r="F262" s="1">
        <v>1900</v>
      </c>
      <c r="G262" t="str">
        <f ca="1">IFERROR(__xludf.DUMMYFUNCTION("ROUND(B262/ FILTER('Pokemon CP/HP'!$M$2:$M1000, LOWER('Pokemon CP/HP'!$B$2:$B1000)=LOWER(A262)))"),"30")</f>
        <v>30</v>
      </c>
      <c r="H262" t="str">
        <f ca="1">IFERROR(__xludf.DUMMYFUNCTION("FILTER('Leveling Info'!$B$2:$B1000, 'Leveling Info'!$A$2:$A1000 =G262)"),"1900")</f>
        <v>1900</v>
      </c>
      <c r="I262" s="29">
        <f t="shared" ca="1" si="0"/>
        <v>5.4772255750516612</v>
      </c>
      <c r="J262" s="29" t="str">
        <f ca="1">IFERROR(__xludf.DUMMYFUNCTION("IF(F262 = H262,C262/FILTER('Base Stats'!$C$2:$C1000, LOWER('Base Stats'!$B$2:$B1000) = LOWER($A262)), """")"),"1.04")</f>
        <v>1.04</v>
      </c>
      <c r="K262" t="str">
        <f t="shared" ca="1" si="1"/>
        <v/>
      </c>
      <c r="L262" t="str">
        <f ca="1">IFERROR(__xludf.DUMMYFUNCTION("IF(AND(NOT(K262 = """"), G262 &gt;= 15),K262/FILTER('Base Stats'!$C$2:$C1000, LOWER('Base Stats'!$B$2:$B1000) = LOWER($A262)), """")"),"0.03466666667")</f>
        <v>0.03466666667</v>
      </c>
      <c r="M262" t="str">
        <f ca="1">IFERROR(__xludf.DUMMYFUNCTION("1.15 + 0.02 * FILTER('Base Stats'!$C$2:$C1000, LOWER('Base Stats'!$B$2:$B1000) = LOWER($A262))"),"2.15")</f>
        <v>2.15</v>
      </c>
      <c r="N262">
        <v>0.80620155039999997</v>
      </c>
    </row>
    <row r="263" spans="1:14" ht="12.75" x14ac:dyDescent="0.2">
      <c r="A263" s="1" t="s">
        <v>620</v>
      </c>
      <c r="B263" s="1">
        <v>281</v>
      </c>
      <c r="C263" s="1">
        <v>44</v>
      </c>
      <c r="D263" s="1">
        <v>14.1</v>
      </c>
      <c r="E263" s="1">
        <v>0.7</v>
      </c>
      <c r="F263" s="1">
        <v>1300</v>
      </c>
      <c r="G263" t="str">
        <f ca="1">IFERROR(__xludf.DUMMYFUNCTION("ROUND(B263/ FILTER('Pokemon CP/HP'!$M$2:$M1000, LOWER('Pokemon CP/HP'!$B$2:$B1000)=LOWER(A263)))"),"20")</f>
        <v>20</v>
      </c>
      <c r="H263" t="str">
        <f ca="1">IFERROR(__xludf.DUMMYFUNCTION("FILTER('Leveling Info'!$B$2:$B1000, 'Leveling Info'!$A$2:$A1000 =G263)"),"1000")</f>
        <v>1000</v>
      </c>
      <c r="I263" s="29">
        <f t="shared" ca="1" si="0"/>
        <v>4.4721359549995796</v>
      </c>
      <c r="J263" s="29" t="str">
        <f ca="1">IFERROR(__xludf.DUMMYFUNCTION("IF(F263 = H263,C263/FILTER('Base Stats'!$C$2:$C1000, LOWER('Base Stats'!$B$2:$B1000) = LOWER($A263)), """")"),"")</f>
        <v/>
      </c>
      <c r="K263" t="str">
        <f t="shared" ca="1" si="1"/>
        <v/>
      </c>
      <c r="L263" t="str">
        <f ca="1">IFERROR(__xludf.DUMMYFUNCTION("IF(AND(NOT(K263 = """"), G263 &gt;= 15),K263/FILTER('Base Stats'!$C$2:$C1000, LOWER('Base Stats'!$B$2:$B1000) = LOWER($A263)), """")"),"")</f>
        <v/>
      </c>
      <c r="M263" t="str">
        <f ca="1">IFERROR(__xludf.DUMMYFUNCTION("1.15 + 0.02 * FILTER('Base Stats'!$C$2:$C1000, LOWER('Base Stats'!$B$2:$B1000) = LOWER($A263))"),"2.15")</f>
        <v>2.15</v>
      </c>
      <c r="N263" t="s">
        <v>527</v>
      </c>
    </row>
    <row r="264" spans="1:14" ht="12.75" x14ac:dyDescent="0.2">
      <c r="A264" s="1" t="s">
        <v>620</v>
      </c>
      <c r="B264" s="1">
        <v>273</v>
      </c>
      <c r="C264" s="1">
        <v>47</v>
      </c>
      <c r="D264" s="1">
        <v>18.29</v>
      </c>
      <c r="E264" s="1">
        <v>0.76</v>
      </c>
      <c r="F264" s="1">
        <v>1000</v>
      </c>
      <c r="G264" t="str">
        <f ca="1">IFERROR(__xludf.DUMMYFUNCTION("ROUND(B264/ FILTER('Pokemon CP/HP'!$M$2:$M1000, LOWER('Pokemon CP/HP'!$B$2:$B1000)=LOWER(A264)))"),"20")</f>
        <v>20</v>
      </c>
      <c r="H264" t="str">
        <f ca="1">IFERROR(__xludf.DUMMYFUNCTION("FILTER('Leveling Info'!$B$2:$B1000, 'Leveling Info'!$A$2:$A1000 =G264)"),"1000")</f>
        <v>1000</v>
      </c>
      <c r="I264" s="29">
        <f t="shared" ca="1" si="0"/>
        <v>4.4721359549995796</v>
      </c>
      <c r="J264" s="29" t="str">
        <f ca="1">IFERROR(__xludf.DUMMYFUNCTION("IF(F264 = H264,C264/FILTER('Base Stats'!$C$2:$C1000, LOWER('Base Stats'!$B$2:$B1000) = LOWER($A264)), """")"),"0.94")</f>
        <v>0.94</v>
      </c>
      <c r="K264" t="str">
        <f t="shared" ca="1" si="1"/>
        <v/>
      </c>
      <c r="L264" t="str">
        <f ca="1">IFERROR(__xludf.DUMMYFUNCTION("IF(AND(NOT(K264 = """"), G264 &gt;= 15),K264/FILTER('Base Stats'!$C$2:$C1000, LOWER('Base Stats'!$B$2:$B1000) = LOWER($A264)), """")"),"0.047")</f>
        <v>0.047</v>
      </c>
      <c r="M264" t="str">
        <f ca="1">IFERROR(__xludf.DUMMYFUNCTION("1.15 + 0.02 * FILTER('Base Stats'!$C$2:$C1000, LOWER('Base Stats'!$B$2:$B1000) = LOWER($A264))"),"2.15")</f>
        <v>2.15</v>
      </c>
      <c r="N264">
        <v>1.0930232559999999</v>
      </c>
    </row>
    <row r="265" spans="1:14" ht="12.75" x14ac:dyDescent="0.2">
      <c r="A265" s="1" t="s">
        <v>620</v>
      </c>
      <c r="B265" s="1">
        <v>13</v>
      </c>
      <c r="C265" s="1">
        <v>10</v>
      </c>
      <c r="D265" s="1">
        <v>27.1</v>
      </c>
      <c r="E265" s="1">
        <v>0.92</v>
      </c>
      <c r="F265" s="1">
        <v>200</v>
      </c>
      <c r="G265" t="str">
        <f ca="1">IFERROR(__xludf.DUMMYFUNCTION("ROUND(B265/ FILTER('Pokemon CP/HP'!$M$2:$M1000, LOWER('Pokemon CP/HP'!$B$2:$B1000)=LOWER(A265)))"),"1")</f>
        <v>1</v>
      </c>
      <c r="H265" t="str">
        <f ca="1">IFERROR(__xludf.DUMMYFUNCTION("FILTER('Leveling Info'!$B$2:$B1000, 'Leveling Info'!$A$2:$A1000 =G265)"),"200")</f>
        <v>200</v>
      </c>
      <c r="I265" s="29">
        <f t="shared" ca="1" si="0"/>
        <v>1</v>
      </c>
      <c r="J265" s="29" t="str">
        <f ca="1">IFERROR(__xludf.DUMMYFUNCTION("IF(F265 = H265,C265/FILTER('Base Stats'!$C$2:$C1000, LOWER('Base Stats'!$B$2:$B1000) = LOWER($A265)), """")"),"0.2")</f>
        <v>0.2</v>
      </c>
      <c r="K265" t="str">
        <f t="shared" ca="1" si="1"/>
        <v/>
      </c>
      <c r="L265" t="str">
        <f ca="1">IFERROR(__xludf.DUMMYFUNCTION("IF(AND(NOT(K265 = """"), G265 &gt;= 15),K265/FILTER('Base Stats'!$C$2:$C1000, LOWER('Base Stats'!$B$2:$B1000) = LOWER($A265)), """")"),"")</f>
        <v/>
      </c>
      <c r="M265" t="str">
        <f ca="1">IFERROR(__xludf.DUMMYFUNCTION("1.15 + 0.02 * FILTER('Base Stats'!$C$2:$C1000, LOWER('Base Stats'!$B$2:$B1000) = LOWER($A265))"),"2.15")</f>
        <v>2.15</v>
      </c>
      <c r="N265" t="s">
        <v>527</v>
      </c>
    </row>
    <row r="266" spans="1:14" ht="12.75" x14ac:dyDescent="0.2">
      <c r="A266" s="1" t="s">
        <v>621</v>
      </c>
      <c r="B266" s="1">
        <v>244</v>
      </c>
      <c r="C266" s="1">
        <v>41</v>
      </c>
      <c r="D266" s="1">
        <v>16.809999999999999</v>
      </c>
      <c r="E266" s="1">
        <v>0.72</v>
      </c>
      <c r="F266" s="1">
        <v>800</v>
      </c>
      <c r="G266" t="str">
        <f ca="1">IFERROR(__xludf.DUMMYFUNCTION("ROUND(B266/ FILTER('Pokemon CP/HP'!$M$2:$M1000, LOWER('Pokemon CP/HP'!$B$2:$B1000)=LOWER(A266)))"),"13")</f>
        <v>13</v>
      </c>
      <c r="H266" t="str">
        <f ca="1">IFERROR(__xludf.DUMMYFUNCTION("FILTER('Leveling Info'!$B$2:$B1000, 'Leveling Info'!$A$2:$A1000 =G266)"),"800")</f>
        <v>800</v>
      </c>
      <c r="I266" s="29">
        <f t="shared" ca="1" si="0"/>
        <v>3.6055512754639891</v>
      </c>
      <c r="J266" s="29" t="str">
        <f ca="1">IFERROR(__xludf.DUMMYFUNCTION("IF(F266 = H266,C266/FILTER('Base Stats'!$C$2:$C1000, LOWER('Base Stats'!$B$2:$B1000) = LOWER($A266)), """")"),"0.7454545455")</f>
        <v>0.7454545455</v>
      </c>
      <c r="K266" t="str">
        <f t="shared" ca="1" si="1"/>
        <v/>
      </c>
      <c r="L266" t="str">
        <f ca="1">IFERROR(__xludf.DUMMYFUNCTION("IF(AND(NOT(K266 = """"), G266 &gt;= 15),K266/FILTER('Base Stats'!$C$2:$C1000, LOWER('Base Stats'!$B$2:$B1000) = LOWER($A266)), """")"),"")</f>
        <v/>
      </c>
      <c r="M266" t="str">
        <f ca="1">IFERROR(__xludf.DUMMYFUNCTION("1.15 + 0.02 * FILTER('Base Stats'!$C$2:$C1000, LOWER('Base Stats'!$B$2:$B1000) = LOWER($A266))"),"2.25")</f>
        <v>2.25</v>
      </c>
      <c r="N266" t="s">
        <v>527</v>
      </c>
    </row>
    <row r="267" spans="1:14" ht="12.75" x14ac:dyDescent="0.2">
      <c r="A267" s="1" t="s">
        <v>621</v>
      </c>
      <c r="B267" s="1">
        <v>89</v>
      </c>
      <c r="C267" s="1">
        <v>25</v>
      </c>
      <c r="D267" s="1">
        <v>24.81</v>
      </c>
      <c r="E267" s="1">
        <v>0.82</v>
      </c>
      <c r="F267" s="1">
        <v>400</v>
      </c>
      <c r="G267" t="str">
        <f ca="1">IFERROR(__xludf.DUMMYFUNCTION("ROUND(B267/ FILTER('Pokemon CP/HP'!$M$2:$M1000, LOWER('Pokemon CP/HP'!$B$2:$B1000)=LOWER(A267)))"),"5")</f>
        <v>5</v>
      </c>
      <c r="H267" t="str">
        <f ca="1">IFERROR(__xludf.DUMMYFUNCTION("FILTER('Leveling Info'!$B$2:$B1000, 'Leveling Info'!$A$2:$A1000 =G267)"),"400")</f>
        <v>400</v>
      </c>
      <c r="I267" s="29">
        <f t="shared" ca="1" si="0"/>
        <v>2.2360679774997898</v>
      </c>
      <c r="J267" s="29" t="str">
        <f ca="1">IFERROR(__xludf.DUMMYFUNCTION("IF(F267 = H267,C267/FILTER('Base Stats'!$C$2:$C1000, LOWER('Base Stats'!$B$2:$B1000) = LOWER($A267)), """")"),"0.4545454545")</f>
        <v>0.4545454545</v>
      </c>
      <c r="K267" t="str">
        <f t="shared" ca="1" si="1"/>
        <v/>
      </c>
      <c r="L267" t="str">
        <f ca="1">IFERROR(__xludf.DUMMYFUNCTION("IF(AND(NOT(K267 = """"), G267 &gt;= 15),K267/FILTER('Base Stats'!$C$2:$C1000, LOWER('Base Stats'!$B$2:$B1000) = LOWER($A267)), """")"),"")</f>
        <v/>
      </c>
      <c r="M267" t="str">
        <f ca="1">IFERROR(__xludf.DUMMYFUNCTION("1.15 + 0.02 * FILTER('Base Stats'!$C$2:$C1000, LOWER('Base Stats'!$B$2:$B1000) = LOWER($A267))"),"2.25")</f>
        <v>2.25</v>
      </c>
      <c r="N267" t="s">
        <v>527</v>
      </c>
    </row>
    <row r="268" spans="1:14" ht="12.75" x14ac:dyDescent="0.2">
      <c r="A268" s="1" t="s">
        <v>622</v>
      </c>
      <c r="B268" s="1">
        <v>47</v>
      </c>
      <c r="C268" s="1">
        <v>17</v>
      </c>
      <c r="D268" s="1">
        <v>7.83</v>
      </c>
      <c r="E268" s="1">
        <v>0.52</v>
      </c>
      <c r="F268" s="1">
        <v>400</v>
      </c>
      <c r="G268" t="str">
        <f ca="1">IFERROR(__xludf.DUMMYFUNCTION("ROUND(B268/ FILTER('Pokemon CP/HP'!$M$2:$M1000, LOWER('Pokemon CP/HP'!$B$2:$B1000)=LOWER(A268)))"),"5")</f>
        <v>5</v>
      </c>
      <c r="H268" t="str">
        <f ca="1">IFERROR(__xludf.DUMMYFUNCTION("FILTER('Leveling Info'!$B$2:$B1000, 'Leveling Info'!$A$2:$A1000 =G268)"),"400")</f>
        <v>400</v>
      </c>
      <c r="I268" s="29">
        <f t="shared" ca="1" si="0"/>
        <v>2.2360679774997898</v>
      </c>
      <c r="J268" s="29" t="str">
        <f ca="1">IFERROR(__xludf.DUMMYFUNCTION("IF(F268 = H268,C268/FILTER('Base Stats'!$C$2:$C1000, LOWER('Base Stats'!$B$2:$B1000) = LOWER($A268)), """")"),"0.425")</f>
        <v>0.425</v>
      </c>
      <c r="K268" t="str">
        <f t="shared" ca="1" si="1"/>
        <v/>
      </c>
      <c r="L268" t="str">
        <f ca="1">IFERROR(__xludf.DUMMYFUNCTION("IF(AND(NOT(K268 = """"), G268 &gt;= 15),K268/FILTER('Base Stats'!$C$2:$C1000, LOWER('Base Stats'!$B$2:$B1000) = LOWER($A268)), """")"),"")</f>
        <v/>
      </c>
      <c r="M268" t="str">
        <f ca="1">IFERROR(__xludf.DUMMYFUNCTION("1.15 + 0.02 * FILTER('Base Stats'!$C$2:$C1000, LOWER('Base Stats'!$B$2:$B1000) = LOWER($A268))"),"1.95")</f>
        <v>1.95</v>
      </c>
      <c r="N268" t="s">
        <v>527</v>
      </c>
    </row>
    <row r="269" spans="1:14" ht="12.75" x14ac:dyDescent="0.2">
      <c r="A269" s="1" t="s">
        <v>623</v>
      </c>
      <c r="B269" s="1">
        <v>332</v>
      </c>
      <c r="C269" s="1">
        <v>57</v>
      </c>
      <c r="D269" s="1">
        <v>13.98</v>
      </c>
      <c r="E269" s="1">
        <v>0.82</v>
      </c>
      <c r="F269" s="1">
        <v>1000</v>
      </c>
      <c r="G269" t="str">
        <f ca="1">IFERROR(__xludf.DUMMYFUNCTION("ROUND(B269/ FILTER('Pokemon CP/HP'!$M$2:$M1000, LOWER('Pokemon CP/HP'!$B$2:$B1000)=LOWER(A269)))"),"21")</f>
        <v>21</v>
      </c>
      <c r="H269" t="str">
        <f ca="1">IFERROR(__xludf.DUMMYFUNCTION("FILTER('Leveling Info'!$B$2:$B1000, 'Leveling Info'!$A$2:$A1000 =G269)"),"1300")</f>
        <v>1300</v>
      </c>
      <c r="I269" s="29">
        <f t="shared" ca="1" si="0"/>
        <v>4.5825756949558398</v>
      </c>
      <c r="J269" s="29" t="str">
        <f ca="1">IFERROR(__xludf.DUMMYFUNCTION("IF(F269 = H269,C269/FILTER('Base Stats'!$C$2:$C1000, LOWER('Base Stats'!$B$2:$B1000) = LOWER($A269)), """")"),"")</f>
        <v/>
      </c>
      <c r="K269" t="str">
        <f t="shared" ca="1" si="1"/>
        <v/>
      </c>
      <c r="L269" t="str">
        <f ca="1">IFERROR(__xludf.DUMMYFUNCTION("IF(AND(NOT(K269 = """"), G269 &gt;= 15),K269/FILTER('Base Stats'!$C$2:$C1000, LOWER('Base Stats'!$B$2:$B1000) = LOWER($A269)), """")"),"")</f>
        <v/>
      </c>
      <c r="M269" t="str">
        <f ca="1">IFERROR(__xludf.DUMMYFUNCTION("1.15 + 0.02 * FILTER('Base Stats'!$C$2:$C1000, LOWER('Base Stats'!$B$2:$B1000) = LOWER($A269))"),"2.45")</f>
        <v>2.45</v>
      </c>
      <c r="N269" t="s">
        <v>527</v>
      </c>
    </row>
    <row r="270" spans="1:14" ht="12.75" x14ac:dyDescent="0.2">
      <c r="A270" s="1" t="s">
        <v>624</v>
      </c>
      <c r="B270" s="1">
        <v>220</v>
      </c>
      <c r="C270" s="1">
        <v>25</v>
      </c>
      <c r="D270" s="1">
        <v>16.36</v>
      </c>
      <c r="E270" s="1">
        <v>0.68</v>
      </c>
      <c r="F270" s="1">
        <v>1900</v>
      </c>
      <c r="G270" t="str">
        <f ca="1">IFERROR(__xludf.DUMMYFUNCTION("ROUND(B270/ FILTER('Pokemon CP/HP'!$M$2:$M1000, LOWER('Pokemon CP/HP'!$B$2:$B1000)=LOWER(A270)))"),"32")</f>
        <v>32</v>
      </c>
      <c r="H270" t="str">
        <f ca="1">IFERROR(__xludf.DUMMYFUNCTION("FILTER('Leveling Info'!$B$2:$B1000, 'Leveling Info'!$A$2:$A1000 =G270)"),"1900")</f>
        <v>1900</v>
      </c>
      <c r="I270" s="29">
        <f t="shared" ca="1" si="0"/>
        <v>5.6568542494923806</v>
      </c>
      <c r="J270" s="29" t="str">
        <f ca="1">IFERROR(__xludf.DUMMYFUNCTION("IF(F270 = H270,C270/FILTER('Base Stats'!$C$2:$C1000, LOWER('Base Stats'!$B$2:$B1000) = LOWER($A270)), """")"),"1")</f>
        <v>1</v>
      </c>
      <c r="K270" t="str">
        <f t="shared" ca="1" si="1"/>
        <v/>
      </c>
      <c r="L270" t="str">
        <f ca="1">IFERROR(__xludf.DUMMYFUNCTION("IF(AND(NOT(K270 = """"), G270 &gt;= 15),K270/FILTER('Base Stats'!$C$2:$C1000, LOWER('Base Stats'!$B$2:$B1000) = LOWER($A270)), """")"),"0.03125")</f>
        <v>0.03125</v>
      </c>
      <c r="M270" t="str">
        <f ca="1">IFERROR(__xludf.DUMMYFUNCTION("1.15 + 0.02 * FILTER('Base Stats'!$C$2:$C1000, LOWER('Base Stats'!$B$2:$B1000) = LOWER($A270))"),"1.65")</f>
        <v>1.65</v>
      </c>
      <c r="N270">
        <v>0.4734848485</v>
      </c>
    </row>
    <row r="271" spans="1:14" ht="12.75" x14ac:dyDescent="0.2">
      <c r="A271" s="1" t="s">
        <v>624</v>
      </c>
      <c r="B271" s="1">
        <v>131</v>
      </c>
      <c r="C271" s="1">
        <v>19</v>
      </c>
      <c r="D271" s="1">
        <v>16.36</v>
      </c>
      <c r="E271" s="1">
        <v>0.68</v>
      </c>
      <c r="F271" s="1">
        <v>1000</v>
      </c>
      <c r="G271" t="str">
        <f ca="1">IFERROR(__xludf.DUMMYFUNCTION("ROUND(B271/ FILTER('Pokemon CP/HP'!$M$2:$M1000, LOWER('Pokemon CP/HP'!$B$2:$B1000)=LOWER(A271)))"),"19")</f>
        <v>19</v>
      </c>
      <c r="H271" t="str">
        <f ca="1">IFERROR(__xludf.DUMMYFUNCTION("FILTER('Leveling Info'!$B$2:$B1000, 'Leveling Info'!$A$2:$A1000 =G271)"),"1000")</f>
        <v>1000</v>
      </c>
      <c r="I271" s="29">
        <f t="shared" ca="1" si="0"/>
        <v>4.358898943540674</v>
      </c>
      <c r="J271" s="29" t="str">
        <f ca="1">IFERROR(__xludf.DUMMYFUNCTION("IF(F271 = H271,C271/FILTER('Base Stats'!$C$2:$C1000, LOWER('Base Stats'!$B$2:$B1000) = LOWER($A271)), """")"),"0.76")</f>
        <v>0.76</v>
      </c>
      <c r="K271" t="str">
        <f t="shared" ca="1" si="1"/>
        <v/>
      </c>
      <c r="L271" t="str">
        <f ca="1">IFERROR(__xludf.DUMMYFUNCTION("IF(AND(NOT(K271 = """"), G271 &gt;= 15),K271/FILTER('Base Stats'!$C$2:$C1000, LOWER('Base Stats'!$B$2:$B1000) = LOWER($A271)), """")"),"0.04")</f>
        <v>0.04</v>
      </c>
      <c r="M271" t="str">
        <f ca="1">IFERROR(__xludf.DUMMYFUNCTION("1.15 + 0.02 * FILTER('Base Stats'!$C$2:$C1000, LOWER('Base Stats'!$B$2:$B1000) = LOWER($A271))"),"1.65")</f>
        <v>1.65</v>
      </c>
      <c r="N271">
        <v>0.60606060610000001</v>
      </c>
    </row>
    <row r="272" spans="1:14" ht="12.75" x14ac:dyDescent="0.2">
      <c r="A272" s="1" t="s">
        <v>624</v>
      </c>
      <c r="B272" s="1">
        <v>94</v>
      </c>
      <c r="C272" s="1">
        <v>20</v>
      </c>
      <c r="D272" s="1">
        <v>14.45</v>
      </c>
      <c r="E272" s="1">
        <v>0.77</v>
      </c>
      <c r="F272" s="1">
        <v>600</v>
      </c>
      <c r="G272" t="str">
        <f ca="1">IFERROR(__xludf.DUMMYFUNCTION("ROUND(B272/ FILTER('Pokemon CP/HP'!$M$2:$M1000, LOWER('Pokemon CP/HP'!$B$2:$B1000)=LOWER(A272)))"),"14")</f>
        <v>14</v>
      </c>
      <c r="H272" t="str">
        <f ca="1">IFERROR(__xludf.DUMMYFUNCTION("FILTER('Leveling Info'!$B$2:$B1000, 'Leveling Info'!$A$2:$A1000 =G272)"),"800")</f>
        <v>800</v>
      </c>
      <c r="I272" s="29">
        <f t="shared" ca="1" si="0"/>
        <v>3.7416573867739413</v>
      </c>
      <c r="J272" s="29" t="str">
        <f ca="1">IFERROR(__xludf.DUMMYFUNCTION("IF(F272 = H272,C272/FILTER('Base Stats'!$C$2:$C1000, LOWER('Base Stats'!$B$2:$B1000) = LOWER($A272)), """")"),"")</f>
        <v/>
      </c>
      <c r="K272" t="str">
        <f t="shared" ca="1" si="1"/>
        <v/>
      </c>
      <c r="L272" t="str">
        <f ca="1">IFERROR(__xludf.DUMMYFUNCTION("IF(AND(NOT(K272 = """"), G272 &gt;= 15),K272/FILTER('Base Stats'!$C$2:$C1000, LOWER('Base Stats'!$B$2:$B1000) = LOWER($A272)), """")"),"")</f>
        <v/>
      </c>
      <c r="M272" t="str">
        <f ca="1">IFERROR(__xludf.DUMMYFUNCTION("1.15 + 0.02 * FILTER('Base Stats'!$C$2:$C1000, LOWER('Base Stats'!$B$2:$B1000) = LOWER($A272))"),"1.65")</f>
        <v>1.65</v>
      </c>
      <c r="N272" t="s">
        <v>527</v>
      </c>
    </row>
    <row r="273" spans="1:14" ht="12.75" x14ac:dyDescent="0.2">
      <c r="A273" s="1" t="s">
        <v>625</v>
      </c>
      <c r="B273" s="1">
        <v>258</v>
      </c>
      <c r="C273" s="1">
        <v>59</v>
      </c>
      <c r="D273" s="1">
        <v>21.22</v>
      </c>
      <c r="E273" s="1">
        <v>0.83</v>
      </c>
      <c r="F273" s="1">
        <v>1000</v>
      </c>
      <c r="G273" t="str">
        <f ca="1">IFERROR(__xludf.DUMMYFUNCTION("ROUND(B273/ FILTER('Pokemon CP/HP'!$M$2:$M1000, LOWER('Pokemon CP/HP'!$B$2:$B1000)=LOWER(A273)))"),"18")</f>
        <v>18</v>
      </c>
      <c r="H273" t="str">
        <f ca="1">IFERROR(__xludf.DUMMYFUNCTION("FILTER('Leveling Info'!$B$2:$B1000, 'Leveling Info'!$A$2:$A1000 =G273)"),"1000")</f>
        <v>1000</v>
      </c>
      <c r="I273" s="29">
        <f t="shared" ca="1" si="0"/>
        <v>4.2426406871192848</v>
      </c>
      <c r="J273" s="29" t="str">
        <f ca="1">IFERROR(__xludf.DUMMYFUNCTION("IF(F273 = H273,C273/FILTER('Base Stats'!$C$2:$C1000, LOWER('Base Stats'!$B$2:$B1000) = LOWER($A273)), """")"),"0.8428571429")</f>
        <v>0.8428571429</v>
      </c>
      <c r="K273" t="str">
        <f t="shared" ca="1" si="1"/>
        <v/>
      </c>
      <c r="L273" t="str">
        <f ca="1">IFERROR(__xludf.DUMMYFUNCTION("IF(AND(NOT(K273 = """"), G273 &gt;= 15),K273/FILTER('Base Stats'!$C$2:$C1000, LOWER('Base Stats'!$B$2:$B1000) = LOWER($A273)), """")"),"0.04682539683")</f>
        <v>0.04682539683</v>
      </c>
      <c r="M273" t="str">
        <f ca="1">IFERROR(__xludf.DUMMYFUNCTION("1.15 + 0.02 * FILTER('Base Stats'!$C$2:$C1000, LOWER('Base Stats'!$B$2:$B1000) = LOWER($A273))"),"2.55")</f>
        <v>2.55</v>
      </c>
      <c r="N273">
        <v>1.28540305</v>
      </c>
    </row>
    <row r="274" spans="1:14" ht="12.75" x14ac:dyDescent="0.2">
      <c r="A274" s="1" t="s">
        <v>625</v>
      </c>
      <c r="B274" s="1">
        <v>219</v>
      </c>
      <c r="C274" s="1">
        <v>57</v>
      </c>
      <c r="D274" s="1">
        <v>18.97</v>
      </c>
      <c r="E274" s="1">
        <v>0.78</v>
      </c>
      <c r="F274" s="1">
        <v>800</v>
      </c>
      <c r="G274" t="str">
        <f ca="1">IFERROR(__xludf.DUMMYFUNCTION("ROUND(B274/ FILTER('Pokemon CP/HP'!$M$2:$M1000, LOWER('Pokemon CP/HP'!$B$2:$B1000)=LOWER(A274)))"),"15")</f>
        <v>15</v>
      </c>
      <c r="H274" t="str">
        <f ca="1">IFERROR(__xludf.DUMMYFUNCTION("FILTER('Leveling Info'!$B$2:$B1000, 'Leveling Info'!$A$2:$A1000 =G274)"),"800")</f>
        <v>800</v>
      </c>
      <c r="I274" s="29">
        <f t="shared" ca="1" si="0"/>
        <v>3.872983346207417</v>
      </c>
      <c r="J274" s="29" t="str">
        <f ca="1">IFERROR(__xludf.DUMMYFUNCTION("IF(F274 = H274,C274/FILTER('Base Stats'!$C$2:$C1000, LOWER('Base Stats'!$B$2:$B1000) = LOWER($A274)), """")"),"0.8142857143")</f>
        <v>0.8142857143</v>
      </c>
      <c r="K274" t="str">
        <f t="shared" ca="1" si="1"/>
        <v/>
      </c>
      <c r="L274" t="str">
        <f ca="1">IFERROR(__xludf.DUMMYFUNCTION("IF(AND(NOT(K274 = """"), G274 &gt;= 15),K274/FILTER('Base Stats'!$C$2:$C1000, LOWER('Base Stats'!$B$2:$B1000) = LOWER($A274)), """")"),"0.05428571429")</f>
        <v>0.05428571429</v>
      </c>
      <c r="M274" t="str">
        <f ca="1">IFERROR(__xludf.DUMMYFUNCTION("1.15 + 0.02 * FILTER('Base Stats'!$C$2:$C1000, LOWER('Base Stats'!$B$2:$B1000) = LOWER($A274))"),"2.55")</f>
        <v>2.55</v>
      </c>
      <c r="N274">
        <v>1.4901960780000001</v>
      </c>
    </row>
    <row r="275" spans="1:14" ht="12.75" x14ac:dyDescent="0.2">
      <c r="A275" s="1" t="s">
        <v>625</v>
      </c>
      <c r="B275" s="1">
        <v>139</v>
      </c>
      <c r="C275" s="1">
        <v>43</v>
      </c>
      <c r="D275" s="1">
        <v>24.16</v>
      </c>
      <c r="E275" s="1">
        <v>0.88</v>
      </c>
      <c r="F275" s="1">
        <v>600</v>
      </c>
      <c r="G275" t="str">
        <f ca="1">IFERROR(__xludf.DUMMYFUNCTION("ROUND(B275/ FILTER('Pokemon CP/HP'!$M$2:$M1000, LOWER('Pokemon CP/HP'!$B$2:$B1000)=LOWER(A275)))"),"10")</f>
        <v>10</v>
      </c>
      <c r="H275" t="str">
        <f ca="1">IFERROR(__xludf.DUMMYFUNCTION("FILTER('Leveling Info'!$B$2:$B1000, 'Leveling Info'!$A$2:$A1000 =G275)"),"600")</f>
        <v>600</v>
      </c>
      <c r="I275" s="29">
        <f t="shared" ca="1" si="0"/>
        <v>3.1622776601683795</v>
      </c>
      <c r="J275" s="29" t="str">
        <f ca="1">IFERROR(__xludf.DUMMYFUNCTION("IF(F275 = H275,C275/FILTER('Base Stats'!$C$2:$C1000, LOWER('Base Stats'!$B$2:$B1000) = LOWER($A275)), """")"),"0.6142857143")</f>
        <v>0.6142857143</v>
      </c>
      <c r="K275" t="str">
        <f t="shared" ca="1" si="1"/>
        <v/>
      </c>
      <c r="L275" t="str">
        <f ca="1">IFERROR(__xludf.DUMMYFUNCTION("IF(AND(NOT(K275 = """"), G275 &gt;= 15),K275/FILTER('Base Stats'!$C$2:$C1000, LOWER('Base Stats'!$B$2:$B1000) = LOWER($A275)), """")"),"")</f>
        <v/>
      </c>
      <c r="M275" t="str">
        <f ca="1">IFERROR(__xludf.DUMMYFUNCTION("1.15 + 0.02 * FILTER('Base Stats'!$C$2:$C1000, LOWER('Base Stats'!$B$2:$B1000) = LOWER($A275))"),"2.55")</f>
        <v>2.55</v>
      </c>
      <c r="N275" t="s">
        <v>527</v>
      </c>
    </row>
    <row r="276" spans="1:14" ht="12.75" x14ac:dyDescent="0.2">
      <c r="A276" s="1" t="s">
        <v>625</v>
      </c>
      <c r="B276" s="1">
        <v>42</v>
      </c>
      <c r="C276" s="1">
        <v>23</v>
      </c>
      <c r="D276" s="1">
        <v>17.11</v>
      </c>
      <c r="E276" s="1">
        <v>0.71</v>
      </c>
      <c r="F276" s="1">
        <v>200</v>
      </c>
      <c r="G276" t="str">
        <f ca="1">IFERROR(__xludf.DUMMYFUNCTION("ROUND(B276/ FILTER('Pokemon CP/HP'!$M$2:$M1000, LOWER('Pokemon CP/HP'!$B$2:$B1000)=LOWER(A276)))"),"3")</f>
        <v>3</v>
      </c>
      <c r="H276" t="str">
        <f ca="1">IFERROR(__xludf.DUMMYFUNCTION("FILTER('Leveling Info'!$B$2:$B1000, 'Leveling Info'!$A$2:$A1000 =G276)"),"200")</f>
        <v>200</v>
      </c>
      <c r="I276" s="29">
        <f t="shared" ca="1" si="0"/>
        <v>1.7320508075688772</v>
      </c>
      <c r="J276" s="29" t="str">
        <f ca="1">IFERROR(__xludf.DUMMYFUNCTION("IF(F276 = H276,C276/FILTER('Base Stats'!$C$2:$C1000, LOWER('Base Stats'!$B$2:$B1000) = LOWER($A276)), """")"),"0.3285714286")</f>
        <v>0.3285714286</v>
      </c>
      <c r="K276" t="str">
        <f t="shared" ca="1" si="1"/>
        <v/>
      </c>
      <c r="L276" t="str">
        <f ca="1">IFERROR(__xludf.DUMMYFUNCTION("IF(AND(NOT(K276 = """"), G276 &gt;= 15),K276/FILTER('Base Stats'!$C$2:$C1000, LOWER('Base Stats'!$B$2:$B1000) = LOWER($A276)), """")"),"")</f>
        <v/>
      </c>
      <c r="M276" t="str">
        <f ca="1">IFERROR(__xludf.DUMMYFUNCTION("1.15 + 0.02 * FILTER('Base Stats'!$C$2:$C1000, LOWER('Base Stats'!$B$2:$B1000) = LOWER($A276))"),"2.55")</f>
        <v>2.55</v>
      </c>
      <c r="N276" t="s">
        <v>527</v>
      </c>
    </row>
    <row r="277" spans="1:14" ht="12.75" x14ac:dyDescent="0.2">
      <c r="A277" s="1" t="s">
        <v>626</v>
      </c>
      <c r="B277" s="1">
        <v>629</v>
      </c>
      <c r="C277" s="1">
        <v>80</v>
      </c>
      <c r="D277" s="1">
        <v>20.03</v>
      </c>
      <c r="E277" s="1">
        <v>1.45</v>
      </c>
      <c r="F277" s="1">
        <v>1600</v>
      </c>
      <c r="G277" t="str">
        <f ca="1">IFERROR(__xludf.DUMMYFUNCTION("ROUND(B277/ FILTER('Pokemon CP/HP'!$M$2:$M1000, LOWER('Pokemon CP/HP'!$B$2:$B1000)=LOWER(A277)))"),"26")</f>
        <v>26</v>
      </c>
      <c r="H277" t="str">
        <f ca="1">IFERROR(__xludf.DUMMYFUNCTION("FILTER('Leveling Info'!$B$2:$B1000, 'Leveling Info'!$A$2:$A1000 =G277)"),"1600")</f>
        <v>1600</v>
      </c>
      <c r="I277" s="29">
        <f t="shared" ca="1" si="0"/>
        <v>5.0990195135927845</v>
      </c>
      <c r="J277" s="29" t="str">
        <f ca="1">IFERROR(__xludf.DUMMYFUNCTION("IF(F277 = H277,C277/FILTER('Base Stats'!$C$2:$C1000, LOWER('Base Stats'!$B$2:$B1000) = LOWER($A277)), """")"),"1")</f>
        <v>1</v>
      </c>
      <c r="K277" t="str">
        <f t="shared" ca="1" si="1"/>
        <v/>
      </c>
      <c r="L277" t="str">
        <f ca="1">IFERROR(__xludf.DUMMYFUNCTION("IF(AND(NOT(K277 = """"), G277 &gt;= 15),K277/FILTER('Base Stats'!$C$2:$C1000, LOWER('Base Stats'!$B$2:$B1000) = LOWER($A277)), """")"),"0.03846153846")</f>
        <v>0.03846153846</v>
      </c>
      <c r="M277" t="str">
        <f ca="1">IFERROR(__xludf.DUMMYFUNCTION("1.15 + 0.02 * FILTER('Base Stats'!$C$2:$C1000, LOWER('Base Stats'!$B$2:$B1000) = LOWER($A277))"),"2.75")</f>
        <v>2.75</v>
      </c>
      <c r="N277">
        <v>1.1188811190000001</v>
      </c>
    </row>
    <row r="278" spans="1:14" ht="12.75" x14ac:dyDescent="0.2">
      <c r="A278" s="1" t="s">
        <v>627</v>
      </c>
      <c r="B278" s="1">
        <v>443</v>
      </c>
      <c r="C278" s="1">
        <v>52</v>
      </c>
      <c r="D278" s="1">
        <v>6.31</v>
      </c>
      <c r="E278" s="1">
        <v>0.89</v>
      </c>
      <c r="F278" s="1">
        <v>1900</v>
      </c>
      <c r="G278" t="str">
        <f ca="1">IFERROR(__xludf.DUMMYFUNCTION("ROUND(B278/ FILTER('Pokemon CP/HP'!$M$2:$M1000, LOWER('Pokemon CP/HP'!$B$2:$B1000)=LOWER(A278)))"),"34")</f>
        <v>34</v>
      </c>
      <c r="H278" t="str">
        <f ca="1">IFERROR(__xludf.DUMMYFUNCTION("FILTER('Leveling Info'!$B$2:$B1000, 'Leveling Info'!$A$2:$A1000 =G278)"),"2200")</f>
        <v>2200</v>
      </c>
      <c r="I278" s="29">
        <f t="shared" ca="1" si="0"/>
        <v>5.8309518948453007</v>
      </c>
      <c r="J278" s="29" t="str">
        <f ca="1">IFERROR(__xludf.DUMMYFUNCTION("IF(F278 = H278,C278/FILTER('Base Stats'!$C$2:$C1000, LOWER('Base Stats'!$B$2:$B1000) = LOWER($A278)), """")"),"")</f>
        <v/>
      </c>
      <c r="K278" t="str">
        <f t="shared" ca="1" si="1"/>
        <v/>
      </c>
      <c r="L278" t="str">
        <f ca="1">IFERROR(__xludf.DUMMYFUNCTION("IF(AND(NOT(K278 = """"), G278 &gt;= 15),K278/FILTER('Base Stats'!$C$2:$C1000, LOWER('Base Stats'!$B$2:$B1000) = LOWER($A278)), """")"),"")</f>
        <v/>
      </c>
      <c r="M278" t="str">
        <f ca="1">IFERROR(__xludf.DUMMYFUNCTION("1.15 + 0.02 * FILTER('Base Stats'!$C$2:$C1000, LOWER('Base Stats'!$B$2:$B1000) = LOWER($A278))"),"2.15")</f>
        <v>2.15</v>
      </c>
      <c r="N278" t="s">
        <v>527</v>
      </c>
    </row>
    <row r="279" spans="1:14" ht="12.75" x14ac:dyDescent="0.2">
      <c r="A279" s="1" t="s">
        <v>627</v>
      </c>
      <c r="B279" s="1">
        <v>236</v>
      </c>
      <c r="C279" s="1">
        <v>42</v>
      </c>
      <c r="D279" s="1">
        <v>3.72</v>
      </c>
      <c r="E279" s="1">
        <v>0.7</v>
      </c>
      <c r="F279" s="1">
        <v>800</v>
      </c>
      <c r="G279" t="str">
        <f ca="1">IFERROR(__xludf.DUMMYFUNCTION("ROUND(B279/ FILTER('Pokemon CP/HP'!$M$2:$M1000, LOWER('Pokemon CP/HP'!$B$2:$B1000)=LOWER(A279)))"),"18")</f>
        <v>18</v>
      </c>
      <c r="H279" t="str">
        <f ca="1">IFERROR(__xludf.DUMMYFUNCTION("FILTER('Leveling Info'!$B$2:$B1000, 'Leveling Info'!$A$2:$A1000 =G279)"),"1000")</f>
        <v>1000</v>
      </c>
      <c r="I279" s="29">
        <f t="shared" ca="1" si="0"/>
        <v>4.2426406871192848</v>
      </c>
      <c r="J279" s="29" t="str">
        <f ca="1">IFERROR(__xludf.DUMMYFUNCTION("IF(F279 = H279,C279/FILTER('Base Stats'!$C$2:$C1000, LOWER('Base Stats'!$B$2:$B1000) = LOWER($A279)), """")"),"")</f>
        <v/>
      </c>
      <c r="K279" t="str">
        <f t="shared" ca="1" si="1"/>
        <v/>
      </c>
      <c r="L279" t="str">
        <f ca="1">IFERROR(__xludf.DUMMYFUNCTION("IF(AND(NOT(K279 = """"), G279 &gt;= 15),K279/FILTER('Base Stats'!$C$2:$C1000, LOWER('Base Stats'!$B$2:$B1000) = LOWER($A279)), """")"),"")</f>
        <v/>
      </c>
      <c r="M279" t="str">
        <f ca="1">IFERROR(__xludf.DUMMYFUNCTION("1.15 + 0.02 * FILTER('Base Stats'!$C$2:$C1000, LOWER('Base Stats'!$B$2:$B1000) = LOWER($A279))"),"2.15")</f>
        <v>2.15</v>
      </c>
      <c r="N279" t="s">
        <v>527</v>
      </c>
    </row>
    <row r="280" spans="1:14" ht="12.75" x14ac:dyDescent="0.2">
      <c r="A280" s="1" t="s">
        <v>627</v>
      </c>
      <c r="B280" s="1">
        <v>235</v>
      </c>
      <c r="C280" s="1">
        <v>39</v>
      </c>
      <c r="D280" s="1">
        <v>5.16</v>
      </c>
      <c r="E280" s="1">
        <v>0.75</v>
      </c>
      <c r="F280" s="1">
        <v>800</v>
      </c>
      <c r="G280" t="str">
        <f ca="1">IFERROR(__xludf.DUMMYFUNCTION("ROUND(B280/ FILTER('Pokemon CP/HP'!$M$2:$M1000, LOWER('Pokemon CP/HP'!$B$2:$B1000)=LOWER(A280)))"),"18")</f>
        <v>18</v>
      </c>
      <c r="H280" t="str">
        <f ca="1">IFERROR(__xludf.DUMMYFUNCTION("FILTER('Leveling Info'!$B$2:$B1000, 'Leveling Info'!$A$2:$A1000 =G280)"),"1000")</f>
        <v>1000</v>
      </c>
      <c r="I280" s="29">
        <f t="shared" ca="1" si="0"/>
        <v>4.2426406871192848</v>
      </c>
      <c r="J280" s="29" t="str">
        <f ca="1">IFERROR(__xludf.DUMMYFUNCTION("IF(F280 = H280,C280/FILTER('Base Stats'!$C$2:$C1000, LOWER('Base Stats'!$B$2:$B1000) = LOWER($A280)), """")"),"")</f>
        <v/>
      </c>
      <c r="K280" t="str">
        <f t="shared" ca="1" si="1"/>
        <v/>
      </c>
      <c r="L280" t="str">
        <f ca="1">IFERROR(__xludf.DUMMYFUNCTION("IF(AND(NOT(K280 = """"), G280 &gt;= 15),K280/FILTER('Base Stats'!$C$2:$C1000, LOWER('Base Stats'!$B$2:$B1000) = LOWER($A280)), """")"),"")</f>
        <v/>
      </c>
      <c r="M280" t="str">
        <f ca="1">IFERROR(__xludf.DUMMYFUNCTION("1.15 + 0.02 * FILTER('Base Stats'!$C$2:$C1000, LOWER('Base Stats'!$B$2:$B1000) = LOWER($A280))"),"2.15")</f>
        <v>2.15</v>
      </c>
      <c r="N280" t="s">
        <v>527</v>
      </c>
    </row>
    <row r="281" spans="1:14" ht="12.75" x14ac:dyDescent="0.2">
      <c r="A281" s="1" t="s">
        <v>627</v>
      </c>
      <c r="B281" s="1">
        <v>198</v>
      </c>
      <c r="C281" s="1">
        <v>39</v>
      </c>
      <c r="D281" s="1">
        <v>3.47</v>
      </c>
      <c r="E281" s="1">
        <v>0.74</v>
      </c>
      <c r="F281" s="1">
        <v>800</v>
      </c>
      <c r="G281" t="str">
        <f ca="1">IFERROR(__xludf.DUMMYFUNCTION("ROUND(B281/ FILTER('Pokemon CP/HP'!$M$2:$M1000, LOWER('Pokemon CP/HP'!$B$2:$B1000)=LOWER(A281)))"),"15")</f>
        <v>15</v>
      </c>
      <c r="H281" t="str">
        <f ca="1">IFERROR(__xludf.DUMMYFUNCTION("FILTER('Leveling Info'!$B$2:$B1000, 'Leveling Info'!$A$2:$A1000 =G281)"),"800")</f>
        <v>800</v>
      </c>
      <c r="I281" s="29">
        <f t="shared" ca="1" si="0"/>
        <v>3.872983346207417</v>
      </c>
      <c r="J281" s="29" t="str">
        <f ca="1">IFERROR(__xludf.DUMMYFUNCTION("IF(F281 = H281,C281/FILTER('Base Stats'!$C$2:$C1000, LOWER('Base Stats'!$B$2:$B1000) = LOWER($A281)), """")"),"0.78")</f>
        <v>0.78</v>
      </c>
      <c r="K281" t="str">
        <f t="shared" ca="1" si="1"/>
        <v/>
      </c>
      <c r="L281" t="str">
        <f ca="1">IFERROR(__xludf.DUMMYFUNCTION("IF(AND(NOT(K281 = """"), G281 &gt;= 15),K281/FILTER('Base Stats'!$C$2:$C1000, LOWER('Base Stats'!$B$2:$B1000) = LOWER($A281)), """")"),"0.052")</f>
        <v>0.052</v>
      </c>
      <c r="M281" t="str">
        <f ca="1">IFERROR(__xludf.DUMMYFUNCTION("1.15 + 0.02 * FILTER('Base Stats'!$C$2:$C1000, LOWER('Base Stats'!$B$2:$B1000) = LOWER($A281))"),"2.15")</f>
        <v>2.15</v>
      </c>
      <c r="N281">
        <v>1.209302326</v>
      </c>
    </row>
    <row r="282" spans="1:14" ht="12.75" x14ac:dyDescent="0.2">
      <c r="A282" s="1" t="s">
        <v>627</v>
      </c>
      <c r="B282" s="1">
        <v>138</v>
      </c>
      <c r="C282" s="1">
        <v>32</v>
      </c>
      <c r="D282" s="1">
        <v>2.2999999999999998</v>
      </c>
      <c r="E282" s="1">
        <v>0.62</v>
      </c>
      <c r="F282" s="1">
        <v>600</v>
      </c>
      <c r="G282" t="str">
        <f ca="1">IFERROR(__xludf.DUMMYFUNCTION("ROUND(B282/ FILTER('Pokemon CP/HP'!$M$2:$M1000, LOWER('Pokemon CP/HP'!$B$2:$B1000)=LOWER(A282)))"),"11")</f>
        <v>11</v>
      </c>
      <c r="H282" t="str">
        <f ca="1">IFERROR(__xludf.DUMMYFUNCTION("FILTER('Leveling Info'!$B$2:$B1000, 'Leveling Info'!$A$2:$A1000 =G282)"),"600")</f>
        <v>600</v>
      </c>
      <c r="I282" s="29">
        <f t="shared" ca="1" si="0"/>
        <v>3.3166247903553998</v>
      </c>
      <c r="J282" s="29" t="str">
        <f ca="1">IFERROR(__xludf.DUMMYFUNCTION("IF(F282 = H282,C282/FILTER('Base Stats'!$C$2:$C1000, LOWER('Base Stats'!$B$2:$B1000) = LOWER($A282)), """")"),"0.64")</f>
        <v>0.64</v>
      </c>
      <c r="K282" t="str">
        <f t="shared" ca="1" si="1"/>
        <v/>
      </c>
      <c r="L282" t="str">
        <f ca="1">IFERROR(__xludf.DUMMYFUNCTION("IF(AND(NOT(K282 = """"), G282 &gt;= 15),K282/FILTER('Base Stats'!$C$2:$C1000, LOWER('Base Stats'!$B$2:$B1000) = LOWER($A282)), """")"),"")</f>
        <v/>
      </c>
      <c r="M282" t="str">
        <f ca="1">IFERROR(__xludf.DUMMYFUNCTION("1.15 + 0.02 * FILTER('Base Stats'!$C$2:$C1000, LOWER('Base Stats'!$B$2:$B1000) = LOWER($A282))"),"2.15")</f>
        <v>2.15</v>
      </c>
      <c r="N282" t="s">
        <v>527</v>
      </c>
    </row>
    <row r="283" spans="1:14" ht="12.75" x14ac:dyDescent="0.2">
      <c r="A283" s="1" t="s">
        <v>627</v>
      </c>
      <c r="B283" s="1">
        <v>137</v>
      </c>
      <c r="C283" s="1">
        <v>29</v>
      </c>
      <c r="D283" s="1">
        <v>2.95</v>
      </c>
      <c r="E283" s="1">
        <v>0.66</v>
      </c>
      <c r="F283" s="1">
        <v>600</v>
      </c>
      <c r="G283" t="str">
        <f ca="1">IFERROR(__xludf.DUMMYFUNCTION("ROUND(B283/ FILTER('Pokemon CP/HP'!$M$2:$M1000, LOWER('Pokemon CP/HP'!$B$2:$B1000)=LOWER(A283)))"),"11")</f>
        <v>11</v>
      </c>
      <c r="H283" t="str">
        <f ca="1">IFERROR(__xludf.DUMMYFUNCTION("FILTER('Leveling Info'!$B$2:$B1000, 'Leveling Info'!$A$2:$A1000 =G283)"),"600")</f>
        <v>600</v>
      </c>
      <c r="I283" s="29">
        <f t="shared" ca="1" si="0"/>
        <v>3.3166247903553998</v>
      </c>
      <c r="J283" s="29" t="str">
        <f ca="1">IFERROR(__xludf.DUMMYFUNCTION("IF(F283 = H283,C283/FILTER('Base Stats'!$C$2:$C1000, LOWER('Base Stats'!$B$2:$B1000) = LOWER($A283)), """")"),"0.58")</f>
        <v>0.58</v>
      </c>
      <c r="K283" t="str">
        <f t="shared" ca="1" si="1"/>
        <v/>
      </c>
      <c r="L283" t="str">
        <f ca="1">IFERROR(__xludf.DUMMYFUNCTION("IF(AND(NOT(K283 = """"), G283 &gt;= 15),K283/FILTER('Base Stats'!$C$2:$C1000, LOWER('Base Stats'!$B$2:$B1000) = LOWER($A283)), """")"),"")</f>
        <v/>
      </c>
      <c r="M283" t="str">
        <f ca="1">IFERROR(__xludf.DUMMYFUNCTION("1.15 + 0.02 * FILTER('Base Stats'!$C$2:$C1000, LOWER('Base Stats'!$B$2:$B1000) = LOWER($A283))"),"2.15")</f>
        <v>2.15</v>
      </c>
      <c r="N283" t="s">
        <v>527</v>
      </c>
    </row>
    <row r="284" spans="1:14" ht="12.75" x14ac:dyDescent="0.2">
      <c r="A284" s="1" t="s">
        <v>627</v>
      </c>
      <c r="B284" s="1">
        <v>109</v>
      </c>
      <c r="C284" s="1">
        <v>28</v>
      </c>
      <c r="D284" s="1">
        <v>3.29</v>
      </c>
      <c r="E284" s="1">
        <v>0.67</v>
      </c>
      <c r="F284" s="1">
        <v>400</v>
      </c>
      <c r="G284" t="str">
        <f ca="1">IFERROR(__xludf.DUMMYFUNCTION("ROUND(B284/ FILTER('Pokemon CP/HP'!$M$2:$M1000, LOWER('Pokemon CP/HP'!$B$2:$B1000)=LOWER(A284)))"),"8")</f>
        <v>8</v>
      </c>
      <c r="H284" t="str">
        <f ca="1">IFERROR(__xludf.DUMMYFUNCTION("FILTER('Leveling Info'!$B$2:$B1000, 'Leveling Info'!$A$2:$A1000 =G284)"),"400")</f>
        <v>400</v>
      </c>
      <c r="I284" s="29">
        <f t="shared" ca="1" si="0"/>
        <v>2.8284271247461903</v>
      </c>
      <c r="J284" s="29" t="str">
        <f ca="1">IFERROR(__xludf.DUMMYFUNCTION("IF(F284 = H284,C284/FILTER('Base Stats'!$C$2:$C1000, LOWER('Base Stats'!$B$2:$B1000) = LOWER($A284)), """")"),"0.56")</f>
        <v>0.56</v>
      </c>
      <c r="K284" t="str">
        <f t="shared" ca="1" si="1"/>
        <v/>
      </c>
      <c r="L284" t="str">
        <f ca="1">IFERROR(__xludf.DUMMYFUNCTION("IF(AND(NOT(K284 = """"), G284 &gt;= 15),K284/FILTER('Base Stats'!$C$2:$C1000, LOWER('Base Stats'!$B$2:$B1000) = LOWER($A284)), """")"),"")</f>
        <v/>
      </c>
      <c r="M284" t="str">
        <f ca="1">IFERROR(__xludf.DUMMYFUNCTION("1.15 + 0.02 * FILTER('Base Stats'!$C$2:$C1000, LOWER('Base Stats'!$B$2:$B1000) = LOWER($A284))"),"2.15")</f>
        <v>2.15</v>
      </c>
      <c r="N284" t="s">
        <v>527</v>
      </c>
    </row>
    <row r="285" spans="1:14" ht="12.75" x14ac:dyDescent="0.2">
      <c r="A285" s="1" t="s">
        <v>627</v>
      </c>
      <c r="B285" s="1">
        <v>73</v>
      </c>
      <c r="C285" s="1">
        <v>22</v>
      </c>
      <c r="D285" s="1">
        <v>3.7</v>
      </c>
      <c r="E285" s="1">
        <v>0.65</v>
      </c>
      <c r="F285" s="1">
        <v>400</v>
      </c>
      <c r="G285" t="str">
        <f ca="1">IFERROR(__xludf.DUMMYFUNCTION("ROUND(B285/ FILTER('Pokemon CP/HP'!$M$2:$M1000, LOWER('Pokemon CP/HP'!$B$2:$B1000)=LOWER(A285)))"),"6")</f>
        <v>6</v>
      </c>
      <c r="H285" t="str">
        <f ca="1">IFERROR(__xludf.DUMMYFUNCTION("FILTER('Leveling Info'!$B$2:$B1000, 'Leveling Info'!$A$2:$A1000 =G285)"),"400")</f>
        <v>400</v>
      </c>
      <c r="I285" s="29">
        <f t="shared" ca="1" si="0"/>
        <v>2.4494897427831779</v>
      </c>
      <c r="J285" s="29" t="str">
        <f ca="1">IFERROR(__xludf.DUMMYFUNCTION("IF(F285 = H285,C285/FILTER('Base Stats'!$C$2:$C1000, LOWER('Base Stats'!$B$2:$B1000) = LOWER($A285)), """")"),"0.44")</f>
        <v>0.44</v>
      </c>
      <c r="K285" t="str">
        <f t="shared" ca="1" si="1"/>
        <v/>
      </c>
      <c r="L285" t="str">
        <f ca="1">IFERROR(__xludf.DUMMYFUNCTION("IF(AND(NOT(K285 = """"), G285 &gt;= 15),K285/FILTER('Base Stats'!$C$2:$C1000, LOWER('Base Stats'!$B$2:$B1000) = LOWER($A285)), """")"),"")</f>
        <v/>
      </c>
      <c r="M285" t="str">
        <f ca="1">IFERROR(__xludf.DUMMYFUNCTION("1.15 + 0.02 * FILTER('Base Stats'!$C$2:$C1000, LOWER('Base Stats'!$B$2:$B1000) = LOWER($A285))"),"2.15")</f>
        <v>2.15</v>
      </c>
      <c r="N285" t="s">
        <v>527</v>
      </c>
    </row>
    <row r="286" spans="1:14" ht="12.75" x14ac:dyDescent="0.2">
      <c r="A286" s="1" t="s">
        <v>627</v>
      </c>
      <c r="B286" s="1">
        <v>71</v>
      </c>
      <c r="C286" s="1">
        <v>21</v>
      </c>
      <c r="D286" s="1">
        <v>4.03</v>
      </c>
      <c r="E286" s="1">
        <v>0.65</v>
      </c>
      <c r="F286" s="1">
        <v>400</v>
      </c>
      <c r="G286" t="str">
        <f ca="1">IFERROR(__xludf.DUMMYFUNCTION("ROUND(B286/ FILTER('Pokemon CP/HP'!$M$2:$M1000, LOWER('Pokemon CP/HP'!$B$2:$B1000)=LOWER(A286)))"),"5")</f>
        <v>5</v>
      </c>
      <c r="H286" t="str">
        <f ca="1">IFERROR(__xludf.DUMMYFUNCTION("FILTER('Leveling Info'!$B$2:$B1000, 'Leveling Info'!$A$2:$A1000 =G286)"),"400")</f>
        <v>400</v>
      </c>
      <c r="I286" s="29">
        <f t="shared" ca="1" si="0"/>
        <v>2.2360679774997898</v>
      </c>
      <c r="J286" s="29" t="str">
        <f ca="1">IFERROR(__xludf.DUMMYFUNCTION("IF(F286 = H286,C286/FILTER('Base Stats'!$C$2:$C1000, LOWER('Base Stats'!$B$2:$B1000) = LOWER($A286)), """")"),"0.42")</f>
        <v>0.42</v>
      </c>
      <c r="K286" t="str">
        <f t="shared" ca="1" si="1"/>
        <v/>
      </c>
      <c r="L286" t="str">
        <f ca="1">IFERROR(__xludf.DUMMYFUNCTION("IF(AND(NOT(K286 = """"), G286 &gt;= 15),K286/FILTER('Base Stats'!$C$2:$C1000, LOWER('Base Stats'!$B$2:$B1000) = LOWER($A286)), """")"),"")</f>
        <v/>
      </c>
      <c r="M286" t="str">
        <f ca="1">IFERROR(__xludf.DUMMYFUNCTION("1.15 + 0.02 * FILTER('Base Stats'!$C$2:$C1000, LOWER('Base Stats'!$B$2:$B1000) = LOWER($A286))"),"2.15")</f>
        <v>2.15</v>
      </c>
      <c r="N286" t="s">
        <v>527</v>
      </c>
    </row>
    <row r="287" spans="1:14" ht="12.75" x14ac:dyDescent="0.2">
      <c r="A287" s="1" t="s">
        <v>628</v>
      </c>
      <c r="B287" s="1">
        <v>444</v>
      </c>
      <c r="C287" s="1">
        <v>55</v>
      </c>
      <c r="D287" s="1">
        <v>8.34</v>
      </c>
      <c r="E287" s="1">
        <v>1.06</v>
      </c>
      <c r="F287" s="1">
        <v>1000</v>
      </c>
      <c r="G287" t="str">
        <f ca="1">IFERROR(__xludf.DUMMYFUNCTION("ROUND(B287/ FILTER('Pokemon CP/HP'!$M$2:$M1000, LOWER('Pokemon CP/HP'!$B$2:$B1000)=LOWER(A287)))"),"21")</f>
        <v>21</v>
      </c>
      <c r="H287" t="str">
        <f ca="1">IFERROR(__xludf.DUMMYFUNCTION("FILTER('Leveling Info'!$B$2:$B1000, 'Leveling Info'!$A$2:$A1000 =G287)"),"1300")</f>
        <v>1300</v>
      </c>
      <c r="I287" s="29">
        <f t="shared" ca="1" si="0"/>
        <v>4.5825756949558398</v>
      </c>
      <c r="J287" s="29" t="str">
        <f ca="1">IFERROR(__xludf.DUMMYFUNCTION("IF(F287 = H287,C287/FILTER('Base Stats'!$C$2:$C1000, LOWER('Base Stats'!$B$2:$B1000) = LOWER($A287)), """")"),"")</f>
        <v/>
      </c>
      <c r="K287" t="str">
        <f t="shared" ca="1" si="1"/>
        <v/>
      </c>
      <c r="L287" t="str">
        <f ca="1">IFERROR(__xludf.DUMMYFUNCTION("IF(AND(NOT(K287 = """"), G287 &gt;= 15),K287/FILTER('Base Stats'!$C$2:$C1000, LOWER('Base Stats'!$B$2:$B1000) = LOWER($A287)), """")"),"")</f>
        <v/>
      </c>
      <c r="M287" t="str">
        <f ca="1">IFERROR(__xludf.DUMMYFUNCTION("1.15 + 0.02 * FILTER('Base Stats'!$C$2:$C1000, LOWER('Base Stats'!$B$2:$B1000) = LOWER($A287))"),"2.45")</f>
        <v>2.45</v>
      </c>
      <c r="N287" t="s">
        <v>527</v>
      </c>
    </row>
    <row r="288" spans="1:14" ht="12.75" x14ac:dyDescent="0.2">
      <c r="A288" s="1" t="s">
        <v>628</v>
      </c>
      <c r="B288" s="1">
        <v>136</v>
      </c>
      <c r="C288" s="1">
        <v>30</v>
      </c>
      <c r="D288" s="1">
        <v>5.93</v>
      </c>
      <c r="E288" s="1">
        <v>0.92</v>
      </c>
      <c r="F288" s="1">
        <v>400</v>
      </c>
      <c r="G288" t="str">
        <f ca="1">IFERROR(__xludf.DUMMYFUNCTION("ROUND(B288/ FILTER('Pokemon CP/HP'!$M$2:$M1000, LOWER('Pokemon CP/HP'!$B$2:$B1000)=LOWER(A288)))"),"6")</f>
        <v>6</v>
      </c>
      <c r="H288" t="str">
        <f ca="1">IFERROR(__xludf.DUMMYFUNCTION("FILTER('Leveling Info'!$B$2:$B1000, 'Leveling Info'!$A$2:$A1000 =G288)"),"400")</f>
        <v>400</v>
      </c>
      <c r="I288" s="29">
        <f t="shared" ca="1" si="0"/>
        <v>2.4494897427831779</v>
      </c>
      <c r="J288" s="29" t="str">
        <f ca="1">IFERROR(__xludf.DUMMYFUNCTION("IF(F288 = H288,C288/FILTER('Base Stats'!$C$2:$C1000, LOWER('Base Stats'!$B$2:$B1000) = LOWER($A288)), """")"),"0.4615384615")</f>
        <v>0.4615384615</v>
      </c>
      <c r="K288" t="str">
        <f t="shared" ca="1" si="1"/>
        <v/>
      </c>
      <c r="L288" t="str">
        <f ca="1">IFERROR(__xludf.DUMMYFUNCTION("IF(AND(NOT(K288 = """"), G288 &gt;= 15),K288/FILTER('Base Stats'!$C$2:$C1000, LOWER('Base Stats'!$B$2:$B1000) = LOWER($A288)), """")"),"")</f>
        <v/>
      </c>
      <c r="M288" t="str">
        <f ca="1">IFERROR(__xludf.DUMMYFUNCTION("1.15 + 0.02 * FILTER('Base Stats'!$C$2:$C1000, LOWER('Base Stats'!$B$2:$B1000) = LOWER($A288))"),"2.45")</f>
        <v>2.45</v>
      </c>
      <c r="N288" t="s">
        <v>527</v>
      </c>
    </row>
    <row r="289" spans="1:14" ht="12.75" x14ac:dyDescent="0.2">
      <c r="A289" s="1" t="s">
        <v>629</v>
      </c>
      <c r="B289" s="1">
        <v>317</v>
      </c>
      <c r="C289" s="1">
        <v>42</v>
      </c>
      <c r="D289" s="1">
        <v>55.06</v>
      </c>
      <c r="E289" s="1">
        <v>0.97</v>
      </c>
      <c r="F289" s="1">
        <v>1600</v>
      </c>
      <c r="G289" t="str">
        <f ca="1">IFERROR(__xludf.DUMMYFUNCTION("ROUND(B289/ FILTER('Pokemon CP/HP'!$M$2:$M1000, LOWER('Pokemon CP/HP'!$B$2:$B1000)=LOWER(A289)))"),"26")</f>
        <v>26</v>
      </c>
      <c r="H289" t="str">
        <f ca="1">IFERROR(__xludf.DUMMYFUNCTION("FILTER('Leveling Info'!$B$2:$B1000, 'Leveling Info'!$A$2:$A1000 =G289)"),"1600")</f>
        <v>1600</v>
      </c>
      <c r="I289" s="29">
        <f t="shared" ca="1" si="0"/>
        <v>5.0990195135927845</v>
      </c>
      <c r="J289" s="29" t="str">
        <f ca="1">IFERROR(__xludf.DUMMYFUNCTION("IF(F289 = H289,C289/FILTER('Base Stats'!$C$2:$C1000, LOWER('Base Stats'!$B$2:$B1000) = LOWER($A289)), """")"),"1.05")</f>
        <v>1.05</v>
      </c>
      <c r="K289" t="str">
        <f t="shared" ca="1" si="1"/>
        <v/>
      </c>
      <c r="L289" t="str">
        <f ca="1">IFERROR(__xludf.DUMMYFUNCTION("IF(AND(NOT(K289 = """"), G289 &gt;= 15),K289/FILTER('Base Stats'!$C$2:$C1000, LOWER('Base Stats'!$B$2:$B1000) = LOWER($A289)), """")"),"0.04038461538")</f>
        <v>0.04038461538</v>
      </c>
      <c r="M289" t="str">
        <f ca="1">IFERROR(__xludf.DUMMYFUNCTION("1.15 + 0.02 * FILTER('Base Stats'!$C$2:$C1000, LOWER('Base Stats'!$B$2:$B1000) = LOWER($A289))"),"1.95")</f>
        <v>1.95</v>
      </c>
      <c r="N289">
        <v>0.82840236690000002</v>
      </c>
    </row>
    <row r="290" spans="1:14" ht="12.75" x14ac:dyDescent="0.2">
      <c r="A290" s="1" t="s">
        <v>629</v>
      </c>
      <c r="B290" s="1">
        <v>110</v>
      </c>
      <c r="C290" s="1">
        <v>24</v>
      </c>
      <c r="D290" s="1">
        <v>51.71</v>
      </c>
      <c r="E290" s="1">
        <v>0.95</v>
      </c>
      <c r="F290" s="1">
        <v>600</v>
      </c>
      <c r="G290" t="str">
        <f ca="1">IFERROR(__xludf.DUMMYFUNCTION("ROUND(B290/ FILTER('Pokemon CP/HP'!$M$2:$M1000, LOWER('Pokemon CP/HP'!$B$2:$B1000)=LOWER(A290)))"),"9")</f>
        <v>9</v>
      </c>
      <c r="H290" t="str">
        <f ca="1">IFERROR(__xludf.DUMMYFUNCTION("FILTER('Leveling Info'!$B$2:$B1000, 'Leveling Info'!$A$2:$A1000 =G290)"),"600")</f>
        <v>600</v>
      </c>
      <c r="I290" s="29">
        <f t="shared" ca="1" si="0"/>
        <v>3</v>
      </c>
      <c r="J290" s="29" t="str">
        <f ca="1">IFERROR(__xludf.DUMMYFUNCTION("IF(F290 = H290,C290/FILTER('Base Stats'!$C$2:$C1000, LOWER('Base Stats'!$B$2:$B1000) = LOWER($A290)), """")"),"0.6")</f>
        <v>0.6</v>
      </c>
      <c r="K290" t="str">
        <f t="shared" ca="1" si="1"/>
        <v/>
      </c>
      <c r="L290" t="str">
        <f ca="1">IFERROR(__xludf.DUMMYFUNCTION("IF(AND(NOT(K290 = """"), G290 &gt;= 15),K290/FILTER('Base Stats'!$C$2:$C1000, LOWER('Base Stats'!$B$2:$B1000) = LOWER($A290)), """")"),"")</f>
        <v/>
      </c>
      <c r="M290" t="str">
        <f ca="1">IFERROR(__xludf.DUMMYFUNCTION("1.15 + 0.02 * FILTER('Base Stats'!$C$2:$C1000, LOWER('Base Stats'!$B$2:$B1000) = LOWER($A290))"),"1.95")</f>
        <v>1.95</v>
      </c>
      <c r="N290" t="s">
        <v>527</v>
      </c>
    </row>
    <row r="291" spans="1:14" ht="12.75" x14ac:dyDescent="0.2">
      <c r="A291" s="1" t="s">
        <v>630</v>
      </c>
      <c r="B291" s="1">
        <v>37</v>
      </c>
      <c r="C291" s="1">
        <v>15</v>
      </c>
      <c r="D291" s="1">
        <v>141.03</v>
      </c>
      <c r="E291" s="1">
        <v>1.1599999999999999</v>
      </c>
      <c r="F291" s="1">
        <v>200</v>
      </c>
      <c r="G291" t="str">
        <f ca="1">IFERROR(__xludf.DUMMYFUNCTION("ROUND(B291/ FILTER('Pokemon CP/HP'!$M$2:$M1000, LOWER('Pokemon CP/HP'!$B$2:$B1000)=LOWER(A291)))"),"2")</f>
        <v>2</v>
      </c>
      <c r="H291" t="str">
        <f ca="1">IFERROR(__xludf.DUMMYFUNCTION("FILTER('Leveling Info'!$B$2:$B1000, 'Leveling Info'!$A$2:$A1000 =G291)"),"200")</f>
        <v>200</v>
      </c>
      <c r="I291" s="29">
        <f t="shared" ca="1" si="0"/>
        <v>1.4142135623730951</v>
      </c>
      <c r="J291" s="29" t="str">
        <f ca="1">IFERROR(__xludf.DUMMYFUNCTION("IF(F291 = H291,C291/FILTER('Base Stats'!$C$2:$C1000, LOWER('Base Stats'!$B$2:$B1000) = LOWER($A291)), """")"),"0.2727272727")</f>
        <v>0.2727272727</v>
      </c>
      <c r="K291" t="str">
        <f t="shared" ca="1" si="1"/>
        <v/>
      </c>
      <c r="L291" t="str">
        <f ca="1">IFERROR(__xludf.DUMMYFUNCTION("IF(AND(NOT(K291 = """"), G291 &gt;= 15),K291/FILTER('Base Stats'!$C$2:$C1000, LOWER('Base Stats'!$B$2:$B1000) = LOWER($A291)), """")"),"")</f>
        <v/>
      </c>
      <c r="M291" t="str">
        <f ca="1">IFERROR(__xludf.DUMMYFUNCTION("1.15 + 0.02 * FILTER('Base Stats'!$C$2:$C1000, LOWER('Base Stats'!$B$2:$B1000) = LOWER($A291))"),"2.25")</f>
        <v>2.25</v>
      </c>
      <c r="N291" t="s">
        <v>527</v>
      </c>
    </row>
    <row r="292" spans="1:14" ht="12.75" x14ac:dyDescent="0.2">
      <c r="A292" s="1" t="s">
        <v>631</v>
      </c>
      <c r="B292" s="1">
        <v>173</v>
      </c>
      <c r="C292" s="1">
        <v>21</v>
      </c>
      <c r="D292" s="1">
        <v>7.12</v>
      </c>
      <c r="E292" s="1">
        <v>0.3</v>
      </c>
      <c r="F292" s="1">
        <v>800</v>
      </c>
      <c r="G292" t="str">
        <f ca="1">IFERROR(__xludf.DUMMYFUNCTION("ROUND(B292/ FILTER('Pokemon CP/HP'!$M$2:$M1000, LOWER('Pokemon CP/HP'!$B$2:$B1000)=LOWER(A292)))"),"14")</f>
        <v>14</v>
      </c>
      <c r="H292" t="str">
        <f ca="1">IFERROR(__xludf.DUMMYFUNCTION("FILTER('Leveling Info'!$B$2:$B1000, 'Leveling Info'!$A$2:$A1000 =G292)"),"800")</f>
        <v>800</v>
      </c>
      <c r="I292" s="29">
        <f t="shared" ca="1" si="0"/>
        <v>3.7416573867739413</v>
      </c>
      <c r="J292" s="29" t="str">
        <f ca="1">IFERROR(__xludf.DUMMYFUNCTION("IF(F292 = H292,C292/FILTER('Base Stats'!$C$2:$C1000, LOWER('Base Stats'!$B$2:$B1000) = LOWER($A292)), """")"),"0.84")</f>
        <v>0.84</v>
      </c>
      <c r="K292" t="str">
        <f t="shared" ca="1" si="1"/>
        <v/>
      </c>
      <c r="L292" t="str">
        <f ca="1">IFERROR(__xludf.DUMMYFUNCTION("IF(AND(NOT(K292 = """"), G292 &gt;= 15),K292/FILTER('Base Stats'!$C$2:$C1000, LOWER('Base Stats'!$B$2:$B1000) = LOWER($A292)), """")"),"")</f>
        <v/>
      </c>
      <c r="M292" t="str">
        <f ca="1">IFERROR(__xludf.DUMMYFUNCTION("1.15 + 0.02 * FILTER('Base Stats'!$C$2:$C1000, LOWER('Base Stats'!$B$2:$B1000) = LOWER($A292))"),"1.65")</f>
        <v>1.65</v>
      </c>
      <c r="N292" t="s">
        <v>527</v>
      </c>
    </row>
    <row r="293" spans="1:14" ht="12.75" x14ac:dyDescent="0.2">
      <c r="A293" s="1" t="s">
        <v>632</v>
      </c>
      <c r="B293" s="1">
        <v>277</v>
      </c>
      <c r="C293" s="1">
        <v>37</v>
      </c>
      <c r="D293" s="1">
        <v>55.12</v>
      </c>
      <c r="E293" s="1">
        <v>1.59</v>
      </c>
      <c r="F293" s="1">
        <v>1300</v>
      </c>
      <c r="G293" t="str">
        <f ca="1">IFERROR(__xludf.DUMMYFUNCTION("ROUND(B293/ FILTER('Pokemon CP/HP'!$M$2:$M1000, LOWER('Pokemon CP/HP'!$B$2:$B1000)=LOWER(A293)))"),"23")</f>
        <v>23</v>
      </c>
      <c r="H293" t="str">
        <f ca="1">IFERROR(__xludf.DUMMYFUNCTION("FILTER('Leveling Info'!$B$2:$B1000, 'Leveling Info'!$A$2:$A1000 =G293)"),"1300")</f>
        <v>1300</v>
      </c>
      <c r="I293" s="29">
        <f t="shared" ca="1" si="0"/>
        <v>4.7958315233127191</v>
      </c>
      <c r="J293" s="29" t="str">
        <f ca="1">IFERROR(__xludf.DUMMYFUNCTION("IF(F293 = H293,C293/FILTER('Base Stats'!$C$2:$C1000, LOWER('Base Stats'!$B$2:$B1000) = LOWER($A293)), """")"),"1.057142857")</f>
        <v>1.057142857</v>
      </c>
      <c r="K293" t="str">
        <f t="shared" ca="1" si="1"/>
        <v/>
      </c>
      <c r="L293" t="str">
        <f ca="1">IFERROR(__xludf.DUMMYFUNCTION("IF(AND(NOT(K293 = """"), G293 &gt;= 15),K293/FILTER('Base Stats'!$C$2:$C1000, LOWER('Base Stats'!$B$2:$B1000) = LOWER($A293)), """")"),"0.04596273292")</f>
        <v>0.04596273292</v>
      </c>
      <c r="M293" t="str">
        <f ca="1">IFERROR(__xludf.DUMMYFUNCTION("1.15 + 0.02 * FILTER('Base Stats'!$C$2:$C1000, LOWER('Base Stats'!$B$2:$B1000) = LOWER($A293))"),"1.85")</f>
        <v>1.85</v>
      </c>
      <c r="N293">
        <v>0.86956521740000003</v>
      </c>
    </row>
    <row r="294" spans="1:14" ht="12.75" x14ac:dyDescent="0.2">
      <c r="A294" s="1" t="s">
        <v>633</v>
      </c>
      <c r="B294" s="1">
        <v>146</v>
      </c>
      <c r="C294" s="1">
        <v>40</v>
      </c>
      <c r="D294" s="1">
        <v>59.82</v>
      </c>
      <c r="E294" s="1">
        <v>0.87</v>
      </c>
      <c r="F294" s="1">
        <v>600</v>
      </c>
      <c r="G294" t="str">
        <f ca="1">IFERROR(__xludf.DUMMYFUNCTION("ROUND(B294/ FILTER('Pokemon CP/HP'!$M$2:$M1000, LOWER('Pokemon CP/HP'!$B$2:$B1000)=LOWER(A294)))"),"9")</f>
        <v>9</v>
      </c>
      <c r="H294" t="str">
        <f ca="1">IFERROR(__xludf.DUMMYFUNCTION("FILTER('Leveling Info'!$B$2:$B1000, 'Leveling Info'!$A$2:$A1000 =G294)"),"600")</f>
        <v>600</v>
      </c>
      <c r="I294" s="29">
        <f t="shared" ca="1" si="0"/>
        <v>3</v>
      </c>
      <c r="J294" s="29" t="str">
        <f ca="1">IFERROR(__xludf.DUMMYFUNCTION("IF(F294 = H294,C294/FILTER('Base Stats'!$C$2:$C1000, LOWER('Base Stats'!$B$2:$B1000) = LOWER($A294)), """")"),"0.6153846154")</f>
        <v>0.6153846154</v>
      </c>
      <c r="K294" t="str">
        <f t="shared" ca="1" si="1"/>
        <v/>
      </c>
      <c r="L294" t="str">
        <f ca="1">IFERROR(__xludf.DUMMYFUNCTION("IF(AND(NOT(K294 = """"), G294 &gt;= 15),K294/FILTER('Base Stats'!$C$2:$C1000, LOWER('Base Stats'!$B$2:$B1000) = LOWER($A294)), """")"),"")</f>
        <v/>
      </c>
      <c r="M294" t="str">
        <f ca="1">IFERROR(__xludf.DUMMYFUNCTION("1.15 + 0.02 * FILTER('Base Stats'!$C$2:$C1000, LOWER('Base Stats'!$B$2:$B1000) = LOWER($A294))"),"2.45")</f>
        <v>2.45</v>
      </c>
      <c r="N294" t="s">
        <v>527</v>
      </c>
    </row>
    <row r="295" spans="1:14" ht="12.75" x14ac:dyDescent="0.2">
      <c r="A295" s="1" t="s">
        <v>633</v>
      </c>
      <c r="B295" s="1">
        <v>99</v>
      </c>
      <c r="C295" s="1">
        <v>34</v>
      </c>
      <c r="D295" s="1">
        <v>113.62</v>
      </c>
      <c r="E295" s="1">
        <v>1.19</v>
      </c>
      <c r="F295" s="1">
        <v>400</v>
      </c>
      <c r="G295" t="str">
        <f ca="1">IFERROR(__xludf.DUMMYFUNCTION("ROUND(B295/ FILTER('Pokemon CP/HP'!$M$2:$M1000, LOWER('Pokemon CP/HP'!$B$2:$B1000)=LOWER(A295)))"),"6")</f>
        <v>6</v>
      </c>
      <c r="H295" t="str">
        <f ca="1">IFERROR(__xludf.DUMMYFUNCTION("FILTER('Leveling Info'!$B$2:$B1000, 'Leveling Info'!$A$2:$A1000 =G295)"),"400")</f>
        <v>400</v>
      </c>
      <c r="I295" s="29">
        <f t="shared" ca="1" si="0"/>
        <v>2.4494897427831779</v>
      </c>
      <c r="J295" s="29" t="str">
        <f ca="1">IFERROR(__xludf.DUMMYFUNCTION("IF(F295 = H295,C295/FILTER('Base Stats'!$C$2:$C1000, LOWER('Base Stats'!$B$2:$B1000) = LOWER($A295)), """")"),"0.5230769231")</f>
        <v>0.5230769231</v>
      </c>
      <c r="K295" t="str">
        <f t="shared" ca="1" si="1"/>
        <v/>
      </c>
      <c r="L295" t="str">
        <f ca="1">IFERROR(__xludf.DUMMYFUNCTION("IF(AND(NOT(K295 = """"), G295 &gt;= 15),K295/FILTER('Base Stats'!$C$2:$C1000, LOWER('Base Stats'!$B$2:$B1000) = LOWER($A295)), """")"),"")</f>
        <v/>
      </c>
      <c r="M295" t="str">
        <f ca="1">IFERROR(__xludf.DUMMYFUNCTION("1.15 + 0.02 * FILTER('Base Stats'!$C$2:$C1000, LOWER('Base Stats'!$B$2:$B1000) = LOWER($A295))"),"2.45")</f>
        <v>2.45</v>
      </c>
      <c r="N295" t="s">
        <v>527</v>
      </c>
    </row>
    <row r="296" spans="1:14" ht="12.75" x14ac:dyDescent="0.2">
      <c r="A296" s="1" t="s">
        <v>634</v>
      </c>
      <c r="B296" s="1">
        <v>193</v>
      </c>
      <c r="C296" s="1">
        <v>26</v>
      </c>
      <c r="D296" s="1">
        <v>2.37</v>
      </c>
      <c r="E296" s="1">
        <v>0.24</v>
      </c>
      <c r="F296" s="1">
        <v>1000</v>
      </c>
      <c r="G296" t="str">
        <f ca="1">IFERROR(__xludf.DUMMYFUNCTION("ROUND(B296/ FILTER('Pokemon CP/HP'!$M$2:$M1000, LOWER('Pokemon CP/HP'!$B$2:$B1000)=LOWER(A296)))"),"19")</f>
        <v>19</v>
      </c>
      <c r="H296" t="str">
        <f ca="1">IFERROR(__xludf.DUMMYFUNCTION("FILTER('Leveling Info'!$B$2:$B1000, 'Leveling Info'!$A$2:$A1000 =G296)"),"1000")</f>
        <v>1000</v>
      </c>
      <c r="I296" s="29">
        <f t="shared" ca="1" si="0"/>
        <v>4.358898943540674</v>
      </c>
      <c r="J296" s="29" t="str">
        <f ca="1">IFERROR(__xludf.DUMMYFUNCTION("IF(F296 = H296,C296/FILTER('Base Stats'!$C$2:$C1000, LOWER('Base Stats'!$B$2:$B1000) = LOWER($A296)), """")"),"0.8666666667")</f>
        <v>0.8666666667</v>
      </c>
      <c r="K296" t="str">
        <f t="shared" ca="1" si="1"/>
        <v/>
      </c>
      <c r="L296" t="str">
        <f ca="1">IFERROR(__xludf.DUMMYFUNCTION("IF(AND(NOT(K296 = """"), G296 &gt;= 15),K296/FILTER('Base Stats'!$C$2:$C1000, LOWER('Base Stats'!$B$2:$B1000) = LOWER($A296)), """")"),"0.04561403509")</f>
        <v>0.04561403509</v>
      </c>
      <c r="M296" t="str">
        <f ca="1">IFERROR(__xludf.DUMMYFUNCTION("1.15 + 0.02 * FILTER('Base Stats'!$C$2:$C1000, LOWER('Base Stats'!$B$2:$B1000) = LOWER($A296))"),"1.75")</f>
        <v>1.75</v>
      </c>
      <c r="N296">
        <v>0.78195488719999995</v>
      </c>
    </row>
    <row r="297" spans="1:14" ht="12.75" x14ac:dyDescent="0.2">
      <c r="A297" s="1" t="s">
        <v>634</v>
      </c>
      <c r="B297" s="1">
        <v>96</v>
      </c>
      <c r="C297" s="1">
        <v>18</v>
      </c>
      <c r="D297" s="1">
        <v>4.3600000000000003</v>
      </c>
      <c r="E297" s="1">
        <v>0.3</v>
      </c>
      <c r="F297" s="1">
        <v>600</v>
      </c>
      <c r="G297" t="str">
        <f ca="1">IFERROR(__xludf.DUMMYFUNCTION("ROUND(B297/ FILTER('Pokemon CP/HP'!$M$2:$M1000, LOWER('Pokemon CP/HP'!$B$2:$B1000)=LOWER(A297)))"),"10")</f>
        <v>10</v>
      </c>
      <c r="H297" t="str">
        <f ca="1">IFERROR(__xludf.DUMMYFUNCTION("FILTER('Leveling Info'!$B$2:$B1000, 'Leveling Info'!$A$2:$A1000 =G297)"),"600")</f>
        <v>600</v>
      </c>
      <c r="I297" s="29">
        <f t="shared" ca="1" si="0"/>
        <v>3.1622776601683795</v>
      </c>
      <c r="J297" s="29" t="str">
        <f ca="1">IFERROR(__xludf.DUMMYFUNCTION("IF(F297 = H297,C297/FILTER('Base Stats'!$C$2:$C1000, LOWER('Base Stats'!$B$2:$B1000) = LOWER($A297)), """")"),"0.6")</f>
        <v>0.6</v>
      </c>
      <c r="K297" t="str">
        <f t="shared" ca="1" si="1"/>
        <v/>
      </c>
      <c r="L297" t="str">
        <f ca="1">IFERROR(__xludf.DUMMYFUNCTION("IF(AND(NOT(K297 = """"), G297 &gt;= 15),K297/FILTER('Base Stats'!$C$2:$C1000, LOWER('Base Stats'!$B$2:$B1000) = LOWER($A297)), """")"),"")</f>
        <v/>
      </c>
      <c r="M297" t="str">
        <f ca="1">IFERROR(__xludf.DUMMYFUNCTION("1.15 + 0.02 * FILTER('Base Stats'!$C$2:$C1000, LOWER('Base Stats'!$B$2:$B1000) = LOWER($A297))"),"1.75")</f>
        <v>1.75</v>
      </c>
      <c r="N297" t="s">
        <v>527</v>
      </c>
    </row>
    <row r="298" spans="1:14" ht="12.75" x14ac:dyDescent="0.2">
      <c r="A298" s="1" t="s">
        <v>634</v>
      </c>
      <c r="B298" s="1">
        <v>11</v>
      </c>
      <c r="C298" s="1">
        <v>10</v>
      </c>
      <c r="D298" s="1">
        <v>2.68</v>
      </c>
      <c r="E298" s="1">
        <v>0.26</v>
      </c>
      <c r="F298" s="1">
        <v>200</v>
      </c>
      <c r="G298" t="str">
        <f ca="1">IFERROR(__xludf.DUMMYFUNCTION("ROUND(B298/ FILTER('Pokemon CP/HP'!$M$2:$M1000, LOWER('Pokemon CP/HP'!$B$2:$B1000)=LOWER(A298)))"),"1")</f>
        <v>1</v>
      </c>
      <c r="H298" t="str">
        <f ca="1">IFERROR(__xludf.DUMMYFUNCTION("FILTER('Leveling Info'!$B$2:$B1000, 'Leveling Info'!$A$2:$A1000 =G298)"),"200")</f>
        <v>200</v>
      </c>
      <c r="I298" s="29">
        <f t="shared" ca="1" si="0"/>
        <v>1</v>
      </c>
      <c r="J298" s="29" t="str">
        <f ca="1">IFERROR(__xludf.DUMMYFUNCTION("IF(F298 = H298,C298/FILTER('Base Stats'!$C$2:$C1000, LOWER('Base Stats'!$B$2:$B1000) = LOWER($A298)), """")"),"0.3333333333")</f>
        <v>0.3333333333</v>
      </c>
      <c r="K298" t="str">
        <f t="shared" ca="1" si="1"/>
        <v/>
      </c>
      <c r="L298" t="str">
        <f ca="1">IFERROR(__xludf.DUMMYFUNCTION("IF(AND(NOT(K298 = """"), G298 &gt;= 15),K298/FILTER('Base Stats'!$C$2:$C1000, LOWER('Base Stats'!$B$2:$B1000) = LOWER($A298)), """")"),"")</f>
        <v/>
      </c>
      <c r="M298" t="str">
        <f ca="1">IFERROR(__xludf.DUMMYFUNCTION("1.15 + 0.02 * FILTER('Base Stats'!$C$2:$C1000, LOWER('Base Stats'!$B$2:$B1000) = LOWER($A298))"),"1.75")</f>
        <v>1.75</v>
      </c>
      <c r="N298" t="s">
        <v>527</v>
      </c>
    </row>
    <row r="299" spans="1:14" ht="12.75" x14ac:dyDescent="0.2">
      <c r="A299" s="1" t="s">
        <v>635</v>
      </c>
      <c r="B299" s="1">
        <v>201</v>
      </c>
      <c r="C299" s="1">
        <v>29</v>
      </c>
      <c r="D299" s="1">
        <v>7.0000000000000007E-2</v>
      </c>
      <c r="E299" s="1">
        <v>1.1499999999999999</v>
      </c>
      <c r="F299" s="1">
        <v>1000</v>
      </c>
      <c r="G299" t="str">
        <f ca="1">IFERROR(__xludf.DUMMYFUNCTION("ROUND(B299/ FILTER('Pokemon CP/HP'!$M$2:$M1000, LOWER('Pokemon CP/HP'!$B$2:$B1000)=LOWER(A299)))"),"18")</f>
        <v>18</v>
      </c>
      <c r="H299" t="str">
        <f ca="1">IFERROR(__xludf.DUMMYFUNCTION("FILTER('Leveling Info'!$B$2:$B1000, 'Leveling Info'!$A$2:$A1000 =G299)"),"1000")</f>
        <v>1000</v>
      </c>
      <c r="I299" s="29">
        <f t="shared" ca="1" si="0"/>
        <v>4.2426406871192848</v>
      </c>
      <c r="J299" s="29" t="str">
        <f ca="1">IFERROR(__xludf.DUMMYFUNCTION("IF(F299 = H299,C299/FILTER('Base Stats'!$C$2:$C1000, LOWER('Base Stats'!$B$2:$B1000) = LOWER($A299)), """")"),"0.9666666667")</f>
        <v>0.9666666667</v>
      </c>
      <c r="K299" t="str">
        <f t="shared" ca="1" si="1"/>
        <v/>
      </c>
      <c r="L299" t="str">
        <f ca="1">IFERROR(__xludf.DUMMYFUNCTION("IF(AND(NOT(K299 = """"), G299 &gt;= 15),K299/FILTER('Base Stats'!$C$2:$C1000, LOWER('Base Stats'!$B$2:$B1000) = LOWER($A299)), """")"),"0.0537037037")</f>
        <v>0.0537037037</v>
      </c>
      <c r="M299" t="str">
        <f ca="1">IFERROR(__xludf.DUMMYFUNCTION("1.15 + 0.02 * FILTER('Base Stats'!$C$2:$C1000, LOWER('Base Stats'!$B$2:$B1000) = LOWER($A299))"),"1.75")</f>
        <v>1.75</v>
      </c>
      <c r="N299">
        <v>0.92063492059999996</v>
      </c>
    </row>
    <row r="300" spans="1:14" ht="12.75" x14ac:dyDescent="0.2">
      <c r="A300" s="1" t="s">
        <v>635</v>
      </c>
      <c r="B300" s="1">
        <v>173</v>
      </c>
      <c r="C300" s="1">
        <v>27</v>
      </c>
      <c r="D300" s="1">
        <v>0.09</v>
      </c>
      <c r="E300" s="1">
        <v>1.08</v>
      </c>
      <c r="F300" s="1">
        <v>800</v>
      </c>
      <c r="G300" t="str">
        <f ca="1">IFERROR(__xludf.DUMMYFUNCTION("ROUND(B300/ FILTER('Pokemon CP/HP'!$M$2:$M1000, LOWER('Pokemon CP/HP'!$B$2:$B1000)=LOWER(A300)))"),"15")</f>
        <v>15</v>
      </c>
      <c r="H300" t="str">
        <f ca="1">IFERROR(__xludf.DUMMYFUNCTION("FILTER('Leveling Info'!$B$2:$B1000, 'Leveling Info'!$A$2:$A1000 =G300)"),"800")</f>
        <v>800</v>
      </c>
      <c r="I300" s="29">
        <f t="shared" ca="1" si="0"/>
        <v>3.872983346207417</v>
      </c>
      <c r="J300" s="29" t="str">
        <f ca="1">IFERROR(__xludf.DUMMYFUNCTION("IF(F300 = H300,C300/FILTER('Base Stats'!$C$2:$C1000, LOWER('Base Stats'!$B$2:$B1000) = LOWER($A300)), """")"),"0.9")</f>
        <v>0.9</v>
      </c>
      <c r="K300" t="str">
        <f t="shared" ca="1" si="1"/>
        <v/>
      </c>
      <c r="L300" t="str">
        <f ca="1">IFERROR(__xludf.DUMMYFUNCTION("IF(AND(NOT(K300 = """"), G300 &gt;= 15),K300/FILTER('Base Stats'!$C$2:$C1000, LOWER('Base Stats'!$B$2:$B1000) = LOWER($A300)), """")"),"0.06")</f>
        <v>0.06</v>
      </c>
      <c r="M300" t="str">
        <f ca="1">IFERROR(__xludf.DUMMYFUNCTION("1.15 + 0.02 * FILTER('Base Stats'!$C$2:$C1000, LOWER('Base Stats'!$B$2:$B1000) = LOWER($A300))"),"1.75")</f>
        <v>1.75</v>
      </c>
      <c r="N300">
        <v>1.0285714290000001</v>
      </c>
    </row>
    <row r="301" spans="1:14" ht="12.75" x14ac:dyDescent="0.2">
      <c r="A301" s="1" t="s">
        <v>636</v>
      </c>
      <c r="B301" s="1">
        <v>415</v>
      </c>
      <c r="C301" s="1">
        <v>66</v>
      </c>
      <c r="D301" s="1">
        <v>30.6</v>
      </c>
      <c r="E301" s="1">
        <v>0.99</v>
      </c>
      <c r="F301" s="1">
        <v>1600</v>
      </c>
      <c r="G301" t="str">
        <f ca="1">IFERROR(__xludf.DUMMYFUNCTION("ROUND(B301/ FILTER('Pokemon CP/HP'!$M$2:$M1000, LOWER('Pokemon CP/HP'!$B$2:$B1000)=LOWER(A301)))"),"29")</f>
        <v>29</v>
      </c>
      <c r="H301" t="str">
        <f ca="1">IFERROR(__xludf.DUMMYFUNCTION("FILTER('Leveling Info'!$B$2:$B1000, 'Leveling Info'!$A$2:$A1000 =G301)"),"1900")</f>
        <v>1900</v>
      </c>
      <c r="I301" s="29">
        <f t="shared" ca="1" si="0"/>
        <v>5.3851648071345037</v>
      </c>
      <c r="J301" s="29" t="str">
        <f ca="1">IFERROR(__xludf.DUMMYFUNCTION("IF(F301 = H301,C301/FILTER('Base Stats'!$C$2:$C1000, LOWER('Base Stats'!$B$2:$B1000) = LOWER($A301)), """")"),"")</f>
        <v/>
      </c>
      <c r="K301" t="str">
        <f t="shared" ca="1" si="1"/>
        <v/>
      </c>
      <c r="L301" t="str">
        <f ca="1">IFERROR(__xludf.DUMMYFUNCTION("IF(AND(NOT(K301 = """"), G301 &gt;= 15),K301/FILTER('Base Stats'!$C$2:$C1000, LOWER('Base Stats'!$B$2:$B1000) = LOWER($A301)), """")"),"")</f>
        <v/>
      </c>
      <c r="M301" t="str">
        <f ca="1">IFERROR(__xludf.DUMMYFUNCTION("1.15 + 0.02 * FILTER('Base Stats'!$C$2:$C1000, LOWER('Base Stats'!$B$2:$B1000) = LOWER($A301))"),"2.35")</f>
        <v>2.35</v>
      </c>
      <c r="N301" t="s">
        <v>527</v>
      </c>
    </row>
    <row r="302" spans="1:14" ht="12.75" x14ac:dyDescent="0.2">
      <c r="A302" s="1" t="s">
        <v>636</v>
      </c>
      <c r="B302" s="1">
        <v>414</v>
      </c>
      <c r="C302" s="1">
        <v>64</v>
      </c>
      <c r="D302" s="1">
        <v>33.49</v>
      </c>
      <c r="E302" s="1">
        <v>1.1100000000000001</v>
      </c>
      <c r="F302" s="1">
        <v>1900</v>
      </c>
      <c r="G302" t="str">
        <f ca="1">IFERROR(__xludf.DUMMYFUNCTION("ROUND(B302/ FILTER('Pokemon CP/HP'!$M$2:$M1000, LOWER('Pokemon CP/HP'!$B$2:$B1000)=LOWER(A302)))"),"29")</f>
        <v>29</v>
      </c>
      <c r="H302" t="str">
        <f ca="1">IFERROR(__xludf.DUMMYFUNCTION("FILTER('Leveling Info'!$B$2:$B1000, 'Leveling Info'!$A$2:$A1000 =G302)"),"1900")</f>
        <v>1900</v>
      </c>
      <c r="I302" s="29">
        <f t="shared" ca="1" si="0"/>
        <v>5.3851648071345037</v>
      </c>
      <c r="J302" s="29" t="str">
        <f ca="1">IFERROR(__xludf.DUMMYFUNCTION("IF(F302 = H302,C302/FILTER('Base Stats'!$C$2:$C1000, LOWER('Base Stats'!$B$2:$B1000) = LOWER($A302)), """")"),"1.066666667")</f>
        <v>1.066666667</v>
      </c>
      <c r="K302" t="str">
        <f t="shared" ca="1" si="1"/>
        <v/>
      </c>
      <c r="L302" t="str">
        <f ca="1">IFERROR(__xludf.DUMMYFUNCTION("IF(AND(NOT(K302 = """"), G302 &gt;= 15),K302/FILTER('Base Stats'!$C$2:$C1000, LOWER('Base Stats'!$B$2:$B1000) = LOWER($A302)), """")"),"0.0367816092")</f>
        <v>0.0367816092</v>
      </c>
      <c r="M302" t="str">
        <f ca="1">IFERROR(__xludf.DUMMYFUNCTION("1.15 + 0.02 * FILTER('Base Stats'!$C$2:$C1000, LOWER('Base Stats'!$B$2:$B1000) = LOWER($A302))"),"2.35")</f>
        <v>2.35</v>
      </c>
      <c r="N302">
        <v>0.93910491559999998</v>
      </c>
    </row>
    <row r="303" spans="1:14" ht="12.75" x14ac:dyDescent="0.2">
      <c r="A303" s="1" t="s">
        <v>636</v>
      </c>
      <c r="B303" s="1">
        <v>298</v>
      </c>
      <c r="C303" s="1">
        <v>53</v>
      </c>
      <c r="D303" s="1">
        <v>34.75</v>
      </c>
      <c r="E303" s="1">
        <v>1.03</v>
      </c>
      <c r="F303" s="1">
        <v>1000</v>
      </c>
      <c r="G303" t="str">
        <f ca="1">IFERROR(__xludf.DUMMYFUNCTION("ROUND(B303/ FILTER('Pokemon CP/HP'!$M$2:$M1000, LOWER('Pokemon CP/HP'!$B$2:$B1000)=LOWER(A303)))"),"21")</f>
        <v>21</v>
      </c>
      <c r="H303" t="str">
        <f ca="1">IFERROR(__xludf.DUMMYFUNCTION("FILTER('Leveling Info'!$B$2:$B1000, 'Leveling Info'!$A$2:$A1000 =G303)"),"1300")</f>
        <v>1300</v>
      </c>
      <c r="I303" s="29">
        <f t="shared" ca="1" si="0"/>
        <v>4.5825756949558398</v>
      </c>
      <c r="J303" s="29" t="str">
        <f ca="1">IFERROR(__xludf.DUMMYFUNCTION("IF(F303 = H303,C303/FILTER('Base Stats'!$C$2:$C1000, LOWER('Base Stats'!$B$2:$B1000) = LOWER($A303)), """")"),"")</f>
        <v/>
      </c>
      <c r="K303" t="str">
        <f t="shared" ca="1" si="1"/>
        <v/>
      </c>
      <c r="L303" t="str">
        <f ca="1">IFERROR(__xludf.DUMMYFUNCTION("IF(AND(NOT(K303 = """"), G303 &gt;= 15),K303/FILTER('Base Stats'!$C$2:$C1000, LOWER('Base Stats'!$B$2:$B1000) = LOWER($A303)), """")"),"")</f>
        <v/>
      </c>
      <c r="M303" t="str">
        <f ca="1">IFERROR(__xludf.DUMMYFUNCTION("1.15 + 0.02 * FILTER('Base Stats'!$C$2:$C1000, LOWER('Base Stats'!$B$2:$B1000) = LOWER($A303))"),"2.35")</f>
        <v>2.35</v>
      </c>
      <c r="N303" t="s">
        <v>527</v>
      </c>
    </row>
    <row r="304" spans="1:14" ht="12.75" x14ac:dyDescent="0.2">
      <c r="A304" s="1" t="s">
        <v>636</v>
      </c>
      <c r="B304" s="1">
        <v>282</v>
      </c>
      <c r="C304" s="1">
        <v>50</v>
      </c>
      <c r="D304" s="1">
        <v>45.08</v>
      </c>
      <c r="E304" s="1">
        <v>1.1399999999999999</v>
      </c>
      <c r="F304" s="1">
        <v>1000</v>
      </c>
      <c r="G304" t="str">
        <f ca="1">IFERROR(__xludf.DUMMYFUNCTION("ROUND(B304/ FILTER('Pokemon CP/HP'!$M$2:$M1000, LOWER('Pokemon CP/HP'!$B$2:$B1000)=LOWER(A304)))"),"19")</f>
        <v>19</v>
      </c>
      <c r="H304" t="str">
        <f ca="1">IFERROR(__xludf.DUMMYFUNCTION("FILTER('Leveling Info'!$B$2:$B1000, 'Leveling Info'!$A$2:$A1000 =G304)"),"1000")</f>
        <v>1000</v>
      </c>
      <c r="I304" s="29">
        <f t="shared" ca="1" si="0"/>
        <v>4.358898943540674</v>
      </c>
      <c r="J304" s="29" t="str">
        <f ca="1">IFERROR(__xludf.DUMMYFUNCTION("IF(F304 = H304,C304/FILTER('Base Stats'!$C$2:$C1000, LOWER('Base Stats'!$B$2:$B1000) = LOWER($A304)), """")"),"0.8333333333")</f>
        <v>0.8333333333</v>
      </c>
      <c r="K304" t="str">
        <f t="shared" ca="1" si="1"/>
        <v/>
      </c>
      <c r="L304" t="str">
        <f ca="1">IFERROR(__xludf.DUMMYFUNCTION("IF(AND(NOT(K304 = """"), G304 &gt;= 15),K304/FILTER('Base Stats'!$C$2:$C1000, LOWER('Base Stats'!$B$2:$B1000) = LOWER($A304)), """")"),"0.04385964912")</f>
        <v>0.04385964912</v>
      </c>
      <c r="M304" t="str">
        <f ca="1">IFERROR(__xludf.DUMMYFUNCTION("1.15 + 0.02 * FILTER('Base Stats'!$C$2:$C1000, LOWER('Base Stats'!$B$2:$B1000) = LOWER($A304))"),"2.35")</f>
        <v>2.35</v>
      </c>
      <c r="N304">
        <v>1.119820829</v>
      </c>
    </row>
    <row r="305" spans="1:14" ht="12.75" x14ac:dyDescent="0.2">
      <c r="A305" s="1" t="s">
        <v>636</v>
      </c>
      <c r="B305" s="1">
        <v>262</v>
      </c>
      <c r="C305" s="1">
        <v>50</v>
      </c>
      <c r="D305" s="1">
        <v>39.299999999999997</v>
      </c>
      <c r="E305" s="1">
        <v>1.07</v>
      </c>
      <c r="F305" s="1">
        <v>1000</v>
      </c>
      <c r="G305" t="str">
        <f ca="1">IFERROR(__xludf.DUMMYFUNCTION("ROUND(B305/ FILTER('Pokemon CP/HP'!$M$2:$M1000, LOWER('Pokemon CP/HP'!$B$2:$B1000)=LOWER(A305)))"),"18")</f>
        <v>18</v>
      </c>
      <c r="H305" t="str">
        <f ca="1">IFERROR(__xludf.DUMMYFUNCTION("FILTER('Leveling Info'!$B$2:$B1000, 'Leveling Info'!$A$2:$A1000 =G305)"),"1000")</f>
        <v>1000</v>
      </c>
      <c r="I305" s="29">
        <f t="shared" ca="1" si="0"/>
        <v>4.2426406871192848</v>
      </c>
      <c r="J305" s="29" t="str">
        <f ca="1">IFERROR(__xludf.DUMMYFUNCTION("IF(F305 = H305,C305/FILTER('Base Stats'!$C$2:$C1000, LOWER('Base Stats'!$B$2:$B1000) = LOWER($A305)), """")"),"0.8333333333")</f>
        <v>0.8333333333</v>
      </c>
      <c r="K305" t="str">
        <f t="shared" ca="1" si="1"/>
        <v/>
      </c>
      <c r="L305" t="str">
        <f ca="1">IFERROR(__xludf.DUMMYFUNCTION("IF(AND(NOT(K305 = """"), G305 &gt;= 15),K305/FILTER('Base Stats'!$C$2:$C1000, LOWER('Base Stats'!$B$2:$B1000) = LOWER($A305)), """")"),"0.0462962963")</f>
        <v>0.0462962963</v>
      </c>
      <c r="M305" t="str">
        <f ca="1">IFERROR(__xludf.DUMMYFUNCTION("1.15 + 0.02 * FILTER('Base Stats'!$C$2:$C1000, LOWER('Base Stats'!$B$2:$B1000) = LOWER($A305))"),"2.35")</f>
        <v>2.35</v>
      </c>
      <c r="N305">
        <v>1.1820330969999999</v>
      </c>
    </row>
    <row r="306" spans="1:14" ht="12.75" x14ac:dyDescent="0.2">
      <c r="A306" s="1" t="s">
        <v>636</v>
      </c>
      <c r="B306" s="1">
        <v>256</v>
      </c>
      <c r="C306" s="1">
        <v>50</v>
      </c>
      <c r="D306" s="1">
        <v>32.15</v>
      </c>
      <c r="E306" s="1">
        <v>0.9</v>
      </c>
      <c r="F306" s="1">
        <v>1000</v>
      </c>
      <c r="G306" t="str">
        <f ca="1">IFERROR(__xludf.DUMMYFUNCTION("ROUND(B306/ FILTER('Pokemon CP/HP'!$M$2:$M1000, LOWER('Pokemon CP/HP'!$B$2:$B1000)=LOWER(A306)))"),"18")</f>
        <v>18</v>
      </c>
      <c r="H306" t="str">
        <f ca="1">IFERROR(__xludf.DUMMYFUNCTION("FILTER('Leveling Info'!$B$2:$B1000, 'Leveling Info'!$A$2:$A1000 =G306)"),"1000")</f>
        <v>1000</v>
      </c>
      <c r="I306" s="29">
        <f t="shared" ca="1" si="0"/>
        <v>4.2426406871192848</v>
      </c>
      <c r="J306" s="29" t="str">
        <f ca="1">IFERROR(__xludf.DUMMYFUNCTION("IF(F306 = H306,C306/FILTER('Base Stats'!$C$2:$C1000, LOWER('Base Stats'!$B$2:$B1000) = LOWER($A306)), """")"),"0.8333333333")</f>
        <v>0.8333333333</v>
      </c>
      <c r="K306" t="str">
        <f t="shared" ca="1" si="1"/>
        <v/>
      </c>
      <c r="L306" t="str">
        <f ca="1">IFERROR(__xludf.DUMMYFUNCTION("IF(AND(NOT(K306 = """"), G306 &gt;= 15),K306/FILTER('Base Stats'!$C$2:$C1000, LOWER('Base Stats'!$B$2:$B1000) = LOWER($A306)), """")"),"0.0462962963")</f>
        <v>0.0462962963</v>
      </c>
      <c r="M306" t="str">
        <f ca="1">IFERROR(__xludf.DUMMYFUNCTION("1.15 + 0.02 * FILTER('Base Stats'!$C$2:$C1000, LOWER('Base Stats'!$B$2:$B1000) = LOWER($A306))"),"2.35")</f>
        <v>2.35</v>
      </c>
      <c r="N306">
        <v>1.1820330969999999</v>
      </c>
    </row>
    <row r="307" spans="1:14" ht="12.75" x14ac:dyDescent="0.2">
      <c r="A307" s="1" t="s">
        <v>636</v>
      </c>
      <c r="B307" s="1">
        <v>194</v>
      </c>
      <c r="C307" s="1">
        <v>41</v>
      </c>
      <c r="D307" s="1">
        <v>26.4</v>
      </c>
      <c r="E307" s="1">
        <v>0.96</v>
      </c>
      <c r="F307" s="1">
        <v>800</v>
      </c>
      <c r="G307" t="str">
        <f ca="1">IFERROR(__xludf.DUMMYFUNCTION("ROUND(B307/ FILTER('Pokemon CP/HP'!$M$2:$M1000, LOWER('Pokemon CP/HP'!$B$2:$B1000)=LOWER(A307)))"),"13")</f>
        <v>13</v>
      </c>
      <c r="H307" t="str">
        <f ca="1">IFERROR(__xludf.DUMMYFUNCTION("FILTER('Leveling Info'!$B$2:$B1000, 'Leveling Info'!$A$2:$A1000 =G307)"),"800")</f>
        <v>800</v>
      </c>
      <c r="I307" s="29">
        <f t="shared" ca="1" si="0"/>
        <v>3.6055512754639891</v>
      </c>
      <c r="J307" s="29" t="str">
        <f ca="1">IFERROR(__xludf.DUMMYFUNCTION("IF(F307 = H307,C307/FILTER('Base Stats'!$C$2:$C1000, LOWER('Base Stats'!$B$2:$B1000) = LOWER($A307)), """")"),"0.6833333333")</f>
        <v>0.6833333333</v>
      </c>
      <c r="K307" t="str">
        <f t="shared" ca="1" si="1"/>
        <v/>
      </c>
      <c r="L307" t="str">
        <f ca="1">IFERROR(__xludf.DUMMYFUNCTION("IF(AND(NOT(K307 = """"), G307 &gt;= 15),K307/FILTER('Base Stats'!$C$2:$C1000, LOWER('Base Stats'!$B$2:$B1000) = LOWER($A307)), """")"),"")</f>
        <v/>
      </c>
      <c r="M307" t="str">
        <f ca="1">IFERROR(__xludf.DUMMYFUNCTION("1.15 + 0.02 * FILTER('Base Stats'!$C$2:$C1000, LOWER('Base Stats'!$B$2:$B1000) = LOWER($A307))"),"2.35")</f>
        <v>2.35</v>
      </c>
      <c r="N307" t="s">
        <v>527</v>
      </c>
    </row>
    <row r="308" spans="1:14" ht="12.75" x14ac:dyDescent="0.2">
      <c r="A308" s="1" t="s">
        <v>636</v>
      </c>
      <c r="B308" s="1">
        <v>193</v>
      </c>
      <c r="C308" s="1">
        <v>43</v>
      </c>
      <c r="D308" s="1">
        <v>29.35</v>
      </c>
      <c r="E308" s="1">
        <v>1</v>
      </c>
      <c r="F308" s="1">
        <v>800</v>
      </c>
      <c r="G308" t="str">
        <f ca="1">IFERROR(__xludf.DUMMYFUNCTION("ROUND(B308/ FILTER('Pokemon CP/HP'!$M$2:$M1000, LOWER('Pokemon CP/HP'!$B$2:$B1000)=LOWER(A308)))"),"13")</f>
        <v>13</v>
      </c>
      <c r="H308" t="str">
        <f ca="1">IFERROR(__xludf.DUMMYFUNCTION("FILTER('Leveling Info'!$B$2:$B1000, 'Leveling Info'!$A$2:$A1000 =G308)"),"800")</f>
        <v>800</v>
      </c>
      <c r="I308" s="29">
        <f t="shared" ca="1" si="0"/>
        <v>3.6055512754639891</v>
      </c>
      <c r="J308" s="29" t="str">
        <f ca="1">IFERROR(__xludf.DUMMYFUNCTION("IF(F308 = H308,C308/FILTER('Base Stats'!$C$2:$C1000, LOWER('Base Stats'!$B$2:$B1000) = LOWER($A308)), """")"),"0.7166666667")</f>
        <v>0.7166666667</v>
      </c>
      <c r="K308" t="str">
        <f t="shared" ca="1" si="1"/>
        <v/>
      </c>
      <c r="L308" t="str">
        <f ca="1">IFERROR(__xludf.DUMMYFUNCTION("IF(AND(NOT(K308 = """"), G308 &gt;= 15),K308/FILTER('Base Stats'!$C$2:$C1000, LOWER('Base Stats'!$B$2:$B1000) = LOWER($A308)), """")"),"")</f>
        <v/>
      </c>
      <c r="M308" t="str">
        <f ca="1">IFERROR(__xludf.DUMMYFUNCTION("1.15 + 0.02 * FILTER('Base Stats'!$C$2:$C1000, LOWER('Base Stats'!$B$2:$B1000) = LOWER($A308))"),"2.35")</f>
        <v>2.35</v>
      </c>
      <c r="N308" t="s">
        <v>527</v>
      </c>
    </row>
    <row r="309" spans="1:14" ht="12.75" x14ac:dyDescent="0.2">
      <c r="A309" s="1" t="s">
        <v>636</v>
      </c>
      <c r="B309" s="1">
        <v>192</v>
      </c>
      <c r="C309" s="1">
        <v>43</v>
      </c>
      <c r="D309" s="1">
        <v>25.58</v>
      </c>
      <c r="E309" s="1">
        <v>0.86</v>
      </c>
      <c r="F309" s="1">
        <v>800</v>
      </c>
      <c r="G309" t="str">
        <f ca="1">IFERROR(__xludf.DUMMYFUNCTION("ROUND(B309/ FILTER('Pokemon CP/HP'!$M$2:$M1000, LOWER('Pokemon CP/HP'!$B$2:$B1000)=LOWER(A309)))"),"13")</f>
        <v>13</v>
      </c>
      <c r="H309" t="str">
        <f ca="1">IFERROR(__xludf.DUMMYFUNCTION("FILTER('Leveling Info'!$B$2:$B1000, 'Leveling Info'!$A$2:$A1000 =G309)"),"800")</f>
        <v>800</v>
      </c>
      <c r="I309" s="29">
        <f t="shared" ca="1" si="0"/>
        <v>3.6055512754639891</v>
      </c>
      <c r="J309" s="29" t="str">
        <f ca="1">IFERROR(__xludf.DUMMYFUNCTION("IF(F309 = H309,C309/FILTER('Base Stats'!$C$2:$C1000, LOWER('Base Stats'!$B$2:$B1000) = LOWER($A309)), """")"),"0.7166666667")</f>
        <v>0.7166666667</v>
      </c>
      <c r="K309" t="str">
        <f t="shared" ca="1" si="1"/>
        <v/>
      </c>
      <c r="L309" t="str">
        <f ca="1">IFERROR(__xludf.DUMMYFUNCTION("IF(AND(NOT(K309 = """"), G309 &gt;= 15),K309/FILTER('Base Stats'!$C$2:$C1000, LOWER('Base Stats'!$B$2:$B1000) = LOWER($A309)), """")"),"")</f>
        <v/>
      </c>
      <c r="M309" t="str">
        <f ca="1">IFERROR(__xludf.DUMMYFUNCTION("1.15 + 0.02 * FILTER('Base Stats'!$C$2:$C1000, LOWER('Base Stats'!$B$2:$B1000) = LOWER($A309))"),"2.35")</f>
        <v>2.35</v>
      </c>
      <c r="N309" t="s">
        <v>527</v>
      </c>
    </row>
    <row r="310" spans="1:14" ht="12.75" x14ac:dyDescent="0.2">
      <c r="A310" s="1" t="s">
        <v>636</v>
      </c>
      <c r="B310" s="1">
        <v>169</v>
      </c>
      <c r="C310" s="1">
        <v>39</v>
      </c>
      <c r="D310" s="1">
        <v>29.5</v>
      </c>
      <c r="E310" s="1">
        <v>0.97</v>
      </c>
      <c r="F310" s="1">
        <v>600</v>
      </c>
      <c r="G310" t="str">
        <f ca="1">IFERROR(__xludf.DUMMYFUNCTION("ROUND(B310/ FILTER('Pokemon CP/HP'!$M$2:$M1000, LOWER('Pokemon CP/HP'!$B$2:$B1000)=LOWER(A310)))"),"12")</f>
        <v>12</v>
      </c>
      <c r="H310" t="str">
        <f ca="1">IFERROR(__xludf.DUMMYFUNCTION("FILTER('Leveling Info'!$B$2:$B1000, 'Leveling Info'!$A$2:$A1000 =G310)"),"600")</f>
        <v>600</v>
      </c>
      <c r="I310" s="29">
        <f t="shared" ca="1" si="0"/>
        <v>3.4641016151377544</v>
      </c>
      <c r="J310" s="29" t="str">
        <f ca="1">IFERROR(__xludf.DUMMYFUNCTION("IF(F310 = H310,C310/FILTER('Base Stats'!$C$2:$C1000, LOWER('Base Stats'!$B$2:$B1000) = LOWER($A310)), """")"),"0.65")</f>
        <v>0.65</v>
      </c>
      <c r="K310" t="str">
        <f t="shared" ca="1" si="1"/>
        <v/>
      </c>
      <c r="L310" t="str">
        <f ca="1">IFERROR(__xludf.DUMMYFUNCTION("IF(AND(NOT(K310 = """"), G310 &gt;= 15),K310/FILTER('Base Stats'!$C$2:$C1000, LOWER('Base Stats'!$B$2:$B1000) = LOWER($A310)), """")"),"")</f>
        <v/>
      </c>
      <c r="M310" t="str">
        <f ca="1">IFERROR(__xludf.DUMMYFUNCTION("1.15 + 0.02 * FILTER('Base Stats'!$C$2:$C1000, LOWER('Base Stats'!$B$2:$B1000) = LOWER($A310))"),"2.35")</f>
        <v>2.35</v>
      </c>
      <c r="N310" t="s">
        <v>527</v>
      </c>
    </row>
    <row r="311" spans="1:14" ht="12.75" x14ac:dyDescent="0.2">
      <c r="A311" s="1" t="s">
        <v>636</v>
      </c>
      <c r="B311" s="1">
        <v>168</v>
      </c>
      <c r="C311" s="1">
        <v>43</v>
      </c>
      <c r="D311" s="1">
        <v>9.14</v>
      </c>
      <c r="E311" s="1">
        <v>0.72</v>
      </c>
      <c r="F311" s="1">
        <v>600</v>
      </c>
      <c r="G311" t="str">
        <f ca="1">IFERROR(__xludf.DUMMYFUNCTION("ROUND(B311/ FILTER('Pokemon CP/HP'!$M$2:$M1000, LOWER('Pokemon CP/HP'!$B$2:$B1000)=LOWER(A311)))"),"12")</f>
        <v>12</v>
      </c>
      <c r="H311" t="str">
        <f ca="1">IFERROR(__xludf.DUMMYFUNCTION("FILTER('Leveling Info'!$B$2:$B1000, 'Leveling Info'!$A$2:$A1000 =G311)"),"600")</f>
        <v>600</v>
      </c>
      <c r="I311" s="29">
        <f t="shared" ca="1" si="0"/>
        <v>3.4641016151377544</v>
      </c>
      <c r="J311" s="29" t="str">
        <f ca="1">IFERROR(__xludf.DUMMYFUNCTION("IF(F311 = H311,C311/FILTER('Base Stats'!$C$2:$C1000, LOWER('Base Stats'!$B$2:$B1000) = LOWER($A311)), """")"),"0.7166666667")</f>
        <v>0.7166666667</v>
      </c>
      <c r="K311" t="str">
        <f t="shared" ca="1" si="1"/>
        <v/>
      </c>
      <c r="L311" t="str">
        <f ca="1">IFERROR(__xludf.DUMMYFUNCTION("IF(AND(NOT(K311 = """"), G311 &gt;= 15),K311/FILTER('Base Stats'!$C$2:$C1000, LOWER('Base Stats'!$B$2:$B1000) = LOWER($A311)), """")"),"")</f>
        <v/>
      </c>
      <c r="M311" t="str">
        <f ca="1">IFERROR(__xludf.DUMMYFUNCTION("1.15 + 0.02 * FILTER('Base Stats'!$C$2:$C1000, LOWER('Base Stats'!$B$2:$B1000) = LOWER($A311))"),"2.35")</f>
        <v>2.35</v>
      </c>
      <c r="N311" t="s">
        <v>527</v>
      </c>
    </row>
    <row r="312" spans="1:14" ht="12.75" x14ac:dyDescent="0.2">
      <c r="A312" s="1" t="s">
        <v>636</v>
      </c>
      <c r="B312" s="1">
        <v>161</v>
      </c>
      <c r="C312" s="1">
        <v>39</v>
      </c>
      <c r="D312" s="1">
        <v>29.26</v>
      </c>
      <c r="E312" s="1">
        <v>0.92</v>
      </c>
      <c r="F312" s="1">
        <v>600</v>
      </c>
      <c r="G312" t="str">
        <f ca="1">IFERROR(__xludf.DUMMYFUNCTION("ROUND(B312/ FILTER('Pokemon CP/HP'!$M$2:$M1000, LOWER('Pokemon CP/HP'!$B$2:$B1000)=LOWER(A312)))"),"11")</f>
        <v>11</v>
      </c>
      <c r="H312" t="str">
        <f ca="1">IFERROR(__xludf.DUMMYFUNCTION("FILTER('Leveling Info'!$B$2:$B1000, 'Leveling Info'!$A$2:$A1000 =G312)"),"600")</f>
        <v>600</v>
      </c>
      <c r="I312" s="29">
        <f t="shared" ca="1" si="0"/>
        <v>3.3166247903553998</v>
      </c>
      <c r="J312" s="29" t="str">
        <f ca="1">IFERROR(__xludf.DUMMYFUNCTION("IF(F312 = H312,C312/FILTER('Base Stats'!$C$2:$C1000, LOWER('Base Stats'!$B$2:$B1000) = LOWER($A312)), """")"),"0.65")</f>
        <v>0.65</v>
      </c>
      <c r="K312" t="str">
        <f t="shared" ca="1" si="1"/>
        <v/>
      </c>
      <c r="L312" t="str">
        <f ca="1">IFERROR(__xludf.DUMMYFUNCTION("IF(AND(NOT(K312 = """"), G312 &gt;= 15),K312/FILTER('Base Stats'!$C$2:$C1000, LOWER('Base Stats'!$B$2:$B1000) = LOWER($A312)), """")"),"")</f>
        <v/>
      </c>
      <c r="M312" t="str">
        <f ca="1">IFERROR(__xludf.DUMMYFUNCTION("1.15 + 0.02 * FILTER('Base Stats'!$C$2:$C1000, LOWER('Base Stats'!$B$2:$B1000) = LOWER($A312))"),"2.35")</f>
        <v>2.35</v>
      </c>
      <c r="N312" t="s">
        <v>527</v>
      </c>
    </row>
    <row r="313" spans="1:14" ht="12.75" x14ac:dyDescent="0.2">
      <c r="A313" s="1" t="s">
        <v>636</v>
      </c>
      <c r="B313" s="1">
        <v>135</v>
      </c>
      <c r="C313" s="1">
        <v>38</v>
      </c>
      <c r="D313" s="1">
        <v>33.909999999999997</v>
      </c>
      <c r="E313" s="1">
        <v>0.93</v>
      </c>
      <c r="F313" s="1">
        <v>600</v>
      </c>
      <c r="G313" t="str">
        <f ca="1">IFERROR(__xludf.DUMMYFUNCTION("ROUND(B313/ FILTER('Pokemon CP/HP'!$M$2:$M1000, LOWER('Pokemon CP/HP'!$B$2:$B1000)=LOWER(A313)))"),"9")</f>
        <v>9</v>
      </c>
      <c r="H313" t="str">
        <f ca="1">IFERROR(__xludf.DUMMYFUNCTION("FILTER('Leveling Info'!$B$2:$B1000, 'Leveling Info'!$A$2:$A1000 =G313)"),"600")</f>
        <v>600</v>
      </c>
      <c r="I313" s="29">
        <f t="shared" ca="1" si="0"/>
        <v>3</v>
      </c>
      <c r="J313" s="29" t="str">
        <f ca="1">IFERROR(__xludf.DUMMYFUNCTION("IF(F313 = H313,C313/FILTER('Base Stats'!$C$2:$C1000, LOWER('Base Stats'!$B$2:$B1000) = LOWER($A313)), """")"),"0.6333333333")</f>
        <v>0.6333333333</v>
      </c>
      <c r="K313" t="str">
        <f t="shared" ca="1" si="1"/>
        <v/>
      </c>
      <c r="L313" t="str">
        <f ca="1">IFERROR(__xludf.DUMMYFUNCTION("IF(AND(NOT(K313 = """"), G313 &gt;= 15),K313/FILTER('Base Stats'!$C$2:$C1000, LOWER('Base Stats'!$B$2:$B1000) = LOWER($A313)), """")"),"")</f>
        <v/>
      </c>
      <c r="M313" t="str">
        <f ca="1">IFERROR(__xludf.DUMMYFUNCTION("1.15 + 0.02 * FILTER('Base Stats'!$C$2:$C1000, LOWER('Base Stats'!$B$2:$B1000) = LOWER($A313))"),"2.35")</f>
        <v>2.35</v>
      </c>
      <c r="N313" t="s">
        <v>527</v>
      </c>
    </row>
    <row r="314" spans="1:14" ht="12.75" x14ac:dyDescent="0.2">
      <c r="A314" s="1" t="s">
        <v>636</v>
      </c>
      <c r="B314" s="1">
        <v>104</v>
      </c>
      <c r="C314" s="1">
        <v>33</v>
      </c>
      <c r="D314" s="1">
        <v>43.12</v>
      </c>
      <c r="E314" s="1">
        <v>1.1499999999999999</v>
      </c>
      <c r="F314" s="1">
        <v>400</v>
      </c>
      <c r="G314" t="str">
        <f ca="1">IFERROR(__xludf.DUMMYFUNCTION("ROUND(B314/ FILTER('Pokemon CP/HP'!$M$2:$M1000, LOWER('Pokemon CP/HP'!$B$2:$B1000)=LOWER(A314)))"),"7")</f>
        <v>7</v>
      </c>
      <c r="H314" t="str">
        <f ca="1">IFERROR(__xludf.DUMMYFUNCTION("FILTER('Leveling Info'!$B$2:$B1000, 'Leveling Info'!$A$2:$A1000 =G314)"),"400")</f>
        <v>400</v>
      </c>
      <c r="I314" s="29">
        <f t="shared" ca="1" si="0"/>
        <v>2.6457513110645907</v>
      </c>
      <c r="J314" s="29" t="str">
        <f ca="1">IFERROR(__xludf.DUMMYFUNCTION("IF(F314 = H314,C314/FILTER('Base Stats'!$C$2:$C1000, LOWER('Base Stats'!$B$2:$B1000) = LOWER($A314)), """")"),"0.55")</f>
        <v>0.55</v>
      </c>
      <c r="K314" t="str">
        <f t="shared" ca="1" si="1"/>
        <v/>
      </c>
      <c r="L314" t="str">
        <f ca="1">IFERROR(__xludf.DUMMYFUNCTION("IF(AND(NOT(K314 = """"), G314 &gt;= 15),K314/FILTER('Base Stats'!$C$2:$C1000, LOWER('Base Stats'!$B$2:$B1000) = LOWER($A314)), """")"),"")</f>
        <v/>
      </c>
      <c r="M314" t="str">
        <f ca="1">IFERROR(__xludf.DUMMYFUNCTION("1.15 + 0.02 * FILTER('Base Stats'!$C$2:$C1000, LOWER('Base Stats'!$B$2:$B1000) = LOWER($A314))"),"2.35")</f>
        <v>2.35</v>
      </c>
      <c r="N314" t="s">
        <v>527</v>
      </c>
    </row>
    <row r="315" spans="1:14" ht="12.75" x14ac:dyDescent="0.2">
      <c r="A315" s="1" t="s">
        <v>636</v>
      </c>
      <c r="B315" s="1">
        <v>76</v>
      </c>
      <c r="C315" s="1">
        <v>28</v>
      </c>
      <c r="D315" s="1">
        <v>33</v>
      </c>
      <c r="E315" s="1">
        <v>1.02</v>
      </c>
      <c r="F315" s="1">
        <v>400</v>
      </c>
      <c r="G315" t="str">
        <f ca="1">IFERROR(__xludf.DUMMYFUNCTION("ROUND(B315/ FILTER('Pokemon CP/HP'!$M$2:$M1000, LOWER('Pokemon CP/HP'!$B$2:$B1000)=LOWER(A315)))"),"5")</f>
        <v>5</v>
      </c>
      <c r="H315" t="str">
        <f ca="1">IFERROR(__xludf.DUMMYFUNCTION("FILTER('Leveling Info'!$B$2:$B1000, 'Leveling Info'!$A$2:$A1000 =G315)"),"400")</f>
        <v>400</v>
      </c>
      <c r="I315" s="29">
        <f t="shared" ca="1" si="0"/>
        <v>2.2360679774997898</v>
      </c>
      <c r="J315" s="29" t="str">
        <f ca="1">IFERROR(__xludf.DUMMYFUNCTION("IF(F315 = H315,C315/FILTER('Base Stats'!$C$2:$C1000, LOWER('Base Stats'!$B$2:$B1000) = LOWER($A315)), """")"),"0.4666666667")</f>
        <v>0.4666666667</v>
      </c>
      <c r="K315" t="str">
        <f t="shared" ca="1" si="1"/>
        <v/>
      </c>
      <c r="L315" t="str">
        <f ca="1">IFERROR(__xludf.DUMMYFUNCTION("IF(AND(NOT(K315 = """"), G315 &gt;= 15),K315/FILTER('Base Stats'!$C$2:$C1000, LOWER('Base Stats'!$B$2:$B1000) = LOWER($A315)), """")"),"")</f>
        <v/>
      </c>
      <c r="M315" t="str">
        <f ca="1">IFERROR(__xludf.DUMMYFUNCTION("1.15 + 0.02 * FILTER('Base Stats'!$C$2:$C1000, LOWER('Base Stats'!$B$2:$B1000) = LOWER($A315))"),"2.35")</f>
        <v>2.35</v>
      </c>
      <c r="N315" t="s">
        <v>527</v>
      </c>
    </row>
    <row r="316" spans="1:14" ht="12.75" x14ac:dyDescent="0.2">
      <c r="A316" s="1" t="s">
        <v>636</v>
      </c>
      <c r="B316" s="1">
        <v>41</v>
      </c>
      <c r="C316" s="1">
        <v>21</v>
      </c>
      <c r="D316" s="1">
        <v>27.08</v>
      </c>
      <c r="E316" s="1">
        <v>0.87</v>
      </c>
      <c r="F316" s="1">
        <v>200</v>
      </c>
      <c r="G316" t="str">
        <f ca="1">IFERROR(__xludf.DUMMYFUNCTION("ROUND(B316/ FILTER('Pokemon CP/HP'!$M$2:$M1000, LOWER('Pokemon CP/HP'!$B$2:$B1000)=LOWER(A316)))"),"3")</f>
        <v>3</v>
      </c>
      <c r="H316" t="str">
        <f ca="1">IFERROR(__xludf.DUMMYFUNCTION("FILTER('Leveling Info'!$B$2:$B1000, 'Leveling Info'!$A$2:$A1000 =G316)"),"200")</f>
        <v>200</v>
      </c>
      <c r="I316" s="29">
        <f t="shared" ca="1" si="0"/>
        <v>1.7320508075688772</v>
      </c>
      <c r="J316" s="29" t="str">
        <f ca="1">IFERROR(__xludf.DUMMYFUNCTION("IF(F316 = H316,C316/FILTER('Base Stats'!$C$2:$C1000, LOWER('Base Stats'!$B$2:$B1000) = LOWER($A316)), """")"),"0.35")</f>
        <v>0.35</v>
      </c>
      <c r="K316" t="str">
        <f t="shared" ca="1" si="1"/>
        <v/>
      </c>
      <c r="L316" t="str">
        <f ca="1">IFERROR(__xludf.DUMMYFUNCTION("IF(AND(NOT(K316 = """"), G316 &gt;= 15),K316/FILTER('Base Stats'!$C$2:$C1000, LOWER('Base Stats'!$B$2:$B1000) = LOWER($A316)), """")"),"")</f>
        <v/>
      </c>
      <c r="M316" t="str">
        <f ca="1">IFERROR(__xludf.DUMMYFUNCTION("1.15 + 0.02 * FILTER('Base Stats'!$C$2:$C1000, LOWER('Base Stats'!$B$2:$B1000) = LOWER($A316))"),"2.35")</f>
        <v>2.35</v>
      </c>
      <c r="N316" t="s">
        <v>527</v>
      </c>
    </row>
    <row r="317" spans="1:14" ht="12.75" x14ac:dyDescent="0.2">
      <c r="A317" s="1" t="s">
        <v>637</v>
      </c>
      <c r="B317" s="1">
        <v>716</v>
      </c>
      <c r="C317" s="1">
        <v>83</v>
      </c>
      <c r="D317" s="1">
        <v>43.82</v>
      </c>
      <c r="E317" s="1">
        <v>1.69</v>
      </c>
      <c r="F317" s="1">
        <v>1300</v>
      </c>
      <c r="G317" t="str">
        <f ca="1">IFERROR(__xludf.DUMMYFUNCTION("ROUND(B317/ FILTER('Pokemon CP/HP'!$M$2:$M1000, LOWER('Pokemon CP/HP'!$B$2:$B1000)=LOWER(A317)))"),"24")</f>
        <v>24</v>
      </c>
      <c r="H317" t="str">
        <f ca="1">IFERROR(__xludf.DUMMYFUNCTION("FILTER('Leveling Info'!$B$2:$B1000, 'Leveling Info'!$A$2:$A1000 =G317)"),"1300")</f>
        <v>1300</v>
      </c>
      <c r="I317" s="29">
        <f t="shared" ca="1" si="0"/>
        <v>4.8989794855663558</v>
      </c>
      <c r="J317" s="29" t="str">
        <f ca="1">IFERROR(__xludf.DUMMYFUNCTION("IF(F317 = H317,C317/FILTER('Base Stats'!$C$2:$C1000, LOWER('Base Stats'!$B$2:$B1000) = LOWER($A317)), """")"),"0.9764705882")</f>
        <v>0.9764705882</v>
      </c>
      <c r="K317" t="str">
        <f t="shared" ca="1" si="1"/>
        <v/>
      </c>
      <c r="L317" t="str">
        <f ca="1">IFERROR(__xludf.DUMMYFUNCTION("IF(AND(NOT(K317 = """"), G317 &gt;= 15),K317/FILTER('Base Stats'!$C$2:$C1000, LOWER('Base Stats'!$B$2:$B1000) = LOWER($A317)), """")"),"0.04068627451")</f>
        <v>0.04068627451</v>
      </c>
      <c r="M317" t="str">
        <f ca="1">IFERROR(__xludf.DUMMYFUNCTION("1.15 + 0.02 * FILTER('Base Stats'!$C$2:$C1000, LOWER('Base Stats'!$B$2:$B1000) = LOWER($A317))"),"2.85")</f>
        <v>2.85</v>
      </c>
      <c r="N317">
        <v>1.2134502920000001</v>
      </c>
    </row>
    <row r="318" spans="1:14" ht="12.75" x14ac:dyDescent="0.2">
      <c r="A318" s="1" t="s">
        <v>637</v>
      </c>
      <c r="B318" s="1">
        <v>279</v>
      </c>
      <c r="C318" s="1">
        <v>52</v>
      </c>
      <c r="D318" s="1">
        <v>55.12</v>
      </c>
      <c r="E318" s="1">
        <v>1.19</v>
      </c>
      <c r="F318" s="1">
        <v>600</v>
      </c>
      <c r="G318" t="str">
        <f ca="1">IFERROR(__xludf.DUMMYFUNCTION("ROUND(B318/ FILTER('Pokemon CP/HP'!$M$2:$M1000, LOWER('Pokemon CP/HP'!$B$2:$B1000)=LOWER(A318)))"),"9")</f>
        <v>9</v>
      </c>
      <c r="H318" t="str">
        <f ca="1">IFERROR(__xludf.DUMMYFUNCTION("FILTER('Leveling Info'!$B$2:$B1000, 'Leveling Info'!$A$2:$A1000 =G318)"),"600")</f>
        <v>600</v>
      </c>
      <c r="I318" s="29">
        <f t="shared" ca="1" si="0"/>
        <v>3</v>
      </c>
      <c r="J318" s="29" t="str">
        <f ca="1">IFERROR(__xludf.DUMMYFUNCTION("IF(F318 = H318,C318/FILTER('Base Stats'!$C$2:$C1000, LOWER('Base Stats'!$B$2:$B1000) = LOWER($A318)), """")"),"0.6117647059")</f>
        <v>0.6117647059</v>
      </c>
      <c r="K318" t="str">
        <f t="shared" ca="1" si="1"/>
        <v/>
      </c>
      <c r="L318" t="str">
        <f ca="1">IFERROR(__xludf.DUMMYFUNCTION("IF(AND(NOT(K318 = """"), G318 &gt;= 15),K318/FILTER('Base Stats'!$C$2:$C1000, LOWER('Base Stats'!$B$2:$B1000) = LOWER($A318)), """")"),"")</f>
        <v/>
      </c>
      <c r="M318" t="str">
        <f ca="1">IFERROR(__xludf.DUMMYFUNCTION("1.15 + 0.02 * FILTER('Base Stats'!$C$2:$C1000, LOWER('Base Stats'!$B$2:$B1000) = LOWER($A318))"),"2.85")</f>
        <v>2.85</v>
      </c>
      <c r="N318" t="s">
        <v>527</v>
      </c>
    </row>
    <row r="319" spans="1:14" ht="12.75" x14ac:dyDescent="0.2">
      <c r="A319" s="1" t="s">
        <v>637</v>
      </c>
      <c r="B319" s="1">
        <v>149</v>
      </c>
      <c r="C319" s="1">
        <v>36</v>
      </c>
      <c r="D319" s="1">
        <v>66.67</v>
      </c>
      <c r="E319" s="1">
        <v>1.66</v>
      </c>
      <c r="F319" s="1">
        <v>400</v>
      </c>
      <c r="G319" t="str">
        <f ca="1">IFERROR(__xludf.DUMMYFUNCTION("ROUND(B319/ FILTER('Pokemon CP/HP'!$M$2:$M1000, LOWER('Pokemon CP/HP'!$B$2:$B1000)=LOWER(A319)))"),"5")</f>
        <v>5</v>
      </c>
      <c r="H319" t="str">
        <f ca="1">IFERROR(__xludf.DUMMYFUNCTION("FILTER('Leveling Info'!$B$2:$B1000, 'Leveling Info'!$A$2:$A1000 =G319)"),"400")</f>
        <v>400</v>
      </c>
      <c r="I319" s="29">
        <f t="shared" ca="1" si="0"/>
        <v>2.2360679774997898</v>
      </c>
      <c r="J319" s="29" t="str">
        <f ca="1">IFERROR(__xludf.DUMMYFUNCTION("IF(F319 = H319,C319/FILTER('Base Stats'!$C$2:$C1000, LOWER('Base Stats'!$B$2:$B1000) = LOWER($A319)), """")"),"0.4235294118")</f>
        <v>0.4235294118</v>
      </c>
      <c r="K319" t="str">
        <f t="shared" ca="1" si="1"/>
        <v/>
      </c>
      <c r="L319" t="str">
        <f ca="1">IFERROR(__xludf.DUMMYFUNCTION("IF(AND(NOT(K319 = """"), G319 &gt;= 15),K319/FILTER('Base Stats'!$C$2:$C1000, LOWER('Base Stats'!$B$2:$B1000) = LOWER($A319)), """")"),"")</f>
        <v/>
      </c>
      <c r="M319" t="str">
        <f ca="1">IFERROR(__xludf.DUMMYFUNCTION("1.15 + 0.02 * FILTER('Base Stats'!$C$2:$C1000, LOWER('Base Stats'!$B$2:$B1000) = LOWER($A319))"),"2.85")</f>
        <v>2.85</v>
      </c>
      <c r="N319" t="s">
        <v>527</v>
      </c>
    </row>
    <row r="320" spans="1:14" ht="12.75" x14ac:dyDescent="0.2">
      <c r="A320" s="1" t="s">
        <v>638</v>
      </c>
      <c r="B320" s="1">
        <v>273</v>
      </c>
      <c r="C320" s="1">
        <v>31</v>
      </c>
      <c r="D320" s="1">
        <v>8.06</v>
      </c>
      <c r="E320" s="1">
        <v>0.46</v>
      </c>
      <c r="F320" s="1">
        <v>1600</v>
      </c>
      <c r="G320" t="str">
        <f ca="1">IFERROR(__xludf.DUMMYFUNCTION("ROUND(B320/ FILTER('Pokemon CP/HP'!$M$2:$M1000, LOWER('Pokemon CP/HP'!$B$2:$B1000)=LOWER(A320)))"),"26")</f>
        <v>26</v>
      </c>
      <c r="H320" t="str">
        <f ca="1">IFERROR(__xludf.DUMMYFUNCTION("FILTER('Leveling Info'!$B$2:$B1000, 'Leveling Info'!$A$2:$A1000 =G320)"),"1600")</f>
        <v>1600</v>
      </c>
      <c r="I320" s="29">
        <f t="shared" ca="1" si="0"/>
        <v>5.0990195135927845</v>
      </c>
      <c r="J320" s="29" t="str">
        <f ca="1">IFERROR(__xludf.DUMMYFUNCTION("IF(F320 = H320,C320/FILTER('Base Stats'!$C$2:$C1000, LOWER('Base Stats'!$B$2:$B1000) = LOWER($A320)), """")"),"1.033333333")</f>
        <v>1.033333333</v>
      </c>
      <c r="K320" t="str">
        <f t="shared" ca="1" si="1"/>
        <v/>
      </c>
      <c r="L320" t="str">
        <f ca="1">IFERROR(__xludf.DUMMYFUNCTION("IF(AND(NOT(K320 = """"), G320 &gt;= 15),K320/FILTER('Base Stats'!$C$2:$C1000, LOWER('Base Stats'!$B$2:$B1000) = LOWER($A320)), """")"),"0.03974358974")</f>
        <v>0.03974358974</v>
      </c>
      <c r="M320" t="str">
        <f ca="1">IFERROR(__xludf.DUMMYFUNCTION("1.15 + 0.02 * FILTER('Base Stats'!$C$2:$C1000, LOWER('Base Stats'!$B$2:$B1000) = LOWER($A320))"),"1.75")</f>
        <v>1.75</v>
      </c>
      <c r="N320">
        <v>0.68131868129999995</v>
      </c>
    </row>
    <row r="321" spans="1:14" ht="12.75" x14ac:dyDescent="0.2">
      <c r="A321" s="1" t="s">
        <v>638</v>
      </c>
      <c r="B321" s="1">
        <v>148</v>
      </c>
      <c r="C321" s="1">
        <v>25</v>
      </c>
      <c r="D321" s="1">
        <v>3.71</v>
      </c>
      <c r="E321" s="1">
        <v>0.35</v>
      </c>
      <c r="F321" s="1">
        <v>800</v>
      </c>
      <c r="G321" t="str">
        <f ca="1">IFERROR(__xludf.DUMMYFUNCTION("ROUND(B321/ FILTER('Pokemon CP/HP'!$M$2:$M1000, LOWER('Pokemon CP/HP'!$B$2:$B1000)=LOWER(A321)))"),"14")</f>
        <v>14</v>
      </c>
      <c r="H321" t="str">
        <f ca="1">IFERROR(__xludf.DUMMYFUNCTION("FILTER('Leveling Info'!$B$2:$B1000, 'Leveling Info'!$A$2:$A1000 =G321)"),"800")</f>
        <v>800</v>
      </c>
      <c r="I321" s="29">
        <f t="shared" ca="1" si="0"/>
        <v>3.7416573867739413</v>
      </c>
      <c r="J321" s="29" t="str">
        <f ca="1">IFERROR(__xludf.DUMMYFUNCTION("IF(F321 = H321,C321/FILTER('Base Stats'!$C$2:$C1000, LOWER('Base Stats'!$B$2:$B1000) = LOWER($A321)), """")"),"0.8333333333")</f>
        <v>0.8333333333</v>
      </c>
      <c r="K321" t="str">
        <f t="shared" ca="1" si="1"/>
        <v/>
      </c>
      <c r="L321" t="str">
        <f ca="1">IFERROR(__xludf.DUMMYFUNCTION("IF(AND(NOT(K321 = """"), G321 &gt;= 15),K321/FILTER('Base Stats'!$C$2:$C1000, LOWER('Base Stats'!$B$2:$B1000) = LOWER($A321)), """")"),"")</f>
        <v/>
      </c>
      <c r="M321" t="str">
        <f ca="1">IFERROR(__xludf.DUMMYFUNCTION("1.15 + 0.02 * FILTER('Base Stats'!$C$2:$C1000, LOWER('Base Stats'!$B$2:$B1000) = LOWER($A321))"),"1.75")</f>
        <v>1.75</v>
      </c>
      <c r="N321" t="s">
        <v>527</v>
      </c>
    </row>
    <row r="322" spans="1:14" ht="12.75" x14ac:dyDescent="0.2">
      <c r="A322" s="1" t="s">
        <v>639</v>
      </c>
      <c r="B322" s="1">
        <v>326</v>
      </c>
      <c r="C322" s="1">
        <v>54</v>
      </c>
      <c r="D322" s="1">
        <v>0.55000000000000004</v>
      </c>
      <c r="E322" s="1">
        <v>0.24</v>
      </c>
      <c r="F322" s="1">
        <v>1300</v>
      </c>
      <c r="G322" t="str">
        <f ca="1">IFERROR(__xludf.DUMMYFUNCTION("ROUND(B322/ FILTER('Pokemon CP/HP'!$M$2:$M1000, LOWER('Pokemon CP/HP'!$B$2:$B1000)=LOWER(A322)))"),"18")</f>
        <v>18</v>
      </c>
      <c r="H322" t="str">
        <f ca="1">IFERROR(__xludf.DUMMYFUNCTION("FILTER('Leveling Info'!$B$2:$B1000, 'Leveling Info'!$A$2:$A1000 =G322)"),"1000")</f>
        <v>1000</v>
      </c>
      <c r="I322" s="29">
        <f t="shared" ca="1" si="0"/>
        <v>4.2426406871192848</v>
      </c>
      <c r="J322" s="29" t="str">
        <f ca="1">IFERROR(__xludf.DUMMYFUNCTION("IF(F322 = H322,C322/FILTER('Base Stats'!$C$2:$C1000, LOWER('Base Stats'!$B$2:$B1000) = LOWER($A322)), """")"),"")</f>
        <v/>
      </c>
      <c r="K322" t="str">
        <f t="shared" ca="1" si="1"/>
        <v/>
      </c>
      <c r="L322" t="str">
        <f ca="1">IFERROR(__xludf.DUMMYFUNCTION("IF(AND(NOT(K322 = """"), G322 &gt;= 15),K322/FILTER('Base Stats'!$C$2:$C1000, LOWER('Base Stats'!$B$2:$B1000) = LOWER($A322)), """")"),"")</f>
        <v/>
      </c>
      <c r="M322" t="str">
        <f ca="1">IFERROR(__xludf.DUMMYFUNCTION("1.15 + 0.02 * FILTER('Base Stats'!$C$2:$C1000, LOWER('Base Stats'!$B$2:$B1000) = LOWER($A322))"),"2.35")</f>
        <v>2.35</v>
      </c>
      <c r="N322" t="s">
        <v>527</v>
      </c>
    </row>
    <row r="323" spans="1:14" ht="12.75" x14ac:dyDescent="0.2">
      <c r="A323" s="1" t="s">
        <v>640</v>
      </c>
      <c r="B323" s="1">
        <v>70</v>
      </c>
      <c r="C323" s="1">
        <v>32</v>
      </c>
      <c r="D323" s="1">
        <v>112.52</v>
      </c>
      <c r="E323" s="1">
        <v>1.49</v>
      </c>
      <c r="F323" s="1">
        <v>200</v>
      </c>
      <c r="G323" t="str">
        <f ca="1">IFERROR(__xludf.DUMMYFUNCTION("ROUND(B323/ FILTER('Pokemon CP/HP'!$M$2:$M1000, LOWER('Pokemon CP/HP'!$B$2:$B1000)=LOWER(A323)))"),"3")</f>
        <v>3</v>
      </c>
      <c r="H323" t="str">
        <f ca="1">IFERROR(__xludf.DUMMYFUNCTION("FILTER('Leveling Info'!$B$2:$B1000, 'Leveling Info'!$A$2:$A1000 =G323)"),"200")</f>
        <v>200</v>
      </c>
      <c r="I323" s="29">
        <f t="shared" ca="1" si="0"/>
        <v>1.7320508075688772</v>
      </c>
      <c r="J323" s="29" t="str">
        <f ca="1">IFERROR(__xludf.DUMMYFUNCTION("IF(F323 = H323,C323/FILTER('Base Stats'!$C$2:$C1000, LOWER('Base Stats'!$B$2:$B1000) = LOWER($A323)), """")"),"0.3555555556")</f>
        <v>0.3555555556</v>
      </c>
      <c r="K323" t="str">
        <f t="shared" ca="1" si="1"/>
        <v/>
      </c>
      <c r="L323" t="str">
        <f ca="1">IFERROR(__xludf.DUMMYFUNCTION("IF(AND(NOT(K323 = """"), G323 &gt;= 15),K323/FILTER('Base Stats'!$C$2:$C1000, LOWER('Base Stats'!$B$2:$B1000) = LOWER($A323)), """")"),"")</f>
        <v/>
      </c>
      <c r="M323" t="str">
        <f ca="1">IFERROR(__xludf.DUMMYFUNCTION("1.15 + 0.02 * FILTER('Base Stats'!$C$2:$C1000, LOWER('Base Stats'!$B$2:$B1000) = LOWER($A323))"),"2.95")</f>
        <v>2.95</v>
      </c>
      <c r="N323" t="s">
        <v>527</v>
      </c>
    </row>
    <row r="324" spans="1:14" ht="12.75" x14ac:dyDescent="0.2">
      <c r="A324" s="1" t="s">
        <v>641</v>
      </c>
      <c r="B324" s="1">
        <v>382</v>
      </c>
      <c r="C324" s="1">
        <v>74</v>
      </c>
      <c r="D324" s="1">
        <v>105.98</v>
      </c>
      <c r="E324" s="1">
        <v>0.95</v>
      </c>
      <c r="F324" s="1">
        <v>1300</v>
      </c>
      <c r="G324" t="str">
        <f ca="1">IFERROR(__xludf.DUMMYFUNCTION("ROUND(B324/ FILTER('Pokemon CP/HP'!$M$2:$M1000, LOWER('Pokemon CP/HP'!$B$2:$B1000)=LOWER(A324)))"),"24")</f>
        <v>24</v>
      </c>
      <c r="H324" t="str">
        <f ca="1">IFERROR(__xludf.DUMMYFUNCTION("FILTER('Leveling Info'!$B$2:$B1000, 'Leveling Info'!$A$2:$A1000 =G324)"),"1300")</f>
        <v>1300</v>
      </c>
      <c r="I324" s="29">
        <f t="shared" ca="1" si="0"/>
        <v>4.8989794855663558</v>
      </c>
      <c r="J324" s="29" t="str">
        <f ca="1">IFERROR(__xludf.DUMMYFUNCTION("IF(F324 = H324,C324/FILTER('Base Stats'!$C$2:$C1000, LOWER('Base Stats'!$B$2:$B1000) = LOWER($A324)), """")"),"0.925")</f>
        <v>0.925</v>
      </c>
      <c r="K324" t="str">
        <f t="shared" ca="1" si="1"/>
        <v/>
      </c>
      <c r="L324" t="str">
        <f ca="1">IFERROR(__xludf.DUMMYFUNCTION("IF(AND(NOT(K324 = """"), G324 &gt;= 15),K324/FILTER('Base Stats'!$C$2:$C1000, LOWER('Base Stats'!$B$2:$B1000) = LOWER($A324)), """")"),"0.03854166667")</f>
        <v>0.03854166667</v>
      </c>
      <c r="M324" t="str">
        <f ca="1">IFERROR(__xludf.DUMMYFUNCTION("1.15 + 0.02 * FILTER('Base Stats'!$C$2:$C1000, LOWER('Base Stats'!$B$2:$B1000) = LOWER($A324))"),"2.75")</f>
        <v>2.75</v>
      </c>
      <c r="N324">
        <v>1.1212121209999999</v>
      </c>
    </row>
    <row r="325" spans="1:14" ht="12.75" x14ac:dyDescent="0.2">
      <c r="A325" s="1" t="s">
        <v>641</v>
      </c>
      <c r="B325" s="1">
        <v>180</v>
      </c>
      <c r="C325" s="1">
        <v>52</v>
      </c>
      <c r="D325" s="1">
        <v>93.21</v>
      </c>
      <c r="E325" s="1">
        <v>0.85</v>
      </c>
      <c r="F325" s="1">
        <v>600</v>
      </c>
      <c r="G325" t="str">
        <f ca="1">IFERROR(__xludf.DUMMYFUNCTION("ROUND(B325/ FILTER('Pokemon CP/HP'!$M$2:$M1000, LOWER('Pokemon CP/HP'!$B$2:$B1000)=LOWER(A325)))"),"11")</f>
        <v>11</v>
      </c>
      <c r="H325" t="str">
        <f ca="1">IFERROR(__xludf.DUMMYFUNCTION("FILTER('Leveling Info'!$B$2:$B1000, 'Leveling Info'!$A$2:$A1000 =G325)"),"600")</f>
        <v>600</v>
      </c>
      <c r="I325" s="29">
        <f t="shared" ca="1" si="0"/>
        <v>3.3166247903553998</v>
      </c>
      <c r="J325" s="29" t="str">
        <f ca="1">IFERROR(__xludf.DUMMYFUNCTION("IF(F325 = H325,C325/FILTER('Base Stats'!$C$2:$C1000, LOWER('Base Stats'!$B$2:$B1000) = LOWER($A325)), """")"),"0.65")</f>
        <v>0.65</v>
      </c>
      <c r="K325" t="str">
        <f t="shared" ca="1" si="1"/>
        <v/>
      </c>
      <c r="L325" t="str">
        <f ca="1">IFERROR(__xludf.DUMMYFUNCTION("IF(AND(NOT(K325 = """"), G325 &gt;= 15),K325/FILTER('Base Stats'!$C$2:$C1000, LOWER('Base Stats'!$B$2:$B1000) = LOWER($A325)), """")"),"")</f>
        <v/>
      </c>
      <c r="M325" t="str">
        <f ca="1">IFERROR(__xludf.DUMMYFUNCTION("1.15 + 0.02 * FILTER('Base Stats'!$C$2:$C1000, LOWER('Base Stats'!$B$2:$B1000) = LOWER($A325))"),"2.75")</f>
        <v>2.75</v>
      </c>
      <c r="N325" t="s">
        <v>527</v>
      </c>
    </row>
    <row r="326" spans="1:14" ht="12.75" x14ac:dyDescent="0.2">
      <c r="A326" s="1" t="s">
        <v>642</v>
      </c>
      <c r="B326" s="1">
        <v>427</v>
      </c>
      <c r="C326" s="1">
        <v>77</v>
      </c>
      <c r="D326" s="1">
        <v>148.51</v>
      </c>
      <c r="E326" s="1">
        <v>2.14</v>
      </c>
      <c r="F326" s="1">
        <v>800</v>
      </c>
      <c r="G326" t="str">
        <f ca="1">IFERROR(__xludf.DUMMYFUNCTION("ROUND(B326/ FILTER('Pokemon CP/HP'!$M$2:$M1000, LOWER('Pokemon CP/HP'!$B$2:$B1000)=LOWER(A326)))"),"15")</f>
        <v>15</v>
      </c>
      <c r="H326" t="str">
        <f ca="1">IFERROR(__xludf.DUMMYFUNCTION("FILTER('Leveling Info'!$B$2:$B1000, 'Leveling Info'!$A$2:$A1000 =G326)"),"800")</f>
        <v>800</v>
      </c>
      <c r="I326" s="29">
        <f t="shared" ca="1" si="0"/>
        <v>3.872983346207417</v>
      </c>
      <c r="J326" s="29" t="str">
        <f ca="1">IFERROR(__xludf.DUMMYFUNCTION("IF(F326 = H326,C326/FILTER('Base Stats'!$C$2:$C1000, LOWER('Base Stats'!$B$2:$B1000) = LOWER($A326)), """")"),"0.7333333333")</f>
        <v>0.7333333333</v>
      </c>
      <c r="K326" t="str">
        <f t="shared" ca="1" si="1"/>
        <v/>
      </c>
      <c r="L326" t="str">
        <f ca="1">IFERROR(__xludf.DUMMYFUNCTION("IF(AND(NOT(K326 = """"), G326 &gt;= 15),K326/FILTER('Base Stats'!$C$2:$C1000, LOWER('Base Stats'!$B$2:$B1000) = LOWER($A326)), """")"),"0.04888888889")</f>
        <v>0.04888888889</v>
      </c>
      <c r="M326" t="str">
        <f ca="1">IFERROR(__xludf.DUMMYFUNCTION("1.15 + 0.02 * FILTER('Base Stats'!$C$2:$C1000, LOWER('Base Stats'!$B$2:$B1000) = LOWER($A326))"),"3.25")</f>
        <v>3.25</v>
      </c>
      <c r="N326">
        <v>1.579487179</v>
      </c>
    </row>
    <row r="327" spans="1:14" ht="12.75" x14ac:dyDescent="0.2">
      <c r="A327" s="1" t="s">
        <v>643</v>
      </c>
      <c r="B327" s="1">
        <v>195</v>
      </c>
      <c r="C327" s="1">
        <v>27</v>
      </c>
      <c r="D327" s="1">
        <v>8.35</v>
      </c>
      <c r="E327" s="1">
        <v>0.44</v>
      </c>
      <c r="F327" s="1">
        <v>1000</v>
      </c>
      <c r="G327" t="str">
        <f ca="1">IFERROR(__xludf.DUMMYFUNCTION("ROUND(B327/ FILTER('Pokemon CP/HP'!$M$2:$M1000, LOWER('Pokemon CP/HP'!$B$2:$B1000)=LOWER(A327)))"),"17")</f>
        <v>17</v>
      </c>
      <c r="H327" t="str">
        <f ca="1">IFERROR(__xludf.DUMMYFUNCTION("FILTER('Leveling Info'!$B$2:$B1000, 'Leveling Info'!$A$2:$A1000 =G327)"),"1000")</f>
        <v>1000</v>
      </c>
      <c r="I327" s="29">
        <f t="shared" ca="1" si="0"/>
        <v>4.1231056256176606</v>
      </c>
      <c r="J327" s="29" t="str">
        <f ca="1">IFERROR(__xludf.DUMMYFUNCTION("IF(F327 = H327,C327/FILTER('Base Stats'!$C$2:$C1000, LOWER('Base Stats'!$B$2:$B1000) = LOWER($A327)), """")"),"0.9")</f>
        <v>0.9</v>
      </c>
      <c r="K327" t="str">
        <f t="shared" ca="1" si="1"/>
        <v/>
      </c>
      <c r="L327" t="str">
        <f ca="1">IFERROR(__xludf.DUMMYFUNCTION("IF(AND(NOT(K327 = """"), G327 &gt;= 15),K327/FILTER('Base Stats'!$C$2:$C1000, LOWER('Base Stats'!$B$2:$B1000) = LOWER($A327)), """")"),"0.05294117647")</f>
        <v>0.05294117647</v>
      </c>
      <c r="M327" t="str">
        <f ca="1">IFERROR(__xludf.DUMMYFUNCTION("1.15 + 0.02 * FILTER('Base Stats'!$C$2:$C1000, LOWER('Base Stats'!$B$2:$B1000) = LOWER($A327))"),"1.75")</f>
        <v>1.75</v>
      </c>
      <c r="N327">
        <v>0.90756302519999998</v>
      </c>
    </row>
    <row r="328" spans="1:14" ht="12.75" x14ac:dyDescent="0.2">
      <c r="A328" s="1" t="s">
        <v>643</v>
      </c>
      <c r="B328" s="1">
        <v>76</v>
      </c>
      <c r="C328" s="1">
        <v>18</v>
      </c>
      <c r="D328" s="1">
        <v>10.42</v>
      </c>
      <c r="E328" s="1">
        <v>0.46</v>
      </c>
      <c r="F328" s="1">
        <v>400</v>
      </c>
      <c r="G328" t="str">
        <f ca="1">IFERROR(__xludf.DUMMYFUNCTION("ROUND(B328/ FILTER('Pokemon CP/HP'!$M$2:$M1000, LOWER('Pokemon CP/HP'!$B$2:$B1000)=LOWER(A328)))"),"7")</f>
        <v>7</v>
      </c>
      <c r="H328" t="str">
        <f ca="1">IFERROR(__xludf.DUMMYFUNCTION("FILTER('Leveling Info'!$B$2:$B1000, 'Leveling Info'!$A$2:$A1000 =G328)"),"400")</f>
        <v>400</v>
      </c>
      <c r="I328" s="29">
        <f t="shared" ca="1" si="0"/>
        <v>2.6457513110645907</v>
      </c>
      <c r="J328" s="29" t="str">
        <f ca="1">IFERROR(__xludf.DUMMYFUNCTION("IF(F328 = H328,C328/FILTER('Base Stats'!$C$2:$C1000, LOWER('Base Stats'!$B$2:$B1000) = LOWER($A328)), """")"),"0.6")</f>
        <v>0.6</v>
      </c>
      <c r="K328" t="str">
        <f t="shared" ca="1" si="1"/>
        <v/>
      </c>
      <c r="L328" t="str">
        <f ca="1">IFERROR(__xludf.DUMMYFUNCTION("IF(AND(NOT(K328 = """"), G328 &gt;= 15),K328/FILTER('Base Stats'!$C$2:$C1000, LOWER('Base Stats'!$B$2:$B1000) = LOWER($A328)), """")"),"")</f>
        <v/>
      </c>
      <c r="M328" t="str">
        <f ca="1">IFERROR(__xludf.DUMMYFUNCTION("1.15 + 0.02 * FILTER('Base Stats'!$C$2:$C1000, LOWER('Base Stats'!$B$2:$B1000) = LOWER($A328))"),"1.75")</f>
        <v>1.75</v>
      </c>
      <c r="N328" t="s">
        <v>527</v>
      </c>
    </row>
    <row r="329" spans="1:14" ht="12.75" x14ac:dyDescent="0.2">
      <c r="A329" s="1" t="s">
        <v>644</v>
      </c>
      <c r="B329" s="1">
        <v>152</v>
      </c>
      <c r="C329" s="1">
        <v>29</v>
      </c>
      <c r="D329" s="1">
        <v>12.55</v>
      </c>
      <c r="E329" s="1">
        <v>0.89</v>
      </c>
      <c r="F329" s="1">
        <v>400</v>
      </c>
      <c r="G329" t="str">
        <f ca="1">IFERROR(__xludf.DUMMYFUNCTION("ROUND(B329/ FILTER('Pokemon CP/HP'!$M$2:$M1000, LOWER('Pokemon CP/HP'!$B$2:$B1000)=LOWER(A329)))"),"6")</f>
        <v>6</v>
      </c>
      <c r="H329" t="str">
        <f ca="1">IFERROR(__xludf.DUMMYFUNCTION("FILTER('Leveling Info'!$B$2:$B1000, 'Leveling Info'!$A$2:$A1000 =G329)"),"400")</f>
        <v>400</v>
      </c>
      <c r="I329" s="29">
        <f t="shared" ca="1" si="0"/>
        <v>2.4494897427831779</v>
      </c>
      <c r="J329" s="29" t="str">
        <f ca="1">IFERROR(__xludf.DUMMYFUNCTION("IF(F329 = H329,C329/FILTER('Base Stats'!$C$2:$C1000, LOWER('Base Stats'!$B$2:$B1000) = LOWER($A329)), """")"),"0.5272727273")</f>
        <v>0.5272727273</v>
      </c>
      <c r="K329" t="str">
        <f t="shared" ca="1" si="1"/>
        <v/>
      </c>
      <c r="L329" t="str">
        <f ca="1">IFERROR(__xludf.DUMMYFUNCTION("IF(AND(NOT(K329 = """"), G329 &gt;= 15),K329/FILTER('Base Stats'!$C$2:$C1000, LOWER('Base Stats'!$B$2:$B1000) = LOWER($A329)), """")"),"")</f>
        <v/>
      </c>
      <c r="M329" t="str">
        <f ca="1">IFERROR(__xludf.DUMMYFUNCTION("1.15 + 0.02 * FILTER('Base Stats'!$C$2:$C1000, LOWER('Base Stats'!$B$2:$B1000) = LOWER($A329))"),"2.25")</f>
        <v>2.25</v>
      </c>
      <c r="N329" t="s">
        <v>527</v>
      </c>
    </row>
    <row r="330" spans="1:14" ht="12.75" x14ac:dyDescent="0.2">
      <c r="A330" s="1" t="s">
        <v>645</v>
      </c>
      <c r="B330" s="1">
        <v>199</v>
      </c>
      <c r="C330" s="1">
        <v>37</v>
      </c>
      <c r="D330" s="1">
        <v>22.5</v>
      </c>
      <c r="E330" s="1">
        <v>0.78</v>
      </c>
      <c r="F330" s="1">
        <v>800</v>
      </c>
      <c r="G330" t="str">
        <f ca="1">IFERROR(__xludf.DUMMYFUNCTION("ROUND(B330/ FILTER('Pokemon CP/HP'!$M$2:$M1000, LOWER('Pokemon CP/HP'!$B$2:$B1000)=LOWER(A330)))"),"15")</f>
        <v>15</v>
      </c>
      <c r="H330" t="str">
        <f ca="1">IFERROR(__xludf.DUMMYFUNCTION("FILTER('Leveling Info'!$B$2:$B1000, 'Leveling Info'!$A$2:$A1000 =G330)"),"800")</f>
        <v>800</v>
      </c>
      <c r="I330" s="29">
        <f t="shared" ca="1" si="0"/>
        <v>3.872983346207417</v>
      </c>
      <c r="J330" s="29" t="str">
        <f ca="1">IFERROR(__xludf.DUMMYFUNCTION("IF(F330 = H330,C330/FILTER('Base Stats'!$C$2:$C1000, LOWER('Base Stats'!$B$2:$B1000) = LOWER($A330)), """")"),"0.8222222222")</f>
        <v>0.8222222222</v>
      </c>
      <c r="K330" t="str">
        <f t="shared" ca="1" si="1"/>
        <v/>
      </c>
      <c r="L330" t="str">
        <f ca="1">IFERROR(__xludf.DUMMYFUNCTION("IF(AND(NOT(K330 = """"), G330 &gt;= 15),K330/FILTER('Base Stats'!$C$2:$C1000, LOWER('Base Stats'!$B$2:$B1000) = LOWER($A330)), """")"),"0.05481481481")</f>
        <v>0.05481481481</v>
      </c>
      <c r="M330" t="str">
        <f ca="1">IFERROR(__xludf.DUMMYFUNCTION("1.15 + 0.02 * FILTER('Base Stats'!$C$2:$C1000, LOWER('Base Stats'!$B$2:$B1000) = LOWER($A330))"),"2.05")</f>
        <v>2.05</v>
      </c>
      <c r="N330">
        <v>1.2032520330000001</v>
      </c>
    </row>
    <row r="331" spans="1:14" ht="12.75" x14ac:dyDescent="0.2">
      <c r="A331" s="1" t="s">
        <v>645</v>
      </c>
      <c r="B331" s="1">
        <v>115</v>
      </c>
      <c r="C331" s="1">
        <v>29</v>
      </c>
      <c r="D331" s="1">
        <v>15.51</v>
      </c>
      <c r="E331" s="1">
        <v>0.59</v>
      </c>
      <c r="F331" s="1">
        <v>600</v>
      </c>
      <c r="G331" t="str">
        <f ca="1">IFERROR(__xludf.DUMMYFUNCTION("ROUND(B331/ FILTER('Pokemon CP/HP'!$M$2:$M1000, LOWER('Pokemon CP/HP'!$B$2:$B1000)=LOWER(A331)))"),"9")</f>
        <v>9</v>
      </c>
      <c r="H331" t="str">
        <f ca="1">IFERROR(__xludf.DUMMYFUNCTION("FILTER('Leveling Info'!$B$2:$B1000, 'Leveling Info'!$A$2:$A1000 =G331)"),"600")</f>
        <v>600</v>
      </c>
      <c r="I331" s="29">
        <f t="shared" ca="1" si="0"/>
        <v>3</v>
      </c>
      <c r="J331" s="29" t="str">
        <f ca="1">IFERROR(__xludf.DUMMYFUNCTION("IF(F331 = H331,C331/FILTER('Base Stats'!$C$2:$C1000, LOWER('Base Stats'!$B$2:$B1000) = LOWER($A331)), """")"),"0.6444444444")</f>
        <v>0.6444444444</v>
      </c>
      <c r="K331" t="str">
        <f t="shared" ca="1" si="1"/>
        <v/>
      </c>
      <c r="L331" t="str">
        <f ca="1">IFERROR(__xludf.DUMMYFUNCTION("IF(AND(NOT(K331 = """"), G331 &gt;= 15),K331/FILTER('Base Stats'!$C$2:$C1000, LOWER('Base Stats'!$B$2:$B1000) = LOWER($A331)), """")"),"")</f>
        <v/>
      </c>
      <c r="M331" t="str">
        <f ca="1">IFERROR(__xludf.DUMMYFUNCTION("1.15 + 0.02 * FILTER('Base Stats'!$C$2:$C1000, LOWER('Base Stats'!$B$2:$B1000) = LOWER($A331))"),"2.05")</f>
        <v>2.05</v>
      </c>
      <c r="N331" t="s">
        <v>527</v>
      </c>
    </row>
    <row r="332" spans="1:14" ht="12.75" x14ac:dyDescent="0.2">
      <c r="A332" s="1" t="s">
        <v>646</v>
      </c>
      <c r="B332" s="1">
        <v>480</v>
      </c>
      <c r="C332" s="1">
        <v>66</v>
      </c>
      <c r="D332" s="1">
        <v>18.79</v>
      </c>
      <c r="E332" s="1">
        <v>1.1000000000000001</v>
      </c>
      <c r="F332" s="1">
        <v>1000</v>
      </c>
      <c r="G332" t="str">
        <f ca="1">IFERROR(__xludf.DUMMYFUNCTION("ROUND(B332/ FILTER('Pokemon CP/HP'!$M$2:$M1000, LOWER('Pokemon CP/HP'!$B$2:$B1000)=LOWER(A332)))"),"17")</f>
        <v>17</v>
      </c>
      <c r="H332" t="str">
        <f ca="1">IFERROR(__xludf.DUMMYFUNCTION("FILTER('Leveling Info'!$B$2:$B1000, 'Leveling Info'!$A$2:$A1000 =G332)"),"1000")</f>
        <v>1000</v>
      </c>
      <c r="I332" s="29">
        <f t="shared" ca="1" si="0"/>
        <v>4.1231056256176606</v>
      </c>
      <c r="J332" s="29" t="str">
        <f ca="1">IFERROR(__xludf.DUMMYFUNCTION("IF(F332 = H332,C332/FILTER('Base Stats'!$C$2:$C1000, LOWER('Base Stats'!$B$2:$B1000) = LOWER($A332)), """")"),"0.825")</f>
        <v>0.825</v>
      </c>
      <c r="K332" t="str">
        <f t="shared" ca="1" si="1"/>
        <v/>
      </c>
      <c r="L332" t="str">
        <f ca="1">IFERROR(__xludf.DUMMYFUNCTION("IF(AND(NOT(K332 = """"), G332 &gt;= 15),K332/FILTER('Base Stats'!$C$2:$C1000, LOWER('Base Stats'!$B$2:$B1000) = LOWER($A332)), """")"),"0.04852941176")</f>
        <v>0.04852941176</v>
      </c>
      <c r="M332" t="str">
        <f ca="1">IFERROR(__xludf.DUMMYFUNCTION("1.15 + 0.02 * FILTER('Base Stats'!$C$2:$C1000, LOWER('Base Stats'!$B$2:$B1000) = LOWER($A332))"),"2.75")</f>
        <v>2.75</v>
      </c>
      <c r="N332">
        <v>1.411764706</v>
      </c>
    </row>
    <row r="333" spans="1:14" ht="12.75" x14ac:dyDescent="0.2">
      <c r="A333" s="1" t="s">
        <v>646</v>
      </c>
      <c r="B333" s="1">
        <v>341</v>
      </c>
      <c r="C333" s="1">
        <v>54</v>
      </c>
      <c r="D333" s="1">
        <v>34.75</v>
      </c>
      <c r="E333" s="1">
        <v>1.24</v>
      </c>
      <c r="F333" s="1">
        <v>600</v>
      </c>
      <c r="G333" t="str">
        <f ca="1">IFERROR(__xludf.DUMMYFUNCTION("ROUND(B333/ FILTER('Pokemon CP/HP'!$M$2:$M1000, LOWER('Pokemon CP/HP'!$B$2:$B1000)=LOWER(A333)))"),"12")</f>
        <v>12</v>
      </c>
      <c r="H333" t="str">
        <f ca="1">IFERROR(__xludf.DUMMYFUNCTION("FILTER('Leveling Info'!$B$2:$B1000, 'Leveling Info'!$A$2:$A1000 =G333)"),"600")</f>
        <v>600</v>
      </c>
      <c r="I333" s="29">
        <f t="shared" ca="1" si="0"/>
        <v>3.4641016151377544</v>
      </c>
      <c r="J333" s="29" t="str">
        <f ca="1">IFERROR(__xludf.DUMMYFUNCTION("IF(F333 = H333,C333/FILTER('Base Stats'!$C$2:$C1000, LOWER('Base Stats'!$B$2:$B1000) = LOWER($A333)), """")"),"0.675")</f>
        <v>0.675</v>
      </c>
      <c r="K333" t="str">
        <f t="shared" ca="1" si="1"/>
        <v/>
      </c>
      <c r="L333" t="str">
        <f ca="1">IFERROR(__xludf.DUMMYFUNCTION("IF(AND(NOT(K333 = """"), G333 &gt;= 15),K333/FILTER('Base Stats'!$C$2:$C1000, LOWER('Base Stats'!$B$2:$B1000) = LOWER($A333)), """")"),"")</f>
        <v/>
      </c>
      <c r="M333" t="str">
        <f ca="1">IFERROR(__xludf.DUMMYFUNCTION("1.15 + 0.02 * FILTER('Base Stats'!$C$2:$C1000, LOWER('Base Stats'!$B$2:$B1000) = LOWER($A333))"),"2.75")</f>
        <v>2.75</v>
      </c>
      <c r="N333" t="s">
        <v>527</v>
      </c>
    </row>
    <row r="334" spans="1:14" ht="12.75" x14ac:dyDescent="0.2">
      <c r="A334" s="1" t="s">
        <v>647</v>
      </c>
      <c r="B334" s="1">
        <v>136</v>
      </c>
      <c r="C334" s="1">
        <v>19</v>
      </c>
      <c r="D334" s="1">
        <v>40.31</v>
      </c>
      <c r="E334" s="1">
        <v>0.81</v>
      </c>
      <c r="F334" s="1">
        <v>600</v>
      </c>
      <c r="G334" t="str">
        <f ca="1">IFERROR(__xludf.DUMMYFUNCTION("ROUND(B334/ FILTER('Pokemon CP/HP'!$M$2:$M1000, LOWER('Pokemon CP/HP'!$B$2:$B1000)=LOWER(A334)))"),"11")</f>
        <v>11</v>
      </c>
      <c r="H334" t="str">
        <f ca="1">IFERROR(__xludf.DUMMYFUNCTION("FILTER('Leveling Info'!$B$2:$B1000, 'Leveling Info'!$A$2:$A1000 =G334)"),"600")</f>
        <v>600</v>
      </c>
      <c r="I334" s="29">
        <f t="shared" ca="1" si="0"/>
        <v>3.3166247903553998</v>
      </c>
      <c r="J334" s="29" t="str">
        <f ca="1">IFERROR(__xludf.DUMMYFUNCTION("IF(F334 = H334,C334/FILTER('Base Stats'!$C$2:$C1000, LOWER('Base Stats'!$B$2:$B1000) = LOWER($A334)), """")"),"0.6333333333")</f>
        <v>0.6333333333</v>
      </c>
      <c r="K334" t="str">
        <f t="shared" ca="1" si="1"/>
        <v/>
      </c>
      <c r="L334" t="str">
        <f ca="1">IFERROR(__xludf.DUMMYFUNCTION("IF(AND(NOT(K334 = """"), G334 &gt;= 15),K334/FILTER('Base Stats'!$C$2:$C1000, LOWER('Base Stats'!$B$2:$B1000) = LOWER($A334)), """")"),"")</f>
        <v/>
      </c>
      <c r="M334" t="str">
        <f ca="1">IFERROR(__xludf.DUMMYFUNCTION("1.15 + 0.02 * FILTER('Base Stats'!$C$2:$C1000, LOWER('Base Stats'!$B$2:$B1000) = LOWER($A334))"),"1.75")</f>
        <v>1.75</v>
      </c>
      <c r="N334" t="s">
        <v>527</v>
      </c>
    </row>
    <row r="335" spans="1:14" ht="12.75" x14ac:dyDescent="0.2">
      <c r="A335" s="1" t="s">
        <v>648</v>
      </c>
      <c r="B335" s="1">
        <v>217</v>
      </c>
      <c r="C335" s="1">
        <v>37</v>
      </c>
      <c r="D335" s="1">
        <v>39.46</v>
      </c>
      <c r="E335" s="1">
        <v>1.29</v>
      </c>
      <c r="F335" s="1">
        <v>400</v>
      </c>
      <c r="G335" t="str">
        <f ca="1">IFERROR(__xludf.DUMMYFUNCTION("ROUND(B335/ FILTER('Pokemon CP/HP'!$M$2:$M1000, LOWER('Pokemon CP/HP'!$B$2:$B1000)=LOWER(A335)))"),"7")</f>
        <v>7</v>
      </c>
      <c r="H335" t="str">
        <f ca="1">IFERROR(__xludf.DUMMYFUNCTION("FILTER('Leveling Info'!$B$2:$B1000, 'Leveling Info'!$A$2:$A1000 =G335)"),"400")</f>
        <v>400</v>
      </c>
      <c r="I335" s="29">
        <f t="shared" ca="1" si="0"/>
        <v>2.6457513110645907</v>
      </c>
      <c r="J335" s="29" t="str">
        <f ca="1">IFERROR(__xludf.DUMMYFUNCTION("IF(F335 = H335,C335/FILTER('Base Stats'!$C$2:$C1000, LOWER('Base Stats'!$B$2:$B1000) = LOWER($A335)), """")"),"0.5692307692")</f>
        <v>0.5692307692</v>
      </c>
      <c r="K335" t="str">
        <f t="shared" ca="1" si="1"/>
        <v/>
      </c>
      <c r="L335" t="str">
        <f ca="1">IFERROR(__xludf.DUMMYFUNCTION("IF(AND(NOT(K335 = """"), G335 &gt;= 15),K335/FILTER('Base Stats'!$C$2:$C1000, LOWER('Base Stats'!$B$2:$B1000) = LOWER($A335)), """")"),"")</f>
        <v/>
      </c>
      <c r="M335" t="str">
        <f ca="1">IFERROR(__xludf.DUMMYFUNCTION("1.15 + 0.02 * FILTER('Base Stats'!$C$2:$C1000, LOWER('Base Stats'!$B$2:$B1000) = LOWER($A335))"),"2.45")</f>
        <v>2.45</v>
      </c>
      <c r="N335" t="s">
        <v>527</v>
      </c>
    </row>
    <row r="336" spans="1:14" ht="12.75" x14ac:dyDescent="0.2">
      <c r="A336" s="1" t="s">
        <v>649</v>
      </c>
      <c r="B336" s="1">
        <v>846</v>
      </c>
      <c r="C336" s="1">
        <v>67</v>
      </c>
      <c r="D336" s="1">
        <v>49.25</v>
      </c>
      <c r="E336" s="1">
        <v>1.47</v>
      </c>
      <c r="F336" s="1">
        <v>1900</v>
      </c>
      <c r="G336" t="str">
        <f ca="1">IFERROR(__xludf.DUMMYFUNCTION("ROUND(B336/ FILTER('Pokemon CP/HP'!$M$2:$M1000, LOWER('Pokemon CP/HP'!$B$2:$B1000)=LOWER(A336)))"),"28")</f>
        <v>28</v>
      </c>
      <c r="H336" t="str">
        <f ca="1">IFERROR(__xludf.DUMMYFUNCTION("FILTER('Leveling Info'!$B$2:$B1000, 'Leveling Info'!$A$2:$A1000 =G336)"),"1600")</f>
        <v>1600</v>
      </c>
      <c r="I336" s="29">
        <f t="shared" ca="1" si="0"/>
        <v>5.2915026221291814</v>
      </c>
      <c r="J336" s="29" t="str">
        <f ca="1">IFERROR(__xludf.DUMMYFUNCTION("IF(F336 = H336,C336/FILTER('Base Stats'!$C$2:$C1000, LOWER('Base Stats'!$B$2:$B1000) = LOWER($A336)), """")"),"")</f>
        <v/>
      </c>
      <c r="K336" t="str">
        <f t="shared" ca="1" si="1"/>
        <v/>
      </c>
      <c r="L336" t="str">
        <f ca="1">IFERROR(__xludf.DUMMYFUNCTION("IF(AND(NOT(K336 = """"), G336 &gt;= 15),K336/FILTER('Base Stats'!$C$2:$C1000, LOWER('Base Stats'!$B$2:$B1000) = LOWER($A336)), """")"),"")</f>
        <v/>
      </c>
      <c r="M336" t="str">
        <f ca="1">IFERROR(__xludf.DUMMYFUNCTION("1.15 + 0.02 * FILTER('Base Stats'!$C$2:$C1000, LOWER('Base Stats'!$B$2:$B1000) = LOWER($A336))"),"2.45")</f>
        <v>2.45</v>
      </c>
      <c r="N336" t="s">
        <v>527</v>
      </c>
    </row>
    <row r="337" spans="1:14" ht="12.75" x14ac:dyDescent="0.2">
      <c r="A337" s="1" t="s">
        <v>650</v>
      </c>
      <c r="B337" s="1">
        <v>350</v>
      </c>
      <c r="C337" s="1">
        <v>55</v>
      </c>
      <c r="D337" s="1">
        <v>81.34</v>
      </c>
      <c r="E337" s="1">
        <v>1.36</v>
      </c>
      <c r="F337" s="1">
        <v>800</v>
      </c>
      <c r="G337" t="str">
        <f ca="1">IFERROR(__xludf.DUMMYFUNCTION("ROUND(B337/ FILTER('Pokemon CP/HP'!$M$2:$M1000, LOWER('Pokemon CP/HP'!$B$2:$B1000)=LOWER(A337)))"),"14")</f>
        <v>14</v>
      </c>
      <c r="H337" t="str">
        <f ca="1">IFERROR(__xludf.DUMMYFUNCTION("FILTER('Leveling Info'!$B$2:$B1000, 'Leveling Info'!$A$2:$A1000 =G337)"),"800")</f>
        <v>800</v>
      </c>
      <c r="I337" s="29">
        <f t="shared" ca="1" si="0"/>
        <v>3.7416573867739413</v>
      </c>
      <c r="J337" s="29" t="str">
        <f ca="1">IFERROR(__xludf.DUMMYFUNCTION("IF(F337 = H337,C337/FILTER('Base Stats'!$C$2:$C1000, LOWER('Base Stats'!$B$2:$B1000) = LOWER($A337)), """")"),"0.7333333333")</f>
        <v>0.7333333333</v>
      </c>
      <c r="K337" t="str">
        <f t="shared" ca="1" si="1"/>
        <v/>
      </c>
      <c r="L337" t="str">
        <f ca="1">IFERROR(__xludf.DUMMYFUNCTION("IF(AND(NOT(K337 = """"), G337 &gt;= 15),K337/FILTER('Base Stats'!$C$2:$C1000, LOWER('Base Stats'!$B$2:$B1000) = LOWER($A337)), """")"),"")</f>
        <v/>
      </c>
      <c r="M337" t="str">
        <f ca="1">IFERROR(__xludf.DUMMYFUNCTION("1.15 + 0.02 * FILTER('Base Stats'!$C$2:$C1000, LOWER('Base Stats'!$B$2:$B1000) = LOWER($A337))"),"2.65")</f>
        <v>2.65</v>
      </c>
      <c r="N337" t="s">
        <v>527</v>
      </c>
    </row>
    <row r="338" spans="1:14" ht="12.75" x14ac:dyDescent="0.2">
      <c r="A338" s="1" t="s">
        <v>650</v>
      </c>
      <c r="B338" s="1">
        <v>238</v>
      </c>
      <c r="C338" s="1">
        <v>45</v>
      </c>
      <c r="D338" s="1">
        <v>97.29</v>
      </c>
      <c r="E338" s="1">
        <v>1.52</v>
      </c>
      <c r="F338" s="1">
        <v>600</v>
      </c>
      <c r="G338" t="str">
        <f ca="1">IFERROR(__xludf.DUMMYFUNCTION("ROUND(B338/ FILTER('Pokemon CP/HP'!$M$2:$M1000, LOWER('Pokemon CP/HP'!$B$2:$B1000)=LOWER(A338)))"),"9")</f>
        <v>9</v>
      </c>
      <c r="H338" t="str">
        <f ca="1">IFERROR(__xludf.DUMMYFUNCTION("FILTER('Leveling Info'!$B$2:$B1000, 'Leveling Info'!$A$2:$A1000 =G338)"),"600")</f>
        <v>600</v>
      </c>
      <c r="I338" s="29">
        <f t="shared" ca="1" si="0"/>
        <v>3</v>
      </c>
      <c r="J338" s="29" t="str">
        <f ca="1">IFERROR(__xludf.DUMMYFUNCTION("IF(F338 = H338,C338/FILTER('Base Stats'!$C$2:$C1000, LOWER('Base Stats'!$B$2:$B1000) = LOWER($A338)), """")"),"0.6")</f>
        <v>0.6</v>
      </c>
      <c r="K338" t="str">
        <f t="shared" ca="1" si="1"/>
        <v/>
      </c>
      <c r="L338" t="str">
        <f ca="1">IFERROR(__xludf.DUMMYFUNCTION("IF(AND(NOT(K338 = """"), G338 &gt;= 15),K338/FILTER('Base Stats'!$C$2:$C1000, LOWER('Base Stats'!$B$2:$B1000) = LOWER($A338)), """")"),"")</f>
        <v/>
      </c>
      <c r="M338" t="str">
        <f ca="1">IFERROR(__xludf.DUMMYFUNCTION("1.15 + 0.02 * FILTER('Base Stats'!$C$2:$C1000, LOWER('Base Stats'!$B$2:$B1000) = LOWER($A338))"),"2.65")</f>
        <v>2.65</v>
      </c>
      <c r="N338" t="s">
        <v>527</v>
      </c>
    </row>
    <row r="339" spans="1:14" ht="12.75" x14ac:dyDescent="0.2">
      <c r="A339" s="1" t="s">
        <v>650</v>
      </c>
      <c r="B339" s="1">
        <v>132</v>
      </c>
      <c r="C339" s="1">
        <v>33</v>
      </c>
      <c r="D339" s="1">
        <v>83.68</v>
      </c>
      <c r="E339" s="1">
        <v>1.48</v>
      </c>
      <c r="F339" s="1">
        <v>400</v>
      </c>
      <c r="G339" t="str">
        <f ca="1">IFERROR(__xludf.DUMMYFUNCTION("ROUND(B339/ FILTER('Pokemon CP/HP'!$M$2:$M1000, LOWER('Pokemon CP/HP'!$B$2:$B1000)=LOWER(A339)))"),"5")</f>
        <v>5</v>
      </c>
      <c r="H339" t="str">
        <f ca="1">IFERROR(__xludf.DUMMYFUNCTION("FILTER('Leveling Info'!$B$2:$B1000, 'Leveling Info'!$A$2:$A1000 =G339)"),"400")</f>
        <v>400</v>
      </c>
      <c r="I339" s="29">
        <f t="shared" ca="1" si="0"/>
        <v>2.2360679774997898</v>
      </c>
      <c r="J339" s="29" t="str">
        <f ca="1">IFERROR(__xludf.DUMMYFUNCTION("IF(F339 = H339,C339/FILTER('Base Stats'!$C$2:$C1000, LOWER('Base Stats'!$B$2:$B1000) = LOWER($A339)), """")"),"0.44")</f>
        <v>0.44</v>
      </c>
      <c r="K339" t="str">
        <f t="shared" ca="1" si="1"/>
        <v/>
      </c>
      <c r="L339" t="str">
        <f ca="1">IFERROR(__xludf.DUMMYFUNCTION("IF(AND(NOT(K339 = """"), G339 &gt;= 15),K339/FILTER('Base Stats'!$C$2:$C1000, LOWER('Base Stats'!$B$2:$B1000) = LOWER($A339)), """")"),"")</f>
        <v/>
      </c>
      <c r="M339" t="str">
        <f ca="1">IFERROR(__xludf.DUMMYFUNCTION("1.15 + 0.02 * FILTER('Base Stats'!$C$2:$C1000, LOWER('Base Stats'!$B$2:$B1000) = LOWER($A339))"),"2.65")</f>
        <v>2.65</v>
      </c>
      <c r="N339" t="s">
        <v>527</v>
      </c>
    </row>
    <row r="340" spans="1:14" ht="12.75" x14ac:dyDescent="0.2">
      <c r="A340" s="1" t="s">
        <v>651</v>
      </c>
      <c r="B340" s="1">
        <v>119</v>
      </c>
      <c r="C340" s="1">
        <v>29</v>
      </c>
      <c r="D340" s="1">
        <v>10.28</v>
      </c>
      <c r="E340" s="1">
        <v>0.9</v>
      </c>
      <c r="F340" s="1">
        <v>2200</v>
      </c>
      <c r="G340" t="str">
        <f ca="1">IFERROR(__xludf.DUMMYFUNCTION("ROUND(B340/ FILTER('Pokemon CP/HP'!$M$2:$M1000, LOWER('Pokemon CP/HP'!$B$2:$B1000)=LOWER(A340)))"),"36")</f>
        <v>36</v>
      </c>
      <c r="H340" t="str">
        <f ca="1">IFERROR(__xludf.DUMMYFUNCTION("FILTER('Leveling Info'!$B$2:$B1000, 'Leveling Info'!$A$2:$A1000 =G340)"),"2200")</f>
        <v>2200</v>
      </c>
      <c r="I340" s="29">
        <f t="shared" ca="1" si="0"/>
        <v>6</v>
      </c>
      <c r="J340" s="29" t="str">
        <f ca="1">IFERROR(__xludf.DUMMYFUNCTION("IF(F340 = H340,C340/FILTER('Base Stats'!$C$2:$C1000, LOWER('Base Stats'!$B$2:$B1000) = LOWER($A340)), """")"),"1.45")</f>
        <v>1.45</v>
      </c>
      <c r="K340" t="str">
        <f t="shared" ca="1" si="1"/>
        <v/>
      </c>
      <c r="L340" t="str">
        <f ca="1">IFERROR(__xludf.DUMMYFUNCTION("IF(AND(NOT(K340 = """"), G340 &gt;= 15),K340/FILTER('Base Stats'!$C$2:$C1000, LOWER('Base Stats'!$B$2:$B1000) = LOWER($A340)), """")"),"0.04027777778")</f>
        <v>0.04027777778</v>
      </c>
      <c r="M340" t="str">
        <f ca="1">IFERROR(__xludf.DUMMYFUNCTION("1.15 + 0.02 * FILTER('Base Stats'!$C$2:$C1000, LOWER('Base Stats'!$B$2:$B1000) = LOWER($A340))"),"1.55")</f>
        <v>1.55</v>
      </c>
      <c r="N340">
        <v>0.51971326159999998</v>
      </c>
    </row>
    <row r="341" spans="1:14" ht="12.75" x14ac:dyDescent="0.2">
      <c r="A341" s="1" t="s">
        <v>651</v>
      </c>
      <c r="B341" s="1">
        <v>52</v>
      </c>
      <c r="C341" s="1">
        <v>17</v>
      </c>
      <c r="D341" s="1">
        <v>10.78</v>
      </c>
      <c r="E341" s="1">
        <v>0.98</v>
      </c>
      <c r="F341" s="1">
        <v>800</v>
      </c>
      <c r="G341" t="str">
        <f ca="1">IFERROR(__xludf.DUMMYFUNCTION("ROUND(B341/ FILTER('Pokemon CP/HP'!$M$2:$M1000, LOWER('Pokemon CP/HP'!$B$2:$B1000)=LOWER(A341)))"),"16")</f>
        <v>16</v>
      </c>
      <c r="H341" t="str">
        <f ca="1">IFERROR(__xludf.DUMMYFUNCTION("FILTER('Leveling Info'!$B$2:$B1000, 'Leveling Info'!$A$2:$A1000 =G341)"),"800")</f>
        <v>800</v>
      </c>
      <c r="I341" s="29">
        <f t="shared" ca="1" si="0"/>
        <v>4</v>
      </c>
      <c r="J341" s="29" t="str">
        <f ca="1">IFERROR(__xludf.DUMMYFUNCTION("IF(F341 = H341,C341/FILTER('Base Stats'!$C$2:$C1000, LOWER('Base Stats'!$B$2:$B1000) = LOWER($A341)), """")"),"0.85")</f>
        <v>0.85</v>
      </c>
      <c r="K341" t="str">
        <f t="shared" ca="1" si="1"/>
        <v/>
      </c>
      <c r="L341" t="str">
        <f ca="1">IFERROR(__xludf.DUMMYFUNCTION("IF(AND(NOT(K341 = """"), G341 &gt;= 15),K341/FILTER('Base Stats'!$C$2:$C1000, LOWER('Base Stats'!$B$2:$B1000) = LOWER($A341)), """")"),"0.053125")</f>
        <v>0.053125</v>
      </c>
      <c r="M341" t="str">
        <f ca="1">IFERROR(__xludf.DUMMYFUNCTION("1.15 + 0.02 * FILTER('Base Stats'!$C$2:$C1000, LOWER('Base Stats'!$B$2:$B1000) = LOWER($A341))"),"1.55")</f>
        <v>1.55</v>
      </c>
      <c r="N341">
        <v>0.68548387099999997</v>
      </c>
    </row>
    <row r="342" spans="1:14" ht="12.75" x14ac:dyDescent="0.2">
      <c r="A342" s="1" t="s">
        <v>651</v>
      </c>
      <c r="B342" s="1">
        <v>44</v>
      </c>
      <c r="C342" s="1">
        <v>18</v>
      </c>
      <c r="D342" s="1">
        <v>13.99</v>
      </c>
      <c r="E342" s="1">
        <v>1.1000000000000001</v>
      </c>
      <c r="F342" s="1">
        <v>800</v>
      </c>
      <c r="G342" t="str">
        <f ca="1">IFERROR(__xludf.DUMMYFUNCTION("ROUND(B342/ FILTER('Pokemon CP/HP'!$M$2:$M1000, LOWER('Pokemon CP/HP'!$B$2:$B1000)=LOWER(A342)))"),"13")</f>
        <v>13</v>
      </c>
      <c r="H342" t="str">
        <f ca="1">IFERROR(__xludf.DUMMYFUNCTION("FILTER('Leveling Info'!$B$2:$B1000, 'Leveling Info'!$A$2:$A1000 =G342)"),"800")</f>
        <v>800</v>
      </c>
      <c r="I342" s="29">
        <f t="shared" ca="1" si="0"/>
        <v>3.6055512754639891</v>
      </c>
      <c r="J342" s="29" t="str">
        <f ca="1">IFERROR(__xludf.DUMMYFUNCTION("IF(F342 = H342,C342/FILTER('Base Stats'!$C$2:$C1000, LOWER('Base Stats'!$B$2:$B1000) = LOWER($A342)), """")"),"0.9")</f>
        <v>0.9</v>
      </c>
      <c r="K342" t="str">
        <f t="shared" ca="1" si="1"/>
        <v/>
      </c>
      <c r="L342" t="str">
        <f ca="1">IFERROR(__xludf.DUMMYFUNCTION("IF(AND(NOT(K342 = """"), G342 &gt;= 15),K342/FILTER('Base Stats'!$C$2:$C1000, LOWER('Base Stats'!$B$2:$B1000) = LOWER($A342)), """")"),"")</f>
        <v/>
      </c>
      <c r="M342" t="str">
        <f ca="1">IFERROR(__xludf.DUMMYFUNCTION("1.15 + 0.02 * FILTER('Base Stats'!$C$2:$C1000, LOWER('Base Stats'!$B$2:$B1000) = LOWER($A342))"),"1.55")</f>
        <v>1.55</v>
      </c>
      <c r="N342" t="s">
        <v>527</v>
      </c>
    </row>
    <row r="343" spans="1:14" ht="12.75" x14ac:dyDescent="0.2">
      <c r="A343" s="1" t="s">
        <v>652</v>
      </c>
      <c r="B343" s="1">
        <v>469</v>
      </c>
      <c r="C343" s="1">
        <v>66</v>
      </c>
      <c r="D343" s="1">
        <v>8.56</v>
      </c>
      <c r="E343" s="1">
        <v>0.33</v>
      </c>
      <c r="F343" s="1">
        <v>1900</v>
      </c>
      <c r="G343" t="str">
        <f ca="1">IFERROR(__xludf.DUMMYFUNCTION("ROUND(B343/ FILTER('Pokemon CP/HP'!$M$2:$M1000, LOWER('Pokemon CP/HP'!$B$2:$B1000)=LOWER(A343)))"),"29")</f>
        <v>29</v>
      </c>
      <c r="H343" t="str">
        <f ca="1">IFERROR(__xludf.DUMMYFUNCTION("FILTER('Leveling Info'!$B$2:$B1000, 'Leveling Info'!$A$2:$A1000 =G343)"),"1900")</f>
        <v>1900</v>
      </c>
      <c r="I343" s="29">
        <f t="shared" ca="1" si="0"/>
        <v>5.3851648071345037</v>
      </c>
      <c r="J343" s="29" t="str">
        <f ca="1">IFERROR(__xludf.DUMMYFUNCTION("IF(F343 = H343,C343/FILTER('Base Stats'!$C$2:$C1000, LOWER('Base Stats'!$B$2:$B1000) = LOWER($A343)), """")"),"1.2")</f>
        <v>1.2</v>
      </c>
      <c r="K343" t="str">
        <f t="shared" ca="1" si="1"/>
        <v/>
      </c>
      <c r="L343" t="str">
        <f ca="1">IFERROR(__xludf.DUMMYFUNCTION("IF(AND(NOT(K343 = """"), G343 &gt;= 15),K343/FILTER('Base Stats'!$C$2:$C1000, LOWER('Base Stats'!$B$2:$B1000) = LOWER($A343)), """")"),"0.04137931034")</f>
        <v>0.04137931034</v>
      </c>
      <c r="M343" t="str">
        <f ca="1">IFERROR(__xludf.DUMMYFUNCTION("1.15 + 0.02 * FILTER('Base Stats'!$C$2:$C1000, LOWER('Base Stats'!$B$2:$B1000) = LOWER($A343))"),"2.25")</f>
        <v>2.25</v>
      </c>
      <c r="N343">
        <v>1.011494253</v>
      </c>
    </row>
    <row r="344" spans="1:14" ht="12.75" x14ac:dyDescent="0.2">
      <c r="A344" s="1" t="s">
        <v>652</v>
      </c>
      <c r="B344" s="1">
        <v>469</v>
      </c>
      <c r="C344" s="1">
        <v>65</v>
      </c>
      <c r="D344" s="1">
        <v>7.28</v>
      </c>
      <c r="E344" s="1">
        <v>0.31</v>
      </c>
      <c r="F344" s="1">
        <v>1900</v>
      </c>
      <c r="G344" t="str">
        <f ca="1">IFERROR(__xludf.DUMMYFUNCTION("ROUND(B344/ FILTER('Pokemon CP/HP'!$M$2:$M1000, LOWER('Pokemon CP/HP'!$B$2:$B1000)=LOWER(A344)))"),"29")</f>
        <v>29</v>
      </c>
      <c r="H344" t="str">
        <f ca="1">IFERROR(__xludf.DUMMYFUNCTION("FILTER('Leveling Info'!$B$2:$B1000, 'Leveling Info'!$A$2:$A1000 =G344)"),"1900")</f>
        <v>1900</v>
      </c>
      <c r="I344" s="29">
        <f t="shared" ca="1" si="0"/>
        <v>5.3851648071345037</v>
      </c>
      <c r="J344" s="29" t="str">
        <f ca="1">IFERROR(__xludf.DUMMYFUNCTION("IF(F344 = H344,C344/FILTER('Base Stats'!$C$2:$C1000, LOWER('Base Stats'!$B$2:$B1000) = LOWER($A344)), """")"),"1.181818182")</f>
        <v>1.181818182</v>
      </c>
      <c r="K344" t="str">
        <f t="shared" ca="1" si="1"/>
        <v/>
      </c>
      <c r="L344" t="str">
        <f ca="1">IFERROR(__xludf.DUMMYFUNCTION("IF(AND(NOT(K344 = """"), G344 &gt;= 15),K344/FILTER('Base Stats'!$C$2:$C1000, LOWER('Base Stats'!$B$2:$B1000) = LOWER($A344)), """")"),"0.0407523511")</f>
        <v>0.0407523511</v>
      </c>
      <c r="M344" t="str">
        <f ca="1">IFERROR(__xludf.DUMMYFUNCTION("1.15 + 0.02 * FILTER('Base Stats'!$C$2:$C1000, LOWER('Base Stats'!$B$2:$B1000) = LOWER($A344))"),"2.25")</f>
        <v>2.25</v>
      </c>
      <c r="N344">
        <v>0.99616858239999995</v>
      </c>
    </row>
    <row r="345" spans="1:14" ht="12.75" x14ac:dyDescent="0.2">
      <c r="A345" s="1" t="s">
        <v>652</v>
      </c>
      <c r="B345" s="1">
        <v>363</v>
      </c>
      <c r="C345" s="1">
        <v>56</v>
      </c>
      <c r="D345" s="1">
        <v>6.2</v>
      </c>
      <c r="E345" s="1">
        <v>0.3</v>
      </c>
      <c r="F345" s="1">
        <v>1300</v>
      </c>
      <c r="G345" t="str">
        <f ca="1">IFERROR(__xludf.DUMMYFUNCTION("ROUND(B345/ FILTER('Pokemon CP/HP'!$M$2:$M1000, LOWER('Pokemon CP/HP'!$B$2:$B1000)=LOWER(A345)))"),"23")</f>
        <v>23</v>
      </c>
      <c r="H345" t="str">
        <f ca="1">IFERROR(__xludf.DUMMYFUNCTION("FILTER('Leveling Info'!$B$2:$B1000, 'Leveling Info'!$A$2:$A1000 =G345)"),"1300")</f>
        <v>1300</v>
      </c>
      <c r="I345" s="29">
        <f t="shared" ca="1" si="0"/>
        <v>4.7958315233127191</v>
      </c>
      <c r="J345" s="29" t="str">
        <f ca="1">IFERROR(__xludf.DUMMYFUNCTION("IF(F345 = H345,C345/FILTER('Base Stats'!$C$2:$C1000, LOWER('Base Stats'!$B$2:$B1000) = LOWER($A345)), """")"),"1.018181818")</f>
        <v>1.018181818</v>
      </c>
      <c r="K345" t="str">
        <f t="shared" ca="1" si="1"/>
        <v/>
      </c>
      <c r="L345" t="str">
        <f ca="1">IFERROR(__xludf.DUMMYFUNCTION("IF(AND(NOT(K345 = """"), G345 &gt;= 15),K345/FILTER('Base Stats'!$C$2:$C1000, LOWER('Base Stats'!$B$2:$B1000) = LOWER($A345)), """")"),"0.0442687747")</f>
        <v>0.0442687747</v>
      </c>
      <c r="M345" t="str">
        <f ca="1">IFERROR(__xludf.DUMMYFUNCTION("1.15 + 0.02 * FILTER('Base Stats'!$C$2:$C1000, LOWER('Base Stats'!$B$2:$B1000) = LOWER($A345))"),"2.25")</f>
        <v>2.25</v>
      </c>
      <c r="N345">
        <v>1.082125604</v>
      </c>
    </row>
    <row r="346" spans="1:14" ht="12.75" x14ac:dyDescent="0.2">
      <c r="A346" s="1" t="s">
        <v>652</v>
      </c>
      <c r="B346" s="1">
        <v>335</v>
      </c>
      <c r="C346" s="1">
        <v>52</v>
      </c>
      <c r="D346" s="1">
        <v>4.9800000000000004</v>
      </c>
      <c r="E346" s="1">
        <v>0.28000000000000003</v>
      </c>
      <c r="F346" s="1">
        <v>1300</v>
      </c>
      <c r="G346" t="str">
        <f ca="1">IFERROR(__xludf.DUMMYFUNCTION("ROUND(B346/ FILTER('Pokemon CP/HP'!$M$2:$M1000, LOWER('Pokemon CP/HP'!$B$2:$B1000)=LOWER(A346)))"),"21")</f>
        <v>21</v>
      </c>
      <c r="H346" t="str">
        <f ca="1">IFERROR(__xludf.DUMMYFUNCTION("FILTER('Leveling Info'!$B$2:$B1000, 'Leveling Info'!$A$2:$A1000 =G346)"),"1300")</f>
        <v>1300</v>
      </c>
      <c r="I346" s="29">
        <f t="shared" ca="1" si="0"/>
        <v>4.5825756949558398</v>
      </c>
      <c r="J346" s="29" t="str">
        <f ca="1">IFERROR(__xludf.DUMMYFUNCTION("IF(F346 = H346,C346/FILTER('Base Stats'!$C$2:$C1000, LOWER('Base Stats'!$B$2:$B1000) = LOWER($A346)), """")"),"0.9454545455")</f>
        <v>0.9454545455</v>
      </c>
      <c r="K346" t="str">
        <f t="shared" ca="1" si="1"/>
        <v/>
      </c>
      <c r="L346" t="str">
        <f ca="1">IFERROR(__xludf.DUMMYFUNCTION("IF(AND(NOT(K346 = """"), G346 &gt;= 15),K346/FILTER('Base Stats'!$C$2:$C1000, LOWER('Base Stats'!$B$2:$B1000) = LOWER($A346)), """")"),"0.04502164502")</f>
        <v>0.04502164502</v>
      </c>
      <c r="M346" t="str">
        <f ca="1">IFERROR(__xludf.DUMMYFUNCTION("1.15 + 0.02 * FILTER('Base Stats'!$C$2:$C1000, LOWER('Base Stats'!$B$2:$B1000) = LOWER($A346))"),"2.25")</f>
        <v>2.25</v>
      </c>
      <c r="N346">
        <v>1.100529101</v>
      </c>
    </row>
    <row r="347" spans="1:14" ht="12.75" x14ac:dyDescent="0.2">
      <c r="A347" s="1" t="s">
        <v>652</v>
      </c>
      <c r="B347" s="1">
        <v>332</v>
      </c>
      <c r="C347" s="1">
        <v>53</v>
      </c>
      <c r="D347" s="1">
        <v>5.6</v>
      </c>
      <c r="E347" s="1">
        <v>0.27</v>
      </c>
      <c r="F347" s="1">
        <v>1300</v>
      </c>
      <c r="G347" t="str">
        <f ca="1">IFERROR(__xludf.DUMMYFUNCTION("ROUND(B347/ FILTER('Pokemon CP/HP'!$M$2:$M1000, LOWER('Pokemon CP/HP'!$B$2:$B1000)=LOWER(A347)))"),"21")</f>
        <v>21</v>
      </c>
      <c r="H347" t="str">
        <f ca="1">IFERROR(__xludf.DUMMYFUNCTION("FILTER('Leveling Info'!$B$2:$B1000, 'Leveling Info'!$A$2:$A1000 =G347)"),"1300")</f>
        <v>1300</v>
      </c>
      <c r="I347" s="29">
        <f t="shared" ca="1" si="0"/>
        <v>4.5825756949558398</v>
      </c>
      <c r="J347" s="29" t="str">
        <f ca="1">IFERROR(__xludf.DUMMYFUNCTION("IF(F347 = H347,C347/FILTER('Base Stats'!$C$2:$C1000, LOWER('Base Stats'!$B$2:$B1000) = LOWER($A347)), """")"),"0.9636363636")</f>
        <v>0.9636363636</v>
      </c>
      <c r="K347" t="str">
        <f t="shared" ca="1" si="1"/>
        <v/>
      </c>
      <c r="L347" t="str">
        <f ca="1">IFERROR(__xludf.DUMMYFUNCTION("IF(AND(NOT(K347 = """"), G347 &gt;= 15),K347/FILTER('Base Stats'!$C$2:$C1000, LOWER('Base Stats'!$B$2:$B1000) = LOWER($A347)), """")"),"0.04588744589")</f>
        <v>0.04588744589</v>
      </c>
      <c r="M347" t="str">
        <f ca="1">IFERROR(__xludf.DUMMYFUNCTION("1.15 + 0.02 * FILTER('Base Stats'!$C$2:$C1000, LOWER('Base Stats'!$B$2:$B1000) = LOWER($A347))"),"2.25")</f>
        <v>2.25</v>
      </c>
      <c r="N347">
        <v>1.1216931219999999</v>
      </c>
    </row>
    <row r="348" spans="1:14" ht="12.75" x14ac:dyDescent="0.2">
      <c r="A348" s="1" t="s">
        <v>652</v>
      </c>
      <c r="B348" s="1">
        <v>308</v>
      </c>
      <c r="C348" s="1">
        <v>49</v>
      </c>
      <c r="D348" s="1">
        <v>7.03</v>
      </c>
      <c r="E348" s="1">
        <v>0.32</v>
      </c>
      <c r="F348" s="1">
        <v>1300</v>
      </c>
      <c r="G348" t="str">
        <f ca="1">IFERROR(__xludf.DUMMYFUNCTION("ROUND(B348/ FILTER('Pokemon CP/HP'!$M$2:$M1000, LOWER('Pokemon CP/HP'!$B$2:$B1000)=LOWER(A348)))"),"19")</f>
        <v>19</v>
      </c>
      <c r="H348" t="str">
        <f ca="1">IFERROR(__xludf.DUMMYFUNCTION("FILTER('Leveling Info'!$B$2:$B1000, 'Leveling Info'!$A$2:$A1000 =G348)"),"1000")</f>
        <v>1000</v>
      </c>
      <c r="I348" s="29">
        <f t="shared" ca="1" si="0"/>
        <v>4.358898943540674</v>
      </c>
      <c r="J348" s="29" t="str">
        <f ca="1">IFERROR(__xludf.DUMMYFUNCTION("IF(F348 = H348,C348/FILTER('Base Stats'!$C$2:$C1000, LOWER('Base Stats'!$B$2:$B1000) = LOWER($A348)), """")"),"")</f>
        <v/>
      </c>
      <c r="K348" t="str">
        <f t="shared" ca="1" si="1"/>
        <v/>
      </c>
      <c r="L348" t="str">
        <f ca="1">IFERROR(__xludf.DUMMYFUNCTION("IF(AND(NOT(K348 = """"), G348 &gt;= 15),K348/FILTER('Base Stats'!$C$2:$C1000, LOWER('Base Stats'!$B$2:$B1000) = LOWER($A348)), """")"),"")</f>
        <v/>
      </c>
      <c r="M348" t="str">
        <f ca="1">IFERROR(__xludf.DUMMYFUNCTION("1.15 + 0.02 * FILTER('Base Stats'!$C$2:$C1000, LOWER('Base Stats'!$B$2:$B1000) = LOWER($A348))"),"2.25")</f>
        <v>2.25</v>
      </c>
      <c r="N348" t="s">
        <v>527</v>
      </c>
    </row>
    <row r="349" spans="1:14" ht="12.75" x14ac:dyDescent="0.2">
      <c r="A349" s="1" t="s">
        <v>652</v>
      </c>
      <c r="B349" s="1">
        <v>299</v>
      </c>
      <c r="C349" s="1">
        <v>55</v>
      </c>
      <c r="D349" s="1">
        <v>7.71</v>
      </c>
      <c r="E349" s="1">
        <v>0.33</v>
      </c>
      <c r="F349" s="1">
        <v>1300</v>
      </c>
      <c r="G349" t="str">
        <f ca="1">IFERROR(__xludf.DUMMYFUNCTION("ROUND(B349/ FILTER('Pokemon CP/HP'!$M$2:$M1000, LOWER('Pokemon CP/HP'!$B$2:$B1000)=LOWER(A349)))"),"19")</f>
        <v>19</v>
      </c>
      <c r="H349" t="str">
        <f ca="1">IFERROR(__xludf.DUMMYFUNCTION("FILTER('Leveling Info'!$B$2:$B1000, 'Leveling Info'!$A$2:$A1000 =G349)"),"1000")</f>
        <v>1000</v>
      </c>
      <c r="I349" s="29">
        <f t="shared" ca="1" si="0"/>
        <v>4.358898943540674</v>
      </c>
      <c r="J349" s="29" t="str">
        <f ca="1">IFERROR(__xludf.DUMMYFUNCTION("IF(F349 = H349,C349/FILTER('Base Stats'!$C$2:$C1000, LOWER('Base Stats'!$B$2:$B1000) = LOWER($A349)), """")"),"")</f>
        <v/>
      </c>
      <c r="K349" t="str">
        <f t="shared" ca="1" si="1"/>
        <v/>
      </c>
      <c r="L349" t="str">
        <f ca="1">IFERROR(__xludf.DUMMYFUNCTION("IF(AND(NOT(K349 = """"), G349 &gt;= 15),K349/FILTER('Base Stats'!$C$2:$C1000, LOWER('Base Stats'!$B$2:$B1000) = LOWER($A349)), """")"),"")</f>
        <v/>
      </c>
      <c r="M349" t="str">
        <f ca="1">IFERROR(__xludf.DUMMYFUNCTION("1.15 + 0.02 * FILTER('Base Stats'!$C$2:$C1000, LOWER('Base Stats'!$B$2:$B1000) = LOWER($A349))"),"2.25")</f>
        <v>2.25</v>
      </c>
      <c r="N349" t="s">
        <v>527</v>
      </c>
    </row>
    <row r="350" spans="1:14" ht="12.75" x14ac:dyDescent="0.2">
      <c r="A350" s="1" t="s">
        <v>652</v>
      </c>
      <c r="B350" s="1">
        <v>243</v>
      </c>
      <c r="C350" s="1">
        <v>49</v>
      </c>
      <c r="D350" s="1">
        <v>7.71</v>
      </c>
      <c r="E350" s="1">
        <v>0.33</v>
      </c>
      <c r="F350" s="1">
        <v>1000</v>
      </c>
      <c r="G350" t="str">
        <f ca="1">IFERROR(__xludf.DUMMYFUNCTION("ROUND(B350/ FILTER('Pokemon CP/HP'!$M$2:$M1000, LOWER('Pokemon CP/HP'!$B$2:$B1000)=LOWER(A350)))"),"15")</f>
        <v>15</v>
      </c>
      <c r="H350" t="str">
        <f ca="1">IFERROR(__xludf.DUMMYFUNCTION("FILTER('Leveling Info'!$B$2:$B1000, 'Leveling Info'!$A$2:$A1000 =G350)"),"800")</f>
        <v>800</v>
      </c>
      <c r="I350" s="29">
        <f t="shared" ca="1" si="0"/>
        <v>3.872983346207417</v>
      </c>
      <c r="J350" s="29" t="str">
        <f ca="1">IFERROR(__xludf.DUMMYFUNCTION("IF(F350 = H350,C350/FILTER('Base Stats'!$C$2:$C1000, LOWER('Base Stats'!$B$2:$B1000) = LOWER($A350)), """")"),"")</f>
        <v/>
      </c>
      <c r="K350" t="str">
        <f t="shared" ca="1" si="1"/>
        <v/>
      </c>
      <c r="L350" t="str">
        <f ca="1">IFERROR(__xludf.DUMMYFUNCTION("IF(AND(NOT(K350 = """"), G350 &gt;= 15),K350/FILTER('Base Stats'!$C$2:$C1000, LOWER('Base Stats'!$B$2:$B1000) = LOWER($A350)), """")"),"")</f>
        <v/>
      </c>
      <c r="M350" t="str">
        <f ca="1">IFERROR(__xludf.DUMMYFUNCTION("1.15 + 0.02 * FILTER('Base Stats'!$C$2:$C1000, LOWER('Base Stats'!$B$2:$B1000) = LOWER($A350))"),"2.25")</f>
        <v>2.25</v>
      </c>
      <c r="N350" t="s">
        <v>527</v>
      </c>
    </row>
    <row r="351" spans="1:14" ht="12.75" x14ac:dyDescent="0.2">
      <c r="A351" s="1" t="s">
        <v>652</v>
      </c>
      <c r="B351" s="1">
        <v>205</v>
      </c>
      <c r="C351" s="1">
        <v>42</v>
      </c>
      <c r="D351" s="1">
        <v>8.0399999999999991</v>
      </c>
      <c r="E351" s="1">
        <v>0.36</v>
      </c>
      <c r="F351" s="1">
        <v>800</v>
      </c>
      <c r="G351" t="str">
        <f ca="1">IFERROR(__xludf.DUMMYFUNCTION("ROUND(B351/ FILTER('Pokemon CP/HP'!$M$2:$M1000, LOWER('Pokemon CP/HP'!$B$2:$B1000)=LOWER(A351)))"),"13")</f>
        <v>13</v>
      </c>
      <c r="H351" t="str">
        <f ca="1">IFERROR(__xludf.DUMMYFUNCTION("FILTER('Leveling Info'!$B$2:$B1000, 'Leveling Info'!$A$2:$A1000 =G351)"),"800")</f>
        <v>800</v>
      </c>
      <c r="I351" s="29">
        <f t="shared" ca="1" si="0"/>
        <v>3.6055512754639891</v>
      </c>
      <c r="J351" s="29" t="str">
        <f ca="1">IFERROR(__xludf.DUMMYFUNCTION("IF(F351 = H351,C351/FILTER('Base Stats'!$C$2:$C1000, LOWER('Base Stats'!$B$2:$B1000) = LOWER($A351)), """")"),"0.7636363636")</f>
        <v>0.7636363636</v>
      </c>
      <c r="K351" t="str">
        <f t="shared" ca="1" si="1"/>
        <v/>
      </c>
      <c r="L351" t="str">
        <f ca="1">IFERROR(__xludf.DUMMYFUNCTION("IF(AND(NOT(K351 = """"), G351 &gt;= 15),K351/FILTER('Base Stats'!$C$2:$C1000, LOWER('Base Stats'!$B$2:$B1000) = LOWER($A351)), """")"),"")</f>
        <v/>
      </c>
      <c r="M351" t="str">
        <f ca="1">IFERROR(__xludf.DUMMYFUNCTION("1.15 + 0.02 * FILTER('Base Stats'!$C$2:$C1000, LOWER('Base Stats'!$B$2:$B1000) = LOWER($A351))"),"2.25")</f>
        <v>2.25</v>
      </c>
      <c r="N351" t="s">
        <v>527</v>
      </c>
    </row>
    <row r="352" spans="1:14" ht="12.75" x14ac:dyDescent="0.2">
      <c r="A352" s="1" t="s">
        <v>652</v>
      </c>
      <c r="B352" s="1">
        <v>201</v>
      </c>
      <c r="C352" s="1">
        <v>43</v>
      </c>
      <c r="D352" s="1">
        <v>5.7</v>
      </c>
      <c r="E352" s="1">
        <v>0.27</v>
      </c>
      <c r="F352" s="1">
        <v>800</v>
      </c>
      <c r="G352" t="str">
        <f ca="1">IFERROR(__xludf.DUMMYFUNCTION("ROUND(B352/ FILTER('Pokemon CP/HP'!$M$2:$M1000, LOWER('Pokemon CP/HP'!$B$2:$B1000)=LOWER(A352)))"),"13")</f>
        <v>13</v>
      </c>
      <c r="H352" t="str">
        <f ca="1">IFERROR(__xludf.DUMMYFUNCTION("FILTER('Leveling Info'!$B$2:$B1000, 'Leveling Info'!$A$2:$A1000 =G352)"),"800")</f>
        <v>800</v>
      </c>
      <c r="I352" s="29">
        <f t="shared" ca="1" si="0"/>
        <v>3.6055512754639891</v>
      </c>
      <c r="J352" s="29" t="str">
        <f ca="1">IFERROR(__xludf.DUMMYFUNCTION("IF(F352 = H352,C352/FILTER('Base Stats'!$C$2:$C1000, LOWER('Base Stats'!$B$2:$B1000) = LOWER($A352)), """")"),"0.7818181818")</f>
        <v>0.7818181818</v>
      </c>
      <c r="K352" t="str">
        <f t="shared" ca="1" si="1"/>
        <v/>
      </c>
      <c r="L352" t="str">
        <f ca="1">IFERROR(__xludf.DUMMYFUNCTION("IF(AND(NOT(K352 = """"), G352 &gt;= 15),K352/FILTER('Base Stats'!$C$2:$C1000, LOWER('Base Stats'!$B$2:$B1000) = LOWER($A352)), """")"),"")</f>
        <v/>
      </c>
      <c r="M352" t="str">
        <f ca="1">IFERROR(__xludf.DUMMYFUNCTION("1.15 + 0.02 * FILTER('Base Stats'!$C$2:$C1000, LOWER('Base Stats'!$B$2:$B1000) = LOWER($A352))"),"2.25")</f>
        <v>2.25</v>
      </c>
      <c r="N352" t="s">
        <v>527</v>
      </c>
    </row>
    <row r="353" spans="1:14" ht="12.75" x14ac:dyDescent="0.2">
      <c r="A353" s="1" t="s">
        <v>652</v>
      </c>
      <c r="B353" s="1">
        <v>197</v>
      </c>
      <c r="C353" s="1">
        <v>40</v>
      </c>
      <c r="D353" s="1">
        <v>8.67</v>
      </c>
      <c r="E353" s="1">
        <v>0.33</v>
      </c>
      <c r="F353" s="1">
        <v>800</v>
      </c>
      <c r="G353" t="str">
        <f ca="1">IFERROR(__xludf.DUMMYFUNCTION("ROUND(B353/ FILTER('Pokemon CP/HP'!$M$2:$M1000, LOWER('Pokemon CP/HP'!$B$2:$B1000)=LOWER(A353)))"),"12")</f>
        <v>12</v>
      </c>
      <c r="H353" t="str">
        <f ca="1">IFERROR(__xludf.DUMMYFUNCTION("FILTER('Leveling Info'!$B$2:$B1000, 'Leveling Info'!$A$2:$A1000 =G353)"),"600")</f>
        <v>600</v>
      </c>
      <c r="I353" s="29">
        <f t="shared" ca="1" si="0"/>
        <v>3.4641016151377544</v>
      </c>
      <c r="J353" s="29" t="str">
        <f ca="1">IFERROR(__xludf.DUMMYFUNCTION("IF(F353 = H353,C353/FILTER('Base Stats'!$C$2:$C1000, LOWER('Base Stats'!$B$2:$B1000) = LOWER($A353)), """")"),"")</f>
        <v/>
      </c>
      <c r="K353" t="str">
        <f t="shared" ca="1" si="1"/>
        <v/>
      </c>
      <c r="L353" t="str">
        <f ca="1">IFERROR(__xludf.DUMMYFUNCTION("IF(AND(NOT(K353 = """"), G353 &gt;= 15),K353/FILTER('Base Stats'!$C$2:$C1000, LOWER('Base Stats'!$B$2:$B1000) = LOWER($A353)), """")"),"")</f>
        <v/>
      </c>
      <c r="M353" t="str">
        <f ca="1">IFERROR(__xludf.DUMMYFUNCTION("1.15 + 0.02 * FILTER('Base Stats'!$C$2:$C1000, LOWER('Base Stats'!$B$2:$B1000) = LOWER($A353))"),"2.25")</f>
        <v>2.25</v>
      </c>
      <c r="N353" t="s">
        <v>527</v>
      </c>
    </row>
    <row r="354" spans="1:14" ht="12.75" x14ac:dyDescent="0.2">
      <c r="A354" s="1" t="s">
        <v>652</v>
      </c>
      <c r="B354" s="1">
        <v>195</v>
      </c>
      <c r="C354" s="1">
        <v>40</v>
      </c>
      <c r="D354" s="1">
        <v>7.23</v>
      </c>
      <c r="E354" s="1">
        <v>0.31</v>
      </c>
      <c r="F354" s="1">
        <v>800</v>
      </c>
      <c r="G354" t="str">
        <f ca="1">IFERROR(__xludf.DUMMYFUNCTION("ROUND(B354/ FILTER('Pokemon CP/HP'!$M$2:$M1000, LOWER('Pokemon CP/HP'!$B$2:$B1000)=LOWER(A354)))"),"12")</f>
        <v>12</v>
      </c>
      <c r="H354" t="str">
        <f ca="1">IFERROR(__xludf.DUMMYFUNCTION("FILTER('Leveling Info'!$B$2:$B1000, 'Leveling Info'!$A$2:$A1000 =G354)"),"600")</f>
        <v>600</v>
      </c>
      <c r="I354" s="29">
        <f t="shared" ca="1" si="0"/>
        <v>3.4641016151377544</v>
      </c>
      <c r="J354" s="29" t="str">
        <f ca="1">IFERROR(__xludf.DUMMYFUNCTION("IF(F354 = H354,C354/FILTER('Base Stats'!$C$2:$C1000, LOWER('Base Stats'!$B$2:$B1000) = LOWER($A354)), """")"),"")</f>
        <v/>
      </c>
      <c r="K354" t="str">
        <f t="shared" ca="1" si="1"/>
        <v/>
      </c>
      <c r="L354" t="str">
        <f ca="1">IFERROR(__xludf.DUMMYFUNCTION("IF(AND(NOT(K354 = """"), G354 &gt;= 15),K354/FILTER('Base Stats'!$C$2:$C1000, LOWER('Base Stats'!$B$2:$B1000) = LOWER($A354)), """")"),"")</f>
        <v/>
      </c>
      <c r="M354" t="str">
        <f ca="1">IFERROR(__xludf.DUMMYFUNCTION("1.15 + 0.02 * FILTER('Base Stats'!$C$2:$C1000, LOWER('Base Stats'!$B$2:$B1000) = LOWER($A354))"),"2.25")</f>
        <v>2.25</v>
      </c>
      <c r="N354" t="s">
        <v>527</v>
      </c>
    </row>
    <row r="355" spans="1:14" ht="12.75" x14ac:dyDescent="0.2">
      <c r="A355" s="1" t="s">
        <v>652</v>
      </c>
      <c r="B355" s="1">
        <v>194</v>
      </c>
      <c r="C355" s="1">
        <v>41</v>
      </c>
      <c r="D355" s="1">
        <v>9.2200000000000006</v>
      </c>
      <c r="E355" s="1">
        <v>0.35</v>
      </c>
      <c r="F355" s="1">
        <v>800</v>
      </c>
      <c r="G355" t="str">
        <f ca="1">IFERROR(__xludf.DUMMYFUNCTION("ROUND(B355/ FILTER('Pokemon CP/HP'!$M$2:$M1000, LOWER('Pokemon CP/HP'!$B$2:$B1000)=LOWER(A355)))"),"12")</f>
        <v>12</v>
      </c>
      <c r="H355" t="str">
        <f ca="1">IFERROR(__xludf.DUMMYFUNCTION("FILTER('Leveling Info'!$B$2:$B1000, 'Leveling Info'!$A$2:$A1000 =G355)"),"600")</f>
        <v>600</v>
      </c>
      <c r="I355" s="29">
        <f t="shared" ca="1" si="0"/>
        <v>3.4641016151377544</v>
      </c>
      <c r="J355" s="29" t="str">
        <f ca="1">IFERROR(__xludf.DUMMYFUNCTION("IF(F355 = H355,C355/FILTER('Base Stats'!$C$2:$C1000, LOWER('Base Stats'!$B$2:$B1000) = LOWER($A355)), """")"),"")</f>
        <v/>
      </c>
      <c r="K355" t="str">
        <f t="shared" ca="1" si="1"/>
        <v/>
      </c>
      <c r="L355" t="str">
        <f ca="1">IFERROR(__xludf.DUMMYFUNCTION("IF(AND(NOT(K355 = """"), G355 &gt;= 15),K355/FILTER('Base Stats'!$C$2:$C1000, LOWER('Base Stats'!$B$2:$B1000) = LOWER($A355)), """")"),"")</f>
        <v/>
      </c>
      <c r="M355" t="str">
        <f ca="1">IFERROR(__xludf.DUMMYFUNCTION("1.15 + 0.02 * FILTER('Base Stats'!$C$2:$C1000, LOWER('Base Stats'!$B$2:$B1000) = LOWER($A355))"),"2.25")</f>
        <v>2.25</v>
      </c>
      <c r="N355" t="s">
        <v>527</v>
      </c>
    </row>
    <row r="356" spans="1:14" ht="12.75" x14ac:dyDescent="0.2">
      <c r="A356" s="1" t="s">
        <v>652</v>
      </c>
      <c r="B356" s="1">
        <v>188</v>
      </c>
      <c r="C356" s="1">
        <v>38</v>
      </c>
      <c r="D356" s="1">
        <v>11.72</v>
      </c>
      <c r="E356" s="1">
        <v>0.39</v>
      </c>
      <c r="F356" s="1">
        <v>800</v>
      </c>
      <c r="G356" t="str">
        <f ca="1">IFERROR(__xludf.DUMMYFUNCTION("ROUND(B356/ FILTER('Pokemon CP/HP'!$M$2:$M1000, LOWER('Pokemon CP/HP'!$B$2:$B1000)=LOWER(A356)))"),"12")</f>
        <v>12</v>
      </c>
      <c r="H356" t="str">
        <f ca="1">IFERROR(__xludf.DUMMYFUNCTION("FILTER('Leveling Info'!$B$2:$B1000, 'Leveling Info'!$A$2:$A1000 =G356)"),"600")</f>
        <v>600</v>
      </c>
      <c r="I356" s="29">
        <f t="shared" ca="1" si="0"/>
        <v>3.4641016151377544</v>
      </c>
      <c r="J356" s="29" t="str">
        <f ca="1">IFERROR(__xludf.DUMMYFUNCTION("IF(F356 = H356,C356/FILTER('Base Stats'!$C$2:$C1000, LOWER('Base Stats'!$B$2:$B1000) = LOWER($A356)), """")"),"")</f>
        <v/>
      </c>
      <c r="K356" t="str">
        <f t="shared" ca="1" si="1"/>
        <v/>
      </c>
      <c r="L356" t="str">
        <f ca="1">IFERROR(__xludf.DUMMYFUNCTION("IF(AND(NOT(K356 = """"), G356 &gt;= 15),K356/FILTER('Base Stats'!$C$2:$C1000, LOWER('Base Stats'!$B$2:$B1000) = LOWER($A356)), """")"),"")</f>
        <v/>
      </c>
      <c r="M356" t="str">
        <f ca="1">IFERROR(__xludf.DUMMYFUNCTION("1.15 + 0.02 * FILTER('Base Stats'!$C$2:$C1000, LOWER('Base Stats'!$B$2:$B1000) = LOWER($A356))"),"2.25")</f>
        <v>2.25</v>
      </c>
      <c r="N356" t="s">
        <v>527</v>
      </c>
    </row>
    <row r="357" spans="1:14" ht="12.75" x14ac:dyDescent="0.2">
      <c r="A357" s="1" t="s">
        <v>652</v>
      </c>
      <c r="B357" s="1">
        <v>181</v>
      </c>
      <c r="C357" s="1">
        <v>39</v>
      </c>
      <c r="D357" s="1">
        <v>6.66</v>
      </c>
      <c r="E357" s="1">
        <v>0.28000000000000003</v>
      </c>
      <c r="F357" s="1">
        <v>600</v>
      </c>
      <c r="G357" t="str">
        <f ca="1">IFERROR(__xludf.DUMMYFUNCTION("ROUND(B357/ FILTER('Pokemon CP/HP'!$M$2:$M1000, LOWER('Pokemon CP/HP'!$B$2:$B1000)=LOWER(A357)))"),"11")</f>
        <v>11</v>
      </c>
      <c r="H357" t="str">
        <f ca="1">IFERROR(__xludf.DUMMYFUNCTION("FILTER('Leveling Info'!$B$2:$B1000, 'Leveling Info'!$A$2:$A1000 =G357)"),"600")</f>
        <v>600</v>
      </c>
      <c r="I357" s="29">
        <f t="shared" ca="1" si="0"/>
        <v>3.3166247903553998</v>
      </c>
      <c r="J357" s="29" t="str">
        <f ca="1">IFERROR(__xludf.DUMMYFUNCTION("IF(F357 = H357,C357/FILTER('Base Stats'!$C$2:$C1000, LOWER('Base Stats'!$B$2:$B1000) = LOWER($A357)), """")"),"0.7090909091")</f>
        <v>0.7090909091</v>
      </c>
      <c r="K357" t="str">
        <f t="shared" ca="1" si="1"/>
        <v/>
      </c>
      <c r="L357" t="str">
        <f ca="1">IFERROR(__xludf.DUMMYFUNCTION("IF(AND(NOT(K357 = """"), G357 &gt;= 15),K357/FILTER('Base Stats'!$C$2:$C1000, LOWER('Base Stats'!$B$2:$B1000) = LOWER($A357)), """")"),"")</f>
        <v/>
      </c>
      <c r="M357" t="str">
        <f ca="1">IFERROR(__xludf.DUMMYFUNCTION("1.15 + 0.02 * FILTER('Base Stats'!$C$2:$C1000, LOWER('Base Stats'!$B$2:$B1000) = LOWER($A357))"),"2.25")</f>
        <v>2.25</v>
      </c>
      <c r="N357" t="s">
        <v>527</v>
      </c>
    </row>
    <row r="358" spans="1:14" ht="12.75" x14ac:dyDescent="0.2">
      <c r="A358" s="1" t="s">
        <v>652</v>
      </c>
      <c r="B358" s="1">
        <v>159</v>
      </c>
      <c r="C358" s="1">
        <v>36</v>
      </c>
      <c r="D358" s="1">
        <v>6.13</v>
      </c>
      <c r="E358" s="1">
        <v>0.3</v>
      </c>
      <c r="F358" s="1">
        <v>600</v>
      </c>
      <c r="G358" t="str">
        <f ca="1">IFERROR(__xludf.DUMMYFUNCTION("ROUND(B358/ FILTER('Pokemon CP/HP'!$M$2:$M1000, LOWER('Pokemon CP/HP'!$B$2:$B1000)=LOWER(A358)))"),"10")</f>
        <v>10</v>
      </c>
      <c r="H358" t="str">
        <f ca="1">IFERROR(__xludf.DUMMYFUNCTION("FILTER('Leveling Info'!$B$2:$B1000, 'Leveling Info'!$A$2:$A1000 =G358)"),"600")</f>
        <v>600</v>
      </c>
      <c r="I358" s="29">
        <f t="shared" ca="1" si="0"/>
        <v>3.1622776601683795</v>
      </c>
      <c r="J358" s="29" t="str">
        <f ca="1">IFERROR(__xludf.DUMMYFUNCTION("IF(F358 = H358,C358/FILTER('Base Stats'!$C$2:$C1000, LOWER('Base Stats'!$B$2:$B1000) = LOWER($A358)), """")"),"0.6545454545")</f>
        <v>0.6545454545</v>
      </c>
      <c r="K358" t="str">
        <f t="shared" ca="1" si="1"/>
        <v/>
      </c>
      <c r="L358" t="str">
        <f ca="1">IFERROR(__xludf.DUMMYFUNCTION("IF(AND(NOT(K358 = """"), G358 &gt;= 15),K358/FILTER('Base Stats'!$C$2:$C1000, LOWER('Base Stats'!$B$2:$B1000) = LOWER($A358)), """")"),"")</f>
        <v/>
      </c>
      <c r="M358" t="str">
        <f ca="1">IFERROR(__xludf.DUMMYFUNCTION("1.15 + 0.02 * FILTER('Base Stats'!$C$2:$C1000, LOWER('Base Stats'!$B$2:$B1000) = LOWER($A358))"),"2.25")</f>
        <v>2.25</v>
      </c>
      <c r="N358" t="s">
        <v>527</v>
      </c>
    </row>
    <row r="359" spans="1:14" ht="12.75" x14ac:dyDescent="0.2">
      <c r="A359" s="1" t="s">
        <v>652</v>
      </c>
      <c r="B359" s="1">
        <v>141</v>
      </c>
      <c r="C359" s="1">
        <v>35</v>
      </c>
      <c r="D359" s="1">
        <v>3.89</v>
      </c>
      <c r="E359" s="1">
        <v>0.25</v>
      </c>
      <c r="F359" s="1">
        <v>600</v>
      </c>
      <c r="G359" t="str">
        <f ca="1">IFERROR(__xludf.DUMMYFUNCTION("ROUND(B359/ FILTER('Pokemon CP/HP'!$M$2:$M1000, LOWER('Pokemon CP/HP'!$B$2:$B1000)=LOWER(A359)))"),"9")</f>
        <v>9</v>
      </c>
      <c r="H359" t="str">
        <f ca="1">IFERROR(__xludf.DUMMYFUNCTION("FILTER('Leveling Info'!$B$2:$B1000, 'Leveling Info'!$A$2:$A1000 =G359)"),"600")</f>
        <v>600</v>
      </c>
      <c r="I359" s="29">
        <f t="shared" ca="1" si="0"/>
        <v>3</v>
      </c>
      <c r="J359" s="29" t="str">
        <f ca="1">IFERROR(__xludf.DUMMYFUNCTION("IF(F359 = H359,C359/FILTER('Base Stats'!$C$2:$C1000, LOWER('Base Stats'!$B$2:$B1000) = LOWER($A359)), """")"),"0.6363636364")</f>
        <v>0.6363636364</v>
      </c>
      <c r="K359" t="str">
        <f t="shared" ca="1" si="1"/>
        <v/>
      </c>
      <c r="L359" t="str">
        <f ca="1">IFERROR(__xludf.DUMMYFUNCTION("IF(AND(NOT(K359 = """"), G359 &gt;= 15),K359/FILTER('Base Stats'!$C$2:$C1000, LOWER('Base Stats'!$B$2:$B1000) = LOWER($A359)), """")"),"")</f>
        <v/>
      </c>
      <c r="M359" t="str">
        <f ca="1">IFERROR(__xludf.DUMMYFUNCTION("1.15 + 0.02 * FILTER('Base Stats'!$C$2:$C1000, LOWER('Base Stats'!$B$2:$B1000) = LOWER($A359))"),"2.25")</f>
        <v>2.25</v>
      </c>
      <c r="N359" t="s">
        <v>527</v>
      </c>
    </row>
    <row r="360" spans="1:14" ht="12.75" x14ac:dyDescent="0.2">
      <c r="A360" s="1" t="s">
        <v>652</v>
      </c>
      <c r="B360" s="1">
        <v>135</v>
      </c>
      <c r="C360" s="1">
        <v>36</v>
      </c>
      <c r="D360" s="1">
        <v>8.35</v>
      </c>
      <c r="E360" s="1">
        <v>0.32</v>
      </c>
      <c r="F360" s="1">
        <v>600</v>
      </c>
      <c r="G360" t="str">
        <f ca="1">IFERROR(__xludf.DUMMYFUNCTION("ROUND(B360/ FILTER('Pokemon CP/HP'!$M$2:$M1000, LOWER('Pokemon CP/HP'!$B$2:$B1000)=LOWER(A360)))"),"8")</f>
        <v>8</v>
      </c>
      <c r="H360" t="str">
        <f ca="1">IFERROR(__xludf.DUMMYFUNCTION("FILTER('Leveling Info'!$B$2:$B1000, 'Leveling Info'!$A$2:$A1000 =G360)"),"400")</f>
        <v>400</v>
      </c>
      <c r="I360" s="29">
        <f t="shared" ca="1" si="0"/>
        <v>2.8284271247461903</v>
      </c>
      <c r="J360" s="29" t="str">
        <f ca="1">IFERROR(__xludf.DUMMYFUNCTION("IF(F360 = H360,C360/FILTER('Base Stats'!$C$2:$C1000, LOWER('Base Stats'!$B$2:$B1000) = LOWER($A360)), """")"),"")</f>
        <v/>
      </c>
      <c r="K360" t="str">
        <f t="shared" ca="1" si="1"/>
        <v/>
      </c>
      <c r="L360" t="str">
        <f ca="1">IFERROR(__xludf.DUMMYFUNCTION("IF(AND(NOT(K360 = """"), G360 &gt;= 15),K360/FILTER('Base Stats'!$C$2:$C1000, LOWER('Base Stats'!$B$2:$B1000) = LOWER($A360)), """")"),"")</f>
        <v/>
      </c>
      <c r="M360" t="str">
        <f ca="1">IFERROR(__xludf.DUMMYFUNCTION("1.15 + 0.02 * FILTER('Base Stats'!$C$2:$C1000, LOWER('Base Stats'!$B$2:$B1000) = LOWER($A360))"),"2.25")</f>
        <v>2.25</v>
      </c>
      <c r="N360" t="s">
        <v>527</v>
      </c>
    </row>
    <row r="361" spans="1:14" ht="12.75" x14ac:dyDescent="0.2">
      <c r="A361" s="1" t="s">
        <v>652</v>
      </c>
      <c r="B361" s="1">
        <v>133</v>
      </c>
      <c r="C361" s="1">
        <v>32</v>
      </c>
      <c r="D361" s="1">
        <v>8.7200000000000006</v>
      </c>
      <c r="E361" s="1">
        <v>0.35</v>
      </c>
      <c r="F361" s="1">
        <v>600</v>
      </c>
      <c r="G361" t="str">
        <f ca="1">IFERROR(__xludf.DUMMYFUNCTION("ROUND(B361/ FILTER('Pokemon CP/HP'!$M$2:$M1000, LOWER('Pokemon CP/HP'!$B$2:$B1000)=LOWER(A361)))"),"8")</f>
        <v>8</v>
      </c>
      <c r="H361" t="str">
        <f ca="1">IFERROR(__xludf.DUMMYFUNCTION("FILTER('Leveling Info'!$B$2:$B1000, 'Leveling Info'!$A$2:$A1000 =G361)"),"400")</f>
        <v>400</v>
      </c>
      <c r="I361" s="29">
        <f t="shared" ca="1" si="0"/>
        <v>2.8284271247461903</v>
      </c>
      <c r="J361" s="29" t="str">
        <f ca="1">IFERROR(__xludf.DUMMYFUNCTION("IF(F361 = H361,C361/FILTER('Base Stats'!$C$2:$C1000, LOWER('Base Stats'!$B$2:$B1000) = LOWER($A361)), """")"),"")</f>
        <v/>
      </c>
      <c r="K361" t="str">
        <f t="shared" ca="1" si="1"/>
        <v/>
      </c>
      <c r="L361" t="str">
        <f ca="1">IFERROR(__xludf.DUMMYFUNCTION("IF(AND(NOT(K361 = """"), G361 &gt;= 15),K361/FILTER('Base Stats'!$C$2:$C1000, LOWER('Base Stats'!$B$2:$B1000) = LOWER($A361)), """")"),"")</f>
        <v/>
      </c>
      <c r="M361" t="str">
        <f ca="1">IFERROR(__xludf.DUMMYFUNCTION("1.15 + 0.02 * FILTER('Base Stats'!$C$2:$C1000, LOWER('Base Stats'!$B$2:$B1000) = LOWER($A361))"),"2.25")</f>
        <v>2.25</v>
      </c>
      <c r="N361" t="s">
        <v>527</v>
      </c>
    </row>
    <row r="362" spans="1:14" ht="12.75" x14ac:dyDescent="0.2">
      <c r="A362" s="1" t="s">
        <v>652</v>
      </c>
      <c r="B362" s="1">
        <v>132</v>
      </c>
      <c r="C362" s="1">
        <v>31</v>
      </c>
      <c r="D362" s="1">
        <v>7.43</v>
      </c>
      <c r="E362" s="1">
        <v>0.28999999999999998</v>
      </c>
      <c r="F362" s="1">
        <v>600</v>
      </c>
      <c r="G362" t="str">
        <f ca="1">IFERROR(__xludf.DUMMYFUNCTION("ROUND(B362/ FILTER('Pokemon CP/HP'!$M$2:$M1000, LOWER('Pokemon CP/HP'!$B$2:$B1000)=LOWER(A362)))"),"8")</f>
        <v>8</v>
      </c>
      <c r="H362" t="str">
        <f ca="1">IFERROR(__xludf.DUMMYFUNCTION("FILTER('Leveling Info'!$B$2:$B1000, 'Leveling Info'!$A$2:$A1000 =G362)"),"400")</f>
        <v>400</v>
      </c>
      <c r="I362" s="29">
        <f t="shared" ca="1" si="0"/>
        <v>2.8284271247461903</v>
      </c>
      <c r="J362" s="29" t="str">
        <f ca="1">IFERROR(__xludf.DUMMYFUNCTION("IF(F362 = H362,C362/FILTER('Base Stats'!$C$2:$C1000, LOWER('Base Stats'!$B$2:$B1000) = LOWER($A362)), """")"),"")</f>
        <v/>
      </c>
      <c r="K362" t="str">
        <f t="shared" ca="1" si="1"/>
        <v/>
      </c>
      <c r="L362" t="str">
        <f ca="1">IFERROR(__xludf.DUMMYFUNCTION("IF(AND(NOT(K362 = """"), G362 &gt;= 15),K362/FILTER('Base Stats'!$C$2:$C1000, LOWER('Base Stats'!$B$2:$B1000) = LOWER($A362)), """")"),"")</f>
        <v/>
      </c>
      <c r="M362" t="str">
        <f ca="1">IFERROR(__xludf.DUMMYFUNCTION("1.15 + 0.02 * FILTER('Base Stats'!$C$2:$C1000, LOWER('Base Stats'!$B$2:$B1000) = LOWER($A362))"),"2.25")</f>
        <v>2.25</v>
      </c>
      <c r="N362" t="s">
        <v>527</v>
      </c>
    </row>
    <row r="363" spans="1:14" ht="12.75" x14ac:dyDescent="0.2">
      <c r="A363" s="1" t="s">
        <v>652</v>
      </c>
      <c r="B363" s="1">
        <v>109</v>
      </c>
      <c r="C363" s="1">
        <v>31</v>
      </c>
      <c r="D363" s="1">
        <v>3.78</v>
      </c>
      <c r="E363" s="1">
        <v>0.25</v>
      </c>
      <c r="F363" s="1">
        <v>400</v>
      </c>
      <c r="G363" t="str">
        <f ca="1">IFERROR(__xludf.DUMMYFUNCTION("ROUND(B363/ FILTER('Pokemon CP/HP'!$M$2:$M1000, LOWER('Pokemon CP/HP'!$B$2:$B1000)=LOWER(A363)))"),"7")</f>
        <v>7</v>
      </c>
      <c r="H363" t="str">
        <f ca="1">IFERROR(__xludf.DUMMYFUNCTION("FILTER('Leveling Info'!$B$2:$B1000, 'Leveling Info'!$A$2:$A1000 =G363)"),"400")</f>
        <v>400</v>
      </c>
      <c r="I363" s="29">
        <f t="shared" ca="1" si="0"/>
        <v>2.6457513110645907</v>
      </c>
      <c r="J363" s="29" t="str">
        <f ca="1">IFERROR(__xludf.DUMMYFUNCTION("IF(F363 = H363,C363/FILTER('Base Stats'!$C$2:$C1000, LOWER('Base Stats'!$B$2:$B1000) = LOWER($A363)), """")"),"0.5636363636")</f>
        <v>0.5636363636</v>
      </c>
      <c r="K363" t="str">
        <f t="shared" ca="1" si="1"/>
        <v/>
      </c>
      <c r="L363" t="str">
        <f ca="1">IFERROR(__xludf.DUMMYFUNCTION("IF(AND(NOT(K363 = """"), G363 &gt;= 15),K363/FILTER('Base Stats'!$C$2:$C1000, LOWER('Base Stats'!$B$2:$B1000) = LOWER($A363)), """")"),"")</f>
        <v/>
      </c>
      <c r="M363" t="str">
        <f ca="1">IFERROR(__xludf.DUMMYFUNCTION("1.15 + 0.02 * FILTER('Base Stats'!$C$2:$C1000, LOWER('Base Stats'!$B$2:$B1000) = LOWER($A363))"),"2.25")</f>
        <v>2.25</v>
      </c>
      <c r="N363" t="s">
        <v>527</v>
      </c>
    </row>
    <row r="364" spans="1:14" ht="12.75" x14ac:dyDescent="0.2">
      <c r="A364" s="1" t="s">
        <v>652</v>
      </c>
      <c r="B364" s="1">
        <v>46</v>
      </c>
      <c r="C364" s="1">
        <v>20</v>
      </c>
      <c r="D364" s="1">
        <v>5.85</v>
      </c>
      <c r="E364" s="1">
        <v>0.27</v>
      </c>
      <c r="F364" s="1">
        <v>200</v>
      </c>
      <c r="G364" t="str">
        <f ca="1">IFERROR(__xludf.DUMMYFUNCTION("ROUND(B364/ FILTER('Pokemon CP/HP'!$M$2:$M1000, LOWER('Pokemon CP/HP'!$B$2:$B1000)=LOWER(A364)))"),"3")</f>
        <v>3</v>
      </c>
      <c r="H364" t="str">
        <f ca="1">IFERROR(__xludf.DUMMYFUNCTION("FILTER('Leveling Info'!$B$2:$B1000, 'Leveling Info'!$A$2:$A1000 =G364)"),"200")</f>
        <v>200</v>
      </c>
      <c r="I364" s="29">
        <f t="shared" ca="1" si="0"/>
        <v>1.7320508075688772</v>
      </c>
      <c r="J364" s="29" t="str">
        <f ca="1">IFERROR(__xludf.DUMMYFUNCTION("IF(F364 = H364,C364/FILTER('Base Stats'!$C$2:$C1000, LOWER('Base Stats'!$B$2:$B1000) = LOWER($A364)), """")"),"0.3636363636")</f>
        <v>0.3636363636</v>
      </c>
      <c r="K364" t="str">
        <f t="shared" ca="1" si="1"/>
        <v/>
      </c>
      <c r="L364" t="str">
        <f ca="1">IFERROR(__xludf.DUMMYFUNCTION("IF(AND(NOT(K364 = """"), G364 &gt;= 15),K364/FILTER('Base Stats'!$C$2:$C1000, LOWER('Base Stats'!$B$2:$B1000) = LOWER($A364)), """")"),"")</f>
        <v/>
      </c>
      <c r="M364" t="str">
        <f ca="1">IFERROR(__xludf.DUMMYFUNCTION("1.15 + 0.02 * FILTER('Base Stats'!$C$2:$C1000, LOWER('Base Stats'!$B$2:$B1000) = LOWER($A364))"),"2.25")</f>
        <v>2.25</v>
      </c>
      <c r="N364" t="s">
        <v>527</v>
      </c>
    </row>
    <row r="365" spans="1:14" ht="12.75" x14ac:dyDescent="0.2">
      <c r="A365" s="1" t="s">
        <v>652</v>
      </c>
      <c r="B365" s="1">
        <v>45</v>
      </c>
      <c r="C365" s="1">
        <v>20</v>
      </c>
      <c r="D365" s="1">
        <v>5.55</v>
      </c>
      <c r="E365" s="1">
        <v>0.31</v>
      </c>
      <c r="F365" s="1">
        <v>200</v>
      </c>
      <c r="G365" t="str">
        <f ca="1">IFERROR(__xludf.DUMMYFUNCTION("ROUND(B365/ FILTER('Pokemon CP/HP'!$M$2:$M1000, LOWER('Pokemon CP/HP'!$B$2:$B1000)=LOWER(A365)))"),"3")</f>
        <v>3</v>
      </c>
      <c r="H365" t="str">
        <f ca="1">IFERROR(__xludf.DUMMYFUNCTION("FILTER('Leveling Info'!$B$2:$B1000, 'Leveling Info'!$A$2:$A1000 =G365)"),"200")</f>
        <v>200</v>
      </c>
      <c r="I365" s="29">
        <f t="shared" ca="1" si="0"/>
        <v>1.7320508075688772</v>
      </c>
      <c r="J365" s="29" t="str">
        <f ca="1">IFERROR(__xludf.DUMMYFUNCTION("IF(F365 = H365,C365/FILTER('Base Stats'!$C$2:$C1000, LOWER('Base Stats'!$B$2:$B1000) = LOWER($A365)), """")"),"0.3636363636")</f>
        <v>0.3636363636</v>
      </c>
      <c r="K365" t="str">
        <f t="shared" ca="1" si="1"/>
        <v/>
      </c>
      <c r="L365" t="str">
        <f ca="1">IFERROR(__xludf.DUMMYFUNCTION("IF(AND(NOT(K365 = """"), G365 &gt;= 15),K365/FILTER('Base Stats'!$C$2:$C1000, LOWER('Base Stats'!$B$2:$B1000) = LOWER($A365)), """")"),"")</f>
        <v/>
      </c>
      <c r="M365" t="str">
        <f ca="1">IFERROR(__xludf.DUMMYFUNCTION("1.15 + 0.02 * FILTER('Base Stats'!$C$2:$C1000, LOWER('Base Stats'!$B$2:$B1000) = LOWER($A365))"),"2.25")</f>
        <v>2.25</v>
      </c>
      <c r="N365" t="s">
        <v>527</v>
      </c>
    </row>
    <row r="366" spans="1:14" ht="12.75" x14ac:dyDescent="0.2">
      <c r="A366" s="1" t="s">
        <v>652</v>
      </c>
      <c r="B366" s="1">
        <v>45</v>
      </c>
      <c r="C366" s="1">
        <v>19</v>
      </c>
      <c r="D366" s="1">
        <v>7.72</v>
      </c>
      <c r="E366" s="1">
        <v>0.31</v>
      </c>
      <c r="F366" s="1">
        <v>200</v>
      </c>
      <c r="G366" t="str">
        <f ca="1">IFERROR(__xludf.DUMMYFUNCTION("ROUND(B366/ FILTER('Pokemon CP/HP'!$M$2:$M1000, LOWER('Pokemon CP/HP'!$B$2:$B1000)=LOWER(A366)))"),"3")</f>
        <v>3</v>
      </c>
      <c r="H366" t="str">
        <f ca="1">IFERROR(__xludf.DUMMYFUNCTION("FILTER('Leveling Info'!$B$2:$B1000, 'Leveling Info'!$A$2:$A1000 =G366)"),"200")</f>
        <v>200</v>
      </c>
      <c r="I366" s="29">
        <f t="shared" ca="1" si="0"/>
        <v>1.7320508075688772</v>
      </c>
      <c r="J366" s="29" t="str">
        <f ca="1">IFERROR(__xludf.DUMMYFUNCTION("IF(F366 = H366,C366/FILTER('Base Stats'!$C$2:$C1000, LOWER('Base Stats'!$B$2:$B1000) = LOWER($A366)), """")"),"0.3454545455")</f>
        <v>0.3454545455</v>
      </c>
      <c r="K366" t="str">
        <f t="shared" ca="1" si="1"/>
        <v/>
      </c>
      <c r="L366" t="str">
        <f ca="1">IFERROR(__xludf.DUMMYFUNCTION("IF(AND(NOT(K366 = """"), G366 &gt;= 15),K366/FILTER('Base Stats'!$C$2:$C1000, LOWER('Base Stats'!$B$2:$B1000) = LOWER($A366)), """")"),"")</f>
        <v/>
      </c>
      <c r="M366" t="str">
        <f ca="1">IFERROR(__xludf.DUMMYFUNCTION("1.15 + 0.02 * FILTER('Base Stats'!$C$2:$C1000, LOWER('Base Stats'!$B$2:$B1000) = LOWER($A366))"),"2.25")</f>
        <v>2.25</v>
      </c>
      <c r="N366" t="s">
        <v>527</v>
      </c>
    </row>
    <row r="367" spans="1:14" ht="12.75" x14ac:dyDescent="0.2">
      <c r="A367" s="1" t="s">
        <v>652</v>
      </c>
      <c r="B367" s="1">
        <v>44</v>
      </c>
      <c r="C367" s="1">
        <v>18</v>
      </c>
      <c r="D367" s="1">
        <v>8.91</v>
      </c>
      <c r="E367" s="1">
        <v>0.36</v>
      </c>
      <c r="F367" s="1">
        <v>200</v>
      </c>
      <c r="G367" t="str">
        <f ca="1">IFERROR(__xludf.DUMMYFUNCTION("ROUND(B367/ FILTER('Pokemon CP/HP'!$M$2:$M1000, LOWER('Pokemon CP/HP'!$B$2:$B1000)=LOWER(A367)))"),"3")</f>
        <v>3</v>
      </c>
      <c r="H367" t="str">
        <f ca="1">IFERROR(__xludf.DUMMYFUNCTION("FILTER('Leveling Info'!$B$2:$B1000, 'Leveling Info'!$A$2:$A1000 =G367)"),"200")</f>
        <v>200</v>
      </c>
      <c r="I367" s="29">
        <f t="shared" ca="1" si="0"/>
        <v>1.7320508075688772</v>
      </c>
      <c r="J367" s="29" t="str">
        <f ca="1">IFERROR(__xludf.DUMMYFUNCTION("IF(F367 = H367,C367/FILTER('Base Stats'!$C$2:$C1000, LOWER('Base Stats'!$B$2:$B1000) = LOWER($A367)), """")"),"0.3272727273")</f>
        <v>0.3272727273</v>
      </c>
      <c r="K367" t="str">
        <f t="shared" ca="1" si="1"/>
        <v/>
      </c>
      <c r="L367" t="str">
        <f ca="1">IFERROR(__xludf.DUMMYFUNCTION("IF(AND(NOT(K367 = """"), G367 &gt;= 15),K367/FILTER('Base Stats'!$C$2:$C1000, LOWER('Base Stats'!$B$2:$B1000) = LOWER($A367)), """")"),"")</f>
        <v/>
      </c>
      <c r="M367" t="str">
        <f ca="1">IFERROR(__xludf.DUMMYFUNCTION("1.15 + 0.02 * FILTER('Base Stats'!$C$2:$C1000, LOWER('Base Stats'!$B$2:$B1000) = LOWER($A367))"),"2.25")</f>
        <v>2.25</v>
      </c>
      <c r="N367" t="s">
        <v>527</v>
      </c>
    </row>
    <row r="368" spans="1:14" ht="12.75" x14ac:dyDescent="0.2">
      <c r="A368" s="1" t="s">
        <v>652</v>
      </c>
      <c r="B368" s="1">
        <v>13</v>
      </c>
      <c r="C368" s="1">
        <v>10</v>
      </c>
      <c r="D368" s="1">
        <v>6.19</v>
      </c>
      <c r="E368" s="1">
        <v>0.31</v>
      </c>
      <c r="F368" s="1">
        <v>200</v>
      </c>
      <c r="G368" t="str">
        <f ca="1">IFERROR(__xludf.DUMMYFUNCTION("ROUND(B368/ FILTER('Pokemon CP/HP'!$M$2:$M1000, LOWER('Pokemon CP/HP'!$B$2:$B1000)=LOWER(A368)))"),"1")</f>
        <v>1</v>
      </c>
      <c r="H368" t="str">
        <f ca="1">IFERROR(__xludf.DUMMYFUNCTION("FILTER('Leveling Info'!$B$2:$B1000, 'Leveling Info'!$A$2:$A1000 =G368)"),"200")</f>
        <v>200</v>
      </c>
      <c r="I368" s="29">
        <f t="shared" ca="1" si="0"/>
        <v>1</v>
      </c>
      <c r="J368" s="29" t="str">
        <f ca="1">IFERROR(__xludf.DUMMYFUNCTION("IF(F368 = H368,C368/FILTER('Base Stats'!$C$2:$C1000, LOWER('Base Stats'!$B$2:$B1000) = LOWER($A368)), """")"),"0.1818181818")</f>
        <v>0.1818181818</v>
      </c>
      <c r="K368" t="str">
        <f t="shared" ca="1" si="1"/>
        <v/>
      </c>
      <c r="L368" t="str">
        <f ca="1">IFERROR(__xludf.DUMMYFUNCTION("IF(AND(NOT(K368 = """"), G368 &gt;= 15),K368/FILTER('Base Stats'!$C$2:$C1000, LOWER('Base Stats'!$B$2:$B1000) = LOWER($A368)), """")"),"")</f>
        <v/>
      </c>
      <c r="M368" t="str">
        <f ca="1">IFERROR(__xludf.DUMMYFUNCTION("1.15 + 0.02 * FILTER('Base Stats'!$C$2:$C1000, LOWER('Base Stats'!$B$2:$B1000) = LOWER($A368))"),"2.25")</f>
        <v>2.25</v>
      </c>
      <c r="N368" t="s">
        <v>527</v>
      </c>
    </row>
    <row r="369" spans="1:14" ht="12.75" x14ac:dyDescent="0.2">
      <c r="A369" s="1" t="s">
        <v>653</v>
      </c>
      <c r="B369" s="1">
        <v>1014</v>
      </c>
      <c r="C369" s="1">
        <v>125</v>
      </c>
      <c r="D369" s="1">
        <v>5.2</v>
      </c>
      <c r="E369" s="1">
        <v>1.06</v>
      </c>
      <c r="F369" s="1">
        <v>1600</v>
      </c>
      <c r="G369" t="str">
        <f ca="1">IFERROR(__xludf.DUMMYFUNCTION("ROUND(B369/ FILTER('Pokemon CP/HP'!$M$2:$M1000, LOWER('Pokemon CP/HP'!$B$2:$B1000)=LOWER(A369)))"),"26")</f>
        <v>26</v>
      </c>
      <c r="H369" t="str">
        <f ca="1">IFERROR(__xludf.DUMMYFUNCTION("FILTER('Leveling Info'!$B$2:$B1000, 'Leveling Info'!$A$2:$A1000 =G369)"),"1600")</f>
        <v>1600</v>
      </c>
      <c r="I369" s="29">
        <f t="shared" ca="1" si="0"/>
        <v>5.0990195135927845</v>
      </c>
      <c r="J369" s="29" t="str">
        <f ca="1">IFERROR(__xludf.DUMMYFUNCTION("IF(F369 = H369,C369/FILTER('Base Stats'!$C$2:$C1000, LOWER('Base Stats'!$B$2:$B1000) = LOWER($A369)), """")"),"0.9615384615")</f>
        <v>0.9615384615</v>
      </c>
      <c r="K369" t="str">
        <f t="shared" ca="1" si="1"/>
        <v/>
      </c>
      <c r="L369" t="str">
        <f ca="1">IFERROR(__xludf.DUMMYFUNCTION("IF(AND(NOT(K369 = """"), G369 &gt;= 15),K369/FILTER('Base Stats'!$C$2:$C1000, LOWER('Base Stats'!$B$2:$B1000) = LOWER($A369)), """")"),"0.03698224852")</f>
        <v>0.03698224852</v>
      </c>
      <c r="M369" t="str">
        <f ca="1">IFERROR(__xludf.DUMMYFUNCTION("1.15 + 0.02 * FILTER('Base Stats'!$C$2:$C1000, LOWER('Base Stats'!$B$2:$B1000) = LOWER($A369))"),"3.75")</f>
        <v>3.75</v>
      </c>
      <c r="N369">
        <v>1.2820512820000001</v>
      </c>
    </row>
    <row r="370" spans="1:14" ht="12.75" x14ac:dyDescent="0.2">
      <c r="A370" s="1" t="s">
        <v>654</v>
      </c>
      <c r="B370" s="1">
        <v>788</v>
      </c>
      <c r="C370" s="1">
        <v>70</v>
      </c>
      <c r="D370" s="1">
        <v>7.12</v>
      </c>
      <c r="E370" s="1">
        <v>0.87</v>
      </c>
      <c r="F370" s="1">
        <v>1600</v>
      </c>
      <c r="G370" t="str">
        <f ca="1">IFERROR(__xludf.DUMMYFUNCTION("ROUND(B370/ FILTER('Pokemon CP/HP'!$M$2:$M1000, LOWER('Pokemon CP/HP'!$B$2:$B1000)=LOWER(A370)))"),"26")</f>
        <v>26</v>
      </c>
      <c r="H370" t="str">
        <f ca="1">IFERROR(__xludf.DUMMYFUNCTION("FILTER('Leveling Info'!$B$2:$B1000, 'Leveling Info'!$A$2:$A1000 =G370)"),"1600")</f>
        <v>1600</v>
      </c>
      <c r="I370" s="29">
        <f t="shared" ca="1" si="0"/>
        <v>5.0990195135927845</v>
      </c>
      <c r="J370" s="29" t="str">
        <f ca="1">IFERROR(__xludf.DUMMYFUNCTION("IF(F370 = H370,C370/FILTER('Base Stats'!$C$2:$C1000, LOWER('Base Stats'!$B$2:$B1000) = LOWER($A370)), """")"),"1.076923077")</f>
        <v>1.076923077</v>
      </c>
      <c r="K370" t="str">
        <f t="shared" ca="1" si="1"/>
        <v/>
      </c>
      <c r="L370" t="str">
        <f ca="1">IFERROR(__xludf.DUMMYFUNCTION("IF(AND(NOT(K370 = """"), G370 &gt;= 15),K370/FILTER('Base Stats'!$C$2:$C1000, LOWER('Base Stats'!$B$2:$B1000) = LOWER($A370)), """")"),"0.04142011834")</f>
        <v>0.04142011834</v>
      </c>
      <c r="M370" t="str">
        <f ca="1">IFERROR(__xludf.DUMMYFUNCTION("1.15 + 0.02 * FILTER('Base Stats'!$C$2:$C1000, LOWER('Base Stats'!$B$2:$B1000) = LOWER($A370))"),"2.45")</f>
        <v>2.45</v>
      </c>
      <c r="N370">
        <v>1.0989010990000001</v>
      </c>
    </row>
    <row r="371" spans="1:14" ht="12.75" x14ac:dyDescent="0.2">
      <c r="A371" s="1" t="s">
        <v>655</v>
      </c>
      <c r="B371" s="1">
        <v>1217</v>
      </c>
      <c r="C371" s="1">
        <v>76</v>
      </c>
      <c r="D371" s="1">
        <v>0.82</v>
      </c>
      <c r="E371" s="1">
        <v>0.49</v>
      </c>
      <c r="F371" s="1">
        <v>2200</v>
      </c>
      <c r="G371" t="str">
        <f ca="1">IFERROR(__xludf.DUMMYFUNCTION("ROUND(B371/ FILTER('Pokemon CP/HP'!$M$2:$M1000, LOWER('Pokemon CP/HP'!$B$2:$B1000)=LOWER(A371)))"),"33")</f>
        <v>33</v>
      </c>
      <c r="H371" t="str">
        <f ca="1">IFERROR(__xludf.DUMMYFUNCTION("FILTER('Leveling Info'!$B$2:$B1000, 'Leveling Info'!$A$2:$A1000 =G371)"),"2200")</f>
        <v>2200</v>
      </c>
      <c r="I371" s="29">
        <f t="shared" ca="1" si="0"/>
        <v>5.7445626465380286</v>
      </c>
      <c r="J371" s="29" t="str">
        <f ca="1">IFERROR(__xludf.DUMMYFUNCTION("IF(F371 = H371,C371/FILTER('Base Stats'!$C$2:$C1000, LOWER('Base Stats'!$B$2:$B1000) = LOWER($A371)), """")"),"1.169230769")</f>
        <v>1.169230769</v>
      </c>
      <c r="K371" t="str">
        <f t="shared" ca="1" si="1"/>
        <v/>
      </c>
      <c r="L371" t="str">
        <f ca="1">IFERROR(__xludf.DUMMYFUNCTION("IF(AND(NOT(K371 = """"), G371 &gt;= 15),K371/FILTER('Base Stats'!$C$2:$C1000, LOWER('Base Stats'!$B$2:$B1000) = LOWER($A371)), """")"),"0.03543123543")</f>
        <v>0.03543123543</v>
      </c>
      <c r="M371" t="str">
        <f ca="1">IFERROR(__xludf.DUMMYFUNCTION("1.15 + 0.02 * FILTER('Base Stats'!$C$2:$C1000, LOWER('Base Stats'!$B$2:$B1000) = LOWER($A371))"),"2.45")</f>
        <v>2.45</v>
      </c>
      <c r="N371">
        <v>0.94001236860000004</v>
      </c>
    </row>
    <row r="372" spans="1:14" ht="12.75" x14ac:dyDescent="0.2">
      <c r="A372" s="1" t="s">
        <v>655</v>
      </c>
      <c r="B372" s="1">
        <v>767</v>
      </c>
      <c r="C372" s="1">
        <v>58</v>
      </c>
      <c r="D372" s="1">
        <v>3.9</v>
      </c>
      <c r="E372" s="1">
        <v>0.83</v>
      </c>
      <c r="F372" s="1">
        <v>1300</v>
      </c>
      <c r="G372" t="str">
        <f ca="1">IFERROR(__xludf.DUMMYFUNCTION("ROUND(B372/ FILTER('Pokemon CP/HP'!$M$2:$M1000, LOWER('Pokemon CP/HP'!$B$2:$B1000)=LOWER(A372)))"),"21")</f>
        <v>21</v>
      </c>
      <c r="H372" t="str">
        <f ca="1">IFERROR(__xludf.DUMMYFUNCTION("FILTER('Leveling Info'!$B$2:$B1000, 'Leveling Info'!$A$2:$A1000 =G372)"),"1300")</f>
        <v>1300</v>
      </c>
      <c r="I372" s="29">
        <f t="shared" ca="1" si="0"/>
        <v>4.5825756949558398</v>
      </c>
      <c r="J372" s="29" t="str">
        <f ca="1">IFERROR(__xludf.DUMMYFUNCTION("IF(F372 = H372,C372/FILTER('Base Stats'!$C$2:$C1000, LOWER('Base Stats'!$B$2:$B1000) = LOWER($A372)), """")"),"0.8923076923")</f>
        <v>0.8923076923</v>
      </c>
      <c r="K372" t="str">
        <f t="shared" ca="1" si="1"/>
        <v/>
      </c>
      <c r="L372" t="str">
        <f ca="1">IFERROR(__xludf.DUMMYFUNCTION("IF(AND(NOT(K372 = """"), G372 &gt;= 15),K372/FILTER('Base Stats'!$C$2:$C1000, LOWER('Base Stats'!$B$2:$B1000) = LOWER($A372)), """")"),"0.04249084249")</f>
        <v>0.04249084249</v>
      </c>
      <c r="M372" t="str">
        <f ca="1">IFERROR(__xludf.DUMMYFUNCTION("1.15 + 0.02 * FILTER('Base Stats'!$C$2:$C1000, LOWER('Base Stats'!$B$2:$B1000) = LOWER($A372))"),"2.45")</f>
        <v>2.45</v>
      </c>
      <c r="N372">
        <v>1.1273080660000001</v>
      </c>
    </row>
    <row r="373" spans="1:14" ht="12.75" x14ac:dyDescent="0.2">
      <c r="A373" s="1" t="s">
        <v>655</v>
      </c>
      <c r="B373" s="1">
        <v>634</v>
      </c>
      <c r="C373" s="1">
        <v>53</v>
      </c>
      <c r="D373" s="1">
        <v>1.27</v>
      </c>
      <c r="E373" s="1">
        <v>0.7</v>
      </c>
      <c r="F373" s="1">
        <v>1000</v>
      </c>
      <c r="G373" t="str">
        <f ca="1">IFERROR(__xludf.DUMMYFUNCTION("ROUND(B373/ FILTER('Pokemon CP/HP'!$M$2:$M1000, LOWER('Pokemon CP/HP'!$B$2:$B1000)=LOWER(A373)))"),"17")</f>
        <v>17</v>
      </c>
      <c r="H373" t="str">
        <f ca="1">IFERROR(__xludf.DUMMYFUNCTION("FILTER('Leveling Info'!$B$2:$B1000, 'Leveling Info'!$A$2:$A1000 =G373)"),"1000")</f>
        <v>1000</v>
      </c>
      <c r="I373" s="29">
        <f t="shared" ca="1" si="0"/>
        <v>4.1231056256176606</v>
      </c>
      <c r="J373" s="29" t="str">
        <f ca="1">IFERROR(__xludf.DUMMYFUNCTION("IF(F373 = H373,C373/FILTER('Base Stats'!$C$2:$C1000, LOWER('Base Stats'!$B$2:$B1000) = LOWER($A373)), """")"),"0.8153846154")</f>
        <v>0.8153846154</v>
      </c>
      <c r="K373" t="str">
        <f t="shared" ca="1" si="1"/>
        <v/>
      </c>
      <c r="L373" t="str">
        <f ca="1">IFERROR(__xludf.DUMMYFUNCTION("IF(AND(NOT(K373 = """"), G373 &gt;= 15),K373/FILTER('Base Stats'!$C$2:$C1000, LOWER('Base Stats'!$B$2:$B1000) = LOWER($A373)), """")"),"0.0479638009")</f>
        <v>0.0479638009</v>
      </c>
      <c r="M373" t="str">
        <f ca="1">IFERROR(__xludf.DUMMYFUNCTION("1.15 + 0.02 * FILTER('Base Stats'!$C$2:$C1000, LOWER('Base Stats'!$B$2:$B1000) = LOWER($A373))"),"2.45")</f>
        <v>2.45</v>
      </c>
      <c r="N373">
        <v>1.272509004</v>
      </c>
    </row>
    <row r="374" spans="1:14" ht="12.75" x14ac:dyDescent="0.2">
      <c r="A374" s="1" t="s">
        <v>656</v>
      </c>
      <c r="B374" s="1">
        <v>347</v>
      </c>
      <c r="C374" s="1">
        <v>43</v>
      </c>
      <c r="D374" s="1">
        <v>2.06</v>
      </c>
      <c r="E374" s="1">
        <v>1.39</v>
      </c>
      <c r="F374" s="1">
        <v>1600</v>
      </c>
      <c r="G374" t="str">
        <f ca="1">IFERROR(__xludf.DUMMYFUNCTION("ROUND(B374/ FILTER('Pokemon CP/HP'!$M$2:$M1000, LOWER('Pokemon CP/HP'!$B$2:$B1000)=LOWER(A374)))"),"27")</f>
        <v>27</v>
      </c>
      <c r="H374" t="str">
        <f ca="1">IFERROR(__xludf.DUMMYFUNCTION("FILTER('Leveling Info'!$B$2:$B1000, 'Leveling Info'!$A$2:$A1000 =G374)"),"1600")</f>
        <v>1600</v>
      </c>
      <c r="I374" s="29">
        <f t="shared" ca="1" si="0"/>
        <v>5.196152422706632</v>
      </c>
      <c r="J374" s="29" t="str">
        <f ca="1">IFERROR(__xludf.DUMMYFUNCTION("IF(F374 = H374,C374/FILTER('Base Stats'!$C$2:$C1000, LOWER('Base Stats'!$B$2:$B1000) = LOWER($A374)), """")"),"1.048780488")</f>
        <v>1.048780488</v>
      </c>
      <c r="K374" t="str">
        <f t="shared" ca="1" si="1"/>
        <v/>
      </c>
      <c r="L374" t="str">
        <f ca="1">IFERROR(__xludf.DUMMYFUNCTION("IF(AND(NOT(K374 = """"), G374 &gt;= 15),K374/FILTER('Base Stats'!$C$2:$C1000, LOWER('Base Stats'!$B$2:$B1000) = LOWER($A374)), """")"),"0.03884372177")</f>
        <v>0.03884372177</v>
      </c>
      <c r="M374" t="str">
        <f ca="1">IFERROR(__xludf.DUMMYFUNCTION("1.15 + 0.02 * FILTER('Base Stats'!$C$2:$C1000, LOWER('Base Stats'!$B$2:$B1000) = LOWER($A374))"),"1.97")</f>
        <v>1.97</v>
      </c>
      <c r="N374">
        <v>0.80842263579999996</v>
      </c>
    </row>
    <row r="375" spans="1:14" ht="12.75" x14ac:dyDescent="0.2">
      <c r="A375" s="1" t="s">
        <v>657</v>
      </c>
      <c r="B375" s="1">
        <v>1513</v>
      </c>
      <c r="C375" s="1">
        <v>99</v>
      </c>
      <c r="D375" s="1">
        <v>267.97000000000003</v>
      </c>
      <c r="E375" s="1">
        <v>2.5</v>
      </c>
      <c r="F375" s="1">
        <v>1900</v>
      </c>
      <c r="G375" t="str">
        <f ca="1">IFERROR(__xludf.DUMMYFUNCTION("ROUND(B375/ FILTER('Pokemon CP/HP'!$M$2:$M1000, LOWER('Pokemon CP/HP'!$B$2:$B1000)=LOWER(A375)))"),"34")</f>
        <v>34</v>
      </c>
      <c r="H375" t="str">
        <f ca="1">IFERROR(__xludf.DUMMYFUNCTION("FILTER('Leveling Info'!$B$2:$B1000, 'Leveling Info'!$A$2:$A1000 =G375)"),"2200")</f>
        <v>2200</v>
      </c>
      <c r="I375" s="29">
        <f t="shared" ca="1" si="0"/>
        <v>5.8309518948453007</v>
      </c>
      <c r="J375" s="29" t="str">
        <f ca="1">IFERROR(__xludf.DUMMYFUNCTION("IF(F375 = H375,C375/FILTER('Base Stats'!$C$2:$C1000, LOWER('Base Stats'!$B$2:$B1000) = LOWER($A375)), """")"),"")</f>
        <v/>
      </c>
      <c r="K375" t="str">
        <f t="shared" ca="1" si="1"/>
        <v/>
      </c>
      <c r="L375" t="str">
        <f ca="1">IFERROR(__xludf.DUMMYFUNCTION("IF(AND(NOT(K375 = """"), G375 &gt;= 15),K375/FILTER('Base Stats'!$C$2:$C1000, LOWER('Base Stats'!$B$2:$B1000) = LOWER($A375)), """")"),"")</f>
        <v/>
      </c>
      <c r="M375" t="str">
        <f ca="1">IFERROR(__xludf.DUMMYFUNCTION("1.15 + 0.02 * FILTER('Base Stats'!$C$2:$C1000, LOWER('Base Stats'!$B$2:$B1000) = LOWER($A375))"),"2.97")</f>
        <v>2.97</v>
      </c>
      <c r="N375" t="s">
        <v>527</v>
      </c>
    </row>
    <row r="376" spans="1:14" ht="12.75" x14ac:dyDescent="0.2">
      <c r="A376" s="1" t="s">
        <v>136</v>
      </c>
      <c r="B376" s="1">
        <v>1733</v>
      </c>
      <c r="C376" s="1">
        <v>123</v>
      </c>
      <c r="F376" s="1">
        <v>3000</v>
      </c>
      <c r="G376" t="str">
        <f ca="1">IFERROR(__xludf.DUMMYFUNCTION("ROUND(B376/ FILTER('Pokemon CP/HP'!$M$2:$M1000, LOWER('Pokemon CP/HP'!$B$2:$B1000)=LOWER(A376)))"),"43")</f>
        <v>43</v>
      </c>
      <c r="H376" t="str">
        <f ca="1">IFERROR(__xludf.DUMMYFUNCTION("FILTER('Leveling Info'!$B$2:$B1000, 'Leveling Info'!$A$2:$A1000 =G376)"),"3000")</f>
        <v>3000</v>
      </c>
      <c r="I376" s="29">
        <f t="shared" ca="1" si="0"/>
        <v>6.5574385243020004</v>
      </c>
      <c r="J376" s="29" t="str">
        <f ca="1">IFERROR(__xludf.DUMMYFUNCTION("IF(F376 = H376,C376/FILTER('Base Stats'!$C$2:$C1000, LOWER('Base Stats'!$B$2:$B1000) = LOWER($A376)), """")"),"1.294736842")</f>
        <v>1.294736842</v>
      </c>
      <c r="K376" t="str">
        <f t="shared" ca="1" si="1"/>
        <v/>
      </c>
      <c r="L376" t="str">
        <f ca="1">IFERROR(__xludf.DUMMYFUNCTION("IF(AND(NOT(K376 = """"), G376 &gt;= 15),K376/FILTER('Base Stats'!$C$2:$C1000, LOWER('Base Stats'!$B$2:$B1000) = LOWER($A376)), """")"),"0.03011015912")</f>
        <v>0.03011015912</v>
      </c>
      <c r="M376" t="str">
        <f ca="1">IFERROR(__xludf.DUMMYFUNCTION("1.15 + 0.02 * FILTER('Base Stats'!$C$2:$C1000, LOWER('Base Stats'!$B$2:$B1000) = LOWER($A376))"),"3.05")</f>
        <v>3.05</v>
      </c>
      <c r="N376">
        <v>0.93785741519999999</v>
      </c>
    </row>
    <row r="377" spans="1:14" ht="12.75" x14ac:dyDescent="0.2">
      <c r="A377" s="1" t="s">
        <v>146</v>
      </c>
      <c r="B377" s="1">
        <v>211</v>
      </c>
      <c r="C377" s="1">
        <v>227</v>
      </c>
      <c r="F377" s="1">
        <v>1300</v>
      </c>
      <c r="G377" t="str">
        <f ca="1">IFERROR(__xludf.DUMMYFUNCTION("ROUND(B377/ FILTER('Pokemon CP/HP'!$M$2:$M1000, LOWER('Pokemon CP/HP'!$B$2:$B1000)=LOWER(A377)))"),"22")</f>
        <v>22</v>
      </c>
      <c r="H377" t="str">
        <f ca="1">IFERROR(__xludf.DUMMYFUNCTION("FILTER('Leveling Info'!$B$2:$B1000, 'Leveling Info'!$A$2:$A1000 =G377)"),"1300")</f>
        <v>1300</v>
      </c>
      <c r="I377" s="29">
        <f t="shared" ca="1" si="0"/>
        <v>4.6904157598234297</v>
      </c>
      <c r="J377" s="29" t="str">
        <f ca="1">IFERROR(__xludf.DUMMYFUNCTION("IF(F377 = H377,C377/FILTER('Base Stats'!$C$2:$C1000, LOWER('Base Stats'!$B$2:$B1000) = LOWER($A377)), """")"),"0.908")</f>
        <v>0.908</v>
      </c>
      <c r="K377" t="str">
        <f t="shared" ca="1" si="1"/>
        <v/>
      </c>
      <c r="L377" t="str">
        <f ca="1">IFERROR(__xludf.DUMMYFUNCTION("IF(AND(NOT(K377 = """"), G377 &gt;= 15),K377/FILTER('Base Stats'!$C$2:$C1000, LOWER('Base Stats'!$B$2:$B1000) = LOWER($A377)), """")"),"0.04127272727")</f>
        <v>0.04127272727</v>
      </c>
      <c r="M377" t="str">
        <f ca="1">IFERROR(__xludf.DUMMYFUNCTION("1.15 + 0.02 * FILTER('Base Stats'!$C$2:$C1000, LOWER('Base Stats'!$B$2:$B1000) = LOWER($A377))"),"6.15")</f>
        <v>6.15</v>
      </c>
      <c r="N377">
        <v>1.6777531409999999</v>
      </c>
    </row>
    <row r="378" spans="1:14" ht="12.75" x14ac:dyDescent="0.2">
      <c r="A378" t="str">
        <f>'Form Responses (Pokemon Stats)'!B2</f>
        <v>Blastoise</v>
      </c>
      <c r="B378">
        <f>'Form Responses (Pokemon Stats)'!D2</f>
        <v>557</v>
      </c>
      <c r="C378">
        <f>'Form Responses (Pokemon Stats)'!C2</f>
        <v>65</v>
      </c>
      <c r="F378">
        <f>'Form Responses (Pokemon Stats)'!E2</f>
        <v>800</v>
      </c>
      <c r="G378" t="str">
        <f ca="1">IFERROR(__xludf.DUMMYFUNCTION("ROUND(B378/ FILTER('Pokemon CP/HP'!$M$2:$M1000, LOWER('Pokemon CP/HP'!$B$2:$B1000)=LOWER(A378)))"),"18")</f>
        <v>18</v>
      </c>
      <c r="H378" t="str">
        <f ca="1">IFERROR(__xludf.DUMMYFUNCTION("FILTER('Leveling Info'!$B$2:$B1000, 'Leveling Info'!$A$2:$A1000 =G378)"),"1000")</f>
        <v>1000</v>
      </c>
      <c r="I378" s="29">
        <f t="shared" ca="1" si="0"/>
        <v>4.2426406871192848</v>
      </c>
      <c r="J378" s="29" t="str">
        <f ca="1">IFERROR(__xludf.DUMMYFUNCTION("IF(F378 = H378,C378/FILTER('Base Stats'!$C$2:$C1000, LOWER('Base Stats'!$B$2:$B1000) = LOWER($A378)), """")"),"")</f>
        <v/>
      </c>
      <c r="K378" t="str">
        <f t="shared" ca="1" si="1"/>
        <v/>
      </c>
      <c r="L378" t="str">
        <f ca="1">IFERROR(__xludf.DUMMYFUNCTION("IF(AND(NOT(K378 = """"), G378 &gt;= 15),K378/FILTER('Base Stats'!$C$2:$C1000, LOWER('Base Stats'!$B$2:$B1000) = LOWER($A378)), """")"),"")</f>
        <v/>
      </c>
      <c r="M378" t="str">
        <f ca="1">IFERROR(__xludf.DUMMYFUNCTION("1.15 + 0.02 * FILTER('Base Stats'!$C$2:$C1000, LOWER('Base Stats'!$B$2:$B1000) = LOWER($A378))"),"2.73")</f>
        <v>2.73</v>
      </c>
      <c r="N378" t="s">
        <v>527</v>
      </c>
    </row>
    <row r="379" spans="1:14" ht="12.75" x14ac:dyDescent="0.2">
      <c r="A379" t="str">
        <f>'Form Responses (Pokemon Stats)'!B3</f>
        <v>Pidgeot</v>
      </c>
      <c r="B379">
        <f>'Form Responses (Pokemon Stats)'!D3</f>
        <v>856</v>
      </c>
      <c r="C379">
        <f>'Form Responses (Pokemon Stats)'!C3</f>
        <v>92</v>
      </c>
      <c r="F379">
        <f>'Form Responses (Pokemon Stats)'!E3</f>
        <v>1900</v>
      </c>
      <c r="G379" t="str">
        <f ca="1">IFERROR(__xludf.DUMMYFUNCTION("ROUND(B379/ FILTER('Pokemon CP/HP'!$M$2:$M1000, LOWER('Pokemon CP/HP'!$B$2:$B1000)=LOWER(A379)))"),"31")</f>
        <v>31</v>
      </c>
      <c r="H379" t="str">
        <f ca="1">IFERROR(__xludf.DUMMYFUNCTION("FILTER('Leveling Info'!$B$2:$B1000, 'Leveling Info'!$A$2:$A1000 =G379)"),"1900")</f>
        <v>1900</v>
      </c>
      <c r="I379" s="29">
        <f t="shared" ca="1" si="0"/>
        <v>5.5677643628300215</v>
      </c>
      <c r="J379" s="29" t="str">
        <f ca="1">IFERROR(__xludf.DUMMYFUNCTION("IF(F379 = H379,C379/FILTER('Base Stats'!$C$2:$C1000, LOWER('Base Stats'!$B$2:$B1000) = LOWER($A379)), """")"),"1.108433735")</f>
        <v>1.108433735</v>
      </c>
      <c r="K379" t="str">
        <f t="shared" ca="1" si="1"/>
        <v/>
      </c>
      <c r="L379" t="str">
        <f ca="1">IFERROR(__xludf.DUMMYFUNCTION("IF(AND(NOT(K379 = """"), G379 &gt;= 15),K379/FILTER('Base Stats'!$C$2:$C1000, LOWER('Base Stats'!$B$2:$B1000) = LOWER($A379)), """")"),"0.03575592693")</f>
        <v>0.03575592693</v>
      </c>
      <c r="M379" t="str">
        <f ca="1">IFERROR(__xludf.DUMMYFUNCTION("1.15 + 0.02 * FILTER('Base Stats'!$C$2:$C1000, LOWER('Base Stats'!$B$2:$B1000) = LOWER($A379))"),"2.81")</f>
        <v>2.81</v>
      </c>
      <c r="N379">
        <v>1.05613592</v>
      </c>
    </row>
    <row r="380" spans="1:14" ht="12.75" x14ac:dyDescent="0.2">
      <c r="A380" t="str">
        <f>'Form Responses (Pokemon Stats)'!B4</f>
        <v>Bulbasaur</v>
      </c>
      <c r="B380">
        <f>'Form Responses (Pokemon Stats)'!D4</f>
        <v>14</v>
      </c>
      <c r="C380">
        <f>'Form Responses (Pokemon Stats)'!C4</f>
        <v>10</v>
      </c>
      <c r="F380">
        <f>'Form Responses (Pokemon Stats)'!E4</f>
        <v>200</v>
      </c>
      <c r="G380" t="str">
        <f ca="1">IFERROR(__xludf.DUMMYFUNCTION("ROUND(B380/ FILTER('Pokemon CP/HP'!$M$2:$M1000, LOWER('Pokemon CP/HP'!$B$2:$B1000)=LOWER(A380)))"),"1")</f>
        <v>1</v>
      </c>
      <c r="H380" t="str">
        <f ca="1">IFERROR(__xludf.DUMMYFUNCTION("FILTER('Leveling Info'!$B$2:$B1000, 'Leveling Info'!$A$2:$A1000 =G380)"),"200")</f>
        <v>200</v>
      </c>
      <c r="I380" s="29">
        <f t="shared" ca="1" si="0"/>
        <v>1</v>
      </c>
      <c r="J380" s="29" t="str">
        <f ca="1">IFERROR(__xludf.DUMMYFUNCTION("IF(F380 = H380,C380/FILTER('Base Stats'!$C$2:$C1000, LOWER('Base Stats'!$B$2:$B1000) = LOWER($A380)), """")"),"0.2222222222")</f>
        <v>0.2222222222</v>
      </c>
      <c r="K380" t="str">
        <f t="shared" ca="1" si="1"/>
        <v/>
      </c>
      <c r="L380" t="str">
        <f ca="1">IFERROR(__xludf.DUMMYFUNCTION("IF(AND(NOT(K380 = """"), G380 &gt;= 15),K380/FILTER('Base Stats'!$C$2:$C1000, LOWER('Base Stats'!$B$2:$B1000) = LOWER($A380)), """")"),"")</f>
        <v/>
      </c>
      <c r="M380" t="str">
        <f ca="1">IFERROR(__xludf.DUMMYFUNCTION("1.15 + 0.02 * FILTER('Base Stats'!$C$2:$C1000, LOWER('Base Stats'!$B$2:$B1000) = LOWER($A380))"),"2.05")</f>
        <v>2.05</v>
      </c>
      <c r="N380" t="s">
        <v>527</v>
      </c>
    </row>
    <row r="381" spans="1:14" ht="12.75" x14ac:dyDescent="0.2">
      <c r="A381" t="str">
        <f>'Form Responses (Pokemon Stats)'!B5</f>
        <v>Caterpie</v>
      </c>
      <c r="B381">
        <f>'Form Responses (Pokemon Stats)'!D5</f>
        <v>17</v>
      </c>
      <c r="C381">
        <f>'Form Responses (Pokemon Stats)'!C5</f>
        <v>17</v>
      </c>
      <c r="F381">
        <f>'Form Responses (Pokemon Stats)'!E5</f>
        <v>200</v>
      </c>
      <c r="G381" t="str">
        <f ca="1">IFERROR(__xludf.DUMMYFUNCTION("ROUND(B381/ FILTER('Pokemon CP/HP'!$M$2:$M1000, LOWER('Pokemon CP/HP'!$B$2:$B1000)=LOWER(A381)))"),"3")</f>
        <v>3</v>
      </c>
      <c r="H381" t="str">
        <f ca="1">IFERROR(__xludf.DUMMYFUNCTION("FILTER('Leveling Info'!$B$2:$B1000, 'Leveling Info'!$A$2:$A1000 =G381)"),"200")</f>
        <v>200</v>
      </c>
      <c r="I381" s="29">
        <f t="shared" ca="1" si="0"/>
        <v>1.7320508075688772</v>
      </c>
      <c r="J381" s="29" t="str">
        <f ca="1">IFERROR(__xludf.DUMMYFUNCTION("IF(F381 = H381,C381/FILTER('Base Stats'!$C$2:$C1000, LOWER('Base Stats'!$B$2:$B1000) = LOWER($A381)), """")"),"0.3777777778")</f>
        <v>0.3777777778</v>
      </c>
      <c r="K381" t="str">
        <f t="shared" ca="1" si="1"/>
        <v/>
      </c>
      <c r="L381" t="str">
        <f ca="1">IFERROR(__xludf.DUMMYFUNCTION("IF(AND(NOT(K381 = """"), G381 &gt;= 15),K381/FILTER('Base Stats'!$C$2:$C1000, LOWER('Base Stats'!$B$2:$B1000) = LOWER($A381)), """")"),"")</f>
        <v/>
      </c>
      <c r="M381" t="str">
        <f ca="1">IFERROR(__xludf.DUMMYFUNCTION("1.15 + 0.02 * FILTER('Base Stats'!$C$2:$C1000, LOWER('Base Stats'!$B$2:$B1000) = LOWER($A381))"),"2.05")</f>
        <v>2.05</v>
      </c>
      <c r="N381" t="s">
        <v>527</v>
      </c>
    </row>
    <row r="382" spans="1:14" ht="12.75" x14ac:dyDescent="0.2">
      <c r="A382" t="str">
        <f>'Form Responses (Pokemon Stats)'!B6</f>
        <v>Drowzee</v>
      </c>
      <c r="B382">
        <f>'Form Responses (Pokemon Stats)'!D6</f>
        <v>164</v>
      </c>
      <c r="C382">
        <f>'Form Responses (Pokemon Stats)'!C6</f>
        <v>42</v>
      </c>
      <c r="F382">
        <f>'Form Responses (Pokemon Stats)'!E6</f>
        <v>600</v>
      </c>
      <c r="G382" t="str">
        <f ca="1">IFERROR(__xludf.DUMMYFUNCTION("ROUND(B382/ FILTER('Pokemon CP/HP'!$M$2:$M1000, LOWER('Pokemon CP/HP'!$B$2:$B1000)=LOWER(A382)))"),"11")</f>
        <v>11</v>
      </c>
      <c r="H382" t="str">
        <f ca="1">IFERROR(__xludf.DUMMYFUNCTION("FILTER('Leveling Info'!$B$2:$B1000, 'Leveling Info'!$A$2:$A1000 =G382)"),"600")</f>
        <v>600</v>
      </c>
      <c r="I382" s="29">
        <f t="shared" ca="1" si="0"/>
        <v>3.3166247903553998</v>
      </c>
      <c r="J382" s="29" t="str">
        <f ca="1">IFERROR(__xludf.DUMMYFUNCTION("IF(F382 = H382,C382/FILTER('Base Stats'!$C$2:$C1000, LOWER('Base Stats'!$B$2:$B1000) = LOWER($A382)), """")"),"0.7")</f>
        <v>0.7</v>
      </c>
      <c r="K382" t="str">
        <f t="shared" ca="1" si="1"/>
        <v/>
      </c>
      <c r="L382" t="str">
        <f ca="1">IFERROR(__xludf.DUMMYFUNCTION("IF(AND(NOT(K382 = """"), G382 &gt;= 15),K382/FILTER('Base Stats'!$C$2:$C1000, LOWER('Base Stats'!$B$2:$B1000) = LOWER($A382)), """")"),"")</f>
        <v/>
      </c>
      <c r="M382" t="str">
        <f ca="1">IFERROR(__xludf.DUMMYFUNCTION("1.15 + 0.02 * FILTER('Base Stats'!$C$2:$C1000, LOWER('Base Stats'!$B$2:$B1000) = LOWER($A382))"),"2.35")</f>
        <v>2.35</v>
      </c>
      <c r="N382" t="s">
        <v>527</v>
      </c>
    </row>
    <row r="383" spans="1:14" ht="12.75" x14ac:dyDescent="0.2">
      <c r="A383" t="str">
        <f>'Form Responses (Pokemon Stats)'!B7</f>
        <v>Drowzee</v>
      </c>
      <c r="B383">
        <f>'Form Responses (Pokemon Stats)'!D7</f>
        <v>77</v>
      </c>
      <c r="C383">
        <f>'Form Responses (Pokemon Stats)'!C7</f>
        <v>28</v>
      </c>
      <c r="F383">
        <f>'Form Responses (Pokemon Stats)'!E7</f>
        <v>400</v>
      </c>
      <c r="G383" t="str">
        <f ca="1">IFERROR(__xludf.DUMMYFUNCTION("ROUND(B383/ FILTER('Pokemon CP/HP'!$M$2:$M1000, LOWER('Pokemon CP/HP'!$B$2:$B1000)=LOWER(A383)))"),"5")</f>
        <v>5</v>
      </c>
      <c r="H383" t="str">
        <f ca="1">IFERROR(__xludf.DUMMYFUNCTION("FILTER('Leveling Info'!$B$2:$B1000, 'Leveling Info'!$A$2:$A1000 =G383)"),"400")</f>
        <v>400</v>
      </c>
      <c r="I383" s="29">
        <f t="shared" ca="1" si="0"/>
        <v>2.2360679774997898</v>
      </c>
      <c r="J383" s="29" t="str">
        <f ca="1">IFERROR(__xludf.DUMMYFUNCTION("IF(F383 = H383,C383/FILTER('Base Stats'!$C$2:$C1000, LOWER('Base Stats'!$B$2:$B1000) = LOWER($A383)), """")"),"0.4666666667")</f>
        <v>0.4666666667</v>
      </c>
      <c r="K383" t="str">
        <f t="shared" ca="1" si="1"/>
        <v/>
      </c>
      <c r="L383" t="str">
        <f ca="1">IFERROR(__xludf.DUMMYFUNCTION("IF(AND(NOT(K383 = """"), G383 &gt;= 15),K383/FILTER('Base Stats'!$C$2:$C1000, LOWER('Base Stats'!$B$2:$B1000) = LOWER($A383)), """")"),"")</f>
        <v/>
      </c>
      <c r="M383" t="str">
        <f ca="1">IFERROR(__xludf.DUMMYFUNCTION("1.15 + 0.02 * FILTER('Base Stats'!$C$2:$C1000, LOWER('Base Stats'!$B$2:$B1000) = LOWER($A383))"),"2.35")</f>
        <v>2.35</v>
      </c>
      <c r="N383" t="s">
        <v>527</v>
      </c>
    </row>
    <row r="384" spans="1:14" ht="12.75" x14ac:dyDescent="0.2">
      <c r="A384" t="str">
        <f>'Form Responses (Pokemon Stats)'!B8</f>
        <v>Drowzee</v>
      </c>
      <c r="B384">
        <f>'Form Responses (Pokemon Stats)'!D8</f>
        <v>12</v>
      </c>
      <c r="C384">
        <f>'Form Responses (Pokemon Stats)'!C8</f>
        <v>11</v>
      </c>
      <c r="F384">
        <f>'Form Responses (Pokemon Stats)'!E8</f>
        <v>200</v>
      </c>
      <c r="G384" t="str">
        <f ca="1">IFERROR(__xludf.DUMMYFUNCTION("ROUND(B384/ FILTER('Pokemon CP/HP'!$M$2:$M1000, LOWER('Pokemon CP/HP'!$B$2:$B1000)=LOWER(A384)))"),"1")</f>
        <v>1</v>
      </c>
      <c r="H384" t="str">
        <f ca="1">IFERROR(__xludf.DUMMYFUNCTION("FILTER('Leveling Info'!$B$2:$B1000, 'Leveling Info'!$A$2:$A1000 =G384)"),"200")</f>
        <v>200</v>
      </c>
      <c r="I384" s="29">
        <f t="shared" ca="1" si="0"/>
        <v>1</v>
      </c>
      <c r="J384" s="29" t="str">
        <f ca="1">IFERROR(__xludf.DUMMYFUNCTION("IF(F384 = H384,C384/FILTER('Base Stats'!$C$2:$C1000, LOWER('Base Stats'!$B$2:$B1000) = LOWER($A384)), """")"),"0.1833333333")</f>
        <v>0.1833333333</v>
      </c>
      <c r="K384" t="str">
        <f t="shared" ca="1" si="1"/>
        <v/>
      </c>
      <c r="L384" t="str">
        <f ca="1">IFERROR(__xludf.DUMMYFUNCTION("IF(AND(NOT(K384 = """"), G384 &gt;= 15),K384/FILTER('Base Stats'!$C$2:$C1000, LOWER('Base Stats'!$B$2:$B1000) = LOWER($A384)), """")"),"")</f>
        <v/>
      </c>
      <c r="M384" t="str">
        <f ca="1">IFERROR(__xludf.DUMMYFUNCTION("1.15 + 0.02 * FILTER('Base Stats'!$C$2:$C1000, LOWER('Base Stats'!$B$2:$B1000) = LOWER($A384))"),"2.35")</f>
        <v>2.35</v>
      </c>
      <c r="N384" t="s">
        <v>527</v>
      </c>
    </row>
    <row r="385" spans="1:14" ht="12.75" x14ac:dyDescent="0.2">
      <c r="A385" t="str">
        <f>'Form Responses (Pokemon Stats)'!B9</f>
        <v>Eevee</v>
      </c>
      <c r="B385">
        <f>'Form Responses (Pokemon Stats)'!D9</f>
        <v>74</v>
      </c>
      <c r="C385">
        <f>'Form Responses (Pokemon Stats)'!C9</f>
        <v>25</v>
      </c>
      <c r="F385">
        <f>'Form Responses (Pokemon Stats)'!E9</f>
        <v>400</v>
      </c>
      <c r="G385" t="str">
        <f ca="1">IFERROR(__xludf.DUMMYFUNCTION("ROUND(B385/ FILTER('Pokemon CP/HP'!$M$2:$M1000, LOWER('Pokemon CP/HP'!$B$2:$B1000)=LOWER(A385)))"),"5")</f>
        <v>5</v>
      </c>
      <c r="H385" t="str">
        <f ca="1">IFERROR(__xludf.DUMMYFUNCTION("FILTER('Leveling Info'!$B$2:$B1000, 'Leveling Info'!$A$2:$A1000 =G385)"),"400")</f>
        <v>400</v>
      </c>
      <c r="I385" s="29">
        <f t="shared" ca="1" si="0"/>
        <v>2.2360679774997898</v>
      </c>
      <c r="J385" s="29" t="str">
        <f ca="1">IFERROR(__xludf.DUMMYFUNCTION("IF(F385 = H385,C385/FILTER('Base Stats'!$C$2:$C1000, LOWER('Base Stats'!$B$2:$B1000) = LOWER($A385)), """")"),"0.4545454545")</f>
        <v>0.4545454545</v>
      </c>
      <c r="K385" t="str">
        <f t="shared" ca="1" si="1"/>
        <v/>
      </c>
      <c r="L385" t="str">
        <f ca="1">IFERROR(__xludf.DUMMYFUNCTION("IF(AND(NOT(K385 = """"), G385 &gt;= 15),K385/FILTER('Base Stats'!$C$2:$C1000, LOWER('Base Stats'!$B$2:$B1000) = LOWER($A385)), """")"),"")</f>
        <v/>
      </c>
      <c r="M385" t="str">
        <f ca="1">IFERROR(__xludf.DUMMYFUNCTION("1.15 + 0.02 * FILTER('Base Stats'!$C$2:$C1000, LOWER('Base Stats'!$B$2:$B1000) = LOWER($A385))"),"2.25")</f>
        <v>2.25</v>
      </c>
      <c r="N385" t="s">
        <v>527</v>
      </c>
    </row>
    <row r="386" spans="1:14" ht="12.75" x14ac:dyDescent="0.2">
      <c r="A386" t="str">
        <f>'Form Responses (Pokemon Stats)'!B10</f>
        <v>Electabuzz</v>
      </c>
      <c r="B386">
        <f>'Form Responses (Pokemon Stats)'!D10</f>
        <v>27</v>
      </c>
      <c r="C386">
        <f>'Form Responses (Pokemon Stats)'!C10</f>
        <v>12</v>
      </c>
      <c r="F386">
        <f>'Form Responses (Pokemon Stats)'!E10</f>
        <v>200</v>
      </c>
      <c r="G386" t="str">
        <f ca="1">IFERROR(__xludf.DUMMYFUNCTION("ROUND(B386/ FILTER('Pokemon CP/HP'!$M$2:$M1000, LOWER('Pokemon CP/HP'!$B$2:$B1000)=LOWER(A386)))"),"1")</f>
        <v>1</v>
      </c>
      <c r="H386" t="str">
        <f ca="1">IFERROR(__xludf.DUMMYFUNCTION("FILTER('Leveling Info'!$B$2:$B1000, 'Leveling Info'!$A$2:$A1000 =G386)"),"200")</f>
        <v>200</v>
      </c>
      <c r="I386" s="29">
        <f t="shared" ca="1" si="0"/>
        <v>1</v>
      </c>
      <c r="J386" s="29" t="str">
        <f ca="1">IFERROR(__xludf.DUMMYFUNCTION("IF(F386 = H386,C386/FILTER('Base Stats'!$C$2:$C1000, LOWER('Base Stats'!$B$2:$B1000) = LOWER($A386)), """")"),"0.1846153846")</f>
        <v>0.1846153846</v>
      </c>
      <c r="K386" t="str">
        <f t="shared" ca="1" si="1"/>
        <v/>
      </c>
      <c r="L386" t="str">
        <f ca="1">IFERROR(__xludf.DUMMYFUNCTION("IF(AND(NOT(K386 = """"), G386 &gt;= 15),K386/FILTER('Base Stats'!$C$2:$C1000, LOWER('Base Stats'!$B$2:$B1000) = LOWER($A386)), """")"),"")</f>
        <v/>
      </c>
      <c r="M386" t="str">
        <f ca="1">IFERROR(__xludf.DUMMYFUNCTION("1.15 + 0.02 * FILTER('Base Stats'!$C$2:$C1000, LOWER('Base Stats'!$B$2:$B1000) = LOWER($A386))"),"2.45")</f>
        <v>2.45</v>
      </c>
      <c r="N386" t="s">
        <v>527</v>
      </c>
    </row>
    <row r="387" spans="1:14" ht="12.75" x14ac:dyDescent="0.2">
      <c r="A387" t="str">
        <f>'Form Responses (Pokemon Stats)'!B11</f>
        <v>Ekans</v>
      </c>
      <c r="B387">
        <f>'Form Responses (Pokemon Stats)'!D11</f>
        <v>32</v>
      </c>
      <c r="C387">
        <f>'Form Responses (Pokemon Stats)'!C11</f>
        <v>13</v>
      </c>
      <c r="F387">
        <f>'Form Responses (Pokemon Stats)'!E11</f>
        <v>200</v>
      </c>
      <c r="G387" t="str">
        <f ca="1">IFERROR(__xludf.DUMMYFUNCTION("ROUND(B387/ FILTER('Pokemon CP/HP'!$M$2:$M1000, LOWER('Pokemon CP/HP'!$B$2:$B1000)=LOWER(A387)))"),"3")</f>
        <v>3</v>
      </c>
      <c r="H387" t="str">
        <f ca="1">IFERROR(__xludf.DUMMYFUNCTION("FILTER('Leveling Info'!$B$2:$B1000, 'Leveling Info'!$A$2:$A1000 =G387)"),"200")</f>
        <v>200</v>
      </c>
      <c r="I387" s="29">
        <f t="shared" ca="1" si="0"/>
        <v>1.7320508075688772</v>
      </c>
      <c r="J387" s="29" t="str">
        <f ca="1">IFERROR(__xludf.DUMMYFUNCTION("IF(F387 = H387,C387/FILTER('Base Stats'!$C$2:$C1000, LOWER('Base Stats'!$B$2:$B1000) = LOWER($A387)), """")"),"0.3714285714")</f>
        <v>0.3714285714</v>
      </c>
      <c r="K387" t="str">
        <f t="shared" ca="1" si="1"/>
        <v/>
      </c>
      <c r="L387" t="str">
        <f ca="1">IFERROR(__xludf.DUMMYFUNCTION("IF(AND(NOT(K387 = """"), G387 &gt;= 15),K387/FILTER('Base Stats'!$C$2:$C1000, LOWER('Base Stats'!$B$2:$B1000) = LOWER($A387)), """")"),"")</f>
        <v/>
      </c>
      <c r="M387" t="str">
        <f ca="1">IFERROR(__xludf.DUMMYFUNCTION("1.15 + 0.02 * FILTER('Base Stats'!$C$2:$C1000, LOWER('Base Stats'!$B$2:$B1000) = LOWER($A387))"),"1.85")</f>
        <v>1.85</v>
      </c>
      <c r="N387" t="s">
        <v>527</v>
      </c>
    </row>
    <row r="388" spans="1:14" ht="12.75" x14ac:dyDescent="0.2">
      <c r="A388" t="str">
        <f>'Form Responses (Pokemon Stats)'!B12</f>
        <v>Electrode</v>
      </c>
      <c r="B388">
        <f>'Form Responses (Pokemon Stats)'!D12</f>
        <v>165</v>
      </c>
      <c r="C388">
        <f>'Form Responses (Pokemon Stats)'!C12</f>
        <v>34</v>
      </c>
      <c r="F388">
        <f>'Form Responses (Pokemon Stats)'!E12</f>
        <v>400</v>
      </c>
      <c r="G388" t="str">
        <f ca="1">IFERROR(__xludf.DUMMYFUNCTION("ROUND(B388/ FILTER('Pokemon CP/HP'!$M$2:$M1000, LOWER('Pokemon CP/HP'!$B$2:$B1000)=LOWER(A388)))"),"7")</f>
        <v>7</v>
      </c>
      <c r="H388" t="str">
        <f ca="1">IFERROR(__xludf.DUMMYFUNCTION("FILTER('Leveling Info'!$B$2:$B1000, 'Leveling Info'!$A$2:$A1000 =G388)"),"400")</f>
        <v>400</v>
      </c>
      <c r="I388" s="29">
        <f t="shared" ca="1" si="0"/>
        <v>2.6457513110645907</v>
      </c>
      <c r="J388" s="29" t="str">
        <f ca="1">IFERROR(__xludf.DUMMYFUNCTION("IF(F388 = H388,C388/FILTER('Base Stats'!$C$2:$C1000, LOWER('Base Stats'!$B$2:$B1000) = LOWER($A388)), """")"),"0.5666666667")</f>
        <v>0.5666666667</v>
      </c>
      <c r="K388" t="str">
        <f t="shared" ca="1" si="1"/>
        <v/>
      </c>
      <c r="L388" t="str">
        <f ca="1">IFERROR(__xludf.DUMMYFUNCTION("IF(AND(NOT(K388 = """"), G388 &gt;= 15),K388/FILTER('Base Stats'!$C$2:$C1000, LOWER('Base Stats'!$B$2:$B1000) = LOWER($A388)), """")"),"")</f>
        <v/>
      </c>
      <c r="M388" t="str">
        <f ca="1">IFERROR(__xludf.DUMMYFUNCTION("1.15 + 0.02 * FILTER('Base Stats'!$C$2:$C1000, LOWER('Base Stats'!$B$2:$B1000) = LOWER($A388))"),"2.35")</f>
        <v>2.35</v>
      </c>
      <c r="N388" t="s">
        <v>527</v>
      </c>
    </row>
    <row r="389" spans="1:14" ht="12.75" x14ac:dyDescent="0.2">
      <c r="A389" t="str">
        <f>'Form Responses (Pokemon Stats)'!B13</f>
        <v>Jigglypuff</v>
      </c>
      <c r="B389">
        <f>'Form Responses (Pokemon Stats)'!D13</f>
        <v>81</v>
      </c>
      <c r="C389">
        <f>'Form Responses (Pokemon Stats)'!C13</f>
        <v>61</v>
      </c>
      <c r="F389">
        <f>'Form Responses (Pokemon Stats)'!E13</f>
        <v>400</v>
      </c>
      <c r="G389" t="str">
        <f ca="1">IFERROR(__xludf.DUMMYFUNCTION("ROUND(B389/ FILTER('Pokemon CP/HP'!$M$2:$M1000, LOWER('Pokemon CP/HP'!$B$2:$B1000)=LOWER(A389)))"),"7")</f>
        <v>7</v>
      </c>
      <c r="H389" t="str">
        <f ca="1">IFERROR(__xludf.DUMMYFUNCTION("FILTER('Leveling Info'!$B$2:$B1000, 'Leveling Info'!$A$2:$A1000 =G389)"),"400")</f>
        <v>400</v>
      </c>
      <c r="I389" s="29">
        <f t="shared" ca="1" si="0"/>
        <v>2.6457513110645907</v>
      </c>
      <c r="J389" s="29" t="str">
        <f ca="1">IFERROR(__xludf.DUMMYFUNCTION("IF(F389 = H389,C389/FILTER('Base Stats'!$C$2:$C1000, LOWER('Base Stats'!$B$2:$B1000) = LOWER($A389)), """")"),"0.5304347826")</f>
        <v>0.5304347826</v>
      </c>
      <c r="K389" t="str">
        <f t="shared" ca="1" si="1"/>
        <v/>
      </c>
      <c r="L389" t="str">
        <f ca="1">IFERROR(__xludf.DUMMYFUNCTION("IF(AND(NOT(K389 = """"), G389 &gt;= 15),K389/FILTER('Base Stats'!$C$2:$C1000, LOWER('Base Stats'!$B$2:$B1000) = LOWER($A389)), """")"),"")</f>
        <v/>
      </c>
      <c r="M389" t="str">
        <f ca="1">IFERROR(__xludf.DUMMYFUNCTION("1.15 + 0.02 * FILTER('Base Stats'!$C$2:$C1000, LOWER('Base Stats'!$B$2:$B1000) = LOWER($A389))"),"3.45")</f>
        <v>3.45</v>
      </c>
      <c r="N389" t="s">
        <v>527</v>
      </c>
    </row>
    <row r="390" spans="1:14" ht="12.75" x14ac:dyDescent="0.2">
      <c r="A390" t="str">
        <f>'Form Responses (Pokemon Stats)'!B14</f>
        <v>Magnemite</v>
      </c>
      <c r="B390">
        <f>'Form Responses (Pokemon Stats)'!D14</f>
        <v>78</v>
      </c>
      <c r="C390">
        <f>'Form Responses (Pokemon Stats)'!C14</f>
        <v>13</v>
      </c>
      <c r="F390">
        <f>'Form Responses (Pokemon Stats)'!E14</f>
        <v>400</v>
      </c>
      <c r="G390" t="str">
        <f ca="1">IFERROR(__xludf.DUMMYFUNCTION("ROUND(B390/ FILTER('Pokemon CP/HP'!$M$2:$M1000, LOWER('Pokemon CP/HP'!$B$2:$B1000)=LOWER(A390)))"),"7")</f>
        <v>7</v>
      </c>
      <c r="H390" t="str">
        <f ca="1">IFERROR(__xludf.DUMMYFUNCTION("FILTER('Leveling Info'!$B$2:$B1000, 'Leveling Info'!$A$2:$A1000 =G390)"),"400")</f>
        <v>400</v>
      </c>
      <c r="I390" s="29">
        <f t="shared" ca="1" si="0"/>
        <v>2.6457513110645907</v>
      </c>
      <c r="J390" s="29" t="str">
        <f ca="1">IFERROR(__xludf.DUMMYFUNCTION("IF(F390 = H390,C390/FILTER('Base Stats'!$C$2:$C1000, LOWER('Base Stats'!$B$2:$B1000) = LOWER($A390)), """")"),"0.52")</f>
        <v>0.52</v>
      </c>
      <c r="K390" t="str">
        <f t="shared" ca="1" si="1"/>
        <v/>
      </c>
      <c r="L390" t="str">
        <f ca="1">IFERROR(__xludf.DUMMYFUNCTION("IF(AND(NOT(K390 = """"), G390 &gt;= 15),K390/FILTER('Base Stats'!$C$2:$C1000, LOWER('Base Stats'!$B$2:$B1000) = LOWER($A390)), """")"),"")</f>
        <v/>
      </c>
      <c r="M390" t="str">
        <f ca="1">IFERROR(__xludf.DUMMYFUNCTION("1.15 + 0.02 * FILTER('Base Stats'!$C$2:$C1000, LOWER('Base Stats'!$B$2:$B1000) = LOWER($A390))"),"1.65")</f>
        <v>1.65</v>
      </c>
      <c r="N390" t="s">
        <v>527</v>
      </c>
    </row>
    <row r="391" spans="1:14" ht="12.75" x14ac:dyDescent="0.2">
      <c r="A391" t="str">
        <f>'Form Responses (Pokemon Stats)'!B15</f>
        <v>Magnemite</v>
      </c>
      <c r="B391">
        <f>'Form Responses (Pokemon Stats)'!D15</f>
        <v>61</v>
      </c>
      <c r="C391">
        <f>'Form Responses (Pokemon Stats)'!C15</f>
        <v>13</v>
      </c>
      <c r="F391">
        <f>'Form Responses (Pokemon Stats)'!E15</f>
        <v>400</v>
      </c>
      <c r="G391" t="str">
        <f ca="1">IFERROR(__xludf.DUMMYFUNCTION("ROUND(B391/ FILTER('Pokemon CP/HP'!$M$2:$M1000, LOWER('Pokemon CP/HP'!$B$2:$B1000)=LOWER(A391)))"),"5")</f>
        <v>5</v>
      </c>
      <c r="H391" t="str">
        <f ca="1">IFERROR(__xludf.DUMMYFUNCTION("FILTER('Leveling Info'!$B$2:$B1000, 'Leveling Info'!$A$2:$A1000 =G391)"),"400")</f>
        <v>400</v>
      </c>
      <c r="I391" s="29">
        <f t="shared" ca="1" si="0"/>
        <v>2.2360679774997898</v>
      </c>
      <c r="J391" s="29" t="str">
        <f ca="1">IFERROR(__xludf.DUMMYFUNCTION("IF(F391 = H391,C391/FILTER('Base Stats'!$C$2:$C1000, LOWER('Base Stats'!$B$2:$B1000) = LOWER($A391)), """")"),"0.52")</f>
        <v>0.52</v>
      </c>
      <c r="K391" t="str">
        <f t="shared" ca="1" si="1"/>
        <v/>
      </c>
      <c r="L391" t="str">
        <f ca="1">IFERROR(__xludf.DUMMYFUNCTION("IF(AND(NOT(K391 = """"), G391 &gt;= 15),K391/FILTER('Base Stats'!$C$2:$C1000, LOWER('Base Stats'!$B$2:$B1000) = LOWER($A391)), """")"),"")</f>
        <v/>
      </c>
      <c r="M391" t="str">
        <f ca="1">IFERROR(__xludf.DUMMYFUNCTION("1.15 + 0.02 * FILTER('Base Stats'!$C$2:$C1000, LOWER('Base Stats'!$B$2:$B1000) = LOWER($A391))"),"1.65")</f>
        <v>1.65</v>
      </c>
      <c r="N391" t="s">
        <v>527</v>
      </c>
    </row>
    <row r="392" spans="1:14" ht="12.75" x14ac:dyDescent="0.2">
      <c r="A392" t="str">
        <f>'Form Responses (Pokemon Stats)'!B16</f>
        <v>Magnemite</v>
      </c>
      <c r="B392">
        <f>'Form Responses (Pokemon Stats)'!D16</f>
        <v>34</v>
      </c>
      <c r="C392">
        <f>'Form Responses (Pokemon Stats)'!C16</f>
        <v>10</v>
      </c>
      <c r="F392">
        <f>'Form Responses (Pokemon Stats)'!E16</f>
        <v>200</v>
      </c>
      <c r="G392" t="str">
        <f ca="1">IFERROR(__xludf.DUMMYFUNCTION("ROUND(B392/ FILTER('Pokemon CP/HP'!$M$2:$M1000, LOWER('Pokemon CP/HP'!$B$2:$B1000)=LOWER(A392)))"),"3")</f>
        <v>3</v>
      </c>
      <c r="H392" t="str">
        <f ca="1">IFERROR(__xludf.DUMMYFUNCTION("FILTER('Leveling Info'!$B$2:$B1000, 'Leveling Info'!$A$2:$A1000 =G392)"),"200")</f>
        <v>200</v>
      </c>
      <c r="I392" s="29">
        <f t="shared" ca="1" si="0"/>
        <v>1.7320508075688772</v>
      </c>
      <c r="J392" s="29" t="str">
        <f ca="1">IFERROR(__xludf.DUMMYFUNCTION("IF(F392 = H392,C392/FILTER('Base Stats'!$C$2:$C1000, LOWER('Base Stats'!$B$2:$B1000) = LOWER($A392)), """")"),"0.4")</f>
        <v>0.4</v>
      </c>
      <c r="K392" t="str">
        <f t="shared" ca="1" si="1"/>
        <v/>
      </c>
      <c r="L392" t="str">
        <f ca="1">IFERROR(__xludf.DUMMYFUNCTION("IF(AND(NOT(K392 = """"), G392 &gt;= 15),K392/FILTER('Base Stats'!$C$2:$C1000, LOWER('Base Stats'!$B$2:$B1000) = LOWER($A392)), """")"),"")</f>
        <v/>
      </c>
      <c r="M392" t="str">
        <f ca="1">IFERROR(__xludf.DUMMYFUNCTION("1.15 + 0.02 * FILTER('Base Stats'!$C$2:$C1000, LOWER('Base Stats'!$B$2:$B1000) = LOWER($A392))"),"1.65")</f>
        <v>1.65</v>
      </c>
      <c r="N392" t="s">
        <v>527</v>
      </c>
    </row>
    <row r="393" spans="1:14" ht="12.75" x14ac:dyDescent="0.2">
      <c r="A393" t="str">
        <f>'Form Responses (Pokemon Stats)'!B17</f>
        <v>Oddish</v>
      </c>
      <c r="B393">
        <f>'Form Responses (Pokemon Stats)'!D17</f>
        <v>80</v>
      </c>
      <c r="C393">
        <f>'Form Responses (Pokemon Stats)'!C17</f>
        <v>22</v>
      </c>
      <c r="F393">
        <f>'Form Responses (Pokemon Stats)'!E17</f>
        <v>400</v>
      </c>
      <c r="G393" t="str">
        <f ca="1">IFERROR(__xludf.DUMMYFUNCTION("ROUND(B393/ FILTER('Pokemon CP/HP'!$M$2:$M1000, LOWER('Pokemon CP/HP'!$B$2:$B1000)=LOWER(A393)))"),"5")</f>
        <v>5</v>
      </c>
      <c r="H393" t="str">
        <f ca="1">IFERROR(__xludf.DUMMYFUNCTION("FILTER('Leveling Info'!$B$2:$B1000, 'Leveling Info'!$A$2:$A1000 =G393)"),"400")</f>
        <v>400</v>
      </c>
      <c r="I393" s="29">
        <f t="shared" ca="1" si="0"/>
        <v>2.2360679774997898</v>
      </c>
      <c r="J393" s="29" t="str">
        <f ca="1">IFERROR(__xludf.DUMMYFUNCTION("IF(F393 = H393,C393/FILTER('Base Stats'!$C$2:$C1000, LOWER('Base Stats'!$B$2:$B1000) = LOWER($A393)), """")"),"0.4888888889")</f>
        <v>0.4888888889</v>
      </c>
      <c r="K393" t="str">
        <f t="shared" ca="1" si="1"/>
        <v/>
      </c>
      <c r="L393" t="str">
        <f ca="1">IFERROR(__xludf.DUMMYFUNCTION("IF(AND(NOT(K393 = """"), G393 &gt;= 15),K393/FILTER('Base Stats'!$C$2:$C1000, LOWER('Base Stats'!$B$2:$B1000) = LOWER($A393)), """")"),"")</f>
        <v/>
      </c>
      <c r="M393" t="str">
        <f ca="1">IFERROR(__xludf.DUMMYFUNCTION("1.15 + 0.02 * FILTER('Base Stats'!$C$2:$C1000, LOWER('Base Stats'!$B$2:$B1000) = LOWER($A393))"),"2.05")</f>
        <v>2.05</v>
      </c>
      <c r="N393" t="s">
        <v>527</v>
      </c>
    </row>
    <row r="394" spans="1:14" ht="12.75" x14ac:dyDescent="0.2">
      <c r="A394" t="str">
        <f>'Form Responses (Pokemon Stats)'!B18</f>
        <v>Pidgeot</v>
      </c>
      <c r="B394">
        <f>'Form Responses (Pokemon Stats)'!D18</f>
        <v>196</v>
      </c>
      <c r="C394">
        <f>'Form Responses (Pokemon Stats)'!C18</f>
        <v>43</v>
      </c>
      <c r="F394">
        <f>'Form Responses (Pokemon Stats)'!E18</f>
        <v>400</v>
      </c>
      <c r="G394" t="str">
        <f ca="1">IFERROR(__xludf.DUMMYFUNCTION("ROUND(B394/ FILTER('Pokemon CP/HP'!$M$2:$M1000, LOWER('Pokemon CP/HP'!$B$2:$B1000)=LOWER(A394)))"),"7")</f>
        <v>7</v>
      </c>
      <c r="H394" t="str">
        <f ca="1">IFERROR(__xludf.DUMMYFUNCTION("FILTER('Leveling Info'!$B$2:$B1000, 'Leveling Info'!$A$2:$A1000 =G394)"),"400")</f>
        <v>400</v>
      </c>
      <c r="I394" s="29">
        <f t="shared" ca="1" si="0"/>
        <v>2.6457513110645907</v>
      </c>
      <c r="J394" s="29" t="str">
        <f ca="1">IFERROR(__xludf.DUMMYFUNCTION("IF(F394 = H394,C394/FILTER('Base Stats'!$C$2:$C1000, LOWER('Base Stats'!$B$2:$B1000) = LOWER($A394)), """")"),"0.5180722892")</f>
        <v>0.5180722892</v>
      </c>
      <c r="K394" t="str">
        <f t="shared" ca="1" si="1"/>
        <v/>
      </c>
      <c r="L394" t="str">
        <f ca="1">IFERROR(__xludf.DUMMYFUNCTION("IF(AND(NOT(K394 = """"), G394 &gt;= 15),K394/FILTER('Base Stats'!$C$2:$C1000, LOWER('Base Stats'!$B$2:$B1000) = LOWER($A394)), """")"),"")</f>
        <v/>
      </c>
      <c r="M394" t="str">
        <f ca="1">IFERROR(__xludf.DUMMYFUNCTION("1.15 + 0.02 * FILTER('Base Stats'!$C$2:$C1000, LOWER('Base Stats'!$B$2:$B1000) = LOWER($A394))"),"2.81")</f>
        <v>2.81</v>
      </c>
      <c r="N394" t="s">
        <v>527</v>
      </c>
    </row>
    <row r="395" spans="1:14" ht="12.75" x14ac:dyDescent="0.2">
      <c r="A395" t="str">
        <f>'Form Responses (Pokemon Stats)'!B19</f>
        <v>Pidgeotto</v>
      </c>
      <c r="B395">
        <f>'Form Responses (Pokemon Stats)'!D19</f>
        <v>86</v>
      </c>
      <c r="C395">
        <f>'Form Responses (Pokemon Stats)'!C19</f>
        <v>29</v>
      </c>
      <c r="F395">
        <f>'Form Responses (Pokemon Stats)'!E19</f>
        <v>400</v>
      </c>
      <c r="G395" t="str">
        <f ca="1">IFERROR(__xludf.DUMMYFUNCTION("ROUND(B395/ FILTER('Pokemon CP/HP'!$M$2:$M1000, LOWER('Pokemon CP/HP'!$B$2:$B1000)=LOWER(A395)))"),"5")</f>
        <v>5</v>
      </c>
      <c r="H395" t="str">
        <f ca="1">IFERROR(__xludf.DUMMYFUNCTION("FILTER('Leveling Info'!$B$2:$B1000, 'Leveling Info'!$A$2:$A1000 =G395)"),"400")</f>
        <v>400</v>
      </c>
      <c r="I395" s="29">
        <f t="shared" ca="1" si="0"/>
        <v>2.2360679774997898</v>
      </c>
      <c r="J395" s="29" t="str">
        <f ca="1">IFERROR(__xludf.DUMMYFUNCTION("IF(F395 = H395,C395/FILTER('Base Stats'!$C$2:$C1000, LOWER('Base Stats'!$B$2:$B1000) = LOWER($A395)), """")"),"0.4603174603")</f>
        <v>0.4603174603</v>
      </c>
      <c r="K395" t="str">
        <f t="shared" ca="1" si="1"/>
        <v/>
      </c>
      <c r="L395" t="str">
        <f ca="1">IFERROR(__xludf.DUMMYFUNCTION("IF(AND(NOT(K395 = """"), G395 &gt;= 15),K395/FILTER('Base Stats'!$C$2:$C1000, LOWER('Base Stats'!$B$2:$B1000) = LOWER($A395)), """")"),"")</f>
        <v/>
      </c>
      <c r="M395" t="str">
        <f ca="1">IFERROR(__xludf.DUMMYFUNCTION("1.15 + 0.02 * FILTER('Base Stats'!$C$2:$C1000, LOWER('Base Stats'!$B$2:$B1000) = LOWER($A395))"),"2.41")</f>
        <v>2.41</v>
      </c>
      <c r="N395" t="s">
        <v>527</v>
      </c>
    </row>
    <row r="396" spans="1:14" ht="12.75" x14ac:dyDescent="0.2">
      <c r="A396" t="str">
        <f>'Form Responses (Pokemon Stats)'!B20</f>
        <v>Pidgey</v>
      </c>
      <c r="B396">
        <f>'Form Responses (Pokemon Stats)'!D20</f>
        <v>94</v>
      </c>
      <c r="C396">
        <f>'Form Responses (Pokemon Stats)'!C20</f>
        <v>29</v>
      </c>
      <c r="F396">
        <f>'Form Responses (Pokemon Stats)'!E20</f>
        <v>600</v>
      </c>
      <c r="G396" t="str">
        <f ca="1">IFERROR(__xludf.DUMMYFUNCTION("ROUND(B396/ FILTER('Pokemon CP/HP'!$M$2:$M1000, LOWER('Pokemon CP/HP'!$B$2:$B1000)=LOWER(A396)))"),"9")</f>
        <v>9</v>
      </c>
      <c r="H396" t="str">
        <f ca="1">IFERROR(__xludf.DUMMYFUNCTION("FILTER('Leveling Info'!$B$2:$B1000, 'Leveling Info'!$A$2:$A1000 =G396)"),"600")</f>
        <v>600</v>
      </c>
      <c r="I396" s="29">
        <f t="shared" ca="1" si="0"/>
        <v>3</v>
      </c>
      <c r="J396" s="29" t="str">
        <f ca="1">IFERROR(__xludf.DUMMYFUNCTION("IF(F396 = H396,C396/FILTER('Base Stats'!$C$2:$C1000, LOWER('Base Stats'!$B$2:$B1000) = LOWER($A396)), """")"),"0.725")</f>
        <v>0.725</v>
      </c>
      <c r="K396" t="str">
        <f t="shared" ca="1" si="1"/>
        <v/>
      </c>
      <c r="L396" t="str">
        <f ca="1">IFERROR(__xludf.DUMMYFUNCTION("IF(AND(NOT(K396 = """"), G396 &gt;= 15),K396/FILTER('Base Stats'!$C$2:$C1000, LOWER('Base Stats'!$B$2:$B1000) = LOWER($A396)), """")"),"")</f>
        <v/>
      </c>
      <c r="M396" t="str">
        <f ca="1">IFERROR(__xludf.DUMMYFUNCTION("1.15 + 0.02 * FILTER('Base Stats'!$C$2:$C1000, LOWER('Base Stats'!$B$2:$B1000) = LOWER($A396))"),"1.95")</f>
        <v>1.95</v>
      </c>
      <c r="N396" t="s">
        <v>527</v>
      </c>
    </row>
    <row r="397" spans="1:14" ht="12.75" x14ac:dyDescent="0.2">
      <c r="A397" t="str">
        <f>'Form Responses (Pokemon Stats)'!B21</f>
        <v>Pidgey</v>
      </c>
      <c r="B397">
        <f>'Form Responses (Pokemon Stats)'!D21</f>
        <v>81</v>
      </c>
      <c r="C397">
        <f>'Form Responses (Pokemon Stats)'!C21</f>
        <v>26</v>
      </c>
      <c r="F397">
        <f>'Form Responses (Pokemon Stats)'!E21</f>
        <v>600</v>
      </c>
      <c r="G397" t="str">
        <f ca="1">IFERROR(__xludf.DUMMYFUNCTION("ROUND(B397/ FILTER('Pokemon CP/HP'!$M$2:$M1000, LOWER('Pokemon CP/HP'!$B$2:$B1000)=LOWER(A397)))"),"8")</f>
        <v>8</v>
      </c>
      <c r="H397" t="str">
        <f ca="1">IFERROR(__xludf.DUMMYFUNCTION("FILTER('Leveling Info'!$B$2:$B1000, 'Leveling Info'!$A$2:$A1000 =G397)"),"400")</f>
        <v>400</v>
      </c>
      <c r="I397" s="29">
        <f t="shared" ca="1" si="0"/>
        <v>2.8284271247461903</v>
      </c>
      <c r="J397" s="29" t="str">
        <f ca="1">IFERROR(__xludf.DUMMYFUNCTION("IF(F397 = H397,C397/FILTER('Base Stats'!$C$2:$C1000, LOWER('Base Stats'!$B$2:$B1000) = LOWER($A397)), """")"),"")</f>
        <v/>
      </c>
      <c r="K397" t="str">
        <f t="shared" ca="1" si="1"/>
        <v/>
      </c>
      <c r="L397" t="str">
        <f ca="1">IFERROR(__xludf.DUMMYFUNCTION("IF(AND(NOT(K397 = """"), G397 &gt;= 15),K397/FILTER('Base Stats'!$C$2:$C1000, LOWER('Base Stats'!$B$2:$B1000) = LOWER($A397)), """")"),"")</f>
        <v/>
      </c>
      <c r="M397" t="str">
        <f ca="1">IFERROR(__xludf.DUMMYFUNCTION("1.15 + 0.02 * FILTER('Base Stats'!$C$2:$C1000, LOWER('Base Stats'!$B$2:$B1000) = LOWER($A397))"),"1.95")</f>
        <v>1.95</v>
      </c>
      <c r="N397" t="s">
        <v>527</v>
      </c>
    </row>
    <row r="398" spans="1:14" ht="12.75" x14ac:dyDescent="0.2">
      <c r="A398" t="str">
        <f>'Form Responses (Pokemon Stats)'!B22</f>
        <v>Pidgey</v>
      </c>
      <c r="B398">
        <f>'Form Responses (Pokemon Stats)'!D22</f>
        <v>42</v>
      </c>
      <c r="C398">
        <f>'Form Responses (Pokemon Stats)'!C22</f>
        <v>18</v>
      </c>
      <c r="F398">
        <f>'Form Responses (Pokemon Stats)'!E22</f>
        <v>400</v>
      </c>
      <c r="G398" t="str">
        <f ca="1">IFERROR(__xludf.DUMMYFUNCTION("ROUND(B398/ FILTER('Pokemon CP/HP'!$M$2:$M1000, LOWER('Pokemon CP/HP'!$B$2:$B1000)=LOWER(A398)))"),"4")</f>
        <v>4</v>
      </c>
      <c r="H398" t="str">
        <f ca="1">IFERROR(__xludf.DUMMYFUNCTION("FILTER('Leveling Info'!$B$2:$B1000, 'Leveling Info'!$A$2:$A1000 =G398)"),"200")</f>
        <v>200</v>
      </c>
      <c r="I398" s="29">
        <f t="shared" ca="1" si="0"/>
        <v>2</v>
      </c>
      <c r="J398" s="29" t="str">
        <f ca="1">IFERROR(__xludf.DUMMYFUNCTION("IF(F398 = H398,C398/FILTER('Base Stats'!$C$2:$C1000, LOWER('Base Stats'!$B$2:$B1000) = LOWER($A398)), """")"),"")</f>
        <v/>
      </c>
      <c r="K398" t="str">
        <f t="shared" ca="1" si="1"/>
        <v/>
      </c>
      <c r="L398" t="str">
        <f ca="1">IFERROR(__xludf.DUMMYFUNCTION("IF(AND(NOT(K398 = """"), G398 &gt;= 15),K398/FILTER('Base Stats'!$C$2:$C1000, LOWER('Base Stats'!$B$2:$B1000) = LOWER($A398)), """")"),"")</f>
        <v/>
      </c>
      <c r="M398" t="str">
        <f ca="1">IFERROR(__xludf.DUMMYFUNCTION("1.15 + 0.02 * FILTER('Base Stats'!$C$2:$C1000, LOWER('Base Stats'!$B$2:$B1000) = LOWER($A398))"),"1.95")</f>
        <v>1.95</v>
      </c>
      <c r="N398" t="s">
        <v>527</v>
      </c>
    </row>
    <row r="399" spans="1:14" ht="12.75" x14ac:dyDescent="0.2">
      <c r="A399" t="str">
        <f>'Form Responses (Pokemon Stats)'!B23</f>
        <v>Pidgey</v>
      </c>
      <c r="B399">
        <f>'Form Responses (Pokemon Stats)'!D23</f>
        <v>40</v>
      </c>
      <c r="C399">
        <f>'Form Responses (Pokemon Stats)'!C23</f>
        <v>19</v>
      </c>
      <c r="F399">
        <f>'Form Responses (Pokemon Stats)'!E23</f>
        <v>400</v>
      </c>
      <c r="G399" t="str">
        <f ca="1">IFERROR(__xludf.DUMMYFUNCTION("ROUND(B399/ FILTER('Pokemon CP/HP'!$M$2:$M1000, LOWER('Pokemon CP/HP'!$B$2:$B1000)=LOWER(A399)))"),"4")</f>
        <v>4</v>
      </c>
      <c r="H399" t="str">
        <f ca="1">IFERROR(__xludf.DUMMYFUNCTION("FILTER('Leveling Info'!$B$2:$B1000, 'Leveling Info'!$A$2:$A1000 =G399)"),"200")</f>
        <v>200</v>
      </c>
      <c r="I399" s="29">
        <f t="shared" ca="1" si="0"/>
        <v>2</v>
      </c>
      <c r="J399" s="29" t="str">
        <f ca="1">IFERROR(__xludf.DUMMYFUNCTION("IF(F399 = H399,C399/FILTER('Base Stats'!$C$2:$C1000, LOWER('Base Stats'!$B$2:$B1000) = LOWER($A399)), """")"),"")</f>
        <v/>
      </c>
      <c r="K399" t="str">
        <f t="shared" ca="1" si="1"/>
        <v/>
      </c>
      <c r="L399" t="str">
        <f ca="1">IFERROR(__xludf.DUMMYFUNCTION("IF(AND(NOT(K399 = """"), G399 &gt;= 15),K399/FILTER('Base Stats'!$C$2:$C1000, LOWER('Base Stats'!$B$2:$B1000) = LOWER($A399)), """")"),"")</f>
        <v/>
      </c>
      <c r="M399" t="str">
        <f ca="1">IFERROR(__xludf.DUMMYFUNCTION("1.15 + 0.02 * FILTER('Base Stats'!$C$2:$C1000, LOWER('Base Stats'!$B$2:$B1000) = LOWER($A399))"),"1.95")</f>
        <v>1.95</v>
      </c>
      <c r="N399" t="s">
        <v>527</v>
      </c>
    </row>
    <row r="400" spans="1:14" ht="12.75" x14ac:dyDescent="0.2">
      <c r="A400" t="str">
        <f>'Form Responses (Pokemon Stats)'!B24</f>
        <v>Pidgey</v>
      </c>
      <c r="B400">
        <f>'Form Responses (Pokemon Stats)'!D24</f>
        <v>26</v>
      </c>
      <c r="C400">
        <f>'Form Responses (Pokemon Stats)'!C24</f>
        <v>15</v>
      </c>
      <c r="F400">
        <f>'Form Responses (Pokemon Stats)'!E24</f>
        <v>200</v>
      </c>
      <c r="G400" t="str">
        <f ca="1">IFERROR(__xludf.DUMMYFUNCTION("ROUND(B400/ FILTER('Pokemon CP/HP'!$M$2:$M1000, LOWER('Pokemon CP/HP'!$B$2:$B1000)=LOWER(A400)))"),"3")</f>
        <v>3</v>
      </c>
      <c r="H400" t="str">
        <f ca="1">IFERROR(__xludf.DUMMYFUNCTION("FILTER('Leveling Info'!$B$2:$B1000, 'Leveling Info'!$A$2:$A1000 =G400)"),"200")</f>
        <v>200</v>
      </c>
      <c r="I400" s="29">
        <f t="shared" ca="1" si="0"/>
        <v>1.7320508075688772</v>
      </c>
      <c r="J400" s="29" t="str">
        <f ca="1">IFERROR(__xludf.DUMMYFUNCTION("IF(F400 = H400,C400/FILTER('Base Stats'!$C$2:$C1000, LOWER('Base Stats'!$B$2:$B1000) = LOWER($A400)), """")"),"0.375")</f>
        <v>0.375</v>
      </c>
      <c r="K400" t="str">
        <f t="shared" ca="1" si="1"/>
        <v/>
      </c>
      <c r="L400" t="str">
        <f ca="1">IFERROR(__xludf.DUMMYFUNCTION("IF(AND(NOT(K400 = """"), G400 &gt;= 15),K400/FILTER('Base Stats'!$C$2:$C1000, LOWER('Base Stats'!$B$2:$B1000) = LOWER($A400)), """")"),"")</f>
        <v/>
      </c>
      <c r="M400" t="str">
        <f ca="1">IFERROR(__xludf.DUMMYFUNCTION("1.15 + 0.02 * FILTER('Base Stats'!$C$2:$C1000, LOWER('Base Stats'!$B$2:$B1000) = LOWER($A400))"),"1.95")</f>
        <v>1.95</v>
      </c>
      <c r="N400" t="s">
        <v>527</v>
      </c>
    </row>
    <row r="401" spans="1:14" ht="12.75" x14ac:dyDescent="0.2">
      <c r="A401" t="str">
        <f>'Form Responses (Pokemon Stats)'!B25</f>
        <v>Pidgey</v>
      </c>
      <c r="B401">
        <f>'Form Responses (Pokemon Stats)'!D25</f>
        <v>10</v>
      </c>
      <c r="C401">
        <f>'Form Responses (Pokemon Stats)'!C25</f>
        <v>10</v>
      </c>
      <c r="F401">
        <f>'Form Responses (Pokemon Stats)'!E25</f>
        <v>200</v>
      </c>
      <c r="G401" t="str">
        <f ca="1">IFERROR(__xludf.DUMMYFUNCTION("ROUND(B401/ FILTER('Pokemon CP/HP'!$M$2:$M1000, LOWER('Pokemon CP/HP'!$B$2:$B1000)=LOWER(A401)))"),"1")</f>
        <v>1</v>
      </c>
      <c r="H401" t="str">
        <f ca="1">IFERROR(__xludf.DUMMYFUNCTION("FILTER('Leveling Info'!$B$2:$B1000, 'Leveling Info'!$A$2:$A1000 =G401)"),"200")</f>
        <v>200</v>
      </c>
      <c r="I401" s="29">
        <f t="shared" ca="1" si="0"/>
        <v>1</v>
      </c>
      <c r="J401" s="29" t="str">
        <f ca="1">IFERROR(__xludf.DUMMYFUNCTION("IF(F401 = H401,C401/FILTER('Base Stats'!$C$2:$C1000, LOWER('Base Stats'!$B$2:$B1000) = LOWER($A401)), """")"),"0.25")</f>
        <v>0.25</v>
      </c>
      <c r="K401" t="str">
        <f t="shared" ca="1" si="1"/>
        <v/>
      </c>
      <c r="L401" t="str">
        <f ca="1">IFERROR(__xludf.DUMMYFUNCTION("IF(AND(NOT(K401 = """"), G401 &gt;= 15),K401/FILTER('Base Stats'!$C$2:$C1000, LOWER('Base Stats'!$B$2:$B1000) = LOWER($A401)), """")"),"")</f>
        <v/>
      </c>
      <c r="M401" t="str">
        <f ca="1">IFERROR(__xludf.DUMMYFUNCTION("1.15 + 0.02 * FILTER('Base Stats'!$C$2:$C1000, LOWER('Base Stats'!$B$2:$B1000) = LOWER($A401))"),"1.95")</f>
        <v>1.95</v>
      </c>
      <c r="N401" t="s">
        <v>527</v>
      </c>
    </row>
    <row r="402" spans="1:14" ht="12.75" x14ac:dyDescent="0.2">
      <c r="A402" t="str">
        <f>'Form Responses (Pokemon Stats)'!B26</f>
        <v>Rattata</v>
      </c>
      <c r="B402">
        <f>'Form Responses (Pokemon Stats)'!D26</f>
        <v>80</v>
      </c>
      <c r="C402">
        <f>'Form Responses (Pokemon Stats)'!C26</f>
        <v>24</v>
      </c>
      <c r="F402">
        <f>'Form Responses (Pokemon Stats)'!E26</f>
        <v>600</v>
      </c>
      <c r="G402" t="str">
        <f ca="1">IFERROR(__xludf.DUMMYFUNCTION("ROUND(B402/ FILTER('Pokemon CP/HP'!$M$2:$M1000, LOWER('Pokemon CP/HP'!$B$2:$B1000)=LOWER(A402)))"),"11")</f>
        <v>11</v>
      </c>
      <c r="H402" t="str">
        <f ca="1">IFERROR(__xludf.DUMMYFUNCTION("FILTER('Leveling Info'!$B$2:$B1000, 'Leveling Info'!$A$2:$A1000 =G402)"),"600")</f>
        <v>600</v>
      </c>
      <c r="I402" s="29">
        <f t="shared" ca="1" si="0"/>
        <v>3.3166247903553998</v>
      </c>
      <c r="J402" s="29" t="str">
        <f ca="1">IFERROR(__xludf.DUMMYFUNCTION("IF(F402 = H402,C402/FILTER('Base Stats'!$C$2:$C1000, LOWER('Base Stats'!$B$2:$B1000) = LOWER($A402)), """")"),"0.8")</f>
        <v>0.8</v>
      </c>
      <c r="K402" t="str">
        <f t="shared" ca="1" si="1"/>
        <v/>
      </c>
      <c r="L402" t="str">
        <f ca="1">IFERROR(__xludf.DUMMYFUNCTION("IF(AND(NOT(K402 = """"), G402 &gt;= 15),K402/FILTER('Base Stats'!$C$2:$C1000, LOWER('Base Stats'!$B$2:$B1000) = LOWER($A402)), """")"),"")</f>
        <v/>
      </c>
      <c r="M402" t="str">
        <f ca="1">IFERROR(__xludf.DUMMYFUNCTION("1.15 + 0.02 * FILTER('Base Stats'!$C$2:$C1000, LOWER('Base Stats'!$B$2:$B1000) = LOWER($A402))"),"1.75")</f>
        <v>1.75</v>
      </c>
      <c r="N402" t="s">
        <v>527</v>
      </c>
    </row>
    <row r="403" spans="1:14" ht="12.75" x14ac:dyDescent="0.2">
      <c r="A403" t="str">
        <f>'Form Responses (Pokemon Stats)'!B27</f>
        <v>Rattata</v>
      </c>
      <c r="B403">
        <f>'Form Responses (Pokemon Stats)'!D27</f>
        <v>64</v>
      </c>
      <c r="C403">
        <f>'Form Responses (Pokemon Stats)'!C27</f>
        <v>18</v>
      </c>
      <c r="F403">
        <f>'Form Responses (Pokemon Stats)'!E27</f>
        <v>600</v>
      </c>
      <c r="G403" t="str">
        <f ca="1">IFERROR(__xludf.DUMMYFUNCTION("ROUND(B403/ FILTER('Pokemon CP/HP'!$M$2:$M1000, LOWER('Pokemon CP/HP'!$B$2:$B1000)=LOWER(A403)))"),"9")</f>
        <v>9</v>
      </c>
      <c r="H403" t="str">
        <f ca="1">IFERROR(__xludf.DUMMYFUNCTION("FILTER('Leveling Info'!$B$2:$B1000, 'Leveling Info'!$A$2:$A1000 =G403)"),"600")</f>
        <v>600</v>
      </c>
      <c r="I403" s="29">
        <f t="shared" ca="1" si="0"/>
        <v>3</v>
      </c>
      <c r="J403" s="29" t="str">
        <f ca="1">IFERROR(__xludf.DUMMYFUNCTION("IF(F403 = H403,C403/FILTER('Base Stats'!$C$2:$C1000, LOWER('Base Stats'!$B$2:$B1000) = LOWER($A403)), """")"),"0.6")</f>
        <v>0.6</v>
      </c>
      <c r="K403" t="str">
        <f t="shared" ca="1" si="1"/>
        <v/>
      </c>
      <c r="L403" t="str">
        <f ca="1">IFERROR(__xludf.DUMMYFUNCTION("IF(AND(NOT(K403 = """"), G403 &gt;= 15),K403/FILTER('Base Stats'!$C$2:$C1000, LOWER('Base Stats'!$B$2:$B1000) = LOWER($A403)), """")"),"")</f>
        <v/>
      </c>
      <c r="M403" t="str">
        <f ca="1">IFERROR(__xludf.DUMMYFUNCTION("1.15 + 0.02 * FILTER('Base Stats'!$C$2:$C1000, LOWER('Base Stats'!$B$2:$B1000) = LOWER($A403))"),"1.75")</f>
        <v>1.75</v>
      </c>
      <c r="N403" t="s">
        <v>527</v>
      </c>
    </row>
    <row r="404" spans="1:14" ht="12.75" x14ac:dyDescent="0.2">
      <c r="A404" t="str">
        <f>'Form Responses (Pokemon Stats)'!B28</f>
        <v>Rattata</v>
      </c>
      <c r="B404">
        <f>'Form Responses (Pokemon Stats)'!D28</f>
        <v>37</v>
      </c>
      <c r="C404">
        <f>'Form Responses (Pokemon Stats)'!C28</f>
        <v>13</v>
      </c>
      <c r="F404">
        <f>'Form Responses (Pokemon Stats)'!E28</f>
        <v>400</v>
      </c>
      <c r="G404" t="str">
        <f ca="1">IFERROR(__xludf.DUMMYFUNCTION("ROUND(B404/ FILTER('Pokemon CP/HP'!$M$2:$M1000, LOWER('Pokemon CP/HP'!$B$2:$B1000)=LOWER(A404)))"),"5")</f>
        <v>5</v>
      </c>
      <c r="H404" t="str">
        <f ca="1">IFERROR(__xludf.DUMMYFUNCTION("FILTER('Leveling Info'!$B$2:$B1000, 'Leveling Info'!$A$2:$A1000 =G404)"),"400")</f>
        <v>400</v>
      </c>
      <c r="I404" s="29">
        <f t="shared" ca="1" si="0"/>
        <v>2.2360679774997898</v>
      </c>
      <c r="J404" s="29" t="str">
        <f ca="1">IFERROR(__xludf.DUMMYFUNCTION("IF(F404 = H404,C404/FILTER('Base Stats'!$C$2:$C1000, LOWER('Base Stats'!$B$2:$B1000) = LOWER($A404)), """")"),"0.4333333333")</f>
        <v>0.4333333333</v>
      </c>
      <c r="K404" t="str">
        <f t="shared" ca="1" si="1"/>
        <v/>
      </c>
      <c r="L404" t="str">
        <f ca="1">IFERROR(__xludf.DUMMYFUNCTION("IF(AND(NOT(K404 = """"), G404 &gt;= 15),K404/FILTER('Base Stats'!$C$2:$C1000, LOWER('Base Stats'!$B$2:$B1000) = LOWER($A404)), """")"),"")</f>
        <v/>
      </c>
      <c r="M404" t="str">
        <f ca="1">IFERROR(__xludf.DUMMYFUNCTION("1.15 + 0.02 * FILTER('Base Stats'!$C$2:$C1000, LOWER('Base Stats'!$B$2:$B1000) = LOWER($A404))"),"1.75")</f>
        <v>1.75</v>
      </c>
      <c r="N404" t="s">
        <v>527</v>
      </c>
    </row>
    <row r="405" spans="1:14" ht="12.75" x14ac:dyDescent="0.2">
      <c r="A405" t="str">
        <f>'Form Responses (Pokemon Stats)'!B29</f>
        <v>Rattata</v>
      </c>
      <c r="B405">
        <f>'Form Responses (Pokemon Stats)'!D29</f>
        <v>23</v>
      </c>
      <c r="C405">
        <f>'Form Responses (Pokemon Stats)'!C29</f>
        <v>11</v>
      </c>
      <c r="F405">
        <f>'Form Responses (Pokemon Stats)'!E29</f>
        <v>200</v>
      </c>
      <c r="G405" t="str">
        <f ca="1">IFERROR(__xludf.DUMMYFUNCTION("ROUND(B405/ FILTER('Pokemon CP/HP'!$M$2:$M1000, LOWER('Pokemon CP/HP'!$B$2:$B1000)=LOWER(A405)))"),"3")</f>
        <v>3</v>
      </c>
      <c r="H405" t="str">
        <f ca="1">IFERROR(__xludf.DUMMYFUNCTION("FILTER('Leveling Info'!$B$2:$B1000, 'Leveling Info'!$A$2:$A1000 =G405)"),"200")</f>
        <v>200</v>
      </c>
      <c r="I405" s="29">
        <f t="shared" ca="1" si="0"/>
        <v>1.7320508075688772</v>
      </c>
      <c r="J405" s="29" t="str">
        <f ca="1">IFERROR(__xludf.DUMMYFUNCTION("IF(F405 = H405,C405/FILTER('Base Stats'!$C$2:$C1000, LOWER('Base Stats'!$B$2:$B1000) = LOWER($A405)), """")"),"0.3666666667")</f>
        <v>0.3666666667</v>
      </c>
      <c r="K405" t="str">
        <f t="shared" ca="1" si="1"/>
        <v/>
      </c>
      <c r="L405" t="str">
        <f ca="1">IFERROR(__xludf.DUMMYFUNCTION("IF(AND(NOT(K405 = """"), G405 &gt;= 15),K405/FILTER('Base Stats'!$C$2:$C1000, LOWER('Base Stats'!$B$2:$B1000) = LOWER($A405)), """")"),"")</f>
        <v/>
      </c>
      <c r="M405" t="str">
        <f ca="1">IFERROR(__xludf.DUMMYFUNCTION("1.15 + 0.02 * FILTER('Base Stats'!$C$2:$C1000, LOWER('Base Stats'!$B$2:$B1000) = LOWER($A405))"),"1.75")</f>
        <v>1.75</v>
      </c>
      <c r="N405" t="s">
        <v>527</v>
      </c>
    </row>
    <row r="406" spans="1:14" ht="12.75" x14ac:dyDescent="0.2">
      <c r="A406" t="str">
        <f>'Form Responses (Pokemon Stats)'!B30</f>
        <v>Rattata</v>
      </c>
      <c r="B406">
        <f>'Form Responses (Pokemon Stats)'!D30</f>
        <v>10</v>
      </c>
      <c r="C406">
        <f>'Form Responses (Pokemon Stats)'!C30</f>
        <v>10</v>
      </c>
      <c r="F406">
        <f>'Form Responses (Pokemon Stats)'!E30</f>
        <v>200</v>
      </c>
      <c r="G406" t="str">
        <f ca="1">IFERROR(__xludf.DUMMYFUNCTION("ROUND(B406/ FILTER('Pokemon CP/HP'!$M$2:$M1000, LOWER('Pokemon CP/HP'!$B$2:$B1000)=LOWER(A406)))"),"1")</f>
        <v>1</v>
      </c>
      <c r="H406" t="str">
        <f ca="1">IFERROR(__xludf.DUMMYFUNCTION("FILTER('Leveling Info'!$B$2:$B1000, 'Leveling Info'!$A$2:$A1000 =G406)"),"200")</f>
        <v>200</v>
      </c>
      <c r="I406" s="29">
        <f t="shared" ca="1" si="0"/>
        <v>1</v>
      </c>
      <c r="J406" s="29" t="str">
        <f ca="1">IFERROR(__xludf.DUMMYFUNCTION("IF(F406 = H406,C406/FILTER('Base Stats'!$C$2:$C1000, LOWER('Base Stats'!$B$2:$B1000) = LOWER($A406)), """")"),"0.3333333333")</f>
        <v>0.3333333333</v>
      </c>
      <c r="K406" t="str">
        <f t="shared" ca="1" si="1"/>
        <v/>
      </c>
      <c r="L406" t="str">
        <f ca="1">IFERROR(__xludf.DUMMYFUNCTION("IF(AND(NOT(K406 = """"), G406 &gt;= 15),K406/FILTER('Base Stats'!$C$2:$C1000, LOWER('Base Stats'!$B$2:$B1000) = LOWER($A406)), """")"),"")</f>
        <v/>
      </c>
      <c r="M406" t="str">
        <f ca="1">IFERROR(__xludf.DUMMYFUNCTION("1.15 + 0.02 * FILTER('Base Stats'!$C$2:$C1000, LOWER('Base Stats'!$B$2:$B1000) = LOWER($A406))"),"1.75")</f>
        <v>1.75</v>
      </c>
      <c r="N406" t="s">
        <v>527</v>
      </c>
    </row>
    <row r="407" spans="1:14" ht="12.75" x14ac:dyDescent="0.2">
      <c r="A407" t="str">
        <f>'Form Responses (Pokemon Stats)'!B31</f>
        <v>Rattata</v>
      </c>
      <c r="B407">
        <f>'Form Responses (Pokemon Stats)'!D31</f>
        <v>48</v>
      </c>
      <c r="C407">
        <f>'Form Responses (Pokemon Stats)'!C31</f>
        <v>18</v>
      </c>
      <c r="F407">
        <f>'Form Responses (Pokemon Stats)'!E31</f>
        <v>400</v>
      </c>
      <c r="G407" t="str">
        <f ca="1">IFERROR(__xludf.DUMMYFUNCTION("ROUND(B407/ FILTER('Pokemon CP/HP'!$M$2:$M1000, LOWER('Pokemon CP/HP'!$B$2:$B1000)=LOWER(A407)))"),"6")</f>
        <v>6</v>
      </c>
      <c r="H407" t="str">
        <f ca="1">IFERROR(__xludf.DUMMYFUNCTION("FILTER('Leveling Info'!$B$2:$B1000, 'Leveling Info'!$A$2:$A1000 =G407)"),"400")</f>
        <v>400</v>
      </c>
      <c r="I407" s="29">
        <f t="shared" ca="1" si="0"/>
        <v>2.4494897427831779</v>
      </c>
      <c r="J407" s="29" t="str">
        <f ca="1">IFERROR(__xludf.DUMMYFUNCTION("IF(F407 = H407,C407/FILTER('Base Stats'!$C$2:$C1000, LOWER('Base Stats'!$B$2:$B1000) = LOWER($A407)), """")"),"0.6")</f>
        <v>0.6</v>
      </c>
      <c r="K407" t="str">
        <f t="shared" ca="1" si="1"/>
        <v/>
      </c>
      <c r="L407" t="str">
        <f ca="1">IFERROR(__xludf.DUMMYFUNCTION("IF(AND(NOT(K407 = """"), G407 &gt;= 15),K407/FILTER('Base Stats'!$C$2:$C1000, LOWER('Base Stats'!$B$2:$B1000) = LOWER($A407)), """")"),"")</f>
        <v/>
      </c>
      <c r="M407" t="str">
        <f ca="1">IFERROR(__xludf.DUMMYFUNCTION("1.15 + 0.02 * FILTER('Base Stats'!$C$2:$C1000, LOWER('Base Stats'!$B$2:$B1000) = LOWER($A407))"),"1.75")</f>
        <v>1.75</v>
      </c>
      <c r="N407" t="s">
        <v>527</v>
      </c>
    </row>
    <row r="408" spans="1:14" ht="12.75" x14ac:dyDescent="0.2">
      <c r="A408" t="str">
        <f>'Form Responses (Pokemon Stats)'!B32</f>
        <v>Spearow</v>
      </c>
      <c r="B408">
        <f>'Form Responses (Pokemon Stats)'!D32</f>
        <v>42</v>
      </c>
      <c r="C408">
        <f>'Form Responses (Pokemon Stats)'!C32</f>
        <v>18</v>
      </c>
      <c r="F408">
        <f>'Form Responses (Pokemon Stats)'!E32</f>
        <v>400</v>
      </c>
      <c r="G408" t="str">
        <f ca="1">IFERROR(__xludf.DUMMYFUNCTION("ROUND(B408/ FILTER('Pokemon CP/HP'!$M$2:$M1000, LOWER('Pokemon CP/HP'!$B$2:$B1000)=LOWER(A408)))"),"5")</f>
        <v>5</v>
      </c>
      <c r="H408" t="str">
        <f ca="1">IFERROR(__xludf.DUMMYFUNCTION("FILTER('Leveling Info'!$B$2:$B1000, 'Leveling Info'!$A$2:$A1000 =G408)"),"400")</f>
        <v>400</v>
      </c>
      <c r="I408" s="29">
        <f t="shared" ca="1" si="0"/>
        <v>2.2360679774997898</v>
      </c>
      <c r="J408" s="29" t="str">
        <f ca="1">IFERROR(__xludf.DUMMYFUNCTION("IF(F408 = H408,C408/FILTER('Base Stats'!$C$2:$C1000, LOWER('Base Stats'!$B$2:$B1000) = LOWER($A408)), """")"),"0.45")</f>
        <v>0.45</v>
      </c>
      <c r="K408" t="str">
        <f t="shared" ca="1" si="1"/>
        <v/>
      </c>
      <c r="L408" t="str">
        <f ca="1">IFERROR(__xludf.DUMMYFUNCTION("IF(AND(NOT(K408 = """"), G408 &gt;= 15),K408/FILTER('Base Stats'!$C$2:$C1000, LOWER('Base Stats'!$B$2:$B1000) = LOWER($A408)), """")"),"")</f>
        <v/>
      </c>
      <c r="M408" t="str">
        <f ca="1">IFERROR(__xludf.DUMMYFUNCTION("1.15 + 0.02 * FILTER('Base Stats'!$C$2:$C1000, LOWER('Base Stats'!$B$2:$B1000) = LOWER($A408))"),"1.95")</f>
        <v>1.95</v>
      </c>
      <c r="N408" t="s">
        <v>527</v>
      </c>
    </row>
    <row r="409" spans="1:14" ht="12.75" x14ac:dyDescent="0.2">
      <c r="A409" t="str">
        <f>'Form Responses (Pokemon Stats)'!B33</f>
        <v>Venonat</v>
      </c>
      <c r="B409">
        <f>'Form Responses (Pokemon Stats)'!D33</f>
        <v>41</v>
      </c>
      <c r="C409">
        <f>'Form Responses (Pokemon Stats)'!C33</f>
        <v>19</v>
      </c>
      <c r="F409">
        <f>'Form Responses (Pokemon Stats)'!E33</f>
        <v>200</v>
      </c>
      <c r="G409" t="str">
        <f ca="1">IFERROR(__xludf.DUMMYFUNCTION("ROUND(B409/ FILTER('Pokemon CP/HP'!$M$2:$M1000, LOWER('Pokemon CP/HP'!$B$2:$B1000)=LOWER(A409)))"),"3")</f>
        <v>3</v>
      </c>
      <c r="H409" t="str">
        <f ca="1">IFERROR(__xludf.DUMMYFUNCTION("FILTER('Leveling Info'!$B$2:$B1000, 'Leveling Info'!$A$2:$A1000 =G409)"),"200")</f>
        <v>200</v>
      </c>
      <c r="I409" s="29">
        <f t="shared" ca="1" si="0"/>
        <v>1.7320508075688772</v>
      </c>
      <c r="J409" s="29" t="str">
        <f ca="1">IFERROR(__xludf.DUMMYFUNCTION("IF(F409 = H409,C409/FILTER('Base Stats'!$C$2:$C1000, LOWER('Base Stats'!$B$2:$B1000) = LOWER($A409)), """")"),"0.3166666667")</f>
        <v>0.3166666667</v>
      </c>
      <c r="K409" t="str">
        <f t="shared" ca="1" si="1"/>
        <v/>
      </c>
      <c r="L409" t="str">
        <f ca="1">IFERROR(__xludf.DUMMYFUNCTION("IF(AND(NOT(K409 = """"), G409 &gt;= 15),K409/FILTER('Base Stats'!$C$2:$C1000, LOWER('Base Stats'!$B$2:$B1000) = LOWER($A409)), """")"),"")</f>
        <v/>
      </c>
      <c r="M409" t="str">
        <f ca="1">IFERROR(__xludf.DUMMYFUNCTION("1.15 + 0.02 * FILTER('Base Stats'!$C$2:$C1000, LOWER('Base Stats'!$B$2:$B1000) = LOWER($A409))"),"2.35")</f>
        <v>2.35</v>
      </c>
      <c r="N409" t="s">
        <v>527</v>
      </c>
    </row>
    <row r="410" spans="1:14" ht="12.75" x14ac:dyDescent="0.2">
      <c r="A410" t="str">
        <f>'Form Responses (Pokemon Stats)'!B34</f>
        <v>Weedle</v>
      </c>
      <c r="B410">
        <f>'Form Responses (Pokemon Stats)'!D34</f>
        <v>45</v>
      </c>
      <c r="C410">
        <f>'Form Responses (Pokemon Stats)'!C34</f>
        <v>25</v>
      </c>
      <c r="F410">
        <f>'Form Responses (Pokemon Stats)'!E34</f>
        <v>600</v>
      </c>
      <c r="G410" t="str">
        <f ca="1">IFERROR(__xludf.DUMMYFUNCTION("ROUND(B410/ FILTER('Pokemon CP/HP'!$M$2:$M1000, LOWER('Pokemon CP/HP'!$B$2:$B1000)=LOWER(A410)))"),"8")</f>
        <v>8</v>
      </c>
      <c r="H410" t="str">
        <f ca="1">IFERROR(__xludf.DUMMYFUNCTION("FILTER('Leveling Info'!$B$2:$B1000, 'Leveling Info'!$A$2:$A1000 =G410)"),"400")</f>
        <v>400</v>
      </c>
      <c r="I410" s="29">
        <f t="shared" ca="1" si="0"/>
        <v>2.8284271247461903</v>
      </c>
      <c r="J410" s="29" t="str">
        <f ca="1">IFERROR(__xludf.DUMMYFUNCTION("IF(F410 = H410,C410/FILTER('Base Stats'!$C$2:$C1000, LOWER('Base Stats'!$B$2:$B1000) = LOWER($A410)), """")"),"")</f>
        <v/>
      </c>
      <c r="K410" t="str">
        <f t="shared" ca="1" si="1"/>
        <v/>
      </c>
      <c r="L410" t="str">
        <f ca="1">IFERROR(__xludf.DUMMYFUNCTION("IF(AND(NOT(K410 = """"), G410 &gt;= 15),K410/FILTER('Base Stats'!$C$2:$C1000, LOWER('Base Stats'!$B$2:$B1000) = LOWER($A410)), """")"),"")</f>
        <v/>
      </c>
      <c r="M410" t="str">
        <f ca="1">IFERROR(__xludf.DUMMYFUNCTION("1.15 + 0.02 * FILTER('Base Stats'!$C$2:$C1000, LOWER('Base Stats'!$B$2:$B1000) = LOWER($A410))"),"1.95")</f>
        <v>1.95</v>
      </c>
      <c r="N410" t="s">
        <v>527</v>
      </c>
    </row>
    <row r="411" spans="1:14" ht="12.75" x14ac:dyDescent="0.2">
      <c r="A411" t="str">
        <f>'Form Responses (Pokemon Stats)'!B35</f>
        <v>Weedle</v>
      </c>
      <c r="B411">
        <f>'Form Responses (Pokemon Stats)'!D35</f>
        <v>28</v>
      </c>
      <c r="C411">
        <f>'Form Responses (Pokemon Stats)'!C35</f>
        <v>17</v>
      </c>
      <c r="F411">
        <f>'Form Responses (Pokemon Stats)'!E35</f>
        <v>400</v>
      </c>
      <c r="G411" t="str">
        <f ca="1">IFERROR(__xludf.DUMMYFUNCTION("ROUND(B411/ FILTER('Pokemon CP/HP'!$M$2:$M1000, LOWER('Pokemon CP/HP'!$B$2:$B1000)=LOWER(A411)))"),"5")</f>
        <v>5</v>
      </c>
      <c r="H411" t="str">
        <f ca="1">IFERROR(__xludf.DUMMYFUNCTION("FILTER('Leveling Info'!$B$2:$B1000, 'Leveling Info'!$A$2:$A1000 =G411)"),"400")</f>
        <v>400</v>
      </c>
      <c r="I411" s="29">
        <f t="shared" ca="1" si="0"/>
        <v>2.2360679774997898</v>
      </c>
      <c r="J411" s="29" t="str">
        <f ca="1">IFERROR(__xludf.DUMMYFUNCTION("IF(F411 = H411,C411/FILTER('Base Stats'!$C$2:$C1000, LOWER('Base Stats'!$B$2:$B1000) = LOWER($A411)), """")"),"0.425")</f>
        <v>0.425</v>
      </c>
      <c r="K411" t="str">
        <f t="shared" ca="1" si="1"/>
        <v/>
      </c>
      <c r="L411" t="str">
        <f ca="1">IFERROR(__xludf.DUMMYFUNCTION("IF(AND(NOT(K411 = """"), G411 &gt;= 15),K411/FILTER('Base Stats'!$C$2:$C1000, LOWER('Base Stats'!$B$2:$B1000) = LOWER($A411)), """")"),"")</f>
        <v/>
      </c>
      <c r="M411" t="str">
        <f ca="1">IFERROR(__xludf.DUMMYFUNCTION("1.15 + 0.02 * FILTER('Base Stats'!$C$2:$C1000, LOWER('Base Stats'!$B$2:$B1000) = LOWER($A411))"),"1.95")</f>
        <v>1.95</v>
      </c>
      <c r="N411" t="s">
        <v>527</v>
      </c>
    </row>
    <row r="412" spans="1:14" ht="12.75" x14ac:dyDescent="0.2">
      <c r="A412" t="str">
        <f>'Form Responses (Pokemon Stats)'!B36</f>
        <v>Weedle</v>
      </c>
      <c r="B412">
        <f>'Form Responses (Pokemon Stats)'!D36</f>
        <v>10</v>
      </c>
      <c r="C412">
        <f>'Form Responses (Pokemon Stats)'!C36</f>
        <v>10</v>
      </c>
      <c r="F412">
        <f>'Form Responses (Pokemon Stats)'!E36</f>
        <v>200</v>
      </c>
      <c r="G412" t="str">
        <f ca="1">IFERROR(__xludf.DUMMYFUNCTION("ROUND(B412/ FILTER('Pokemon CP/HP'!$M$2:$M1000, LOWER('Pokemon CP/HP'!$B$2:$B1000)=LOWER(A412)))"),"2")</f>
        <v>2</v>
      </c>
      <c r="H412" t="str">
        <f ca="1">IFERROR(__xludf.DUMMYFUNCTION("FILTER('Leveling Info'!$B$2:$B1000, 'Leveling Info'!$A$2:$A1000 =G412)"),"200")</f>
        <v>200</v>
      </c>
      <c r="I412" s="29">
        <f t="shared" ca="1" si="0"/>
        <v>1.4142135623730951</v>
      </c>
      <c r="J412" s="29" t="str">
        <f ca="1">IFERROR(__xludf.DUMMYFUNCTION("IF(F412 = H412,C412/FILTER('Base Stats'!$C$2:$C1000, LOWER('Base Stats'!$B$2:$B1000) = LOWER($A412)), """")"),"0.25")</f>
        <v>0.25</v>
      </c>
      <c r="K412" t="str">
        <f t="shared" ca="1" si="1"/>
        <v/>
      </c>
      <c r="L412" t="str">
        <f ca="1">IFERROR(__xludf.DUMMYFUNCTION("IF(AND(NOT(K412 = """"), G412 &gt;= 15),K412/FILTER('Base Stats'!$C$2:$C1000, LOWER('Base Stats'!$B$2:$B1000) = LOWER($A412)), """")"),"")</f>
        <v/>
      </c>
      <c r="M412" t="str">
        <f ca="1">IFERROR(__xludf.DUMMYFUNCTION("1.15 + 0.02 * FILTER('Base Stats'!$C$2:$C1000, LOWER('Base Stats'!$B$2:$B1000) = LOWER($A412))"),"1.95")</f>
        <v>1.95</v>
      </c>
      <c r="N412" t="s">
        <v>527</v>
      </c>
    </row>
    <row r="413" spans="1:14" ht="12.75" x14ac:dyDescent="0.2">
      <c r="A413" t="str">
        <f>'Form Responses (Pokemon Stats)'!B37</f>
        <v>Weepinbell</v>
      </c>
      <c r="B413">
        <f>'Form Responses (Pokemon Stats)'!D37</f>
        <v>70</v>
      </c>
      <c r="C413">
        <f>'Form Responses (Pokemon Stats)'!C37</f>
        <v>22</v>
      </c>
      <c r="F413">
        <f>'Form Responses (Pokemon Stats)'!E37</f>
        <v>200</v>
      </c>
      <c r="G413" t="str">
        <f ca="1">IFERROR(__xludf.DUMMYFUNCTION("ROUND(B413/ FILTER('Pokemon CP/HP'!$M$2:$M1000, LOWER('Pokemon CP/HP'!$B$2:$B1000)=LOWER(A413)))"),"3")</f>
        <v>3</v>
      </c>
      <c r="H413" t="str">
        <f ca="1">IFERROR(__xludf.DUMMYFUNCTION("FILTER('Leveling Info'!$B$2:$B1000, 'Leveling Info'!$A$2:$A1000 =G413)"),"200")</f>
        <v>200</v>
      </c>
      <c r="I413" s="29">
        <f t="shared" ca="1" si="0"/>
        <v>1.7320508075688772</v>
      </c>
      <c r="J413" s="29" t="str">
        <f ca="1">IFERROR(__xludf.DUMMYFUNCTION("IF(F413 = H413,C413/FILTER('Base Stats'!$C$2:$C1000, LOWER('Base Stats'!$B$2:$B1000) = LOWER($A413)), """")"),"0.3384615385")</f>
        <v>0.3384615385</v>
      </c>
      <c r="K413" t="str">
        <f t="shared" ca="1" si="1"/>
        <v/>
      </c>
      <c r="L413" t="str">
        <f ca="1">IFERROR(__xludf.DUMMYFUNCTION("IF(AND(NOT(K413 = """"), G413 &gt;= 15),K413/FILTER('Base Stats'!$C$2:$C1000, LOWER('Base Stats'!$B$2:$B1000) = LOWER($A413)), """")"),"")</f>
        <v/>
      </c>
      <c r="M413" t="str">
        <f ca="1">IFERROR(__xludf.DUMMYFUNCTION("1.15 + 0.02 * FILTER('Base Stats'!$C$2:$C1000, LOWER('Base Stats'!$B$2:$B1000) = LOWER($A413))"),"2.45")</f>
        <v>2.45</v>
      </c>
      <c r="N413" t="s">
        <v>527</v>
      </c>
    </row>
    <row r="414" spans="1:14" ht="12.75" x14ac:dyDescent="0.2">
      <c r="A414" t="str">
        <f>'Form Responses (Pokemon Stats)'!B38</f>
        <v>Zubat</v>
      </c>
      <c r="B414">
        <f>'Form Responses (Pokemon Stats)'!D38</f>
        <v>58</v>
      </c>
      <c r="C414">
        <f>'Form Responses (Pokemon Stats)'!C38</f>
        <v>24</v>
      </c>
      <c r="F414">
        <f>'Form Responses (Pokemon Stats)'!E38</f>
        <v>400</v>
      </c>
      <c r="G414" t="str">
        <f ca="1">IFERROR(__xludf.DUMMYFUNCTION("ROUND(B414/ FILTER('Pokemon CP/HP'!$M$2:$M1000, LOWER('Pokemon CP/HP'!$B$2:$B1000)=LOWER(A414)))"),"7")</f>
        <v>7</v>
      </c>
      <c r="H414" t="str">
        <f ca="1">IFERROR(__xludf.DUMMYFUNCTION("FILTER('Leveling Info'!$B$2:$B1000, 'Leveling Info'!$A$2:$A1000 =G414)"),"400")</f>
        <v>400</v>
      </c>
      <c r="I414" s="29">
        <f t="shared" ca="1" si="0"/>
        <v>2.6457513110645907</v>
      </c>
      <c r="J414" s="29" t="str">
        <f ca="1">IFERROR(__xludf.DUMMYFUNCTION("IF(F414 = H414,C414/FILTER('Base Stats'!$C$2:$C1000, LOWER('Base Stats'!$B$2:$B1000) = LOWER($A414)), """")"),"0.6")</f>
        <v>0.6</v>
      </c>
      <c r="K414" t="str">
        <f t="shared" ca="1" si="1"/>
        <v/>
      </c>
      <c r="L414" t="str">
        <f ca="1">IFERROR(__xludf.DUMMYFUNCTION("IF(AND(NOT(K414 = """"), G414 &gt;= 15),K414/FILTER('Base Stats'!$C$2:$C1000, LOWER('Base Stats'!$B$2:$B1000) = LOWER($A414)), """")"),"")</f>
        <v/>
      </c>
      <c r="M414" t="str">
        <f ca="1">IFERROR(__xludf.DUMMYFUNCTION("1.15 + 0.02 * FILTER('Base Stats'!$C$2:$C1000, LOWER('Base Stats'!$B$2:$B1000) = LOWER($A414))"),"1.95")</f>
        <v>1.95</v>
      </c>
      <c r="N414" t="s">
        <v>527</v>
      </c>
    </row>
    <row r="415" spans="1:14" ht="12.75" x14ac:dyDescent="0.2">
      <c r="A415" t="str">
        <f>'Form Responses (Pokemon Stats)'!B39</f>
        <v>Zubat</v>
      </c>
      <c r="B415">
        <f>'Form Responses (Pokemon Stats)'!D39</f>
        <v>23</v>
      </c>
      <c r="C415">
        <f>'Form Responses (Pokemon Stats)'!C39</f>
        <v>13</v>
      </c>
      <c r="F415">
        <f>'Form Responses (Pokemon Stats)'!E39</f>
        <v>200</v>
      </c>
      <c r="G415" t="str">
        <f ca="1">IFERROR(__xludf.DUMMYFUNCTION("ROUND(B415/ FILTER('Pokemon CP/HP'!$M$2:$M1000, LOWER('Pokemon CP/HP'!$B$2:$B1000)=LOWER(A415)))"),"3")</f>
        <v>3</v>
      </c>
      <c r="H415" t="str">
        <f ca="1">IFERROR(__xludf.DUMMYFUNCTION("FILTER('Leveling Info'!$B$2:$B1000, 'Leveling Info'!$A$2:$A1000 =G415)"),"200")</f>
        <v>200</v>
      </c>
      <c r="I415" s="29">
        <f t="shared" ca="1" si="0"/>
        <v>1.7320508075688772</v>
      </c>
      <c r="J415" s="29" t="str">
        <f ca="1">IFERROR(__xludf.DUMMYFUNCTION("IF(F415 = H415,C415/FILTER('Base Stats'!$C$2:$C1000, LOWER('Base Stats'!$B$2:$B1000) = LOWER($A415)), """")"),"0.325")</f>
        <v>0.325</v>
      </c>
      <c r="K415" t="str">
        <f t="shared" ca="1" si="1"/>
        <v/>
      </c>
      <c r="L415" t="str">
        <f ca="1">IFERROR(__xludf.DUMMYFUNCTION("IF(AND(NOT(K415 = """"), G415 &gt;= 15),K415/FILTER('Base Stats'!$C$2:$C1000, LOWER('Base Stats'!$B$2:$B1000) = LOWER($A415)), """")"),"")</f>
        <v/>
      </c>
      <c r="M415" t="str">
        <f ca="1">IFERROR(__xludf.DUMMYFUNCTION("1.15 + 0.02 * FILTER('Base Stats'!$C$2:$C1000, LOWER('Base Stats'!$B$2:$B1000) = LOWER($A415))"),"1.95")</f>
        <v>1.95</v>
      </c>
      <c r="N415" t="s">
        <v>527</v>
      </c>
    </row>
    <row r="416" spans="1:14" ht="12.75" x14ac:dyDescent="0.2">
      <c r="A416" t="str">
        <f>'Form Responses (Pokemon Stats)'!B40</f>
        <v>Zubat</v>
      </c>
      <c r="B416">
        <f>'Form Responses (Pokemon Stats)'!D40</f>
        <v>10</v>
      </c>
      <c r="C416">
        <f>'Form Responses (Pokemon Stats)'!C40</f>
        <v>10</v>
      </c>
      <c r="F416">
        <f>'Form Responses (Pokemon Stats)'!E40</f>
        <v>200</v>
      </c>
      <c r="G416" t="str">
        <f ca="1">IFERROR(__xludf.DUMMYFUNCTION("ROUND(B416/ FILTER('Pokemon CP/HP'!$M$2:$M1000, LOWER('Pokemon CP/HP'!$B$2:$B1000)=LOWER(A416)))"),"1")</f>
        <v>1</v>
      </c>
      <c r="H416" t="str">
        <f ca="1">IFERROR(__xludf.DUMMYFUNCTION("FILTER('Leveling Info'!$B$2:$B1000, 'Leveling Info'!$A$2:$A1000 =G416)"),"200")</f>
        <v>200</v>
      </c>
      <c r="I416" s="29">
        <f t="shared" ca="1" si="0"/>
        <v>1</v>
      </c>
      <c r="J416" s="29" t="str">
        <f ca="1">IFERROR(__xludf.DUMMYFUNCTION("IF(F416 = H416,C416/FILTER('Base Stats'!$C$2:$C1000, LOWER('Base Stats'!$B$2:$B1000) = LOWER($A416)), """")"),"0.25")</f>
        <v>0.25</v>
      </c>
      <c r="K416" t="str">
        <f t="shared" ca="1" si="1"/>
        <v/>
      </c>
      <c r="L416" t="str">
        <f ca="1">IFERROR(__xludf.DUMMYFUNCTION("IF(AND(NOT(K416 = """"), G416 &gt;= 15),K416/FILTER('Base Stats'!$C$2:$C1000, LOWER('Base Stats'!$B$2:$B1000) = LOWER($A416)), """")"),"")</f>
        <v/>
      </c>
      <c r="M416" t="str">
        <f ca="1">IFERROR(__xludf.DUMMYFUNCTION("1.15 + 0.02 * FILTER('Base Stats'!$C$2:$C1000, LOWER('Base Stats'!$B$2:$B1000) = LOWER($A416))"),"1.95")</f>
        <v>1.95</v>
      </c>
      <c r="N416" t="s">
        <v>527</v>
      </c>
    </row>
    <row r="417" spans="1:14" ht="12.75" x14ac:dyDescent="0.2">
      <c r="A417" t="str">
        <f>'Form Responses (Pokemon Stats)'!B41</f>
        <v>Machop</v>
      </c>
      <c r="B417">
        <f>'Form Responses (Pokemon Stats)'!D41</f>
        <v>367</v>
      </c>
      <c r="C417">
        <f>'Form Responses (Pokemon Stats)'!C41</f>
        <v>69</v>
      </c>
      <c r="F417">
        <f>'Form Responses (Pokemon Stats)'!E41</f>
        <v>1300</v>
      </c>
      <c r="G417" t="str">
        <f ca="1">IFERROR(__xludf.DUMMYFUNCTION("ROUND(B417/ FILTER('Pokemon CP/HP'!$M$2:$M1000, LOWER('Pokemon CP/HP'!$B$2:$B1000)=LOWER(A417)))"),"25")</f>
        <v>25</v>
      </c>
      <c r="H417" t="str">
        <f ca="1">IFERROR(__xludf.DUMMYFUNCTION("FILTER('Leveling Info'!$B$2:$B1000, 'Leveling Info'!$A$2:$A1000 =G417)"),"1600")</f>
        <v>1600</v>
      </c>
      <c r="I417" s="29">
        <f t="shared" ca="1" si="0"/>
        <v>5</v>
      </c>
      <c r="J417" s="29" t="str">
        <f ca="1">IFERROR(__xludf.DUMMYFUNCTION("IF(F417 = H417,C417/FILTER('Base Stats'!$C$2:$C1000, LOWER('Base Stats'!$B$2:$B1000) = LOWER($A417)), """")"),"")</f>
        <v/>
      </c>
      <c r="K417" t="str">
        <f t="shared" ca="1" si="1"/>
        <v/>
      </c>
      <c r="L417" t="str">
        <f ca="1">IFERROR(__xludf.DUMMYFUNCTION("IF(AND(NOT(K417 = """"), G417 &gt;= 15),K417/FILTER('Base Stats'!$C$2:$C1000, LOWER('Base Stats'!$B$2:$B1000) = LOWER($A417)), """")"),"")</f>
        <v/>
      </c>
      <c r="M417" t="str">
        <f ca="1">IFERROR(__xludf.DUMMYFUNCTION("1.15 + 0.02 * FILTER('Base Stats'!$C$2:$C1000, LOWER('Base Stats'!$B$2:$B1000) = LOWER($A417))"),"2.55")</f>
        <v>2.55</v>
      </c>
      <c r="N417" t="s">
        <v>527</v>
      </c>
    </row>
    <row r="418" spans="1:14" ht="12.75" x14ac:dyDescent="0.2">
      <c r="A418" t="str">
        <f>'Form Responses (Pokemon Stats)'!B42</f>
        <v>Pinsir</v>
      </c>
      <c r="B418">
        <f>'Form Responses (Pokemon Stats)'!D42</f>
        <v>760</v>
      </c>
      <c r="C418">
        <f>'Form Responses (Pokemon Stats)'!C42</f>
        <v>65</v>
      </c>
      <c r="F418">
        <f>'Form Responses (Pokemon Stats)'!E42</f>
        <v>1600</v>
      </c>
      <c r="G418" t="str">
        <f ca="1">IFERROR(__xludf.DUMMYFUNCTION("ROUND(B418/ FILTER('Pokemon CP/HP'!$M$2:$M1000, LOWER('Pokemon CP/HP'!$B$2:$B1000)=LOWER(A418)))"),"26")</f>
        <v>26</v>
      </c>
      <c r="H418" t="str">
        <f ca="1">IFERROR(__xludf.DUMMYFUNCTION("FILTER('Leveling Info'!$B$2:$B1000, 'Leveling Info'!$A$2:$A1000 =G418)"),"1600")</f>
        <v>1600</v>
      </c>
      <c r="I418" s="29">
        <f t="shared" ca="1" si="0"/>
        <v>5.0990195135927845</v>
      </c>
      <c r="J418" s="29" t="str">
        <f ca="1">IFERROR(__xludf.DUMMYFUNCTION("IF(F418 = H418,C418/FILTER('Base Stats'!$C$2:$C1000, LOWER('Base Stats'!$B$2:$B1000) = LOWER($A418)), """")"),"1")</f>
        <v>1</v>
      </c>
      <c r="K418" t="str">
        <f t="shared" ca="1" si="1"/>
        <v/>
      </c>
      <c r="L418" t="str">
        <f ca="1">IFERROR(__xludf.DUMMYFUNCTION("IF(AND(NOT(K418 = """"), G418 &gt;= 15),K418/FILTER('Base Stats'!$C$2:$C1000, LOWER('Base Stats'!$B$2:$B1000) = LOWER($A418)), """")"),"0.03846153846")</f>
        <v>0.03846153846</v>
      </c>
      <c r="M418" t="str">
        <f ca="1">IFERROR(__xludf.DUMMYFUNCTION("1.15 + 0.02 * FILTER('Base Stats'!$C$2:$C1000, LOWER('Base Stats'!$B$2:$B1000) = LOWER($A418))"),"2.45")</f>
        <v>2.45</v>
      </c>
      <c r="N418">
        <v>1.0204081629999999</v>
      </c>
    </row>
    <row r="419" spans="1:14" ht="12.75" x14ac:dyDescent="0.2">
      <c r="A419" t="str">
        <f>'Form Responses (Pokemon Stats)'!B43</f>
        <v>Scyther</v>
      </c>
      <c r="B419">
        <f>'Form Responses (Pokemon Stats)'!D43</f>
        <v>213</v>
      </c>
      <c r="C419">
        <f>'Form Responses (Pokemon Stats)'!C43</f>
        <v>39</v>
      </c>
      <c r="F419">
        <f>'Form Responses (Pokemon Stats)'!E43</f>
        <v>400</v>
      </c>
      <c r="G419" t="str">
        <f ca="1">IFERROR(__xludf.DUMMYFUNCTION("ROUND(B419/ FILTER('Pokemon CP/HP'!$M$2:$M1000, LOWER('Pokemon CP/HP'!$B$2:$B1000)=LOWER(A419)))"),"7")</f>
        <v>7</v>
      </c>
      <c r="H419" t="str">
        <f ca="1">IFERROR(__xludf.DUMMYFUNCTION("FILTER('Leveling Info'!$B$2:$B1000, 'Leveling Info'!$A$2:$A1000 =G419)"),"400")</f>
        <v>400</v>
      </c>
      <c r="I419" s="29">
        <f t="shared" ca="1" si="0"/>
        <v>2.6457513110645907</v>
      </c>
      <c r="J419" s="29" t="str">
        <f ca="1">IFERROR(__xludf.DUMMYFUNCTION("IF(F419 = H419,C419/FILTER('Base Stats'!$C$2:$C1000, LOWER('Base Stats'!$B$2:$B1000) = LOWER($A419)), """")"),"0.5571428571")</f>
        <v>0.5571428571</v>
      </c>
      <c r="K419" t="str">
        <f t="shared" ca="1" si="1"/>
        <v/>
      </c>
      <c r="L419" t="str">
        <f ca="1">IFERROR(__xludf.DUMMYFUNCTION("IF(AND(NOT(K419 = """"), G419 &gt;= 15),K419/FILTER('Base Stats'!$C$2:$C1000, LOWER('Base Stats'!$B$2:$B1000) = LOWER($A419)), """")"),"")</f>
        <v/>
      </c>
      <c r="M419" t="str">
        <f ca="1">IFERROR(__xludf.DUMMYFUNCTION("1.15 + 0.02 * FILTER('Base Stats'!$C$2:$C1000, LOWER('Base Stats'!$B$2:$B1000) = LOWER($A419))"),"2.55")</f>
        <v>2.55</v>
      </c>
      <c r="N419" t="s">
        <v>527</v>
      </c>
    </row>
    <row r="420" spans="1:14" ht="12.75" x14ac:dyDescent="0.2">
      <c r="A420" t="str">
        <f>'Form Responses (Pokemon Stats)'!B44</f>
        <v>Pidgeot</v>
      </c>
      <c r="B420">
        <f>'Form Responses (Pokemon Stats)'!D44</f>
        <v>670</v>
      </c>
      <c r="C420">
        <f>'Form Responses (Pokemon Stats)'!C44</f>
        <v>82</v>
      </c>
      <c r="F420">
        <f>'Form Responses (Pokemon Stats)'!E44</f>
        <v>1300</v>
      </c>
      <c r="G420" t="str">
        <f ca="1">IFERROR(__xludf.DUMMYFUNCTION("ROUND(B420/ FILTER('Pokemon CP/HP'!$M$2:$M1000, LOWER('Pokemon CP/HP'!$B$2:$B1000)=LOWER(A420)))"),"24")</f>
        <v>24</v>
      </c>
      <c r="H420" t="str">
        <f ca="1">IFERROR(__xludf.DUMMYFUNCTION("FILTER('Leveling Info'!$B$2:$B1000, 'Leveling Info'!$A$2:$A1000 =G420)"),"1300")</f>
        <v>1300</v>
      </c>
      <c r="I420" s="29">
        <f t="shared" ca="1" si="0"/>
        <v>4.8989794855663558</v>
      </c>
      <c r="J420" s="29" t="str">
        <f ca="1">IFERROR(__xludf.DUMMYFUNCTION("IF(F420 = H420,C420/FILTER('Base Stats'!$C$2:$C1000, LOWER('Base Stats'!$B$2:$B1000) = LOWER($A420)), """")"),"0.9879518072")</f>
        <v>0.9879518072</v>
      </c>
      <c r="K420" t="str">
        <f t="shared" ca="1" si="1"/>
        <v/>
      </c>
      <c r="L420" t="str">
        <f ca="1">IFERROR(__xludf.DUMMYFUNCTION("IF(AND(NOT(K420 = """"), G420 &gt;= 15),K420/FILTER('Base Stats'!$C$2:$C1000, LOWER('Base Stats'!$B$2:$B1000) = LOWER($A420)), """")"),"0.04116465863")</f>
        <v>0.04116465863</v>
      </c>
      <c r="M420" t="str">
        <f ca="1">IFERROR(__xludf.DUMMYFUNCTION("1.15 + 0.02 * FILTER('Base Stats'!$C$2:$C1000, LOWER('Base Stats'!$B$2:$B1000) = LOWER($A420))"),"2.81")</f>
        <v>2.81</v>
      </c>
      <c r="N420">
        <v>1.2158956110000001</v>
      </c>
    </row>
    <row r="421" spans="1:14" ht="12.75" x14ac:dyDescent="0.2">
      <c r="A421" t="str">
        <f>'Form Responses (Pokemon Stats)'!B45</f>
        <v>Slowpoke</v>
      </c>
      <c r="B421">
        <f>'Form Responses (Pokemon Stats)'!D45</f>
        <v>301</v>
      </c>
      <c r="C421">
        <f>'Form Responses (Pokemon Stats)'!C45</f>
        <v>81</v>
      </c>
      <c r="F421">
        <f>'Form Responses (Pokemon Stats)'!E45</f>
        <v>1000</v>
      </c>
      <c r="G421" t="str">
        <f ca="1">IFERROR(__xludf.DUMMYFUNCTION("ROUND(B421/ FILTER('Pokemon CP/HP'!$M$2:$M1000, LOWER('Pokemon CP/HP'!$B$2:$B1000)=LOWER(A421)))"),"19")</f>
        <v>19</v>
      </c>
      <c r="H421" t="str">
        <f ca="1">IFERROR(__xludf.DUMMYFUNCTION("FILTER('Leveling Info'!$B$2:$B1000, 'Leveling Info'!$A$2:$A1000 =G421)"),"1000")</f>
        <v>1000</v>
      </c>
      <c r="I421" s="29">
        <f t="shared" ca="1" si="0"/>
        <v>4.358898943540674</v>
      </c>
      <c r="J421" s="29" t="str">
        <f ca="1">IFERROR(__xludf.DUMMYFUNCTION("IF(F421 = H421,C421/FILTER('Base Stats'!$C$2:$C1000, LOWER('Base Stats'!$B$2:$B1000) = LOWER($A421)), """")"),"0.9")</f>
        <v>0.9</v>
      </c>
      <c r="K421" t="str">
        <f t="shared" ca="1" si="1"/>
        <v/>
      </c>
      <c r="L421" t="str">
        <f ca="1">IFERROR(__xludf.DUMMYFUNCTION("IF(AND(NOT(K421 = """"), G421 &gt;= 15),K421/FILTER('Base Stats'!$C$2:$C1000, LOWER('Base Stats'!$B$2:$B1000) = LOWER($A421)), """")"),"0.04736842105")</f>
        <v>0.04736842105</v>
      </c>
      <c r="M421" t="str">
        <f ca="1">IFERROR(__xludf.DUMMYFUNCTION("1.15 + 0.02 * FILTER('Base Stats'!$C$2:$C1000, LOWER('Base Stats'!$B$2:$B1000) = LOWER($A421))"),"2.95")</f>
        <v>2.95</v>
      </c>
      <c r="N421">
        <v>1.4451382690000001</v>
      </c>
    </row>
    <row r="422" spans="1:14" ht="12.75" x14ac:dyDescent="0.2">
      <c r="A422" t="str">
        <f>'Form Responses (Pokemon Stats)'!B46</f>
        <v>Golduck</v>
      </c>
      <c r="B422">
        <f>'Form Responses (Pokemon Stats)'!D46</f>
        <v>426</v>
      </c>
      <c r="C422">
        <f>'Form Responses (Pokemon Stats)'!C46</f>
        <v>60</v>
      </c>
      <c r="F422">
        <f>'Form Responses (Pokemon Stats)'!E46</f>
        <v>800</v>
      </c>
      <c r="G422" t="str">
        <f ca="1">IFERROR(__xludf.DUMMYFUNCTION("ROUND(B422/ FILTER('Pokemon CP/HP'!$M$2:$M1000, LOWER('Pokemon CP/HP'!$B$2:$B1000)=LOWER(A422)))"),"13")</f>
        <v>13</v>
      </c>
      <c r="H422" t="str">
        <f ca="1">IFERROR(__xludf.DUMMYFUNCTION("FILTER('Leveling Info'!$B$2:$B1000, 'Leveling Info'!$A$2:$A1000 =G422)"),"800")</f>
        <v>800</v>
      </c>
      <c r="I422" s="29">
        <f t="shared" ca="1" si="0"/>
        <v>3.6055512754639891</v>
      </c>
      <c r="J422" s="29" t="str">
        <f ca="1">IFERROR(__xludf.DUMMYFUNCTION("IF(F422 = H422,C422/FILTER('Base Stats'!$C$2:$C1000, LOWER('Base Stats'!$B$2:$B1000) = LOWER($A422)), """")"),"0.75")</f>
        <v>0.75</v>
      </c>
      <c r="K422" t="str">
        <f t="shared" ca="1" si="1"/>
        <v/>
      </c>
      <c r="L422" t="str">
        <f ca="1">IFERROR(__xludf.DUMMYFUNCTION("IF(AND(NOT(K422 = """"), G422 &gt;= 15),K422/FILTER('Base Stats'!$C$2:$C1000, LOWER('Base Stats'!$B$2:$B1000) = LOWER($A422)), """")"),"")</f>
        <v/>
      </c>
      <c r="M422" t="str">
        <f ca="1">IFERROR(__xludf.DUMMYFUNCTION("1.15 + 0.02 * FILTER('Base Stats'!$C$2:$C1000, LOWER('Base Stats'!$B$2:$B1000) = LOWER($A422))"),"2.75")</f>
        <v>2.75</v>
      </c>
      <c r="N422" t="s">
        <v>527</v>
      </c>
    </row>
    <row r="423" spans="1:14" ht="12.75" x14ac:dyDescent="0.2">
      <c r="A423" t="str">
        <f>'Form Responses (Pokemon Stats)'!B47</f>
        <v>Weepinbell</v>
      </c>
      <c r="B423">
        <f>'Form Responses (Pokemon Stats)'!D47</f>
        <v>219</v>
      </c>
      <c r="C423">
        <f>'Form Responses (Pokemon Stats)'!C47</f>
        <v>39</v>
      </c>
      <c r="F423">
        <f>'Form Responses (Pokemon Stats)'!E47</f>
        <v>600</v>
      </c>
      <c r="G423" t="str">
        <f ca="1">IFERROR(__xludf.DUMMYFUNCTION("ROUND(B423/ FILTER('Pokemon CP/HP'!$M$2:$M1000, LOWER('Pokemon CP/HP'!$B$2:$B1000)=LOWER(A423)))"),"10")</f>
        <v>10</v>
      </c>
      <c r="H423" t="str">
        <f ca="1">IFERROR(__xludf.DUMMYFUNCTION("FILTER('Leveling Info'!$B$2:$B1000, 'Leveling Info'!$A$2:$A1000 =G423)"),"600")</f>
        <v>600</v>
      </c>
      <c r="I423" s="29">
        <f t="shared" ca="1" si="0"/>
        <v>3.1622776601683795</v>
      </c>
      <c r="J423" s="29" t="str">
        <f ca="1">IFERROR(__xludf.DUMMYFUNCTION("IF(F423 = H423,C423/FILTER('Base Stats'!$C$2:$C1000, LOWER('Base Stats'!$B$2:$B1000) = LOWER($A423)), """")"),"0.6")</f>
        <v>0.6</v>
      </c>
      <c r="K423" t="str">
        <f t="shared" ca="1" si="1"/>
        <v/>
      </c>
      <c r="L423" t="str">
        <f ca="1">IFERROR(__xludf.DUMMYFUNCTION("IF(AND(NOT(K423 = """"), G423 &gt;= 15),K423/FILTER('Base Stats'!$C$2:$C1000, LOWER('Base Stats'!$B$2:$B1000) = LOWER($A423)), """")"),"")</f>
        <v/>
      </c>
      <c r="M423" t="str">
        <f ca="1">IFERROR(__xludf.DUMMYFUNCTION("1.15 + 0.02 * FILTER('Base Stats'!$C$2:$C1000, LOWER('Base Stats'!$B$2:$B1000) = LOWER($A423))"),"2.45")</f>
        <v>2.45</v>
      </c>
      <c r="N423" t="s">
        <v>527</v>
      </c>
    </row>
    <row r="424" spans="1:14" ht="12.75" x14ac:dyDescent="0.2">
      <c r="A424" t="str">
        <f>'Form Responses (Pokemon Stats)'!B48</f>
        <v>Bellsprout</v>
      </c>
      <c r="B424">
        <f>'Form Responses (Pokemon Stats)'!D48</f>
        <v>334</v>
      </c>
      <c r="C424">
        <f>'Form Responses (Pokemon Stats)'!C48</f>
        <v>50</v>
      </c>
      <c r="F424">
        <f>'Form Responses (Pokemon Stats)'!E48</f>
        <v>1300</v>
      </c>
      <c r="G424" t="str">
        <f ca="1">IFERROR(__xludf.DUMMYFUNCTION("ROUND(B424/ FILTER('Pokemon CP/HP'!$M$2:$M1000, LOWER('Pokemon CP/HP'!$B$2:$B1000)=LOWER(A424)))"),"26")</f>
        <v>26</v>
      </c>
      <c r="H424" t="str">
        <f ca="1">IFERROR(__xludf.DUMMYFUNCTION("FILTER('Leveling Info'!$B$2:$B1000, 'Leveling Info'!$A$2:$A1000 =G424)"),"1600")</f>
        <v>1600</v>
      </c>
      <c r="I424" s="29">
        <f t="shared" ca="1" si="0"/>
        <v>5.0990195135927845</v>
      </c>
      <c r="J424" s="29" t="str">
        <f ca="1">IFERROR(__xludf.DUMMYFUNCTION("IF(F424 = H424,C424/FILTER('Base Stats'!$C$2:$C1000, LOWER('Base Stats'!$B$2:$B1000) = LOWER($A424)), """")"),"")</f>
        <v/>
      </c>
      <c r="K424" t="str">
        <f t="shared" ca="1" si="1"/>
        <v/>
      </c>
      <c r="L424" t="str">
        <f ca="1">IFERROR(__xludf.DUMMYFUNCTION("IF(AND(NOT(K424 = """"), G424 &gt;= 15),K424/FILTER('Base Stats'!$C$2:$C1000, LOWER('Base Stats'!$B$2:$B1000) = LOWER($A424)), """")"),"")</f>
        <v/>
      </c>
      <c r="M424" t="str">
        <f ca="1">IFERROR(__xludf.DUMMYFUNCTION("1.15 + 0.02 * FILTER('Base Stats'!$C$2:$C1000, LOWER('Base Stats'!$B$2:$B1000) = LOWER($A424))"),"2.15")</f>
        <v>2.15</v>
      </c>
      <c r="N424" t="s">
        <v>527</v>
      </c>
    </row>
    <row r="425" spans="1:14" ht="12.75" x14ac:dyDescent="0.2">
      <c r="A425" t="str">
        <f>'Form Responses (Pokemon Stats)'!B49</f>
        <v>Oddish</v>
      </c>
      <c r="B425">
        <f>'Form Responses (Pokemon Stats)'!D49</f>
        <v>294</v>
      </c>
      <c r="C425">
        <f>'Form Responses (Pokemon Stats)'!C49</f>
        <v>38</v>
      </c>
      <c r="F425">
        <f>'Form Responses (Pokemon Stats)'!E49</f>
        <v>1000</v>
      </c>
      <c r="G425" t="str">
        <f ca="1">IFERROR(__xludf.DUMMYFUNCTION("ROUND(B425/ FILTER('Pokemon CP/HP'!$M$2:$M1000, LOWER('Pokemon CP/HP'!$B$2:$B1000)=LOWER(A425)))"),"20")</f>
        <v>20</v>
      </c>
      <c r="H425" t="str">
        <f ca="1">IFERROR(__xludf.DUMMYFUNCTION("FILTER('Leveling Info'!$B$2:$B1000, 'Leveling Info'!$A$2:$A1000 =G425)"),"1000")</f>
        <v>1000</v>
      </c>
      <c r="I425" s="29">
        <f t="shared" ca="1" si="0"/>
        <v>4.4721359549995796</v>
      </c>
      <c r="J425" s="29" t="str">
        <f ca="1">IFERROR(__xludf.DUMMYFUNCTION("IF(F425 = H425,C425/FILTER('Base Stats'!$C$2:$C1000, LOWER('Base Stats'!$B$2:$B1000) = LOWER($A425)), """")"),"0.8444444444")</f>
        <v>0.8444444444</v>
      </c>
      <c r="K425" t="str">
        <f t="shared" ca="1" si="1"/>
        <v/>
      </c>
      <c r="L425" t="str">
        <f ca="1">IFERROR(__xludf.DUMMYFUNCTION("IF(AND(NOT(K425 = """"), G425 &gt;= 15),K425/FILTER('Base Stats'!$C$2:$C1000, LOWER('Base Stats'!$B$2:$B1000) = LOWER($A425)), """")"),"0.04222222222")</f>
        <v>0.04222222222</v>
      </c>
      <c r="M425" t="str">
        <f ca="1">IFERROR(__xludf.DUMMYFUNCTION("1.15 + 0.02 * FILTER('Base Stats'!$C$2:$C1000, LOWER('Base Stats'!$B$2:$B1000) = LOWER($A425))"),"2.05")</f>
        <v>2.05</v>
      </c>
      <c r="N425">
        <v>0.92682926830000001</v>
      </c>
    </row>
    <row r="426" spans="1:14" ht="12.75" x14ac:dyDescent="0.2">
      <c r="A426" t="str">
        <f>'Form Responses (Pokemon Stats)'!B50</f>
        <v>Beedrill</v>
      </c>
      <c r="B426">
        <f>'Form Responses (Pokemon Stats)'!D50</f>
        <v>296</v>
      </c>
      <c r="C426">
        <f>'Form Responses (Pokemon Stats)'!C50</f>
        <v>51</v>
      </c>
      <c r="F426">
        <f>'Form Responses (Pokemon Stats)'!E50</f>
        <v>800</v>
      </c>
      <c r="G426" t="str">
        <f ca="1">IFERROR(__xludf.DUMMYFUNCTION("ROUND(B426/ FILTER('Pokemon CP/HP'!$M$2:$M1000, LOWER('Pokemon CP/HP'!$B$2:$B1000)=LOWER(A426)))"),"15")</f>
        <v>15</v>
      </c>
      <c r="H426" t="str">
        <f ca="1">IFERROR(__xludf.DUMMYFUNCTION("FILTER('Leveling Info'!$B$2:$B1000, 'Leveling Info'!$A$2:$A1000 =G426)"),"800")</f>
        <v>800</v>
      </c>
      <c r="I426" s="29">
        <f t="shared" ca="1" si="0"/>
        <v>3.872983346207417</v>
      </c>
      <c r="J426" s="29" t="str">
        <f ca="1">IFERROR(__xludf.DUMMYFUNCTION("IF(F426 = H426,C426/FILTER('Base Stats'!$C$2:$C1000, LOWER('Base Stats'!$B$2:$B1000) = LOWER($A426)), """")"),"0.7846153846")</f>
        <v>0.7846153846</v>
      </c>
      <c r="K426" t="str">
        <f t="shared" ca="1" si="1"/>
        <v/>
      </c>
      <c r="L426" t="str">
        <f ca="1">IFERROR(__xludf.DUMMYFUNCTION("IF(AND(NOT(K426 = """"), G426 &gt;= 15),K426/FILTER('Base Stats'!$C$2:$C1000, LOWER('Base Stats'!$B$2:$B1000) = LOWER($A426)), """")"),"0.05230769231")</f>
        <v>0.05230769231</v>
      </c>
      <c r="M426" t="str">
        <f ca="1">IFERROR(__xludf.DUMMYFUNCTION("1.15 + 0.02 * FILTER('Base Stats'!$C$2:$C1000, LOWER('Base Stats'!$B$2:$B1000) = LOWER($A426))"),"2.45")</f>
        <v>2.45</v>
      </c>
      <c r="N426">
        <v>1.3877551020000001</v>
      </c>
    </row>
    <row r="427" spans="1:14" ht="12.75" x14ac:dyDescent="0.2">
      <c r="A427" t="str">
        <f>'Form Responses (Pokemon Stats)'!B51</f>
        <v>Jolteon</v>
      </c>
      <c r="B427">
        <f>'Form Responses (Pokemon Stats)'!D51</f>
        <v>585</v>
      </c>
      <c r="C427">
        <f>'Form Responses (Pokemon Stats)'!C51</f>
        <v>57</v>
      </c>
      <c r="F427">
        <f>'Form Responses (Pokemon Stats)'!E51</f>
        <v>1000</v>
      </c>
      <c r="G427" t="str">
        <f ca="1">IFERROR(__xludf.DUMMYFUNCTION("ROUND(B427/ FILTER('Pokemon CP/HP'!$M$2:$M1000, LOWER('Pokemon CP/HP'!$B$2:$B1000)=LOWER(A427)))"),"19")</f>
        <v>19</v>
      </c>
      <c r="H427" t="str">
        <f ca="1">IFERROR(__xludf.DUMMYFUNCTION("FILTER('Leveling Info'!$B$2:$B1000, 'Leveling Info'!$A$2:$A1000 =G427)"),"1000")</f>
        <v>1000</v>
      </c>
      <c r="I427" s="29">
        <f t="shared" ca="1" si="0"/>
        <v>4.358898943540674</v>
      </c>
      <c r="J427" s="29" t="str">
        <f ca="1">IFERROR(__xludf.DUMMYFUNCTION("IF(F427 = H427,C427/FILTER('Base Stats'!$C$2:$C1000, LOWER('Base Stats'!$B$2:$B1000) = LOWER($A427)), """")"),"0.8769230769")</f>
        <v>0.8769230769</v>
      </c>
      <c r="K427" t="str">
        <f t="shared" ca="1" si="1"/>
        <v/>
      </c>
      <c r="L427" t="str">
        <f ca="1">IFERROR(__xludf.DUMMYFUNCTION("IF(AND(NOT(K427 = """"), G427 &gt;= 15),K427/FILTER('Base Stats'!$C$2:$C1000, LOWER('Base Stats'!$B$2:$B1000) = LOWER($A427)), """")"),"0.04615384615")</f>
        <v>0.04615384615</v>
      </c>
      <c r="M427" t="str">
        <f ca="1">IFERROR(__xludf.DUMMYFUNCTION("1.15 + 0.02 * FILTER('Base Stats'!$C$2:$C1000, LOWER('Base Stats'!$B$2:$B1000) = LOWER($A427))"),"2.45")</f>
        <v>2.45</v>
      </c>
      <c r="N427">
        <v>1.2244897960000001</v>
      </c>
    </row>
    <row r="428" spans="1:14" ht="12.75" x14ac:dyDescent="0.2">
      <c r="A428" t="str">
        <f>'Form Responses (Pokemon Stats)'!B52</f>
        <v>Pinsir</v>
      </c>
      <c r="B428">
        <f>'Form Responses (Pokemon Stats)'!D52</f>
        <v>573</v>
      </c>
      <c r="C428">
        <f>'Form Responses (Pokemon Stats)'!C52</f>
        <v>61</v>
      </c>
      <c r="F428">
        <f>'Form Responses (Pokemon Stats)'!E52</f>
        <v>1000</v>
      </c>
      <c r="G428" t="str">
        <f ca="1">IFERROR(__xludf.DUMMYFUNCTION("ROUND(B428/ FILTER('Pokemon CP/HP'!$M$2:$M1000, LOWER('Pokemon CP/HP'!$B$2:$B1000)=LOWER(A428)))"),"19")</f>
        <v>19</v>
      </c>
      <c r="H428" t="str">
        <f ca="1">IFERROR(__xludf.DUMMYFUNCTION("FILTER('Leveling Info'!$B$2:$B1000, 'Leveling Info'!$A$2:$A1000 =G428)"),"1000")</f>
        <v>1000</v>
      </c>
      <c r="I428" s="29">
        <f t="shared" ca="1" si="0"/>
        <v>4.358898943540674</v>
      </c>
      <c r="J428" s="29" t="str">
        <f ca="1">IFERROR(__xludf.DUMMYFUNCTION("IF(F428 = H428,C428/FILTER('Base Stats'!$C$2:$C1000, LOWER('Base Stats'!$B$2:$B1000) = LOWER($A428)), """")"),"0.9384615385")</f>
        <v>0.9384615385</v>
      </c>
      <c r="K428" t="str">
        <f t="shared" ca="1" si="1"/>
        <v/>
      </c>
      <c r="L428" t="str">
        <f ca="1">IFERROR(__xludf.DUMMYFUNCTION("IF(AND(NOT(K428 = """"), G428 &gt;= 15),K428/FILTER('Base Stats'!$C$2:$C1000, LOWER('Base Stats'!$B$2:$B1000) = LOWER($A428)), """")"),"0.04939271255")</f>
        <v>0.04939271255</v>
      </c>
      <c r="M428" t="str">
        <f ca="1">IFERROR(__xludf.DUMMYFUNCTION("1.15 + 0.02 * FILTER('Base Stats'!$C$2:$C1000, LOWER('Base Stats'!$B$2:$B1000) = LOWER($A428))"),"2.45")</f>
        <v>2.45</v>
      </c>
      <c r="N428">
        <v>1.3104189040000001</v>
      </c>
    </row>
    <row r="429" spans="1:14" ht="12.75" x14ac:dyDescent="0.2">
      <c r="A429" t="str">
        <f>'Form Responses (Pokemon Stats)'!B53</f>
        <v>Arbok</v>
      </c>
      <c r="B429">
        <f>'Form Responses (Pokemon Stats)'!D53</f>
        <v>532</v>
      </c>
      <c r="C429">
        <f>'Form Responses (Pokemon Stats)'!C53</f>
        <v>58</v>
      </c>
      <c r="F429">
        <f>'Form Responses (Pokemon Stats)'!E53</f>
        <v>1300</v>
      </c>
      <c r="G429" t="str">
        <f ca="1">IFERROR(__xludf.DUMMYFUNCTION("ROUND(B429/ FILTER('Pokemon CP/HP'!$M$2:$M1000, LOWER('Pokemon CP/HP'!$B$2:$B1000)=LOWER(A429)))"),"23")</f>
        <v>23</v>
      </c>
      <c r="H429" t="str">
        <f ca="1">IFERROR(__xludf.DUMMYFUNCTION("FILTER('Leveling Info'!$B$2:$B1000, 'Leveling Info'!$A$2:$A1000 =G429)"),"1300")</f>
        <v>1300</v>
      </c>
      <c r="I429" s="29">
        <f t="shared" ca="1" si="0"/>
        <v>4.7958315233127191</v>
      </c>
      <c r="J429" s="29" t="str">
        <f ca="1">IFERROR(__xludf.DUMMYFUNCTION("IF(F429 = H429,C429/FILTER('Base Stats'!$C$2:$C1000, LOWER('Base Stats'!$B$2:$B1000) = LOWER($A429)), """")"),"0.9666666667")</f>
        <v>0.9666666667</v>
      </c>
      <c r="K429" t="str">
        <f t="shared" ca="1" si="1"/>
        <v/>
      </c>
      <c r="L429" t="str">
        <f ca="1">IFERROR(__xludf.DUMMYFUNCTION("IF(AND(NOT(K429 = """"), G429 &gt;= 15),K429/FILTER('Base Stats'!$C$2:$C1000, LOWER('Base Stats'!$B$2:$B1000) = LOWER($A429)), """")"),"0.04202898551")</f>
        <v>0.04202898551</v>
      </c>
      <c r="M429" t="str">
        <f ca="1">IFERROR(__xludf.DUMMYFUNCTION("1.15 + 0.02 * FILTER('Base Stats'!$C$2:$C1000, LOWER('Base Stats'!$B$2:$B1000) = LOWER($A429))"),"2.35")</f>
        <v>2.35</v>
      </c>
      <c r="N429">
        <v>1.0730804810000001</v>
      </c>
    </row>
    <row r="430" spans="1:14" ht="12.75" x14ac:dyDescent="0.2">
      <c r="A430" t="str">
        <f>'Form Responses (Pokemon Stats)'!B54</f>
        <v>Golbat</v>
      </c>
      <c r="B430">
        <f>'Form Responses (Pokemon Stats)'!D54</f>
        <v>527</v>
      </c>
      <c r="C430">
        <f>'Form Responses (Pokemon Stats)'!C54</f>
        <v>68</v>
      </c>
      <c r="F430">
        <f>'Form Responses (Pokemon Stats)'!E54</f>
        <v>1000</v>
      </c>
      <c r="G430" t="str">
        <f ca="1">IFERROR(__xludf.DUMMYFUNCTION("ROUND(B430/ FILTER('Pokemon CP/HP'!$M$2:$M1000, LOWER('Pokemon CP/HP'!$B$2:$B1000)=LOWER(A430)))"),"20")</f>
        <v>20</v>
      </c>
      <c r="H430" t="str">
        <f ca="1">IFERROR(__xludf.DUMMYFUNCTION("FILTER('Leveling Info'!$B$2:$B1000, 'Leveling Info'!$A$2:$A1000 =G430)"),"1000")</f>
        <v>1000</v>
      </c>
      <c r="I430" s="29">
        <f t="shared" ca="1" si="0"/>
        <v>4.4721359549995796</v>
      </c>
      <c r="J430" s="29" t="str">
        <f ca="1">IFERROR(__xludf.DUMMYFUNCTION("IF(F430 = H430,C430/FILTER('Base Stats'!$C$2:$C1000, LOWER('Base Stats'!$B$2:$B1000) = LOWER($A430)), """")"),"0.9066666667")</f>
        <v>0.9066666667</v>
      </c>
      <c r="K430" t="str">
        <f t="shared" ca="1" si="1"/>
        <v/>
      </c>
      <c r="L430" t="str">
        <f ca="1">IFERROR(__xludf.DUMMYFUNCTION("IF(AND(NOT(K430 = """"), G430 &gt;= 15),K430/FILTER('Base Stats'!$C$2:$C1000, LOWER('Base Stats'!$B$2:$B1000) = LOWER($A430)), """")"),"0.04533333333")</f>
        <v>0.04533333333</v>
      </c>
      <c r="M430" t="str">
        <f ca="1">IFERROR(__xludf.DUMMYFUNCTION("1.15 + 0.02 * FILTER('Base Stats'!$C$2:$C1000, LOWER('Base Stats'!$B$2:$B1000) = LOWER($A430))"),"2.65")</f>
        <v>2.65</v>
      </c>
      <c r="N430">
        <v>1.2830188680000001</v>
      </c>
    </row>
    <row r="431" spans="1:14" ht="12.75" x14ac:dyDescent="0.2">
      <c r="A431" t="str">
        <f>'Form Responses (Pokemon Stats)'!B55</f>
        <v>Ponyta</v>
      </c>
      <c r="B431">
        <f>'Form Responses (Pokemon Stats)'!D55</f>
        <v>502</v>
      </c>
      <c r="C431">
        <f>'Form Responses (Pokemon Stats)'!C55</f>
        <v>51</v>
      </c>
      <c r="F431">
        <f>'Form Responses (Pokemon Stats)'!E55</f>
        <v>1300</v>
      </c>
      <c r="G431" t="str">
        <f ca="1">IFERROR(__xludf.DUMMYFUNCTION("ROUND(B431/ FILTER('Pokemon CP/HP'!$M$2:$M1000, LOWER('Pokemon CP/HP'!$B$2:$B1000)=LOWER(A431)))"),"24")</f>
        <v>24</v>
      </c>
      <c r="H431" t="str">
        <f ca="1">IFERROR(__xludf.DUMMYFUNCTION("FILTER('Leveling Info'!$B$2:$B1000, 'Leveling Info'!$A$2:$A1000 =G431)"),"1300")</f>
        <v>1300</v>
      </c>
      <c r="I431" s="29">
        <f t="shared" ca="1" si="0"/>
        <v>4.8989794855663558</v>
      </c>
      <c r="J431" s="29" t="str">
        <f ca="1">IFERROR(__xludf.DUMMYFUNCTION("IF(F431 = H431,C431/FILTER('Base Stats'!$C$2:$C1000, LOWER('Base Stats'!$B$2:$B1000) = LOWER($A431)), """")"),"1.02")</f>
        <v>1.02</v>
      </c>
      <c r="K431" t="str">
        <f t="shared" ca="1" si="1"/>
        <v/>
      </c>
      <c r="L431" t="str">
        <f ca="1">IFERROR(__xludf.DUMMYFUNCTION("IF(AND(NOT(K431 = """"), G431 &gt;= 15),K431/FILTER('Base Stats'!$C$2:$C1000, LOWER('Base Stats'!$B$2:$B1000) = LOWER($A431)), """")"),"0.0425")</f>
        <v>0.0425</v>
      </c>
      <c r="M431" t="str">
        <f ca="1">IFERROR(__xludf.DUMMYFUNCTION("1.15 + 0.02 * FILTER('Base Stats'!$C$2:$C1000, LOWER('Base Stats'!$B$2:$B1000) = LOWER($A431))"),"2.15")</f>
        <v>2.15</v>
      </c>
      <c r="N431">
        <v>0.98837209299999995</v>
      </c>
    </row>
    <row r="432" spans="1:14" ht="12.75" x14ac:dyDescent="0.2">
      <c r="A432" t="str">
        <f>'Form Responses (Pokemon Stats)'!B56</f>
        <v>Scyther</v>
      </c>
      <c r="B432">
        <f>'Form Responses (Pokemon Stats)'!D56</f>
        <v>487</v>
      </c>
      <c r="C432">
        <f>'Form Responses (Pokemon Stats)'!C56</f>
        <v>59</v>
      </c>
      <c r="F432">
        <f>'Form Responses (Pokemon Stats)'!E56</f>
        <v>800</v>
      </c>
      <c r="G432" t="str">
        <f ca="1">IFERROR(__xludf.DUMMYFUNCTION("ROUND(B432/ FILTER('Pokemon CP/HP'!$M$2:$M1000, LOWER('Pokemon CP/HP'!$B$2:$B1000)=LOWER(A432)))"),"16")</f>
        <v>16</v>
      </c>
      <c r="H432" t="str">
        <f ca="1">IFERROR(__xludf.DUMMYFUNCTION("FILTER('Leveling Info'!$B$2:$B1000, 'Leveling Info'!$A$2:$A1000 =G432)"),"800")</f>
        <v>800</v>
      </c>
      <c r="I432" s="29">
        <f t="shared" ca="1" si="0"/>
        <v>4</v>
      </c>
      <c r="J432" s="29" t="str">
        <f ca="1">IFERROR(__xludf.DUMMYFUNCTION("IF(F432 = H432,C432/FILTER('Base Stats'!$C$2:$C1000, LOWER('Base Stats'!$B$2:$B1000) = LOWER($A432)), """")"),"0.8428571429")</f>
        <v>0.8428571429</v>
      </c>
      <c r="K432" t="str">
        <f t="shared" ca="1" si="1"/>
        <v/>
      </c>
      <c r="L432" t="str">
        <f ca="1">IFERROR(__xludf.DUMMYFUNCTION("IF(AND(NOT(K432 = """"), G432 &gt;= 15),K432/FILTER('Base Stats'!$C$2:$C1000, LOWER('Base Stats'!$B$2:$B1000) = LOWER($A432)), """")"),"0.05267857143")</f>
        <v>0.05267857143</v>
      </c>
      <c r="M432" t="str">
        <f ca="1">IFERROR(__xludf.DUMMYFUNCTION("1.15 + 0.02 * FILTER('Base Stats'!$C$2:$C1000, LOWER('Base Stats'!$B$2:$B1000) = LOWER($A432))"),"2.55")</f>
        <v>2.55</v>
      </c>
      <c r="N432">
        <v>1.4460784310000001</v>
      </c>
    </row>
    <row r="433" spans="1:14" ht="12.75" x14ac:dyDescent="0.2">
      <c r="A433" t="str">
        <f>'Form Responses (Pokemon Stats)'!B57</f>
        <v>Pinsir</v>
      </c>
      <c r="B433">
        <f>'Form Responses (Pokemon Stats)'!D57</f>
        <v>446</v>
      </c>
      <c r="C433">
        <f>'Form Responses (Pokemon Stats)'!C57</f>
        <v>49</v>
      </c>
      <c r="F433">
        <f>'Form Responses (Pokemon Stats)'!E57</f>
        <v>800</v>
      </c>
      <c r="G433" t="str">
        <f ca="1">IFERROR(__xludf.DUMMYFUNCTION("ROUND(B433/ FILTER('Pokemon CP/HP'!$M$2:$M1000, LOWER('Pokemon CP/HP'!$B$2:$B1000)=LOWER(A433)))"),"15")</f>
        <v>15</v>
      </c>
      <c r="H433" t="str">
        <f ca="1">IFERROR(__xludf.DUMMYFUNCTION("FILTER('Leveling Info'!$B$2:$B1000, 'Leveling Info'!$A$2:$A1000 =G433)"),"800")</f>
        <v>800</v>
      </c>
      <c r="I433" s="29">
        <f t="shared" ca="1" si="0"/>
        <v>3.872983346207417</v>
      </c>
      <c r="J433" s="29" t="str">
        <f ca="1">IFERROR(__xludf.DUMMYFUNCTION("IF(F433 = H433,C433/FILTER('Base Stats'!$C$2:$C1000, LOWER('Base Stats'!$B$2:$B1000) = LOWER($A433)), """")"),"0.7538461538")</f>
        <v>0.7538461538</v>
      </c>
      <c r="K433" t="str">
        <f t="shared" ca="1" si="1"/>
        <v/>
      </c>
      <c r="L433" t="str">
        <f ca="1">IFERROR(__xludf.DUMMYFUNCTION("IF(AND(NOT(K433 = """"), G433 &gt;= 15),K433/FILTER('Base Stats'!$C$2:$C1000, LOWER('Base Stats'!$B$2:$B1000) = LOWER($A433)), """")"),"0.05025641026")</f>
        <v>0.05025641026</v>
      </c>
      <c r="M433" t="str">
        <f ca="1">IFERROR(__xludf.DUMMYFUNCTION("1.15 + 0.02 * FILTER('Base Stats'!$C$2:$C1000, LOWER('Base Stats'!$B$2:$B1000) = LOWER($A433))"),"2.45")</f>
        <v>2.45</v>
      </c>
      <c r="N433">
        <v>1.3333333329999999</v>
      </c>
    </row>
    <row r="434" spans="1:14" ht="12.75" x14ac:dyDescent="0.2">
      <c r="A434" t="str">
        <f>'Form Responses (Pokemon Stats)'!B58</f>
        <v>Grimer</v>
      </c>
      <c r="B434">
        <f>'Form Responses (Pokemon Stats)'!D58</f>
        <v>384</v>
      </c>
      <c r="C434">
        <f>'Form Responses (Pokemon Stats)'!C58</f>
        <v>77</v>
      </c>
      <c r="F434">
        <f>'Form Responses (Pokemon Stats)'!E58</f>
        <v>1300</v>
      </c>
      <c r="G434" t="str">
        <f ca="1">IFERROR(__xludf.DUMMYFUNCTION("ROUND(B434/ FILTER('Pokemon CP/HP'!$M$2:$M1000, LOWER('Pokemon CP/HP'!$B$2:$B1000)=LOWER(A434)))"),"23")</f>
        <v>23</v>
      </c>
      <c r="H434" t="str">
        <f ca="1">IFERROR(__xludf.DUMMYFUNCTION("FILTER('Leveling Info'!$B$2:$B1000, 'Leveling Info'!$A$2:$A1000 =G434)"),"1300")</f>
        <v>1300</v>
      </c>
      <c r="I434" s="29">
        <f t="shared" ca="1" si="0"/>
        <v>4.7958315233127191</v>
      </c>
      <c r="J434" s="29" t="str">
        <f ca="1">IFERROR(__xludf.DUMMYFUNCTION("IF(F434 = H434,C434/FILTER('Base Stats'!$C$2:$C1000, LOWER('Base Stats'!$B$2:$B1000) = LOWER($A434)), """")"),"0.9625")</f>
        <v>0.9625</v>
      </c>
      <c r="K434" t="str">
        <f t="shared" ca="1" si="1"/>
        <v/>
      </c>
      <c r="L434" t="str">
        <f ca="1">IFERROR(__xludf.DUMMYFUNCTION("IF(AND(NOT(K434 = """"), G434 &gt;= 15),K434/FILTER('Base Stats'!$C$2:$C1000, LOWER('Base Stats'!$B$2:$B1000) = LOWER($A434)), """")"),"0.04184782609")</f>
        <v>0.04184782609</v>
      </c>
      <c r="M434" t="str">
        <f ca="1">IFERROR(__xludf.DUMMYFUNCTION("1.15 + 0.02 * FILTER('Base Stats'!$C$2:$C1000, LOWER('Base Stats'!$B$2:$B1000) = LOWER($A434))"),"2.75")</f>
        <v>2.75</v>
      </c>
      <c r="N434">
        <v>1.217391304</v>
      </c>
    </row>
    <row r="435" spans="1:14" ht="12.75" x14ac:dyDescent="0.2">
      <c r="A435" t="str">
        <f>'Form Responses (Pokemon Stats)'!B59</f>
        <v>Venonat</v>
      </c>
      <c r="B435">
        <f>'Form Responses (Pokemon Stats)'!D59</f>
        <v>370</v>
      </c>
      <c r="C435">
        <f>'Form Responses (Pokemon Stats)'!C59</f>
        <v>64</v>
      </c>
      <c r="F435">
        <f>'Form Responses (Pokemon Stats)'!E59</f>
        <v>1600</v>
      </c>
      <c r="G435" t="str">
        <f ca="1">IFERROR(__xludf.DUMMYFUNCTION("ROUND(B435/ FILTER('Pokemon CP/HP'!$M$2:$M1000, LOWER('Pokemon CP/HP'!$B$2:$B1000)=LOWER(A435)))"),"26")</f>
        <v>26</v>
      </c>
      <c r="H435" t="str">
        <f ca="1">IFERROR(__xludf.DUMMYFUNCTION("FILTER('Leveling Info'!$B$2:$B1000, 'Leveling Info'!$A$2:$A1000 =G435)"),"1600")</f>
        <v>1600</v>
      </c>
      <c r="I435" s="29">
        <f t="shared" ca="1" si="0"/>
        <v>5.0990195135927845</v>
      </c>
      <c r="J435" s="29" t="str">
        <f ca="1">IFERROR(__xludf.DUMMYFUNCTION("IF(F435 = H435,C435/FILTER('Base Stats'!$C$2:$C1000, LOWER('Base Stats'!$B$2:$B1000) = LOWER($A435)), """")"),"1.066666667")</f>
        <v>1.066666667</v>
      </c>
      <c r="K435" t="str">
        <f t="shared" ca="1" si="1"/>
        <v/>
      </c>
      <c r="L435" t="str">
        <f ca="1">IFERROR(__xludf.DUMMYFUNCTION("IF(AND(NOT(K435 = """"), G435 &gt;= 15),K435/FILTER('Base Stats'!$C$2:$C1000, LOWER('Base Stats'!$B$2:$B1000) = LOWER($A435)), """")"),"0.04102564103")</f>
        <v>0.04102564103</v>
      </c>
      <c r="M435" t="str">
        <f ca="1">IFERROR(__xludf.DUMMYFUNCTION("1.15 + 0.02 * FILTER('Base Stats'!$C$2:$C1000, LOWER('Base Stats'!$B$2:$B1000) = LOWER($A435))"),"2.35")</f>
        <v>2.35</v>
      </c>
      <c r="N435">
        <v>1.0474631750000001</v>
      </c>
    </row>
    <row r="436" spans="1:14" ht="12.75" x14ac:dyDescent="0.2">
      <c r="A436" t="str">
        <f>'Form Responses (Pokemon Stats)'!B60</f>
        <v>Pidgeotto</v>
      </c>
      <c r="B436">
        <f>'Form Responses (Pokemon Stats)'!D60</f>
        <v>345</v>
      </c>
      <c r="C436">
        <f>'Form Responses (Pokemon Stats)'!C60</f>
        <v>59</v>
      </c>
      <c r="F436">
        <f>'Form Responses (Pokemon Stats)'!E60</f>
        <v>1300</v>
      </c>
      <c r="G436" t="str">
        <f ca="1">IFERROR(__xludf.DUMMYFUNCTION("ROUND(B436/ FILTER('Pokemon CP/HP'!$M$2:$M1000, LOWER('Pokemon CP/HP'!$B$2:$B1000)=LOWER(A436)))"),"19")</f>
        <v>19</v>
      </c>
      <c r="H436" t="str">
        <f ca="1">IFERROR(__xludf.DUMMYFUNCTION("FILTER('Leveling Info'!$B$2:$B1000, 'Leveling Info'!$A$2:$A1000 =G436)"),"1000")</f>
        <v>1000</v>
      </c>
      <c r="I436" s="29">
        <f t="shared" ca="1" si="0"/>
        <v>4.358898943540674</v>
      </c>
      <c r="J436" s="29" t="str">
        <f ca="1">IFERROR(__xludf.DUMMYFUNCTION("IF(F436 = H436,C436/FILTER('Base Stats'!$C$2:$C1000, LOWER('Base Stats'!$B$2:$B1000) = LOWER($A436)), """")"),"")</f>
        <v/>
      </c>
      <c r="K436" t="str">
        <f t="shared" ca="1" si="1"/>
        <v/>
      </c>
      <c r="L436" t="str">
        <f ca="1">IFERROR(__xludf.DUMMYFUNCTION("IF(AND(NOT(K436 = """"), G436 &gt;= 15),K436/FILTER('Base Stats'!$C$2:$C1000, LOWER('Base Stats'!$B$2:$B1000) = LOWER($A436)), """")"),"")</f>
        <v/>
      </c>
      <c r="M436" t="str">
        <f ca="1">IFERROR(__xludf.DUMMYFUNCTION("1.15 + 0.02 * FILTER('Base Stats'!$C$2:$C1000, LOWER('Base Stats'!$B$2:$B1000) = LOWER($A436))"),"2.41")</f>
        <v>2.41</v>
      </c>
      <c r="N436" t="s">
        <v>527</v>
      </c>
    </row>
    <row r="437" spans="1:14" ht="12.75" x14ac:dyDescent="0.2">
      <c r="A437" t="str">
        <f>'Form Responses (Pokemon Stats)'!B61</f>
        <v>Seel</v>
      </c>
      <c r="B437">
        <f>'Form Responses (Pokemon Stats)'!D61</f>
        <v>330</v>
      </c>
      <c r="C437">
        <f>'Form Responses (Pokemon Stats)'!C61</f>
        <v>64</v>
      </c>
      <c r="F437">
        <f>'Form Responses (Pokemon Stats)'!E61</f>
        <v>1300</v>
      </c>
      <c r="G437" t="str">
        <f ca="1">IFERROR(__xludf.DUMMYFUNCTION("ROUND(B437/ FILTER('Pokemon CP/HP'!$M$2:$M1000, LOWER('Pokemon CP/HP'!$B$2:$B1000)=LOWER(A437)))"),"21")</f>
        <v>21</v>
      </c>
      <c r="H437" t="str">
        <f ca="1">IFERROR(__xludf.DUMMYFUNCTION("FILTER('Leveling Info'!$B$2:$B1000, 'Leveling Info'!$A$2:$A1000 =G437)"),"1300")</f>
        <v>1300</v>
      </c>
      <c r="I437" s="29">
        <f t="shared" ca="1" si="0"/>
        <v>4.5825756949558398</v>
      </c>
      <c r="J437" s="29" t="str">
        <f ca="1">IFERROR(__xludf.DUMMYFUNCTION("IF(F437 = H437,C437/FILTER('Base Stats'!$C$2:$C1000, LOWER('Base Stats'!$B$2:$B1000) = LOWER($A437)), """")"),"0.9846153846")</f>
        <v>0.9846153846</v>
      </c>
      <c r="K437" t="str">
        <f t="shared" ca="1" si="1"/>
        <v/>
      </c>
      <c r="L437" t="str">
        <f ca="1">IFERROR(__xludf.DUMMYFUNCTION("IF(AND(NOT(K437 = """"), G437 &gt;= 15),K437/FILTER('Base Stats'!$C$2:$C1000, LOWER('Base Stats'!$B$2:$B1000) = LOWER($A437)), """")"),"0.04688644689")</f>
        <v>0.04688644689</v>
      </c>
      <c r="M437" t="str">
        <f ca="1">IFERROR(__xludf.DUMMYFUNCTION("1.15 + 0.02 * FILTER('Base Stats'!$C$2:$C1000, LOWER('Base Stats'!$B$2:$B1000) = LOWER($A437))"),"2.45")</f>
        <v>2.45</v>
      </c>
      <c r="N437">
        <v>1.2439261420000001</v>
      </c>
    </row>
    <row r="438" spans="1:14" ht="12.75" x14ac:dyDescent="0.2">
      <c r="A438" t="str">
        <f>'Form Responses (Pokemon Stats)'!B62</f>
        <v>Vaporeon</v>
      </c>
      <c r="B438">
        <f>'Form Responses (Pokemon Stats)'!D62</f>
        <v>1782</v>
      </c>
      <c r="C438">
        <f>'Form Responses (Pokemon Stats)'!C62</f>
        <v>171</v>
      </c>
      <c r="F438">
        <f>'Form Responses (Pokemon Stats)'!E62</f>
        <v>3000</v>
      </c>
      <c r="G438" t="str">
        <f ca="1">IFERROR(__xludf.DUMMYFUNCTION("ROUND(B438/ FILTER('Pokemon CP/HP'!$M$2:$M1000, LOWER('Pokemon CP/HP'!$B$2:$B1000)=LOWER(A438)))"),"45")</f>
        <v>45</v>
      </c>
      <c r="H438" t="str">
        <f ca="1">IFERROR(__xludf.DUMMYFUNCTION("FILTER('Leveling Info'!$B$2:$B1000, 'Leveling Info'!$A$2:$A1000 =G438)"),"3500")</f>
        <v>3500</v>
      </c>
      <c r="I438" s="29">
        <f t="shared" ca="1" si="0"/>
        <v>6.7082039324993694</v>
      </c>
      <c r="J438" s="29" t="str">
        <f ca="1">IFERROR(__xludf.DUMMYFUNCTION("IF(F438 = H438,C438/FILTER('Base Stats'!$C$2:$C1000, LOWER('Base Stats'!$B$2:$B1000) = LOWER($A438)), """")"),"")</f>
        <v/>
      </c>
      <c r="K438" t="str">
        <f t="shared" ca="1" si="1"/>
        <v/>
      </c>
      <c r="L438" t="str">
        <f ca="1">IFERROR(__xludf.DUMMYFUNCTION("IF(AND(NOT(K438 = """"), G438 &gt;= 15),K438/FILTER('Base Stats'!$C$2:$C1000, LOWER('Base Stats'!$B$2:$B1000) = LOWER($A438)), """")"),"")</f>
        <v/>
      </c>
      <c r="M438" t="str">
        <f ca="1">IFERROR(__xludf.DUMMYFUNCTION("1.15 + 0.02 * FILTER('Base Stats'!$C$2:$C1000, LOWER('Base Stats'!$B$2:$B1000) = LOWER($A438))"),"3.75")</f>
        <v>3.75</v>
      </c>
      <c r="N438" t="s">
        <v>527</v>
      </c>
    </row>
    <row r="439" spans="1:14" ht="12.75" x14ac:dyDescent="0.2">
      <c r="A439" t="str">
        <f>'Form Responses (Pokemon Stats)'!B63</f>
        <v>Vaporeon</v>
      </c>
      <c r="B439">
        <f>'Form Responses (Pokemon Stats)'!D63</f>
        <v>1567</v>
      </c>
      <c r="C439">
        <f>'Form Responses (Pokemon Stats)'!C63</f>
        <v>165</v>
      </c>
      <c r="F439">
        <f>'Form Responses (Pokemon Stats)'!E63</f>
        <v>3000</v>
      </c>
      <c r="G439" t="str">
        <f ca="1">IFERROR(__xludf.DUMMYFUNCTION("ROUND(B439/ FILTER('Pokemon CP/HP'!$M$2:$M1000, LOWER('Pokemon CP/HP'!$B$2:$B1000)=LOWER(A439)))"),"40")</f>
        <v>40</v>
      </c>
      <c r="H439" t="str">
        <f ca="1">IFERROR(__xludf.DUMMYFUNCTION("FILTER('Leveling Info'!$B$2:$B1000, 'Leveling Info'!$A$2:$A1000 =G439)"),"2500")</f>
        <v>2500</v>
      </c>
      <c r="I439" s="29">
        <f t="shared" ca="1" si="0"/>
        <v>6.324555320336759</v>
      </c>
      <c r="J439" s="29" t="str">
        <f ca="1">IFERROR(__xludf.DUMMYFUNCTION("IF(F439 = H439,C439/FILTER('Base Stats'!$C$2:$C1000, LOWER('Base Stats'!$B$2:$B1000) = LOWER($A439)), """")"),"")</f>
        <v/>
      </c>
      <c r="K439" t="str">
        <f t="shared" ca="1" si="1"/>
        <v/>
      </c>
      <c r="L439" t="str">
        <f ca="1">IFERROR(__xludf.DUMMYFUNCTION("IF(AND(NOT(K439 = """"), G439 &gt;= 15),K439/FILTER('Base Stats'!$C$2:$C1000, LOWER('Base Stats'!$B$2:$B1000) = LOWER($A439)), """")"),"")</f>
        <v/>
      </c>
      <c r="M439" t="str">
        <f ca="1">IFERROR(__xludf.DUMMYFUNCTION("1.15 + 0.02 * FILTER('Base Stats'!$C$2:$C1000, LOWER('Base Stats'!$B$2:$B1000) = LOWER($A439))"),"3.75")</f>
        <v>3.75</v>
      </c>
      <c r="N439" t="s">
        <v>527</v>
      </c>
    </row>
    <row r="440" spans="1:14" ht="12.75" x14ac:dyDescent="0.2">
      <c r="A440" t="str">
        <f>'Form Responses (Pokemon Stats)'!B64</f>
        <v>Blastoise</v>
      </c>
      <c r="B440">
        <f>'Form Responses (Pokemon Stats)'!D64</f>
        <v>1534</v>
      </c>
      <c r="C440">
        <f>'Form Responses (Pokemon Stats)'!C64</f>
        <v>106</v>
      </c>
      <c r="F440">
        <f>'Form Responses (Pokemon Stats)'!E64</f>
        <v>3500</v>
      </c>
      <c r="G440" t="str">
        <f ca="1">IFERROR(__xludf.DUMMYFUNCTION("ROUND(B440/ FILTER('Pokemon CP/HP'!$M$2:$M1000, LOWER('Pokemon CP/HP'!$B$2:$B1000)=LOWER(A440)))"),"49")</f>
        <v>49</v>
      </c>
      <c r="H440" t="str">
        <f ca="1">IFERROR(__xludf.DUMMYFUNCTION("FILTER('Leveling Info'!$B$2:$B1000, 'Leveling Info'!$A$2:$A1000 =G440)"),"4000")</f>
        <v>4000</v>
      </c>
      <c r="I440" s="29">
        <f t="shared" ca="1" si="0"/>
        <v>7</v>
      </c>
      <c r="J440" s="29" t="str">
        <f ca="1">IFERROR(__xludf.DUMMYFUNCTION("IF(F440 = H440,C440/FILTER('Base Stats'!$C$2:$C1000, LOWER('Base Stats'!$B$2:$B1000) = LOWER($A440)), """")"),"")</f>
        <v/>
      </c>
      <c r="K440" t="str">
        <f t="shared" ca="1" si="1"/>
        <v/>
      </c>
      <c r="L440" t="str">
        <f ca="1">IFERROR(__xludf.DUMMYFUNCTION("IF(AND(NOT(K440 = """"), G440 &gt;= 15),K440/FILTER('Base Stats'!$C$2:$C1000, LOWER('Base Stats'!$B$2:$B1000) = LOWER($A440)), """")"),"")</f>
        <v/>
      </c>
      <c r="M440" t="str">
        <f ca="1">IFERROR(__xludf.DUMMYFUNCTION("1.15 + 0.02 * FILTER('Base Stats'!$C$2:$C1000, LOWER('Base Stats'!$B$2:$B1000) = LOWER($A440))"),"2.73")</f>
        <v>2.73</v>
      </c>
      <c r="N440" t="s">
        <v>527</v>
      </c>
    </row>
    <row r="441" spans="1:14" ht="12.75" x14ac:dyDescent="0.2">
      <c r="A441" t="str">
        <f>'Form Responses (Pokemon Stats)'!B65</f>
        <v>Flareon</v>
      </c>
      <c r="B441">
        <f>'Form Responses (Pokemon Stats)'!D65</f>
        <v>1451</v>
      </c>
      <c r="C441">
        <f>'Form Responses (Pokemon Stats)'!C65</f>
        <v>86</v>
      </c>
      <c r="F441">
        <f>'Form Responses (Pokemon Stats)'!E65</f>
        <v>2500</v>
      </c>
      <c r="G441" t="str">
        <f ca="1">IFERROR(__xludf.DUMMYFUNCTION("ROUND(B441/ FILTER('Pokemon CP/HP'!$M$2:$M1000, LOWER('Pokemon CP/HP'!$B$2:$B1000)=LOWER(A441)))"),"39")</f>
        <v>39</v>
      </c>
      <c r="H441" t="str">
        <f ca="1">IFERROR(__xludf.DUMMYFUNCTION("FILTER('Leveling Info'!$B$2:$B1000, 'Leveling Info'!$A$2:$A1000 =G441)"),"2500")</f>
        <v>2500</v>
      </c>
      <c r="I441" s="29">
        <f t="shared" ca="1" si="0"/>
        <v>6.2449979983983983</v>
      </c>
      <c r="J441" s="29" t="str">
        <f ca="1">IFERROR(__xludf.DUMMYFUNCTION("IF(F441 = H441,C441/FILTER('Base Stats'!$C$2:$C1000, LOWER('Base Stats'!$B$2:$B1000) = LOWER($A441)), """")"),"1.323076923")</f>
        <v>1.323076923</v>
      </c>
      <c r="K441" t="str">
        <f t="shared" ca="1" si="1"/>
        <v/>
      </c>
      <c r="L441" t="str">
        <f ca="1">IFERROR(__xludf.DUMMYFUNCTION("IF(AND(NOT(K441 = """"), G441 &gt;= 15),K441/FILTER('Base Stats'!$C$2:$C1000, LOWER('Base Stats'!$B$2:$B1000) = LOWER($A441)), """")"),"0.03392504931")</f>
        <v>0.03392504931</v>
      </c>
      <c r="M441" t="str">
        <f ca="1">IFERROR(__xludf.DUMMYFUNCTION("1.15 + 0.02 * FILTER('Base Stats'!$C$2:$C1000, LOWER('Base Stats'!$B$2:$B1000) = LOWER($A441))"),"2.45")</f>
        <v>2.45</v>
      </c>
      <c r="N441">
        <v>0.90005232859999995</v>
      </c>
    </row>
    <row r="442" spans="1:14" ht="12.75" x14ac:dyDescent="0.2">
      <c r="A442" t="str">
        <f>'Form Responses (Pokemon Stats)'!B66</f>
        <v>Nidoking</v>
      </c>
      <c r="B442">
        <f>'Form Responses (Pokemon Stats)'!D66</f>
        <v>1425</v>
      </c>
      <c r="C442">
        <f>'Form Responses (Pokemon Stats)'!C66</f>
        <v>105</v>
      </c>
      <c r="F442">
        <f>'Form Responses (Pokemon Stats)'!E66</f>
        <v>2500</v>
      </c>
      <c r="G442" t="str">
        <f ca="1">IFERROR(__xludf.DUMMYFUNCTION("ROUND(B442/ FILTER('Pokemon CP/HP'!$M$2:$M1000, LOWER('Pokemon CP/HP'!$B$2:$B1000)=LOWER(A442)))"),"42")</f>
        <v>42</v>
      </c>
      <c r="H442" t="str">
        <f ca="1">IFERROR(__xludf.DUMMYFUNCTION("FILTER('Leveling Info'!$B$2:$B1000, 'Leveling Info'!$A$2:$A1000 =G442)"),"3000")</f>
        <v>3000</v>
      </c>
      <c r="I442" s="29">
        <f t="shared" ca="1" si="0"/>
        <v>6.4807406984078604</v>
      </c>
      <c r="J442" s="29" t="str">
        <f ca="1">IFERROR(__xludf.DUMMYFUNCTION("IF(F442 = H442,C442/FILTER('Base Stats'!$C$2:$C1000, LOWER('Base Stats'!$B$2:$B1000) = LOWER($A442)), """")"),"")</f>
        <v/>
      </c>
      <c r="K442" t="str">
        <f t="shared" ca="1" si="1"/>
        <v/>
      </c>
      <c r="L442" t="str">
        <f ca="1">IFERROR(__xludf.DUMMYFUNCTION("IF(AND(NOT(K442 = """"), G442 &gt;= 15),K442/FILTER('Base Stats'!$C$2:$C1000, LOWER('Base Stats'!$B$2:$B1000) = LOWER($A442)), """")"),"")</f>
        <v/>
      </c>
      <c r="M442" t="str">
        <f ca="1">IFERROR(__xludf.DUMMYFUNCTION("1.15 + 0.02 * FILTER('Base Stats'!$C$2:$C1000, LOWER('Base Stats'!$B$2:$B1000) = LOWER($A442))"),"2.77")</f>
        <v>2.77</v>
      </c>
      <c r="N442" t="s">
        <v>527</v>
      </c>
    </row>
    <row r="443" spans="1:14" ht="12.75" x14ac:dyDescent="0.2">
      <c r="A443" t="str">
        <f>'Form Responses (Pokemon Stats)'!B67</f>
        <v>Flareon</v>
      </c>
      <c r="B443">
        <f>'Form Responses (Pokemon Stats)'!D67</f>
        <v>1369</v>
      </c>
      <c r="C443">
        <f>'Form Responses (Pokemon Stats)'!C67</f>
        <v>76</v>
      </c>
      <c r="F443">
        <f>'Form Responses (Pokemon Stats)'!E67</f>
        <v>2500</v>
      </c>
      <c r="G443" t="str">
        <f ca="1">IFERROR(__xludf.DUMMYFUNCTION("ROUND(B443/ FILTER('Pokemon CP/HP'!$M$2:$M1000, LOWER('Pokemon CP/HP'!$B$2:$B1000)=LOWER(A443)))"),"37")</f>
        <v>37</v>
      </c>
      <c r="H443" t="str">
        <f ca="1">IFERROR(__xludf.DUMMYFUNCTION("FILTER('Leveling Info'!$B$2:$B1000, 'Leveling Info'!$A$2:$A1000 =G443)"),"2500")</f>
        <v>2500</v>
      </c>
      <c r="I443" s="29">
        <f t="shared" ca="1" si="0"/>
        <v>6.0827625302982193</v>
      </c>
      <c r="J443" s="29" t="str">
        <f ca="1">IFERROR(__xludf.DUMMYFUNCTION("IF(F443 = H443,C443/FILTER('Base Stats'!$C$2:$C1000, LOWER('Base Stats'!$B$2:$B1000) = LOWER($A443)), """")"),"1.169230769")</f>
        <v>1.169230769</v>
      </c>
      <c r="K443" t="str">
        <f t="shared" ca="1" si="1"/>
        <v/>
      </c>
      <c r="L443" t="str">
        <f ca="1">IFERROR(__xludf.DUMMYFUNCTION("IF(AND(NOT(K443 = """"), G443 &gt;= 15),K443/FILTER('Base Stats'!$C$2:$C1000, LOWER('Base Stats'!$B$2:$B1000) = LOWER($A443)), """")"),"0.0316008316")</f>
        <v>0.0316008316</v>
      </c>
      <c r="M443" t="str">
        <f ca="1">IFERROR(__xludf.DUMMYFUNCTION("1.15 + 0.02 * FILTER('Base Stats'!$C$2:$C1000, LOWER('Base Stats'!$B$2:$B1000) = LOWER($A443))"),"2.45")</f>
        <v>2.45</v>
      </c>
      <c r="N443">
        <v>0.83838940979999999</v>
      </c>
    </row>
    <row r="444" spans="1:14" ht="12.75" x14ac:dyDescent="0.2">
      <c r="A444" t="str">
        <f>'Form Responses (Pokemon Stats)'!B68</f>
        <v>Tentacruel</v>
      </c>
      <c r="B444">
        <f>'Form Responses (Pokemon Stats)'!D68</f>
        <v>1316</v>
      </c>
      <c r="C444">
        <f>'Form Responses (Pokemon Stats)'!C68</f>
        <v>104</v>
      </c>
      <c r="F444">
        <f>'Form Responses (Pokemon Stats)'!E68</f>
        <v>3000</v>
      </c>
      <c r="G444" t="str">
        <f ca="1">IFERROR(__xludf.DUMMYFUNCTION("ROUND(B444/ FILTER('Pokemon CP/HP'!$M$2:$M1000, LOWER('Pokemon CP/HP'!$B$2:$B1000)=LOWER(A444)))"),"44")</f>
        <v>44</v>
      </c>
      <c r="H444" t="str">
        <f ca="1">IFERROR(__xludf.DUMMYFUNCTION("FILTER('Leveling Info'!$B$2:$B1000, 'Leveling Info'!$A$2:$A1000 =G444)"),"3000")</f>
        <v>3000</v>
      </c>
      <c r="I444" s="29">
        <f t="shared" ca="1" si="0"/>
        <v>6.6332495807107996</v>
      </c>
      <c r="J444" s="29" t="str">
        <f ca="1">IFERROR(__xludf.DUMMYFUNCTION("IF(F444 = H444,C444/FILTER('Base Stats'!$C$2:$C1000, LOWER('Base Stats'!$B$2:$B1000) = LOWER($A444)), """")"),"1.3")</f>
        <v>1.3</v>
      </c>
      <c r="K444" t="str">
        <f t="shared" ca="1" si="1"/>
        <v/>
      </c>
      <c r="L444" t="str">
        <f ca="1">IFERROR(__xludf.DUMMYFUNCTION("IF(AND(NOT(K444 = """"), G444 &gt;= 15),K444/FILTER('Base Stats'!$C$2:$C1000, LOWER('Base Stats'!$B$2:$B1000) = LOWER($A444)), """")"),"0.02954545455")</f>
        <v>0.02954545455</v>
      </c>
      <c r="M444" t="str">
        <f ca="1">IFERROR(__xludf.DUMMYFUNCTION("1.15 + 0.02 * FILTER('Base Stats'!$C$2:$C1000, LOWER('Base Stats'!$B$2:$B1000) = LOWER($A444))"),"2.75")</f>
        <v>2.75</v>
      </c>
      <c r="N444">
        <v>0.85950413219999999</v>
      </c>
    </row>
    <row r="445" spans="1:14" ht="12.75" x14ac:dyDescent="0.2">
      <c r="A445" t="str">
        <f>'Form Responses (Pokemon Stats)'!B69</f>
        <v>Jolteon</v>
      </c>
      <c r="B445">
        <f>'Form Responses (Pokemon Stats)'!D69</f>
        <v>1316</v>
      </c>
      <c r="C445">
        <f>'Form Responses (Pokemon Stats)'!C69</f>
        <v>90</v>
      </c>
      <c r="F445">
        <f>'Form Responses (Pokemon Stats)'!E69</f>
        <v>3000</v>
      </c>
      <c r="G445" t="str">
        <f ca="1">IFERROR(__xludf.DUMMYFUNCTION("ROUND(B445/ FILTER('Pokemon CP/HP'!$M$2:$M1000, LOWER('Pokemon CP/HP'!$B$2:$B1000)=LOWER(A445)))"),"44")</f>
        <v>44</v>
      </c>
      <c r="H445" t="str">
        <f ca="1">IFERROR(__xludf.DUMMYFUNCTION("FILTER('Leveling Info'!$B$2:$B1000, 'Leveling Info'!$A$2:$A1000 =G445)"),"3000")</f>
        <v>3000</v>
      </c>
      <c r="I445" s="29">
        <f t="shared" ca="1" si="0"/>
        <v>6.6332495807107996</v>
      </c>
      <c r="J445" s="29" t="str">
        <f ca="1">IFERROR(__xludf.DUMMYFUNCTION("IF(F445 = H445,C445/FILTER('Base Stats'!$C$2:$C1000, LOWER('Base Stats'!$B$2:$B1000) = LOWER($A445)), """")"),"1.384615385")</f>
        <v>1.384615385</v>
      </c>
      <c r="K445" t="str">
        <f t="shared" ca="1" si="1"/>
        <v/>
      </c>
      <c r="L445" t="str">
        <f ca="1">IFERROR(__xludf.DUMMYFUNCTION("IF(AND(NOT(K445 = """"), G445 &gt;= 15),K445/FILTER('Base Stats'!$C$2:$C1000, LOWER('Base Stats'!$B$2:$B1000) = LOWER($A445)), """")"),"0.03146853147")</f>
        <v>0.03146853147</v>
      </c>
      <c r="M445" t="str">
        <f ca="1">IFERROR(__xludf.DUMMYFUNCTION("1.15 + 0.02 * FILTER('Base Stats'!$C$2:$C1000, LOWER('Base Stats'!$B$2:$B1000) = LOWER($A445))"),"2.45")</f>
        <v>2.45</v>
      </c>
      <c r="N445">
        <v>0.83487940630000002</v>
      </c>
    </row>
    <row r="446" spans="1:14" ht="12.75" x14ac:dyDescent="0.2">
      <c r="A446" t="str">
        <f>'Form Responses (Pokemon Stats)'!B70</f>
        <v>Kangaskhan</v>
      </c>
      <c r="B446">
        <f>'Form Responses (Pokemon Stats)'!D70</f>
        <v>1141</v>
      </c>
      <c r="C446">
        <f>'Form Responses (Pokemon Stats)'!C70</f>
        <v>134</v>
      </c>
      <c r="F446">
        <f>'Form Responses (Pokemon Stats)'!E70</f>
        <v>2500</v>
      </c>
      <c r="G446" t="str">
        <f ca="1">IFERROR(__xludf.DUMMYFUNCTION("ROUND(B446/ FILTER('Pokemon CP/HP'!$M$2:$M1000, LOWER('Pokemon CP/HP'!$B$2:$B1000)=LOWER(A446)))"),"39")</f>
        <v>39</v>
      </c>
      <c r="H446" t="str">
        <f ca="1">IFERROR(__xludf.DUMMYFUNCTION("FILTER('Leveling Info'!$B$2:$B1000, 'Leveling Info'!$A$2:$A1000 =G446)"),"2500")</f>
        <v>2500</v>
      </c>
      <c r="I446" s="29">
        <f t="shared" ca="1" si="0"/>
        <v>6.2449979983983983</v>
      </c>
      <c r="J446" s="29" t="str">
        <f ca="1">IFERROR(__xludf.DUMMYFUNCTION("IF(F446 = H446,C446/FILTER('Base Stats'!$C$2:$C1000, LOWER('Base Stats'!$B$2:$B1000) = LOWER($A446)), """")"),"1.276190476")</f>
        <v>1.276190476</v>
      </c>
      <c r="K446" t="str">
        <f t="shared" ca="1" si="1"/>
        <v/>
      </c>
      <c r="L446" t="str">
        <f ca="1">IFERROR(__xludf.DUMMYFUNCTION("IF(AND(NOT(K446 = """"), G446 &gt;= 15),K446/FILTER('Base Stats'!$C$2:$C1000, LOWER('Base Stats'!$B$2:$B1000) = LOWER($A446)), """")"),"0.03272283272")</f>
        <v>0.03272283272</v>
      </c>
      <c r="M446" t="str">
        <f ca="1">IFERROR(__xludf.DUMMYFUNCTION("1.15 + 0.02 * FILTER('Base Stats'!$C$2:$C1000, LOWER('Base Stats'!$B$2:$B1000) = LOWER($A446))"),"3.25")</f>
        <v>3.25</v>
      </c>
      <c r="N446">
        <v>1.0571992109999999</v>
      </c>
    </row>
    <row r="447" spans="1:14" ht="12.75" x14ac:dyDescent="0.2">
      <c r="A447" t="str">
        <f>'Form Responses (Pokemon Stats)'!B71</f>
        <v>Tauros</v>
      </c>
      <c r="B447">
        <f>'Form Responses (Pokemon Stats)'!D71</f>
        <v>79</v>
      </c>
      <c r="C447">
        <f>'Form Responses (Pokemon Stats)'!C71</f>
        <v>25</v>
      </c>
      <c r="F447">
        <f>'Form Responses (Pokemon Stats)'!E71</f>
        <v>200</v>
      </c>
      <c r="G447" t="str">
        <f ca="1">IFERROR(__xludf.DUMMYFUNCTION("ROUND(B447/ FILTER('Pokemon CP/HP'!$M$2:$M1000, LOWER('Pokemon CP/HP'!$B$2:$B1000)=LOWER(A447)))"),"3")</f>
        <v>3</v>
      </c>
      <c r="H447" t="str">
        <f ca="1">IFERROR(__xludf.DUMMYFUNCTION("FILTER('Leveling Info'!$B$2:$B1000, 'Leveling Info'!$A$2:$A1000 =G447)"),"200")</f>
        <v>200</v>
      </c>
      <c r="I447" s="29">
        <f t="shared" ca="1" si="0"/>
        <v>1.7320508075688772</v>
      </c>
      <c r="J447" s="29" t="str">
        <f ca="1">IFERROR(__xludf.DUMMYFUNCTION("IF(F447 = H447,C447/FILTER('Base Stats'!$C$2:$C1000, LOWER('Base Stats'!$B$2:$B1000) = LOWER($A447)), """")"),"0.3333333333")</f>
        <v>0.3333333333</v>
      </c>
      <c r="K447" t="str">
        <f t="shared" ca="1" si="1"/>
        <v/>
      </c>
      <c r="L447" t="str">
        <f ca="1">IFERROR(__xludf.DUMMYFUNCTION("IF(AND(NOT(K447 = """"), G447 &gt;= 15),K447/FILTER('Base Stats'!$C$2:$C1000, LOWER('Base Stats'!$B$2:$B1000) = LOWER($A447)), """")"),"")</f>
        <v/>
      </c>
      <c r="M447" t="str">
        <f ca="1">IFERROR(__xludf.DUMMYFUNCTION("1.15 + 0.02 * FILTER('Base Stats'!$C$2:$C1000, LOWER('Base Stats'!$B$2:$B1000) = LOWER($A447))"),"2.65")</f>
        <v>2.65</v>
      </c>
      <c r="N447" t="s">
        <v>527</v>
      </c>
    </row>
    <row r="448" spans="1:14" ht="12.75" x14ac:dyDescent="0.2">
      <c r="A448">
        <f>'Form Responses (Pokemon Stats)'!B408</f>
        <v>0</v>
      </c>
      <c r="B448">
        <f>'Form Responses (Pokemon Stats)'!D408</f>
        <v>0</v>
      </c>
      <c r="C448">
        <f>'Form Responses (Pokemon Stats)'!C408</f>
        <v>0</v>
      </c>
      <c r="F448">
        <f>'Form Responses (Pokemon Stats)'!E408</f>
        <v>0</v>
      </c>
      <c r="G448" t="str">
        <f ca="1">IFERROR(__xludf.DUMMYFUNCTION("ROUND(B448/ FILTER('Pokemon CP/HP'!$M$2:$M1000, LOWER('Pokemon CP/HP'!$B$2:$B1000)=LOWER(A448)))"),"#DIV/0!")</f>
        <v>#DIV/0!</v>
      </c>
      <c r="H448" t="str">
        <f ca="1">IFERROR(__xludf.DUMMYFUNCTION("FILTER('Leveling Info'!$B$2:$B1000, 'Leveling Info'!$A$2:$A1000 =G448)"),"#N/A")</f>
        <v>#N/A</v>
      </c>
      <c r="I448" s="29" t="e">
        <f t="shared" ca="1" si="0"/>
        <v>#VALUE!</v>
      </c>
      <c r="J448" s="29" t="str">
        <f ca="1">IFERROR(__xludf.DUMMYFUNCTION("IF(F448 = H448,C448/FILTER('Base Stats'!$C$2:$C1000, LOWER('Base Stats'!$B$2:$B1000) = LOWER($A448)), """")"),"#N/A")</f>
        <v>#N/A</v>
      </c>
      <c r="K448" t="str">
        <f t="shared" ca="1" si="1"/>
        <v/>
      </c>
      <c r="L448" t="str">
        <f ca="1">IFERROR(__xludf.DUMMYFUNCTION("IF(AND(NOT(K448 = """"), G448 &gt;= 15),K448/FILTER('Base Stats'!$C$2:$C1000, LOWER('Base Stats'!$B$2:$B1000) = LOWER($A448)), """")"),"#N/A")</f>
        <v>#N/A</v>
      </c>
      <c r="M448" t="str">
        <f ca="1">IFERROR(__xludf.DUMMYFUNCTION("1.15 + 0.02 * FILTER('Base Stats'!$C$2:$C1000, LOWER('Base Stats'!$B$2:$B1000) = LOWER($A448))"),"1.15")</f>
        <v>1.15</v>
      </c>
      <c r="N448" t="s">
        <v>527</v>
      </c>
    </row>
    <row r="449" spans="1:14" ht="12.75" x14ac:dyDescent="0.2">
      <c r="A449">
        <f>'Form Responses (Pokemon Stats)'!B409</f>
        <v>0</v>
      </c>
      <c r="B449">
        <f>'Form Responses (Pokemon Stats)'!D409</f>
        <v>0</v>
      </c>
      <c r="C449">
        <f>'Form Responses (Pokemon Stats)'!C409</f>
        <v>0</v>
      </c>
      <c r="F449">
        <f>'Form Responses (Pokemon Stats)'!E409</f>
        <v>0</v>
      </c>
      <c r="G449" t="str">
        <f ca="1">IFERROR(__xludf.DUMMYFUNCTION("ROUND(B449/ FILTER('Pokemon CP/HP'!$M$2:$M1000, LOWER('Pokemon CP/HP'!$B$2:$B1000)=LOWER(A449)))"),"#DIV/0!")</f>
        <v>#DIV/0!</v>
      </c>
      <c r="H449" t="str">
        <f ca="1">IFERROR(__xludf.DUMMYFUNCTION("FILTER('Leveling Info'!$B$2:$B1000, 'Leveling Info'!$A$2:$A1000 =G449)"),"#N/A")</f>
        <v>#N/A</v>
      </c>
      <c r="I449" s="29" t="e">
        <f t="shared" ca="1" si="0"/>
        <v>#VALUE!</v>
      </c>
      <c r="J449" s="29" t="str">
        <f ca="1">IFERROR(__xludf.DUMMYFUNCTION("IF(F449 = H449,C449/FILTER('Base Stats'!$C$2:$C1000, LOWER('Base Stats'!$B$2:$B1000) = LOWER($A449)), """")"),"#N/A")</f>
        <v>#N/A</v>
      </c>
      <c r="K449" t="str">
        <f t="shared" ca="1" si="1"/>
        <v/>
      </c>
      <c r="L449" t="str">
        <f ca="1">IFERROR(__xludf.DUMMYFUNCTION("IF(AND(NOT(K449 = """"), G449 &gt;= 15),K449/FILTER('Base Stats'!$C$2:$C1000, LOWER('Base Stats'!$B$2:$B1000) = LOWER($A449)), """")"),"#N/A")</f>
        <v>#N/A</v>
      </c>
      <c r="M449" t="str">
        <f ca="1">IFERROR(__xludf.DUMMYFUNCTION("1.15 + 0.02 * FILTER('Base Stats'!$C$2:$C1000, LOWER('Base Stats'!$B$2:$B1000) = LOWER($A449))"),"1.15")</f>
        <v>1.15</v>
      </c>
      <c r="N449" t="s">
        <v>527</v>
      </c>
    </row>
    <row r="450" spans="1:14" ht="12.75" x14ac:dyDescent="0.2">
      <c r="A450">
        <f>'Form Responses (Pokemon Stats)'!B410</f>
        <v>0</v>
      </c>
      <c r="B450">
        <f>'Form Responses (Pokemon Stats)'!D410</f>
        <v>0</v>
      </c>
      <c r="C450">
        <f>'Form Responses (Pokemon Stats)'!C410</f>
        <v>0</v>
      </c>
      <c r="F450">
        <f>'Form Responses (Pokemon Stats)'!E410</f>
        <v>0</v>
      </c>
      <c r="G450" t="str">
        <f ca="1">IFERROR(__xludf.DUMMYFUNCTION("ROUND(B450/ FILTER('Pokemon CP/HP'!$M$2:$M1000, LOWER('Pokemon CP/HP'!$B$2:$B1000)=LOWER(A450)))"),"#DIV/0!")</f>
        <v>#DIV/0!</v>
      </c>
      <c r="H450" t="str">
        <f ca="1">IFERROR(__xludf.DUMMYFUNCTION("FILTER('Leveling Info'!$B$2:$B1000, 'Leveling Info'!$A$2:$A1000 =G450)"),"#N/A")</f>
        <v>#N/A</v>
      </c>
      <c r="I450" s="29" t="e">
        <f t="shared" ca="1" si="0"/>
        <v>#VALUE!</v>
      </c>
      <c r="J450" s="29" t="str">
        <f ca="1">IFERROR(__xludf.DUMMYFUNCTION("IF(F450 = H450,C450/FILTER('Base Stats'!$C$2:$C1000, LOWER('Base Stats'!$B$2:$B1000) = LOWER($A450)), """")"),"#N/A")</f>
        <v>#N/A</v>
      </c>
      <c r="K450" t="str">
        <f t="shared" ca="1" si="1"/>
        <v/>
      </c>
      <c r="L450" t="str">
        <f ca="1">IFERROR(__xludf.DUMMYFUNCTION("IF(AND(NOT(K450 = """"), G450 &gt;= 15),K450/FILTER('Base Stats'!$C$2:$C1000, LOWER('Base Stats'!$B$2:$B1000) = LOWER($A450)), """")"),"#N/A")</f>
        <v>#N/A</v>
      </c>
      <c r="M450" t="str">
        <f ca="1">IFERROR(__xludf.DUMMYFUNCTION("1.15 + 0.02 * FILTER('Base Stats'!$C$2:$C1000, LOWER('Base Stats'!$B$2:$B1000) = LOWER($A450))"),"1.15")</f>
        <v>1.15</v>
      </c>
      <c r="N450" t="s">
        <v>527</v>
      </c>
    </row>
    <row r="451" spans="1:14" ht="12.75" x14ac:dyDescent="0.2">
      <c r="A451">
        <f>'Form Responses (Pokemon Stats)'!B411</f>
        <v>0</v>
      </c>
      <c r="B451">
        <f>'Form Responses (Pokemon Stats)'!D411</f>
        <v>0</v>
      </c>
      <c r="C451">
        <f>'Form Responses (Pokemon Stats)'!C411</f>
        <v>0</v>
      </c>
      <c r="F451">
        <f>'Form Responses (Pokemon Stats)'!E411</f>
        <v>0</v>
      </c>
      <c r="G451" t="str">
        <f ca="1">IFERROR(__xludf.DUMMYFUNCTION("ROUND(B451/ FILTER('Pokemon CP/HP'!$M$2:$M1000, LOWER('Pokemon CP/HP'!$B$2:$B1000)=LOWER(A451)))"),"#DIV/0!")</f>
        <v>#DIV/0!</v>
      </c>
      <c r="H451" t="str">
        <f ca="1">IFERROR(__xludf.DUMMYFUNCTION("FILTER('Leveling Info'!$B$2:$B1000, 'Leveling Info'!$A$2:$A1000 =G451)"),"#N/A")</f>
        <v>#N/A</v>
      </c>
      <c r="I451" s="29" t="e">
        <f t="shared" ca="1" si="0"/>
        <v>#VALUE!</v>
      </c>
      <c r="J451" s="29" t="str">
        <f ca="1">IFERROR(__xludf.DUMMYFUNCTION("IF(F451 = H451,C451/FILTER('Base Stats'!$C$2:$C1000, LOWER('Base Stats'!$B$2:$B1000) = LOWER($A451)), """")"),"#N/A")</f>
        <v>#N/A</v>
      </c>
      <c r="K451" t="str">
        <f t="shared" ca="1" si="1"/>
        <v/>
      </c>
      <c r="L451" t="str">
        <f ca="1">IFERROR(__xludf.DUMMYFUNCTION("IF(AND(NOT(K451 = """"), G451 &gt;= 15),K451/FILTER('Base Stats'!$C$2:$C1000, LOWER('Base Stats'!$B$2:$B1000) = LOWER($A451)), """")"),"#N/A")</f>
        <v>#N/A</v>
      </c>
      <c r="M451" t="str">
        <f ca="1">IFERROR(__xludf.DUMMYFUNCTION("1.15 + 0.02 * FILTER('Base Stats'!$C$2:$C1000, LOWER('Base Stats'!$B$2:$B1000) = LOWER($A451))"),"1.15")</f>
        <v>1.15</v>
      </c>
      <c r="N451" t="s">
        <v>527</v>
      </c>
    </row>
    <row r="452" spans="1:14" ht="12.75" x14ac:dyDescent="0.2">
      <c r="A452">
        <f>'Form Responses (Pokemon Stats)'!B412</f>
        <v>0</v>
      </c>
      <c r="B452">
        <f>'Form Responses (Pokemon Stats)'!D412</f>
        <v>0</v>
      </c>
      <c r="C452">
        <f>'Form Responses (Pokemon Stats)'!C412</f>
        <v>0</v>
      </c>
      <c r="F452">
        <f>'Form Responses (Pokemon Stats)'!E412</f>
        <v>0</v>
      </c>
      <c r="G452" t="str">
        <f ca="1">IFERROR(__xludf.DUMMYFUNCTION("ROUND(B452/ FILTER('Pokemon CP/HP'!$M$2:$M1000, LOWER('Pokemon CP/HP'!$B$2:$B1000)=LOWER(A452)))"),"#DIV/0!")</f>
        <v>#DIV/0!</v>
      </c>
      <c r="H452" t="str">
        <f ca="1">IFERROR(__xludf.DUMMYFUNCTION("FILTER('Leveling Info'!$B$2:$B1000, 'Leveling Info'!$A$2:$A1000 =G452)"),"#N/A")</f>
        <v>#N/A</v>
      </c>
      <c r="I452" s="29" t="e">
        <f t="shared" ca="1" si="0"/>
        <v>#VALUE!</v>
      </c>
      <c r="J452" s="29" t="str">
        <f ca="1">IFERROR(__xludf.DUMMYFUNCTION("IF(F452 = H452,C452/FILTER('Base Stats'!$C$2:$C1000, LOWER('Base Stats'!$B$2:$B1000) = LOWER($A452)), """")"),"#N/A")</f>
        <v>#N/A</v>
      </c>
      <c r="K452" t="str">
        <f t="shared" ca="1" si="1"/>
        <v/>
      </c>
      <c r="L452" t="str">
        <f ca="1">IFERROR(__xludf.DUMMYFUNCTION("IF(AND(NOT(K452 = """"), G452 &gt;= 15),K452/FILTER('Base Stats'!$C$2:$C1000, LOWER('Base Stats'!$B$2:$B1000) = LOWER($A452)), """")"),"#N/A")</f>
        <v>#N/A</v>
      </c>
      <c r="M452" t="str">
        <f ca="1">IFERROR(__xludf.DUMMYFUNCTION("1.15 + 0.02 * FILTER('Base Stats'!$C$2:$C1000, LOWER('Base Stats'!$B$2:$B1000) = LOWER($A452))"),"1.15")</f>
        <v>1.15</v>
      </c>
      <c r="N452" t="s">
        <v>527</v>
      </c>
    </row>
    <row r="453" spans="1:14" ht="12.75" x14ac:dyDescent="0.2">
      <c r="A453">
        <f>'Form Responses (Pokemon Stats)'!B413</f>
        <v>0</v>
      </c>
      <c r="B453">
        <f>'Form Responses (Pokemon Stats)'!D413</f>
        <v>0</v>
      </c>
      <c r="C453">
        <f>'Form Responses (Pokemon Stats)'!C413</f>
        <v>0</v>
      </c>
      <c r="F453">
        <f>'Form Responses (Pokemon Stats)'!E413</f>
        <v>0</v>
      </c>
      <c r="G453" t="str">
        <f ca="1">IFERROR(__xludf.DUMMYFUNCTION("ROUND(B453/ FILTER('Pokemon CP/HP'!$M$2:$M1000, LOWER('Pokemon CP/HP'!$B$2:$B1000)=LOWER(A453)))"),"#DIV/0!")</f>
        <v>#DIV/0!</v>
      </c>
      <c r="H453" t="str">
        <f ca="1">IFERROR(__xludf.DUMMYFUNCTION("FILTER('Leveling Info'!$B$2:$B1000, 'Leveling Info'!$A$2:$A1000 =G453)"),"#N/A")</f>
        <v>#N/A</v>
      </c>
      <c r="I453" s="29" t="e">
        <f t="shared" ca="1" si="0"/>
        <v>#VALUE!</v>
      </c>
      <c r="J453" s="29" t="str">
        <f ca="1">IFERROR(__xludf.DUMMYFUNCTION("IF(F453 = H453,C453/FILTER('Base Stats'!$C$2:$C1000, LOWER('Base Stats'!$B$2:$B1000) = LOWER($A453)), """")"),"#N/A")</f>
        <v>#N/A</v>
      </c>
      <c r="K453" t="str">
        <f t="shared" ca="1" si="1"/>
        <v/>
      </c>
      <c r="L453" t="str">
        <f ca="1">IFERROR(__xludf.DUMMYFUNCTION("IF(AND(NOT(K453 = """"), G453 &gt;= 15),K453/FILTER('Base Stats'!$C$2:$C1000, LOWER('Base Stats'!$B$2:$B1000) = LOWER($A453)), """")"),"#N/A")</f>
        <v>#N/A</v>
      </c>
      <c r="M453" t="str">
        <f ca="1">IFERROR(__xludf.DUMMYFUNCTION("1.15 + 0.02 * FILTER('Base Stats'!$C$2:$C1000, LOWER('Base Stats'!$B$2:$B1000) = LOWER($A453))"),"1.15")</f>
        <v>1.15</v>
      </c>
      <c r="N453" t="s">
        <v>527</v>
      </c>
    </row>
    <row r="454" spans="1:14" ht="12.75" x14ac:dyDescent="0.2">
      <c r="A454">
        <f>'Form Responses (Pokemon Stats)'!B414</f>
        <v>0</v>
      </c>
      <c r="B454">
        <f>'Form Responses (Pokemon Stats)'!D414</f>
        <v>0</v>
      </c>
      <c r="C454">
        <f>'Form Responses (Pokemon Stats)'!C414</f>
        <v>0</v>
      </c>
      <c r="F454">
        <f>'Form Responses (Pokemon Stats)'!E414</f>
        <v>0</v>
      </c>
      <c r="G454" t="str">
        <f ca="1">IFERROR(__xludf.DUMMYFUNCTION("ROUND(B454/ FILTER('Pokemon CP/HP'!$M$2:$M1000, LOWER('Pokemon CP/HP'!$B$2:$B1000)=LOWER(A454)))"),"#DIV/0!")</f>
        <v>#DIV/0!</v>
      </c>
      <c r="H454" t="str">
        <f ca="1">IFERROR(__xludf.DUMMYFUNCTION("FILTER('Leveling Info'!$B$2:$B1000, 'Leveling Info'!$A$2:$A1000 =G454)"),"#N/A")</f>
        <v>#N/A</v>
      </c>
      <c r="I454" s="29" t="e">
        <f t="shared" ca="1" si="0"/>
        <v>#VALUE!</v>
      </c>
      <c r="J454" s="29" t="str">
        <f ca="1">IFERROR(__xludf.DUMMYFUNCTION("IF(F454 = H454,C454/FILTER('Base Stats'!$C$2:$C1000, LOWER('Base Stats'!$B$2:$B1000) = LOWER($A454)), """")"),"#N/A")</f>
        <v>#N/A</v>
      </c>
      <c r="K454" t="str">
        <f t="shared" ca="1" si="1"/>
        <v/>
      </c>
      <c r="L454" t="str">
        <f ca="1">IFERROR(__xludf.DUMMYFUNCTION("IF(AND(NOT(K454 = """"), G454 &gt;= 15),K454/FILTER('Base Stats'!$C$2:$C1000, LOWER('Base Stats'!$B$2:$B1000) = LOWER($A454)), """")"),"#N/A")</f>
        <v>#N/A</v>
      </c>
      <c r="M454" t="str">
        <f ca="1">IFERROR(__xludf.DUMMYFUNCTION("1.15 + 0.02 * FILTER('Base Stats'!$C$2:$C1000, LOWER('Base Stats'!$B$2:$B1000) = LOWER($A454))"),"1.15")</f>
        <v>1.15</v>
      </c>
      <c r="N454" t="s">
        <v>527</v>
      </c>
    </row>
    <row r="455" spans="1:14" ht="12.75" x14ac:dyDescent="0.2">
      <c r="A455">
        <f>'Form Responses (Pokemon Stats)'!B415</f>
        <v>0</v>
      </c>
      <c r="B455">
        <f>'Form Responses (Pokemon Stats)'!D415</f>
        <v>0</v>
      </c>
      <c r="C455">
        <f>'Form Responses (Pokemon Stats)'!C415</f>
        <v>0</v>
      </c>
      <c r="F455">
        <f>'Form Responses (Pokemon Stats)'!E415</f>
        <v>0</v>
      </c>
      <c r="G455" t="str">
        <f ca="1">IFERROR(__xludf.DUMMYFUNCTION("ROUND(B455/ FILTER('Pokemon CP/HP'!$M$2:$M1000, LOWER('Pokemon CP/HP'!$B$2:$B1000)=LOWER(A455)))"),"#DIV/0!")</f>
        <v>#DIV/0!</v>
      </c>
      <c r="H455" t="str">
        <f ca="1">IFERROR(__xludf.DUMMYFUNCTION("FILTER('Leveling Info'!$B$2:$B1000, 'Leveling Info'!$A$2:$A1000 =G455)"),"#N/A")</f>
        <v>#N/A</v>
      </c>
      <c r="I455" s="29" t="e">
        <f t="shared" ca="1" si="0"/>
        <v>#VALUE!</v>
      </c>
      <c r="J455" s="29" t="str">
        <f ca="1">IFERROR(__xludf.DUMMYFUNCTION("IF(F455 = H455,C455/FILTER('Base Stats'!$C$2:$C1000, LOWER('Base Stats'!$B$2:$B1000) = LOWER($A455)), """")"),"#N/A")</f>
        <v>#N/A</v>
      </c>
      <c r="K455" t="str">
        <f t="shared" ca="1" si="1"/>
        <v/>
      </c>
      <c r="L455" t="str">
        <f ca="1">IFERROR(__xludf.DUMMYFUNCTION("IF(AND(NOT(K455 = """"), G455 &gt;= 15),K455/FILTER('Base Stats'!$C$2:$C1000, LOWER('Base Stats'!$B$2:$B1000) = LOWER($A455)), """")"),"#N/A")</f>
        <v>#N/A</v>
      </c>
      <c r="M455" t="str">
        <f ca="1">IFERROR(__xludf.DUMMYFUNCTION("1.15 + 0.02 * FILTER('Base Stats'!$C$2:$C1000, LOWER('Base Stats'!$B$2:$B1000) = LOWER($A455))"),"1.15")</f>
        <v>1.15</v>
      </c>
      <c r="N455" t="s">
        <v>527</v>
      </c>
    </row>
    <row r="456" spans="1:14" ht="12.75" x14ac:dyDescent="0.2">
      <c r="A456">
        <f>'Form Responses (Pokemon Stats)'!B416</f>
        <v>0</v>
      </c>
      <c r="B456">
        <f>'Form Responses (Pokemon Stats)'!D416</f>
        <v>0</v>
      </c>
      <c r="C456">
        <f>'Form Responses (Pokemon Stats)'!C416</f>
        <v>0</v>
      </c>
      <c r="F456">
        <f>'Form Responses (Pokemon Stats)'!E416</f>
        <v>0</v>
      </c>
      <c r="G456" t="str">
        <f ca="1">IFERROR(__xludf.DUMMYFUNCTION("ROUND(B456/ FILTER('Pokemon CP/HP'!$M$2:$M1000, LOWER('Pokemon CP/HP'!$B$2:$B1000)=LOWER(A456)))"),"#DIV/0!")</f>
        <v>#DIV/0!</v>
      </c>
      <c r="H456" t="str">
        <f ca="1">IFERROR(__xludf.DUMMYFUNCTION("FILTER('Leveling Info'!$B$2:$B1000, 'Leveling Info'!$A$2:$A1000 =G456)"),"#N/A")</f>
        <v>#N/A</v>
      </c>
      <c r="I456" s="29" t="e">
        <f t="shared" ca="1" si="0"/>
        <v>#VALUE!</v>
      </c>
      <c r="J456" s="29" t="str">
        <f ca="1">IFERROR(__xludf.DUMMYFUNCTION("IF(F456 = H456,C456/FILTER('Base Stats'!$C$2:$C1000, LOWER('Base Stats'!$B$2:$B1000) = LOWER($A456)), """")"),"#N/A")</f>
        <v>#N/A</v>
      </c>
      <c r="K456" t="str">
        <f t="shared" ca="1" si="1"/>
        <v/>
      </c>
      <c r="L456" t="str">
        <f ca="1">IFERROR(__xludf.DUMMYFUNCTION("IF(AND(NOT(K456 = """"), G456 &gt;= 15),K456/FILTER('Base Stats'!$C$2:$C1000, LOWER('Base Stats'!$B$2:$B1000) = LOWER($A456)), """")"),"#N/A")</f>
        <v>#N/A</v>
      </c>
      <c r="M456" t="str">
        <f ca="1">IFERROR(__xludf.DUMMYFUNCTION("1.15 + 0.02 * FILTER('Base Stats'!$C$2:$C1000, LOWER('Base Stats'!$B$2:$B1000) = LOWER($A456))"),"1.15")</f>
        <v>1.15</v>
      </c>
      <c r="N456" t="s">
        <v>527</v>
      </c>
    </row>
    <row r="457" spans="1:14" ht="12.75" x14ac:dyDescent="0.2">
      <c r="A457">
        <f>'Form Responses (Pokemon Stats)'!B417</f>
        <v>0</v>
      </c>
      <c r="B457">
        <f>'Form Responses (Pokemon Stats)'!D417</f>
        <v>0</v>
      </c>
      <c r="C457">
        <f>'Form Responses (Pokemon Stats)'!C417</f>
        <v>0</v>
      </c>
      <c r="F457">
        <f>'Form Responses (Pokemon Stats)'!E417</f>
        <v>0</v>
      </c>
      <c r="G457" t="str">
        <f ca="1">IFERROR(__xludf.DUMMYFUNCTION("ROUND(B457/ FILTER('Pokemon CP/HP'!$M$2:$M1000, LOWER('Pokemon CP/HP'!$B$2:$B1000)=LOWER(A457)))"),"#DIV/0!")</f>
        <v>#DIV/0!</v>
      </c>
      <c r="H457" t="str">
        <f ca="1">IFERROR(__xludf.DUMMYFUNCTION("FILTER('Leveling Info'!$B$2:$B1000, 'Leveling Info'!$A$2:$A1000 =G457)"),"#N/A")</f>
        <v>#N/A</v>
      </c>
      <c r="I457" s="29" t="e">
        <f t="shared" ca="1" si="0"/>
        <v>#VALUE!</v>
      </c>
      <c r="J457" s="29" t="str">
        <f ca="1">IFERROR(__xludf.DUMMYFUNCTION("IF(F457 = H457,C457/FILTER('Base Stats'!$C$2:$C1000, LOWER('Base Stats'!$B$2:$B1000) = LOWER($A457)), """")"),"#N/A")</f>
        <v>#N/A</v>
      </c>
      <c r="K457" t="str">
        <f t="shared" ca="1" si="1"/>
        <v/>
      </c>
      <c r="L457" t="str">
        <f ca="1">IFERROR(__xludf.DUMMYFUNCTION("IF(AND(NOT(K457 = """"), G457 &gt;= 15),K457/FILTER('Base Stats'!$C$2:$C1000, LOWER('Base Stats'!$B$2:$B1000) = LOWER($A457)), """")"),"#N/A")</f>
        <v>#N/A</v>
      </c>
      <c r="M457" t="str">
        <f ca="1">IFERROR(__xludf.DUMMYFUNCTION("1.15 + 0.02 * FILTER('Base Stats'!$C$2:$C1000, LOWER('Base Stats'!$B$2:$B1000) = LOWER($A457))"),"1.15")</f>
        <v>1.15</v>
      </c>
      <c r="N457" t="s">
        <v>527</v>
      </c>
    </row>
    <row r="458" spans="1:14" ht="12.75" x14ac:dyDescent="0.2">
      <c r="A458">
        <f>'Form Responses (Pokemon Stats)'!B418</f>
        <v>0</v>
      </c>
      <c r="B458">
        <f>'Form Responses (Pokemon Stats)'!D418</f>
        <v>0</v>
      </c>
      <c r="C458">
        <f>'Form Responses (Pokemon Stats)'!C418</f>
        <v>0</v>
      </c>
      <c r="F458">
        <f>'Form Responses (Pokemon Stats)'!E418</f>
        <v>0</v>
      </c>
      <c r="G458" t="str">
        <f ca="1">IFERROR(__xludf.DUMMYFUNCTION("ROUND(B458/ FILTER('Pokemon CP/HP'!$M$2:$M1000, LOWER('Pokemon CP/HP'!$B$2:$B1000)=LOWER(A458)))"),"#DIV/0!")</f>
        <v>#DIV/0!</v>
      </c>
      <c r="H458" t="str">
        <f ca="1">IFERROR(__xludf.DUMMYFUNCTION("FILTER('Leveling Info'!$B$2:$B1000, 'Leveling Info'!$A$2:$A1000 =G458)"),"#N/A")</f>
        <v>#N/A</v>
      </c>
      <c r="I458" s="29" t="e">
        <f t="shared" ca="1" si="0"/>
        <v>#VALUE!</v>
      </c>
      <c r="J458" s="29" t="str">
        <f ca="1">IFERROR(__xludf.DUMMYFUNCTION("IF(F458 = H458,C458/FILTER('Base Stats'!$C$2:$C1000, LOWER('Base Stats'!$B$2:$B1000) = LOWER($A458)), """")"),"#N/A")</f>
        <v>#N/A</v>
      </c>
      <c r="K458" t="str">
        <f t="shared" ca="1" si="1"/>
        <v/>
      </c>
      <c r="L458" t="str">
        <f ca="1">IFERROR(__xludf.DUMMYFUNCTION("IF(AND(NOT(K458 = """"), G458 &gt;= 15),K458/FILTER('Base Stats'!$C$2:$C1000, LOWER('Base Stats'!$B$2:$B1000) = LOWER($A458)), """")"),"#N/A")</f>
        <v>#N/A</v>
      </c>
      <c r="M458" t="str">
        <f ca="1">IFERROR(__xludf.DUMMYFUNCTION("1.15 + 0.02 * FILTER('Base Stats'!$C$2:$C1000, LOWER('Base Stats'!$B$2:$B1000) = LOWER($A458))"),"1.15")</f>
        <v>1.15</v>
      </c>
      <c r="N458" t="s">
        <v>527</v>
      </c>
    </row>
    <row r="459" spans="1:14" ht="12.75" x14ac:dyDescent="0.2">
      <c r="A459">
        <f>'Form Responses (Pokemon Stats)'!B419</f>
        <v>0</v>
      </c>
      <c r="B459">
        <f>'Form Responses (Pokemon Stats)'!D419</f>
        <v>0</v>
      </c>
      <c r="C459">
        <f>'Form Responses (Pokemon Stats)'!C419</f>
        <v>0</v>
      </c>
      <c r="F459">
        <f>'Form Responses (Pokemon Stats)'!E419</f>
        <v>0</v>
      </c>
      <c r="G459" t="str">
        <f ca="1">IFERROR(__xludf.DUMMYFUNCTION("ROUND(B459/ FILTER('Pokemon CP/HP'!$M$2:$M1000, LOWER('Pokemon CP/HP'!$B$2:$B1000)=LOWER(A459)))"),"#DIV/0!")</f>
        <v>#DIV/0!</v>
      </c>
      <c r="H459" t="str">
        <f ca="1">IFERROR(__xludf.DUMMYFUNCTION("FILTER('Leveling Info'!$B$2:$B1000, 'Leveling Info'!$A$2:$A1000 =G459)"),"#N/A")</f>
        <v>#N/A</v>
      </c>
      <c r="I459" s="29" t="e">
        <f t="shared" ca="1" si="0"/>
        <v>#VALUE!</v>
      </c>
      <c r="J459" s="29" t="str">
        <f ca="1">IFERROR(__xludf.DUMMYFUNCTION("IF(F459 = H459,C459/FILTER('Base Stats'!$C$2:$C1000, LOWER('Base Stats'!$B$2:$B1000) = LOWER($A459)), """")"),"#N/A")</f>
        <v>#N/A</v>
      </c>
      <c r="K459" t="str">
        <f t="shared" ca="1" si="1"/>
        <v/>
      </c>
      <c r="L459" t="str">
        <f ca="1">IFERROR(__xludf.DUMMYFUNCTION("IF(AND(NOT(K459 = """"), G459 &gt;= 15),K459/FILTER('Base Stats'!$C$2:$C1000, LOWER('Base Stats'!$B$2:$B1000) = LOWER($A459)), """")"),"#N/A")</f>
        <v>#N/A</v>
      </c>
      <c r="M459" t="str">
        <f ca="1">IFERROR(__xludf.DUMMYFUNCTION("1.15 + 0.02 * FILTER('Base Stats'!$C$2:$C1000, LOWER('Base Stats'!$B$2:$B1000) = LOWER($A459))"),"1.15")</f>
        <v>1.15</v>
      </c>
      <c r="N459" t="s">
        <v>527</v>
      </c>
    </row>
    <row r="460" spans="1:14" ht="12.75" x14ac:dyDescent="0.2">
      <c r="A460">
        <f>'Form Responses (Pokemon Stats)'!B420</f>
        <v>0</v>
      </c>
      <c r="B460">
        <f>'Form Responses (Pokemon Stats)'!D420</f>
        <v>0</v>
      </c>
      <c r="C460">
        <f>'Form Responses (Pokemon Stats)'!C420</f>
        <v>0</v>
      </c>
      <c r="F460">
        <f>'Form Responses (Pokemon Stats)'!E420</f>
        <v>0</v>
      </c>
      <c r="G460" t="str">
        <f ca="1">IFERROR(__xludf.DUMMYFUNCTION("ROUND(B460/ FILTER('Pokemon CP/HP'!$M$2:$M1000, LOWER('Pokemon CP/HP'!$B$2:$B1000)=LOWER(A460)))"),"#DIV/0!")</f>
        <v>#DIV/0!</v>
      </c>
      <c r="H460" t="str">
        <f ca="1">IFERROR(__xludf.DUMMYFUNCTION("FILTER('Leveling Info'!$B$2:$B1000, 'Leveling Info'!$A$2:$A1000 =G460)"),"#N/A")</f>
        <v>#N/A</v>
      </c>
      <c r="I460" s="29" t="e">
        <f t="shared" ca="1" si="0"/>
        <v>#VALUE!</v>
      </c>
      <c r="J460" s="29" t="str">
        <f ca="1">IFERROR(__xludf.DUMMYFUNCTION("IF(F460 = H460,C460/FILTER('Base Stats'!$C$2:$C1000, LOWER('Base Stats'!$B$2:$B1000) = LOWER($A460)), """")"),"#N/A")</f>
        <v>#N/A</v>
      </c>
      <c r="K460" t="str">
        <f t="shared" ca="1" si="1"/>
        <v/>
      </c>
      <c r="L460" t="str">
        <f ca="1">IFERROR(__xludf.DUMMYFUNCTION("IF(AND(NOT(K460 = """"), G460 &gt;= 15),K460/FILTER('Base Stats'!$C$2:$C1000, LOWER('Base Stats'!$B$2:$B1000) = LOWER($A460)), """")"),"#N/A")</f>
        <v>#N/A</v>
      </c>
      <c r="M460" t="str">
        <f ca="1">IFERROR(__xludf.DUMMYFUNCTION("1.15 + 0.02 * FILTER('Base Stats'!$C$2:$C1000, LOWER('Base Stats'!$B$2:$B1000) = LOWER($A460))"),"1.15")</f>
        <v>1.15</v>
      </c>
      <c r="N460" t="s">
        <v>527</v>
      </c>
    </row>
    <row r="461" spans="1:14" ht="12.75" x14ac:dyDescent="0.2">
      <c r="A461">
        <f>'Form Responses (Pokemon Stats)'!B421</f>
        <v>0</v>
      </c>
      <c r="B461">
        <f>'Form Responses (Pokemon Stats)'!D421</f>
        <v>0</v>
      </c>
      <c r="C461">
        <f>'Form Responses (Pokemon Stats)'!C421</f>
        <v>0</v>
      </c>
      <c r="F461">
        <f>'Form Responses (Pokemon Stats)'!E421</f>
        <v>0</v>
      </c>
      <c r="G461" t="str">
        <f ca="1">IFERROR(__xludf.DUMMYFUNCTION("ROUND(B461/ FILTER('Pokemon CP/HP'!$M$2:$M1000, LOWER('Pokemon CP/HP'!$B$2:$B1000)=LOWER(A461)))"),"#DIV/0!")</f>
        <v>#DIV/0!</v>
      </c>
      <c r="H461" t="str">
        <f ca="1">IFERROR(__xludf.DUMMYFUNCTION("FILTER('Leveling Info'!$B$2:$B1000, 'Leveling Info'!$A$2:$A1000 =G461)"),"#N/A")</f>
        <v>#N/A</v>
      </c>
      <c r="I461" s="29" t="e">
        <f t="shared" ca="1" si="0"/>
        <v>#VALUE!</v>
      </c>
      <c r="J461" s="29" t="str">
        <f ca="1">IFERROR(__xludf.DUMMYFUNCTION("IF(F461 = H461,C461/FILTER('Base Stats'!$C$2:$C1000, LOWER('Base Stats'!$B$2:$B1000) = LOWER($A461)), """")"),"#N/A")</f>
        <v>#N/A</v>
      </c>
      <c r="K461" t="str">
        <f t="shared" ca="1" si="1"/>
        <v/>
      </c>
      <c r="L461" t="str">
        <f ca="1">IFERROR(__xludf.DUMMYFUNCTION("IF(AND(NOT(K461 = """"), G461 &gt;= 15),K461/FILTER('Base Stats'!$C$2:$C1000, LOWER('Base Stats'!$B$2:$B1000) = LOWER($A461)), """")"),"#N/A")</f>
        <v>#N/A</v>
      </c>
      <c r="M461" t="str">
        <f ca="1">IFERROR(__xludf.DUMMYFUNCTION("1.15 + 0.02 * FILTER('Base Stats'!$C$2:$C1000, LOWER('Base Stats'!$B$2:$B1000) = LOWER($A461))"),"1.15")</f>
        <v>1.15</v>
      </c>
      <c r="N461" t="s">
        <v>527</v>
      </c>
    </row>
    <row r="462" spans="1:14" ht="12.75" x14ac:dyDescent="0.2">
      <c r="A462">
        <f>'Form Responses (Pokemon Stats)'!B422</f>
        <v>0</v>
      </c>
      <c r="B462">
        <f>'Form Responses (Pokemon Stats)'!D422</f>
        <v>0</v>
      </c>
      <c r="C462">
        <f>'Form Responses (Pokemon Stats)'!C422</f>
        <v>0</v>
      </c>
      <c r="F462">
        <f>'Form Responses (Pokemon Stats)'!E422</f>
        <v>0</v>
      </c>
      <c r="G462" t="str">
        <f ca="1">IFERROR(__xludf.DUMMYFUNCTION("ROUND(B462/ FILTER('Pokemon CP/HP'!$M$2:$M1000, LOWER('Pokemon CP/HP'!$B$2:$B1000)=LOWER(A462)))"),"#DIV/0!")</f>
        <v>#DIV/0!</v>
      </c>
      <c r="H462" t="str">
        <f ca="1">IFERROR(__xludf.DUMMYFUNCTION("FILTER('Leveling Info'!$B$2:$B1000, 'Leveling Info'!$A$2:$A1000 =G462)"),"#N/A")</f>
        <v>#N/A</v>
      </c>
      <c r="I462" s="29" t="e">
        <f t="shared" ca="1" si="0"/>
        <v>#VALUE!</v>
      </c>
      <c r="J462" s="29" t="str">
        <f ca="1">IFERROR(__xludf.DUMMYFUNCTION("IF(F462 = H462,C462/FILTER('Base Stats'!$C$2:$C1000, LOWER('Base Stats'!$B$2:$B1000) = LOWER($A462)), """")"),"#N/A")</f>
        <v>#N/A</v>
      </c>
      <c r="K462" t="str">
        <f t="shared" ca="1" si="1"/>
        <v/>
      </c>
      <c r="L462" t="str">
        <f ca="1">IFERROR(__xludf.DUMMYFUNCTION("IF(AND(NOT(K462 = """"), G462 &gt;= 15),K462/FILTER('Base Stats'!$C$2:$C1000, LOWER('Base Stats'!$B$2:$B1000) = LOWER($A462)), """")"),"#N/A")</f>
        <v>#N/A</v>
      </c>
      <c r="M462" t="str">
        <f ca="1">IFERROR(__xludf.DUMMYFUNCTION("1.15 + 0.02 * FILTER('Base Stats'!$C$2:$C1000, LOWER('Base Stats'!$B$2:$B1000) = LOWER($A462))"),"1.15")</f>
        <v>1.15</v>
      </c>
      <c r="N462" t="s">
        <v>527</v>
      </c>
    </row>
    <row r="463" spans="1:14" ht="12.75" x14ac:dyDescent="0.2">
      <c r="A463">
        <f>'Form Responses (Pokemon Stats)'!B423</f>
        <v>0</v>
      </c>
      <c r="B463">
        <f>'Form Responses (Pokemon Stats)'!D423</f>
        <v>0</v>
      </c>
      <c r="C463">
        <f>'Form Responses (Pokemon Stats)'!C423</f>
        <v>0</v>
      </c>
      <c r="F463">
        <f>'Form Responses (Pokemon Stats)'!E423</f>
        <v>0</v>
      </c>
      <c r="G463" t="str">
        <f ca="1">IFERROR(__xludf.DUMMYFUNCTION("ROUND(B463/ FILTER('Pokemon CP/HP'!$M$2:$M1000, LOWER('Pokemon CP/HP'!$B$2:$B1000)=LOWER(A463)))"),"#DIV/0!")</f>
        <v>#DIV/0!</v>
      </c>
      <c r="H463" t="str">
        <f ca="1">IFERROR(__xludf.DUMMYFUNCTION("FILTER('Leveling Info'!$B$2:$B1000, 'Leveling Info'!$A$2:$A1000 =G463)"),"#N/A")</f>
        <v>#N/A</v>
      </c>
      <c r="I463" s="29" t="e">
        <f t="shared" ca="1" si="0"/>
        <v>#VALUE!</v>
      </c>
      <c r="J463" s="29" t="str">
        <f ca="1">IFERROR(__xludf.DUMMYFUNCTION("IF(F463 = H463,C463/FILTER('Base Stats'!$C$2:$C1000, LOWER('Base Stats'!$B$2:$B1000) = LOWER($A463)), """")"),"#N/A")</f>
        <v>#N/A</v>
      </c>
      <c r="K463" t="str">
        <f t="shared" ca="1" si="1"/>
        <v/>
      </c>
      <c r="L463" t="str">
        <f ca="1">IFERROR(__xludf.DUMMYFUNCTION("IF(AND(NOT(K463 = """"), G463 &gt;= 15),K463/FILTER('Base Stats'!$C$2:$C1000, LOWER('Base Stats'!$B$2:$B1000) = LOWER($A463)), """")"),"#N/A")</f>
        <v>#N/A</v>
      </c>
      <c r="M463" t="str">
        <f ca="1">IFERROR(__xludf.DUMMYFUNCTION("1.15 + 0.02 * FILTER('Base Stats'!$C$2:$C1000, LOWER('Base Stats'!$B$2:$B1000) = LOWER($A463))"),"1.15")</f>
        <v>1.15</v>
      </c>
      <c r="N463" t="s">
        <v>527</v>
      </c>
    </row>
    <row r="464" spans="1:14" ht="12.75" x14ac:dyDescent="0.2">
      <c r="A464">
        <f>'Form Responses (Pokemon Stats)'!B424</f>
        <v>0</v>
      </c>
      <c r="B464">
        <f>'Form Responses (Pokemon Stats)'!D424</f>
        <v>0</v>
      </c>
      <c r="C464">
        <f>'Form Responses (Pokemon Stats)'!C424</f>
        <v>0</v>
      </c>
      <c r="F464">
        <f>'Form Responses (Pokemon Stats)'!E424</f>
        <v>0</v>
      </c>
      <c r="G464" t="str">
        <f ca="1">IFERROR(__xludf.DUMMYFUNCTION("ROUND(B464/ FILTER('Pokemon CP/HP'!$M$2:$M1000, LOWER('Pokemon CP/HP'!$B$2:$B1000)=LOWER(A464)))"),"#DIV/0!")</f>
        <v>#DIV/0!</v>
      </c>
      <c r="H464" t="str">
        <f ca="1">IFERROR(__xludf.DUMMYFUNCTION("FILTER('Leveling Info'!$B$2:$B1000, 'Leveling Info'!$A$2:$A1000 =G464)"),"#N/A")</f>
        <v>#N/A</v>
      </c>
      <c r="I464" s="29" t="e">
        <f t="shared" ca="1" si="0"/>
        <v>#VALUE!</v>
      </c>
      <c r="J464" s="29" t="str">
        <f ca="1">IFERROR(__xludf.DUMMYFUNCTION("IF(F464 = H464,C464/FILTER('Base Stats'!$C$2:$C1000, LOWER('Base Stats'!$B$2:$B1000) = LOWER($A464)), """")"),"#N/A")</f>
        <v>#N/A</v>
      </c>
      <c r="K464" t="str">
        <f t="shared" ca="1" si="1"/>
        <v/>
      </c>
      <c r="L464" t="str">
        <f ca="1">IFERROR(__xludf.DUMMYFUNCTION("IF(AND(NOT(K464 = """"), G464 &gt;= 15),K464/FILTER('Base Stats'!$C$2:$C1000, LOWER('Base Stats'!$B$2:$B1000) = LOWER($A464)), """")"),"#N/A")</f>
        <v>#N/A</v>
      </c>
      <c r="M464" t="str">
        <f ca="1">IFERROR(__xludf.DUMMYFUNCTION("1.15 + 0.02 * FILTER('Base Stats'!$C$2:$C1000, LOWER('Base Stats'!$B$2:$B1000) = LOWER($A464))"),"1.15")</f>
        <v>1.15</v>
      </c>
      <c r="N464" t="s">
        <v>527</v>
      </c>
    </row>
    <row r="465" spans="1:14" ht="12.75" x14ac:dyDescent="0.2">
      <c r="A465">
        <f>'Form Responses (Pokemon Stats)'!B425</f>
        <v>0</v>
      </c>
      <c r="B465">
        <f>'Form Responses (Pokemon Stats)'!D425</f>
        <v>0</v>
      </c>
      <c r="C465">
        <f>'Form Responses (Pokemon Stats)'!C425</f>
        <v>0</v>
      </c>
      <c r="F465">
        <f>'Form Responses (Pokemon Stats)'!E425</f>
        <v>0</v>
      </c>
      <c r="G465" t="str">
        <f ca="1">IFERROR(__xludf.DUMMYFUNCTION("ROUND(B465/ FILTER('Pokemon CP/HP'!$M$2:$M1000, LOWER('Pokemon CP/HP'!$B$2:$B1000)=LOWER(A465)))"),"#DIV/0!")</f>
        <v>#DIV/0!</v>
      </c>
      <c r="H465" t="str">
        <f ca="1">IFERROR(__xludf.DUMMYFUNCTION("FILTER('Leveling Info'!$B$2:$B1000, 'Leveling Info'!$A$2:$A1000 =G465)"),"#N/A")</f>
        <v>#N/A</v>
      </c>
      <c r="I465" s="29" t="e">
        <f t="shared" ca="1" si="0"/>
        <v>#VALUE!</v>
      </c>
      <c r="J465" s="29" t="str">
        <f ca="1">IFERROR(__xludf.DUMMYFUNCTION("IF(F465 = H465,C465/FILTER('Base Stats'!$C$2:$C1000, LOWER('Base Stats'!$B$2:$B1000) = LOWER($A465)), """")"),"#N/A")</f>
        <v>#N/A</v>
      </c>
      <c r="K465" t="str">
        <f t="shared" ca="1" si="1"/>
        <v/>
      </c>
      <c r="L465" t="str">
        <f ca="1">IFERROR(__xludf.DUMMYFUNCTION("IF(AND(NOT(K465 = """"), G465 &gt;= 15),K465/FILTER('Base Stats'!$C$2:$C1000, LOWER('Base Stats'!$B$2:$B1000) = LOWER($A465)), """")"),"#N/A")</f>
        <v>#N/A</v>
      </c>
      <c r="M465" t="str">
        <f ca="1">IFERROR(__xludf.DUMMYFUNCTION("1.15 + 0.02 * FILTER('Base Stats'!$C$2:$C1000, LOWER('Base Stats'!$B$2:$B1000) = LOWER($A465))"),"1.15")</f>
        <v>1.15</v>
      </c>
      <c r="N465" t="s">
        <v>527</v>
      </c>
    </row>
    <row r="466" spans="1:14" ht="12.75" x14ac:dyDescent="0.2">
      <c r="A466">
        <f>'Form Responses (Pokemon Stats)'!B426</f>
        <v>0</v>
      </c>
      <c r="B466">
        <f>'Form Responses (Pokemon Stats)'!D426</f>
        <v>0</v>
      </c>
      <c r="C466">
        <f>'Form Responses (Pokemon Stats)'!C426</f>
        <v>0</v>
      </c>
      <c r="F466">
        <f>'Form Responses (Pokemon Stats)'!E426</f>
        <v>0</v>
      </c>
      <c r="G466" t="str">
        <f ca="1">IFERROR(__xludf.DUMMYFUNCTION("ROUND(B466/ FILTER('Pokemon CP/HP'!$M$2:$M1000, LOWER('Pokemon CP/HP'!$B$2:$B1000)=LOWER(A466)))"),"#DIV/0!")</f>
        <v>#DIV/0!</v>
      </c>
      <c r="H466" t="str">
        <f ca="1">IFERROR(__xludf.DUMMYFUNCTION("FILTER('Leveling Info'!$B$2:$B1000, 'Leveling Info'!$A$2:$A1000 =G466)"),"#N/A")</f>
        <v>#N/A</v>
      </c>
      <c r="I466" s="29" t="e">
        <f t="shared" ca="1" si="0"/>
        <v>#VALUE!</v>
      </c>
      <c r="J466" s="29" t="str">
        <f ca="1">IFERROR(__xludf.DUMMYFUNCTION("IF(F466 = H466,C466/FILTER('Base Stats'!$C$2:$C1000, LOWER('Base Stats'!$B$2:$B1000) = LOWER($A466)), """")"),"#N/A")</f>
        <v>#N/A</v>
      </c>
      <c r="K466" t="str">
        <f t="shared" ca="1" si="1"/>
        <v/>
      </c>
      <c r="L466" t="str">
        <f ca="1">IFERROR(__xludf.DUMMYFUNCTION("IF(AND(NOT(K466 = """"), G466 &gt;= 15),K466/FILTER('Base Stats'!$C$2:$C1000, LOWER('Base Stats'!$B$2:$B1000) = LOWER($A466)), """")"),"#N/A")</f>
        <v>#N/A</v>
      </c>
      <c r="M466" t="str">
        <f ca="1">IFERROR(__xludf.DUMMYFUNCTION("1.15 + 0.02 * FILTER('Base Stats'!$C$2:$C1000, LOWER('Base Stats'!$B$2:$B1000) = LOWER($A466))"),"1.15")</f>
        <v>1.15</v>
      </c>
      <c r="N466" t="s">
        <v>527</v>
      </c>
    </row>
    <row r="467" spans="1:14" ht="12.75" x14ac:dyDescent="0.2">
      <c r="A467">
        <f>'Form Responses (Pokemon Stats)'!B427</f>
        <v>0</v>
      </c>
      <c r="B467">
        <f>'Form Responses (Pokemon Stats)'!D427</f>
        <v>0</v>
      </c>
      <c r="C467">
        <f>'Form Responses (Pokemon Stats)'!C427</f>
        <v>0</v>
      </c>
      <c r="F467">
        <f>'Form Responses (Pokemon Stats)'!E427</f>
        <v>0</v>
      </c>
      <c r="G467" t="str">
        <f ca="1">IFERROR(__xludf.DUMMYFUNCTION("ROUND(B467/ FILTER('Pokemon CP/HP'!$M$2:$M1000, LOWER('Pokemon CP/HP'!$B$2:$B1000)=LOWER(A467)))"),"#DIV/0!")</f>
        <v>#DIV/0!</v>
      </c>
      <c r="H467" t="str">
        <f ca="1">IFERROR(__xludf.DUMMYFUNCTION("FILTER('Leveling Info'!$B$2:$B1000, 'Leveling Info'!$A$2:$A1000 =G467)"),"#N/A")</f>
        <v>#N/A</v>
      </c>
      <c r="I467" s="29" t="e">
        <f t="shared" ca="1" si="0"/>
        <v>#VALUE!</v>
      </c>
      <c r="J467" s="29" t="str">
        <f ca="1">IFERROR(__xludf.DUMMYFUNCTION("IF(F467 = H467,C467/FILTER('Base Stats'!$C$2:$C1000, LOWER('Base Stats'!$B$2:$B1000) = LOWER($A467)), """")"),"#N/A")</f>
        <v>#N/A</v>
      </c>
      <c r="K467" t="str">
        <f t="shared" ca="1" si="1"/>
        <v/>
      </c>
      <c r="L467" t="str">
        <f ca="1">IFERROR(__xludf.DUMMYFUNCTION("IF(AND(NOT(K467 = """"), G467 &gt;= 15),K467/FILTER('Base Stats'!$C$2:$C1000, LOWER('Base Stats'!$B$2:$B1000) = LOWER($A467)), """")"),"#N/A")</f>
        <v>#N/A</v>
      </c>
      <c r="M467" t="str">
        <f ca="1">IFERROR(__xludf.DUMMYFUNCTION("1.15 + 0.02 * FILTER('Base Stats'!$C$2:$C1000, LOWER('Base Stats'!$B$2:$B1000) = LOWER($A467))"),"1.15")</f>
        <v>1.15</v>
      </c>
      <c r="N467" t="s">
        <v>527</v>
      </c>
    </row>
    <row r="468" spans="1:14" ht="12.75" x14ac:dyDescent="0.2">
      <c r="A468">
        <f>'Form Responses (Pokemon Stats)'!B428</f>
        <v>0</v>
      </c>
      <c r="B468">
        <f>'Form Responses (Pokemon Stats)'!D428</f>
        <v>0</v>
      </c>
      <c r="C468">
        <f>'Form Responses (Pokemon Stats)'!C428</f>
        <v>0</v>
      </c>
      <c r="F468">
        <f>'Form Responses (Pokemon Stats)'!E428</f>
        <v>0</v>
      </c>
      <c r="G468" t="str">
        <f ca="1">IFERROR(__xludf.DUMMYFUNCTION("ROUND(B468/ FILTER('Pokemon CP/HP'!$M$2:$M1000, LOWER('Pokemon CP/HP'!$B$2:$B1000)=LOWER(A468)))"),"#DIV/0!")</f>
        <v>#DIV/0!</v>
      </c>
      <c r="H468" t="str">
        <f ca="1">IFERROR(__xludf.DUMMYFUNCTION("FILTER('Leveling Info'!$B$2:$B1000, 'Leveling Info'!$A$2:$A1000 =G468)"),"#N/A")</f>
        <v>#N/A</v>
      </c>
      <c r="I468" s="29" t="e">
        <f t="shared" ca="1" si="0"/>
        <v>#VALUE!</v>
      </c>
      <c r="J468" s="29" t="str">
        <f ca="1">IFERROR(__xludf.DUMMYFUNCTION("IF(F468 = H468,C468/FILTER('Base Stats'!$C$2:$C1000, LOWER('Base Stats'!$B$2:$B1000) = LOWER($A468)), """")"),"#N/A")</f>
        <v>#N/A</v>
      </c>
      <c r="K468" t="str">
        <f t="shared" ca="1" si="1"/>
        <v/>
      </c>
      <c r="L468" t="str">
        <f ca="1">IFERROR(__xludf.DUMMYFUNCTION("IF(AND(NOT(K468 = """"), G468 &gt;= 15),K468/FILTER('Base Stats'!$C$2:$C1000, LOWER('Base Stats'!$B$2:$B1000) = LOWER($A468)), """")"),"#N/A")</f>
        <v>#N/A</v>
      </c>
      <c r="M468" t="str">
        <f ca="1">IFERROR(__xludf.DUMMYFUNCTION("1.15 + 0.02 * FILTER('Base Stats'!$C$2:$C1000, LOWER('Base Stats'!$B$2:$B1000) = LOWER($A468))"),"1.15")</f>
        <v>1.15</v>
      </c>
      <c r="N468" t="s">
        <v>527</v>
      </c>
    </row>
    <row r="469" spans="1:14" ht="12.75" x14ac:dyDescent="0.2">
      <c r="A469">
        <f>'Form Responses (Pokemon Stats)'!B429</f>
        <v>0</v>
      </c>
      <c r="B469">
        <f>'Form Responses (Pokemon Stats)'!D429</f>
        <v>0</v>
      </c>
      <c r="C469">
        <f>'Form Responses (Pokemon Stats)'!C429</f>
        <v>0</v>
      </c>
      <c r="F469">
        <f>'Form Responses (Pokemon Stats)'!E429</f>
        <v>0</v>
      </c>
      <c r="G469" t="str">
        <f ca="1">IFERROR(__xludf.DUMMYFUNCTION("ROUND(B469/ FILTER('Pokemon CP/HP'!$M$2:$M1000, LOWER('Pokemon CP/HP'!$B$2:$B1000)=LOWER(A469)))"),"#DIV/0!")</f>
        <v>#DIV/0!</v>
      </c>
      <c r="H469" t="str">
        <f ca="1">IFERROR(__xludf.DUMMYFUNCTION("FILTER('Leveling Info'!$B$2:$B1000, 'Leveling Info'!$A$2:$A1000 =G469)"),"#N/A")</f>
        <v>#N/A</v>
      </c>
      <c r="I469" s="29" t="e">
        <f t="shared" ca="1" si="0"/>
        <v>#VALUE!</v>
      </c>
      <c r="J469" s="29" t="str">
        <f ca="1">IFERROR(__xludf.DUMMYFUNCTION("IF(F469 = H469,C469/FILTER('Base Stats'!$C$2:$C1000, LOWER('Base Stats'!$B$2:$B1000) = LOWER($A469)), """")"),"#N/A")</f>
        <v>#N/A</v>
      </c>
      <c r="K469" t="str">
        <f t="shared" ca="1" si="1"/>
        <v/>
      </c>
      <c r="L469" t="str">
        <f ca="1">IFERROR(__xludf.DUMMYFUNCTION("IF(AND(NOT(K469 = """"), G469 &gt;= 15),K469/FILTER('Base Stats'!$C$2:$C1000, LOWER('Base Stats'!$B$2:$B1000) = LOWER($A469)), """")"),"#N/A")</f>
        <v>#N/A</v>
      </c>
      <c r="M469" t="str">
        <f ca="1">IFERROR(__xludf.DUMMYFUNCTION("1.15 + 0.02 * FILTER('Base Stats'!$C$2:$C1000, LOWER('Base Stats'!$B$2:$B1000) = LOWER($A469))"),"1.15")</f>
        <v>1.15</v>
      </c>
      <c r="N469" t="s">
        <v>527</v>
      </c>
    </row>
    <row r="470" spans="1:14" ht="12.75" x14ac:dyDescent="0.2">
      <c r="A470">
        <f>'Form Responses (Pokemon Stats)'!B430</f>
        <v>0</v>
      </c>
      <c r="B470">
        <f>'Form Responses (Pokemon Stats)'!D430</f>
        <v>0</v>
      </c>
      <c r="C470">
        <f>'Form Responses (Pokemon Stats)'!C430</f>
        <v>0</v>
      </c>
      <c r="F470">
        <f>'Form Responses (Pokemon Stats)'!E430</f>
        <v>0</v>
      </c>
      <c r="G470" t="str">
        <f ca="1">IFERROR(__xludf.DUMMYFUNCTION("ROUND(B470/ FILTER('Pokemon CP/HP'!$M$2:$M1000, LOWER('Pokemon CP/HP'!$B$2:$B1000)=LOWER(A470)))"),"#DIV/0!")</f>
        <v>#DIV/0!</v>
      </c>
      <c r="H470" t="str">
        <f ca="1">IFERROR(__xludf.DUMMYFUNCTION("FILTER('Leveling Info'!$B$2:$B1000, 'Leveling Info'!$A$2:$A1000 =G470)"),"#N/A")</f>
        <v>#N/A</v>
      </c>
      <c r="I470" s="29" t="e">
        <f t="shared" ca="1" si="0"/>
        <v>#VALUE!</v>
      </c>
      <c r="J470" s="29" t="str">
        <f ca="1">IFERROR(__xludf.DUMMYFUNCTION("IF(F470 = H470,C470/FILTER('Base Stats'!$C$2:$C1000, LOWER('Base Stats'!$B$2:$B1000) = LOWER($A470)), """")"),"#N/A")</f>
        <v>#N/A</v>
      </c>
      <c r="K470" t="str">
        <f t="shared" ca="1" si="1"/>
        <v/>
      </c>
      <c r="L470" t="str">
        <f ca="1">IFERROR(__xludf.DUMMYFUNCTION("IF(AND(NOT(K470 = """"), G470 &gt;= 15),K470/FILTER('Base Stats'!$C$2:$C1000, LOWER('Base Stats'!$B$2:$B1000) = LOWER($A470)), """")"),"#N/A")</f>
        <v>#N/A</v>
      </c>
      <c r="M470" t="str">
        <f ca="1">IFERROR(__xludf.DUMMYFUNCTION("1.15 + 0.02 * FILTER('Base Stats'!$C$2:$C1000, LOWER('Base Stats'!$B$2:$B1000) = LOWER($A470))"),"1.15")</f>
        <v>1.15</v>
      </c>
      <c r="N470" t="s">
        <v>527</v>
      </c>
    </row>
    <row r="471" spans="1:14" ht="12.75" x14ac:dyDescent="0.2">
      <c r="A471">
        <f>'Form Responses (Pokemon Stats)'!B431</f>
        <v>0</v>
      </c>
      <c r="B471">
        <f>'Form Responses (Pokemon Stats)'!D431</f>
        <v>0</v>
      </c>
      <c r="C471">
        <f>'Form Responses (Pokemon Stats)'!C431</f>
        <v>0</v>
      </c>
      <c r="F471">
        <f>'Form Responses (Pokemon Stats)'!E431</f>
        <v>0</v>
      </c>
      <c r="G471" t="str">
        <f ca="1">IFERROR(__xludf.DUMMYFUNCTION("ROUND(B471/ FILTER('Pokemon CP/HP'!$M$2:$M1000, LOWER('Pokemon CP/HP'!$B$2:$B1000)=LOWER(A471)))"),"#DIV/0!")</f>
        <v>#DIV/0!</v>
      </c>
      <c r="H471" t="str">
        <f ca="1">IFERROR(__xludf.DUMMYFUNCTION("FILTER('Leveling Info'!$B$2:$B1000, 'Leveling Info'!$A$2:$A1000 =G471)"),"#N/A")</f>
        <v>#N/A</v>
      </c>
      <c r="I471" s="29" t="e">
        <f t="shared" ca="1" si="0"/>
        <v>#VALUE!</v>
      </c>
      <c r="J471" s="29" t="str">
        <f ca="1">IFERROR(__xludf.DUMMYFUNCTION("IF(F471 = H471,C471/FILTER('Base Stats'!$C$2:$C1000, LOWER('Base Stats'!$B$2:$B1000) = LOWER($A471)), """")"),"#N/A")</f>
        <v>#N/A</v>
      </c>
      <c r="K471" t="str">
        <f t="shared" ca="1" si="1"/>
        <v/>
      </c>
      <c r="L471" t="str">
        <f ca="1">IFERROR(__xludf.DUMMYFUNCTION("IF(AND(NOT(K471 = """"), G471 &gt;= 15),K471/FILTER('Base Stats'!$C$2:$C1000, LOWER('Base Stats'!$B$2:$B1000) = LOWER($A471)), """")"),"#N/A")</f>
        <v>#N/A</v>
      </c>
      <c r="M471" t="str">
        <f ca="1">IFERROR(__xludf.DUMMYFUNCTION("1.15 + 0.02 * FILTER('Base Stats'!$C$2:$C1000, LOWER('Base Stats'!$B$2:$B1000) = LOWER($A471))"),"1.15")</f>
        <v>1.15</v>
      </c>
      <c r="N471" t="s">
        <v>527</v>
      </c>
    </row>
    <row r="472" spans="1:14" ht="12.75" x14ac:dyDescent="0.2">
      <c r="A472">
        <f>'Form Responses (Pokemon Stats)'!B432</f>
        <v>0</v>
      </c>
      <c r="B472">
        <f>'Form Responses (Pokemon Stats)'!D432</f>
        <v>0</v>
      </c>
      <c r="C472">
        <f>'Form Responses (Pokemon Stats)'!C432</f>
        <v>0</v>
      </c>
      <c r="F472">
        <f>'Form Responses (Pokemon Stats)'!E432</f>
        <v>0</v>
      </c>
      <c r="G472" t="str">
        <f ca="1">IFERROR(__xludf.DUMMYFUNCTION("ROUND(B472/ FILTER('Pokemon CP/HP'!$M$2:$M1000, LOWER('Pokemon CP/HP'!$B$2:$B1000)=LOWER(A472)))"),"#DIV/0!")</f>
        <v>#DIV/0!</v>
      </c>
      <c r="H472" t="str">
        <f ca="1">IFERROR(__xludf.DUMMYFUNCTION("FILTER('Leveling Info'!$B$2:$B1000, 'Leveling Info'!$A$2:$A1000 =G472)"),"#N/A")</f>
        <v>#N/A</v>
      </c>
      <c r="I472" s="29" t="e">
        <f t="shared" ca="1" si="0"/>
        <v>#VALUE!</v>
      </c>
      <c r="J472" s="29" t="str">
        <f ca="1">IFERROR(__xludf.DUMMYFUNCTION("IF(F472 = H472,C472/FILTER('Base Stats'!$C$2:$C1000, LOWER('Base Stats'!$B$2:$B1000) = LOWER($A472)), """")"),"#N/A")</f>
        <v>#N/A</v>
      </c>
      <c r="K472" t="str">
        <f t="shared" ca="1" si="1"/>
        <v/>
      </c>
      <c r="L472" t="str">
        <f ca="1">IFERROR(__xludf.DUMMYFUNCTION("IF(AND(NOT(K472 = """"), G472 &gt;= 15),K472/FILTER('Base Stats'!$C$2:$C1000, LOWER('Base Stats'!$B$2:$B1000) = LOWER($A472)), """")"),"#N/A")</f>
        <v>#N/A</v>
      </c>
      <c r="M472" t="str">
        <f ca="1">IFERROR(__xludf.DUMMYFUNCTION("1.15 + 0.02 * FILTER('Base Stats'!$C$2:$C1000, LOWER('Base Stats'!$B$2:$B1000) = LOWER($A472))"),"1.15")</f>
        <v>1.15</v>
      </c>
      <c r="N472" t="s">
        <v>527</v>
      </c>
    </row>
    <row r="473" spans="1:14" ht="12.75" x14ac:dyDescent="0.2">
      <c r="A473">
        <f>'Form Responses (Pokemon Stats)'!B433</f>
        <v>0</v>
      </c>
      <c r="B473">
        <f>'Form Responses (Pokemon Stats)'!D433</f>
        <v>0</v>
      </c>
      <c r="C473">
        <f>'Form Responses (Pokemon Stats)'!C433</f>
        <v>0</v>
      </c>
      <c r="F473">
        <f>'Form Responses (Pokemon Stats)'!E433</f>
        <v>0</v>
      </c>
      <c r="G473" t="str">
        <f ca="1">IFERROR(__xludf.DUMMYFUNCTION("ROUND(B473/ FILTER('Pokemon CP/HP'!$M$2:$M1000, LOWER('Pokemon CP/HP'!$B$2:$B1000)=LOWER(A473)))"),"#DIV/0!")</f>
        <v>#DIV/0!</v>
      </c>
      <c r="H473" t="str">
        <f ca="1">IFERROR(__xludf.DUMMYFUNCTION("FILTER('Leveling Info'!$B$2:$B1000, 'Leveling Info'!$A$2:$A1000 =G473)"),"#N/A")</f>
        <v>#N/A</v>
      </c>
      <c r="I473" s="29" t="e">
        <f t="shared" ca="1" si="0"/>
        <v>#VALUE!</v>
      </c>
      <c r="J473" s="29" t="str">
        <f ca="1">IFERROR(__xludf.DUMMYFUNCTION("IF(F473 = H473,C473/FILTER('Base Stats'!$C$2:$C1000, LOWER('Base Stats'!$B$2:$B1000) = LOWER($A473)), """")"),"#N/A")</f>
        <v>#N/A</v>
      </c>
      <c r="K473" t="str">
        <f t="shared" ca="1" si="1"/>
        <v/>
      </c>
      <c r="L473" t="str">
        <f ca="1">IFERROR(__xludf.DUMMYFUNCTION("IF(AND(NOT(K473 = """"), G473 &gt;= 15),K473/FILTER('Base Stats'!$C$2:$C1000, LOWER('Base Stats'!$B$2:$B1000) = LOWER($A473)), """")"),"#N/A")</f>
        <v>#N/A</v>
      </c>
      <c r="M473" t="str">
        <f ca="1">IFERROR(__xludf.DUMMYFUNCTION("1.15 + 0.02 * FILTER('Base Stats'!$C$2:$C1000, LOWER('Base Stats'!$B$2:$B1000) = LOWER($A473))"),"1.15")</f>
        <v>1.15</v>
      </c>
      <c r="N473" t="s">
        <v>527</v>
      </c>
    </row>
    <row r="474" spans="1:14" ht="12.75" x14ac:dyDescent="0.2">
      <c r="A474">
        <f>'Form Responses (Pokemon Stats)'!B434</f>
        <v>0</v>
      </c>
      <c r="B474">
        <f>'Form Responses (Pokemon Stats)'!D434</f>
        <v>0</v>
      </c>
      <c r="C474">
        <f>'Form Responses (Pokemon Stats)'!C434</f>
        <v>0</v>
      </c>
      <c r="F474">
        <f>'Form Responses (Pokemon Stats)'!E434</f>
        <v>0</v>
      </c>
      <c r="G474" t="str">
        <f ca="1">IFERROR(__xludf.DUMMYFUNCTION("ROUND(B474/ FILTER('Pokemon CP/HP'!$M$2:$M1000, LOWER('Pokemon CP/HP'!$B$2:$B1000)=LOWER(A474)))"),"#DIV/0!")</f>
        <v>#DIV/0!</v>
      </c>
      <c r="H474" t="str">
        <f ca="1">IFERROR(__xludf.DUMMYFUNCTION("FILTER('Leveling Info'!$B$2:$B1000, 'Leveling Info'!$A$2:$A1000 =G474)"),"#N/A")</f>
        <v>#N/A</v>
      </c>
      <c r="I474" s="29" t="e">
        <f t="shared" ca="1" si="0"/>
        <v>#VALUE!</v>
      </c>
      <c r="J474" s="29" t="str">
        <f ca="1">IFERROR(__xludf.DUMMYFUNCTION("IF(F474 = H474,C474/FILTER('Base Stats'!$C$2:$C1000, LOWER('Base Stats'!$B$2:$B1000) = LOWER($A474)), """")"),"#N/A")</f>
        <v>#N/A</v>
      </c>
      <c r="K474" t="str">
        <f t="shared" ca="1" si="1"/>
        <v/>
      </c>
      <c r="L474" t="str">
        <f ca="1">IFERROR(__xludf.DUMMYFUNCTION("IF(AND(NOT(K474 = """"), G474 &gt;= 15),K474/FILTER('Base Stats'!$C$2:$C1000, LOWER('Base Stats'!$B$2:$B1000) = LOWER($A474)), """")"),"#N/A")</f>
        <v>#N/A</v>
      </c>
      <c r="M474" t="str">
        <f ca="1">IFERROR(__xludf.DUMMYFUNCTION("1.15 + 0.02 * FILTER('Base Stats'!$C$2:$C1000, LOWER('Base Stats'!$B$2:$B1000) = LOWER($A474))"),"1.15")</f>
        <v>1.15</v>
      </c>
      <c r="N474" t="s">
        <v>527</v>
      </c>
    </row>
    <row r="475" spans="1:14" ht="12.75" x14ac:dyDescent="0.2">
      <c r="A475">
        <f>'Form Responses (Pokemon Stats)'!B435</f>
        <v>0</v>
      </c>
      <c r="B475">
        <f>'Form Responses (Pokemon Stats)'!D435</f>
        <v>0</v>
      </c>
      <c r="C475">
        <f>'Form Responses (Pokemon Stats)'!C435</f>
        <v>0</v>
      </c>
      <c r="F475">
        <f>'Form Responses (Pokemon Stats)'!E435</f>
        <v>0</v>
      </c>
      <c r="G475" t="str">
        <f ca="1">IFERROR(__xludf.DUMMYFUNCTION("ROUND(B475/ FILTER('Pokemon CP/HP'!$M$2:$M1000, LOWER('Pokemon CP/HP'!$B$2:$B1000)=LOWER(A475)))"),"#DIV/0!")</f>
        <v>#DIV/0!</v>
      </c>
      <c r="H475" t="str">
        <f ca="1">IFERROR(__xludf.DUMMYFUNCTION("FILTER('Leveling Info'!$B$2:$B1000, 'Leveling Info'!$A$2:$A1000 =G475)"),"#N/A")</f>
        <v>#N/A</v>
      </c>
      <c r="I475" s="29" t="e">
        <f t="shared" ca="1" si="0"/>
        <v>#VALUE!</v>
      </c>
      <c r="J475" s="29" t="str">
        <f ca="1">IFERROR(__xludf.DUMMYFUNCTION("IF(F475 = H475,C475/FILTER('Base Stats'!$C$2:$C1000, LOWER('Base Stats'!$B$2:$B1000) = LOWER($A475)), """")"),"#N/A")</f>
        <v>#N/A</v>
      </c>
      <c r="K475" t="str">
        <f t="shared" ca="1" si="1"/>
        <v/>
      </c>
      <c r="L475" t="str">
        <f ca="1">IFERROR(__xludf.DUMMYFUNCTION("IF(AND(NOT(K475 = """"), G475 &gt;= 15),K475/FILTER('Base Stats'!$C$2:$C1000, LOWER('Base Stats'!$B$2:$B1000) = LOWER($A475)), """")"),"#N/A")</f>
        <v>#N/A</v>
      </c>
      <c r="M475" t="str">
        <f ca="1">IFERROR(__xludf.DUMMYFUNCTION("1.15 + 0.02 * FILTER('Base Stats'!$C$2:$C1000, LOWER('Base Stats'!$B$2:$B1000) = LOWER($A475))"),"1.15")</f>
        <v>1.15</v>
      </c>
      <c r="N475" t="s">
        <v>527</v>
      </c>
    </row>
    <row r="476" spans="1:14" ht="12.75" x14ac:dyDescent="0.2">
      <c r="A476">
        <f>'Form Responses (Pokemon Stats)'!B436</f>
        <v>0</v>
      </c>
      <c r="B476">
        <f>'Form Responses (Pokemon Stats)'!D436</f>
        <v>0</v>
      </c>
      <c r="C476">
        <f>'Form Responses (Pokemon Stats)'!C436</f>
        <v>0</v>
      </c>
      <c r="F476">
        <f>'Form Responses (Pokemon Stats)'!E436</f>
        <v>0</v>
      </c>
      <c r="G476" t="str">
        <f ca="1">IFERROR(__xludf.DUMMYFUNCTION("ROUND(B476/ FILTER('Pokemon CP/HP'!$M$2:$M1000, LOWER('Pokemon CP/HP'!$B$2:$B1000)=LOWER(A476)))"),"#DIV/0!")</f>
        <v>#DIV/0!</v>
      </c>
      <c r="H476" t="str">
        <f ca="1">IFERROR(__xludf.DUMMYFUNCTION("FILTER('Leveling Info'!$B$2:$B1000, 'Leveling Info'!$A$2:$A1000 =G476)"),"#N/A")</f>
        <v>#N/A</v>
      </c>
      <c r="I476" s="29" t="e">
        <f t="shared" ca="1" si="0"/>
        <v>#VALUE!</v>
      </c>
      <c r="J476" s="29" t="str">
        <f ca="1">IFERROR(__xludf.DUMMYFUNCTION("IF(F476 = H476,C476/FILTER('Base Stats'!$C$2:$C1000, LOWER('Base Stats'!$B$2:$B1000) = LOWER($A476)), """")"),"#N/A")</f>
        <v>#N/A</v>
      </c>
      <c r="K476" t="str">
        <f t="shared" ca="1" si="1"/>
        <v/>
      </c>
      <c r="L476" t="str">
        <f ca="1">IFERROR(__xludf.DUMMYFUNCTION("IF(AND(NOT(K476 = """"), G476 &gt;= 15),K476/FILTER('Base Stats'!$C$2:$C1000, LOWER('Base Stats'!$B$2:$B1000) = LOWER($A476)), """")"),"#N/A")</f>
        <v>#N/A</v>
      </c>
      <c r="M476" t="str">
        <f ca="1">IFERROR(__xludf.DUMMYFUNCTION("1.15 + 0.02 * FILTER('Base Stats'!$C$2:$C1000, LOWER('Base Stats'!$B$2:$B1000) = LOWER($A476))"),"1.15")</f>
        <v>1.15</v>
      </c>
      <c r="N476" t="s">
        <v>527</v>
      </c>
    </row>
    <row r="477" spans="1:14" ht="12.75" x14ac:dyDescent="0.2">
      <c r="A477">
        <f>'Form Responses (Pokemon Stats)'!B437</f>
        <v>0</v>
      </c>
      <c r="B477">
        <f>'Form Responses (Pokemon Stats)'!D437</f>
        <v>0</v>
      </c>
      <c r="C477">
        <f>'Form Responses (Pokemon Stats)'!C437</f>
        <v>0</v>
      </c>
      <c r="F477">
        <f>'Form Responses (Pokemon Stats)'!E437</f>
        <v>0</v>
      </c>
      <c r="G477" t="str">
        <f ca="1">IFERROR(__xludf.DUMMYFUNCTION("ROUND(B477/ FILTER('Pokemon CP/HP'!$M$2:$M1000, LOWER('Pokemon CP/HP'!$B$2:$B1000)=LOWER(A477)))"),"#DIV/0!")</f>
        <v>#DIV/0!</v>
      </c>
      <c r="H477" t="str">
        <f ca="1">IFERROR(__xludf.DUMMYFUNCTION("FILTER('Leveling Info'!$B$2:$B1000, 'Leveling Info'!$A$2:$A1000 =G477)"),"#N/A")</f>
        <v>#N/A</v>
      </c>
      <c r="I477" s="29" t="e">
        <f t="shared" ca="1" si="0"/>
        <v>#VALUE!</v>
      </c>
      <c r="J477" s="29" t="str">
        <f ca="1">IFERROR(__xludf.DUMMYFUNCTION("IF(F477 = H477,C477/FILTER('Base Stats'!$C$2:$C1000, LOWER('Base Stats'!$B$2:$B1000) = LOWER($A477)), """")"),"#N/A")</f>
        <v>#N/A</v>
      </c>
      <c r="K477" t="str">
        <f t="shared" ca="1" si="1"/>
        <v/>
      </c>
      <c r="L477" t="str">
        <f ca="1">IFERROR(__xludf.DUMMYFUNCTION("IF(AND(NOT(K477 = """"), G477 &gt;= 15),K477/FILTER('Base Stats'!$C$2:$C1000, LOWER('Base Stats'!$B$2:$B1000) = LOWER($A477)), """")"),"#N/A")</f>
        <v>#N/A</v>
      </c>
      <c r="M477" t="str">
        <f ca="1">IFERROR(__xludf.DUMMYFUNCTION("1.15 + 0.02 * FILTER('Base Stats'!$C$2:$C1000, LOWER('Base Stats'!$B$2:$B1000) = LOWER($A477))"),"1.15")</f>
        <v>1.15</v>
      </c>
      <c r="N477" t="s">
        <v>527</v>
      </c>
    </row>
    <row r="478" spans="1:14" ht="12.75" x14ac:dyDescent="0.2">
      <c r="A478">
        <f>'Form Responses (Pokemon Stats)'!B438</f>
        <v>0</v>
      </c>
      <c r="B478">
        <f>'Form Responses (Pokemon Stats)'!D438</f>
        <v>0</v>
      </c>
      <c r="C478">
        <f>'Form Responses (Pokemon Stats)'!C438</f>
        <v>0</v>
      </c>
      <c r="F478">
        <f>'Form Responses (Pokemon Stats)'!E438</f>
        <v>0</v>
      </c>
      <c r="G478" t="str">
        <f ca="1">IFERROR(__xludf.DUMMYFUNCTION("ROUND(B478/ FILTER('Pokemon CP/HP'!$M$2:$M1000, LOWER('Pokemon CP/HP'!$B$2:$B1000)=LOWER(A478)))"),"#DIV/0!")</f>
        <v>#DIV/0!</v>
      </c>
      <c r="H478" t="str">
        <f ca="1">IFERROR(__xludf.DUMMYFUNCTION("FILTER('Leveling Info'!$B$2:$B1000, 'Leveling Info'!$A$2:$A1000 =G478)"),"#N/A")</f>
        <v>#N/A</v>
      </c>
      <c r="I478" s="29" t="e">
        <f t="shared" ca="1" si="0"/>
        <v>#VALUE!</v>
      </c>
      <c r="J478" s="29" t="str">
        <f ca="1">IFERROR(__xludf.DUMMYFUNCTION("IF(F478 = H478,C478/FILTER('Base Stats'!$C$2:$C1000, LOWER('Base Stats'!$B$2:$B1000) = LOWER($A478)), """")"),"#N/A")</f>
        <v>#N/A</v>
      </c>
      <c r="K478" t="str">
        <f t="shared" ca="1" si="1"/>
        <v/>
      </c>
      <c r="L478" t="str">
        <f ca="1">IFERROR(__xludf.DUMMYFUNCTION("IF(AND(NOT(K478 = """"), G478 &gt;= 15),K478/FILTER('Base Stats'!$C$2:$C1000, LOWER('Base Stats'!$B$2:$B1000) = LOWER($A478)), """")"),"#N/A")</f>
        <v>#N/A</v>
      </c>
      <c r="M478" t="str">
        <f ca="1">IFERROR(__xludf.DUMMYFUNCTION("1.15 + 0.02 * FILTER('Base Stats'!$C$2:$C1000, LOWER('Base Stats'!$B$2:$B1000) = LOWER($A478))"),"1.15")</f>
        <v>1.15</v>
      </c>
      <c r="N478" t="s">
        <v>527</v>
      </c>
    </row>
    <row r="479" spans="1:14" ht="12.75" x14ac:dyDescent="0.2">
      <c r="A479">
        <f>'Form Responses (Pokemon Stats)'!B439</f>
        <v>0</v>
      </c>
      <c r="B479">
        <f>'Form Responses (Pokemon Stats)'!D439</f>
        <v>0</v>
      </c>
      <c r="C479">
        <f>'Form Responses (Pokemon Stats)'!C439</f>
        <v>0</v>
      </c>
      <c r="F479">
        <f>'Form Responses (Pokemon Stats)'!E439</f>
        <v>0</v>
      </c>
      <c r="G479" t="str">
        <f ca="1">IFERROR(__xludf.DUMMYFUNCTION("ROUND(B479/ FILTER('Pokemon CP/HP'!$M$2:$M1000, LOWER('Pokemon CP/HP'!$B$2:$B1000)=LOWER(A479)))"),"#DIV/0!")</f>
        <v>#DIV/0!</v>
      </c>
      <c r="H479" t="str">
        <f ca="1">IFERROR(__xludf.DUMMYFUNCTION("FILTER('Leveling Info'!$B$2:$B1000, 'Leveling Info'!$A$2:$A1000 =G479)"),"#N/A")</f>
        <v>#N/A</v>
      </c>
      <c r="I479" s="29" t="e">
        <f t="shared" ca="1" si="0"/>
        <v>#VALUE!</v>
      </c>
      <c r="J479" s="29" t="str">
        <f ca="1">IFERROR(__xludf.DUMMYFUNCTION("IF(F479 = H479,C479/FILTER('Base Stats'!$C$2:$C1000, LOWER('Base Stats'!$B$2:$B1000) = LOWER($A479)), """")"),"#N/A")</f>
        <v>#N/A</v>
      </c>
      <c r="K479" t="str">
        <f t="shared" ca="1" si="1"/>
        <v/>
      </c>
      <c r="L479" t="str">
        <f ca="1">IFERROR(__xludf.DUMMYFUNCTION("IF(AND(NOT(K479 = """"), G479 &gt;= 15),K479/FILTER('Base Stats'!$C$2:$C1000, LOWER('Base Stats'!$B$2:$B1000) = LOWER($A479)), """")"),"#N/A")</f>
        <v>#N/A</v>
      </c>
      <c r="M479" t="str">
        <f ca="1">IFERROR(__xludf.DUMMYFUNCTION("1.15 + 0.02 * FILTER('Base Stats'!$C$2:$C1000, LOWER('Base Stats'!$B$2:$B1000) = LOWER($A479))"),"1.15")</f>
        <v>1.15</v>
      </c>
      <c r="N479" t="s">
        <v>527</v>
      </c>
    </row>
    <row r="480" spans="1:14" ht="12.75" x14ac:dyDescent="0.2">
      <c r="A480">
        <f>'Form Responses (Pokemon Stats)'!B440</f>
        <v>0</v>
      </c>
      <c r="B480">
        <f>'Form Responses (Pokemon Stats)'!D440</f>
        <v>0</v>
      </c>
      <c r="C480">
        <f>'Form Responses (Pokemon Stats)'!C440</f>
        <v>0</v>
      </c>
      <c r="F480">
        <f>'Form Responses (Pokemon Stats)'!E440</f>
        <v>0</v>
      </c>
      <c r="G480" t="str">
        <f ca="1">IFERROR(__xludf.DUMMYFUNCTION("ROUND(B480/ FILTER('Pokemon CP/HP'!$M$2:$M1000, LOWER('Pokemon CP/HP'!$B$2:$B1000)=LOWER(A480)))"),"#DIV/0!")</f>
        <v>#DIV/0!</v>
      </c>
      <c r="H480" t="str">
        <f ca="1">IFERROR(__xludf.DUMMYFUNCTION("FILTER('Leveling Info'!$B$2:$B1000, 'Leveling Info'!$A$2:$A1000 =G480)"),"#N/A")</f>
        <v>#N/A</v>
      </c>
      <c r="I480" s="29" t="e">
        <f t="shared" ca="1" si="0"/>
        <v>#VALUE!</v>
      </c>
      <c r="J480" s="29" t="str">
        <f ca="1">IFERROR(__xludf.DUMMYFUNCTION("IF(F480 = H480,C480/FILTER('Base Stats'!$C$2:$C1000, LOWER('Base Stats'!$B$2:$B1000) = LOWER($A480)), """")"),"#N/A")</f>
        <v>#N/A</v>
      </c>
      <c r="K480" t="str">
        <f t="shared" ca="1" si="1"/>
        <v/>
      </c>
      <c r="L480" t="str">
        <f ca="1">IFERROR(__xludf.DUMMYFUNCTION("IF(AND(NOT(K480 = """"), G480 &gt;= 15),K480/FILTER('Base Stats'!$C$2:$C1000, LOWER('Base Stats'!$B$2:$B1000) = LOWER($A480)), """")"),"#N/A")</f>
        <v>#N/A</v>
      </c>
      <c r="M480" t="str">
        <f ca="1">IFERROR(__xludf.DUMMYFUNCTION("1.15 + 0.02 * FILTER('Base Stats'!$C$2:$C1000, LOWER('Base Stats'!$B$2:$B1000) = LOWER($A480))"),"1.15")</f>
        <v>1.15</v>
      </c>
      <c r="N480" t="s">
        <v>527</v>
      </c>
    </row>
    <row r="481" spans="1:14" ht="12.75" x14ac:dyDescent="0.2">
      <c r="A481">
        <f>'Form Responses (Pokemon Stats)'!B441</f>
        <v>0</v>
      </c>
      <c r="B481">
        <f>'Form Responses (Pokemon Stats)'!D441</f>
        <v>0</v>
      </c>
      <c r="C481">
        <f>'Form Responses (Pokemon Stats)'!C441</f>
        <v>0</v>
      </c>
      <c r="F481">
        <f>'Form Responses (Pokemon Stats)'!E441</f>
        <v>0</v>
      </c>
      <c r="G481" t="str">
        <f ca="1">IFERROR(__xludf.DUMMYFUNCTION("ROUND(B481/ FILTER('Pokemon CP/HP'!$M$2:$M1000, LOWER('Pokemon CP/HP'!$B$2:$B1000)=LOWER(A481)))"),"#DIV/0!")</f>
        <v>#DIV/0!</v>
      </c>
      <c r="H481" t="str">
        <f ca="1">IFERROR(__xludf.DUMMYFUNCTION("FILTER('Leveling Info'!$B$2:$B1000, 'Leveling Info'!$A$2:$A1000 =G481)"),"#N/A")</f>
        <v>#N/A</v>
      </c>
      <c r="I481" s="29" t="e">
        <f t="shared" ca="1" si="0"/>
        <v>#VALUE!</v>
      </c>
      <c r="J481" s="29" t="str">
        <f ca="1">IFERROR(__xludf.DUMMYFUNCTION("IF(F481 = H481,C481/FILTER('Base Stats'!$C$2:$C1000, LOWER('Base Stats'!$B$2:$B1000) = LOWER($A481)), """")"),"#N/A")</f>
        <v>#N/A</v>
      </c>
      <c r="K481" t="str">
        <f t="shared" ca="1" si="1"/>
        <v/>
      </c>
      <c r="L481" t="str">
        <f ca="1">IFERROR(__xludf.DUMMYFUNCTION("IF(AND(NOT(K481 = """"), G481 &gt;= 15),K481/FILTER('Base Stats'!$C$2:$C1000, LOWER('Base Stats'!$B$2:$B1000) = LOWER($A481)), """")"),"#N/A")</f>
        <v>#N/A</v>
      </c>
      <c r="M481" t="str">
        <f ca="1">IFERROR(__xludf.DUMMYFUNCTION("1.15 + 0.02 * FILTER('Base Stats'!$C$2:$C1000, LOWER('Base Stats'!$B$2:$B1000) = LOWER($A481))"),"1.15")</f>
        <v>1.15</v>
      </c>
      <c r="N481" t="s">
        <v>527</v>
      </c>
    </row>
    <row r="482" spans="1:14" ht="12.75" x14ac:dyDescent="0.2">
      <c r="A482">
        <f>'Form Responses (Pokemon Stats)'!B442</f>
        <v>0</v>
      </c>
      <c r="B482">
        <f>'Form Responses (Pokemon Stats)'!D442</f>
        <v>0</v>
      </c>
      <c r="C482">
        <f>'Form Responses (Pokemon Stats)'!C442</f>
        <v>0</v>
      </c>
      <c r="F482">
        <f>'Form Responses (Pokemon Stats)'!E442</f>
        <v>0</v>
      </c>
      <c r="G482" t="str">
        <f ca="1">IFERROR(__xludf.DUMMYFUNCTION("ROUND(B482/ FILTER('Pokemon CP/HP'!$M$2:$M1000, LOWER('Pokemon CP/HP'!$B$2:$B1000)=LOWER(A482)))"),"#DIV/0!")</f>
        <v>#DIV/0!</v>
      </c>
      <c r="H482" t="str">
        <f ca="1">IFERROR(__xludf.DUMMYFUNCTION("FILTER('Leveling Info'!$B$2:$B1000, 'Leveling Info'!$A$2:$A1000 =G482)"),"#N/A")</f>
        <v>#N/A</v>
      </c>
      <c r="I482" s="29" t="e">
        <f t="shared" ca="1" si="0"/>
        <v>#VALUE!</v>
      </c>
      <c r="J482" s="29" t="str">
        <f ca="1">IFERROR(__xludf.DUMMYFUNCTION("IF(F482 = H482,C482/FILTER('Base Stats'!$C$2:$C1000, LOWER('Base Stats'!$B$2:$B1000) = LOWER($A482)), """")"),"#N/A")</f>
        <v>#N/A</v>
      </c>
      <c r="K482" t="str">
        <f t="shared" ca="1" si="1"/>
        <v/>
      </c>
      <c r="L482" t="str">
        <f ca="1">IFERROR(__xludf.DUMMYFUNCTION("IF(AND(NOT(K482 = """"), G482 &gt;= 15),K482/FILTER('Base Stats'!$C$2:$C1000, LOWER('Base Stats'!$B$2:$B1000) = LOWER($A482)), """")"),"#N/A")</f>
        <v>#N/A</v>
      </c>
      <c r="M482" t="str">
        <f ca="1">IFERROR(__xludf.DUMMYFUNCTION("1.15 + 0.02 * FILTER('Base Stats'!$C$2:$C1000, LOWER('Base Stats'!$B$2:$B1000) = LOWER($A482))"),"1.15")</f>
        <v>1.15</v>
      </c>
      <c r="N482" t="s">
        <v>527</v>
      </c>
    </row>
    <row r="483" spans="1:14" ht="12.75" x14ac:dyDescent="0.2">
      <c r="A483">
        <f>'Form Responses (Pokemon Stats)'!B443</f>
        <v>0</v>
      </c>
      <c r="B483">
        <f>'Form Responses (Pokemon Stats)'!D443</f>
        <v>0</v>
      </c>
      <c r="C483">
        <f>'Form Responses (Pokemon Stats)'!C443</f>
        <v>0</v>
      </c>
      <c r="F483">
        <f>'Form Responses (Pokemon Stats)'!E443</f>
        <v>0</v>
      </c>
      <c r="G483" t="str">
        <f ca="1">IFERROR(__xludf.DUMMYFUNCTION("ROUND(B483/ FILTER('Pokemon CP/HP'!$M$2:$M1000, LOWER('Pokemon CP/HP'!$B$2:$B1000)=LOWER(A483)))"),"#DIV/0!")</f>
        <v>#DIV/0!</v>
      </c>
      <c r="H483" t="str">
        <f ca="1">IFERROR(__xludf.DUMMYFUNCTION("FILTER('Leveling Info'!$B$2:$B1000, 'Leveling Info'!$A$2:$A1000 =G483)"),"#N/A")</f>
        <v>#N/A</v>
      </c>
      <c r="I483" s="29" t="e">
        <f t="shared" ca="1" si="0"/>
        <v>#VALUE!</v>
      </c>
      <c r="J483" s="29" t="str">
        <f ca="1">IFERROR(__xludf.DUMMYFUNCTION("IF(F483 = H483,C483/FILTER('Base Stats'!$C$2:$C1000, LOWER('Base Stats'!$B$2:$B1000) = LOWER($A483)), """")"),"#N/A")</f>
        <v>#N/A</v>
      </c>
      <c r="K483" t="str">
        <f t="shared" ca="1" si="1"/>
        <v/>
      </c>
      <c r="L483" t="str">
        <f ca="1">IFERROR(__xludf.DUMMYFUNCTION("IF(AND(NOT(K483 = """"), G483 &gt;= 15),K483/FILTER('Base Stats'!$C$2:$C1000, LOWER('Base Stats'!$B$2:$B1000) = LOWER($A483)), """")"),"#N/A")</f>
        <v>#N/A</v>
      </c>
      <c r="M483" t="str">
        <f ca="1">IFERROR(__xludf.DUMMYFUNCTION("1.15 + 0.02 * FILTER('Base Stats'!$C$2:$C1000, LOWER('Base Stats'!$B$2:$B1000) = LOWER($A483))"),"1.15")</f>
        <v>1.15</v>
      </c>
      <c r="N483" t="s">
        <v>527</v>
      </c>
    </row>
    <row r="484" spans="1:14" ht="12.75" x14ac:dyDescent="0.2">
      <c r="A484">
        <f>'Form Responses (Pokemon Stats)'!B444</f>
        <v>0</v>
      </c>
      <c r="B484">
        <f>'Form Responses (Pokemon Stats)'!D444</f>
        <v>0</v>
      </c>
      <c r="C484">
        <f>'Form Responses (Pokemon Stats)'!C444</f>
        <v>0</v>
      </c>
      <c r="F484">
        <f>'Form Responses (Pokemon Stats)'!E444</f>
        <v>0</v>
      </c>
      <c r="G484" t="str">
        <f ca="1">IFERROR(__xludf.DUMMYFUNCTION("ROUND(B484/ FILTER('Pokemon CP/HP'!$M$2:$M1000, LOWER('Pokemon CP/HP'!$B$2:$B1000)=LOWER(A484)))"),"#DIV/0!")</f>
        <v>#DIV/0!</v>
      </c>
      <c r="H484" t="str">
        <f ca="1">IFERROR(__xludf.DUMMYFUNCTION("FILTER('Leveling Info'!$B$2:$B1000, 'Leveling Info'!$A$2:$A1000 =G484)"),"#N/A")</f>
        <v>#N/A</v>
      </c>
      <c r="I484" s="29" t="e">
        <f t="shared" ca="1" si="0"/>
        <v>#VALUE!</v>
      </c>
      <c r="J484" s="29" t="str">
        <f ca="1">IFERROR(__xludf.DUMMYFUNCTION("IF(F484 = H484,C484/FILTER('Base Stats'!$C$2:$C1000, LOWER('Base Stats'!$B$2:$B1000) = LOWER($A484)), """")"),"#N/A")</f>
        <v>#N/A</v>
      </c>
      <c r="K484" t="str">
        <f t="shared" ca="1" si="1"/>
        <v/>
      </c>
      <c r="L484" t="str">
        <f ca="1">IFERROR(__xludf.DUMMYFUNCTION("IF(AND(NOT(K484 = """"), G484 &gt;= 15),K484/FILTER('Base Stats'!$C$2:$C1000, LOWER('Base Stats'!$B$2:$B1000) = LOWER($A484)), """")"),"#N/A")</f>
        <v>#N/A</v>
      </c>
      <c r="M484" t="str">
        <f ca="1">IFERROR(__xludf.DUMMYFUNCTION("1.15 + 0.02 * FILTER('Base Stats'!$C$2:$C1000, LOWER('Base Stats'!$B$2:$B1000) = LOWER($A484))"),"1.15")</f>
        <v>1.15</v>
      </c>
      <c r="N484" t="s">
        <v>527</v>
      </c>
    </row>
    <row r="485" spans="1:14" ht="12.75" x14ac:dyDescent="0.2">
      <c r="A485">
        <f>'Form Responses (Pokemon Stats)'!B445</f>
        <v>0</v>
      </c>
      <c r="B485">
        <f>'Form Responses (Pokemon Stats)'!D445</f>
        <v>0</v>
      </c>
      <c r="C485">
        <f>'Form Responses (Pokemon Stats)'!C445</f>
        <v>0</v>
      </c>
      <c r="F485">
        <f>'Form Responses (Pokemon Stats)'!E445</f>
        <v>0</v>
      </c>
      <c r="G485" t="str">
        <f ca="1">IFERROR(__xludf.DUMMYFUNCTION("ROUND(B485/ FILTER('Pokemon CP/HP'!$M$2:$M1000, LOWER('Pokemon CP/HP'!$B$2:$B1000)=LOWER(A485)))"),"#DIV/0!")</f>
        <v>#DIV/0!</v>
      </c>
      <c r="H485" t="str">
        <f ca="1">IFERROR(__xludf.DUMMYFUNCTION("FILTER('Leveling Info'!$B$2:$B1000, 'Leveling Info'!$A$2:$A1000 =G485)"),"#N/A")</f>
        <v>#N/A</v>
      </c>
      <c r="I485" s="29" t="e">
        <f t="shared" ca="1" si="0"/>
        <v>#VALUE!</v>
      </c>
      <c r="J485" s="29" t="str">
        <f ca="1">IFERROR(__xludf.DUMMYFUNCTION("IF(F485 = H485,C485/FILTER('Base Stats'!$C$2:$C1000, LOWER('Base Stats'!$B$2:$B1000) = LOWER($A485)), """")"),"#N/A")</f>
        <v>#N/A</v>
      </c>
      <c r="K485" t="str">
        <f t="shared" ca="1" si="1"/>
        <v/>
      </c>
      <c r="L485" t="str">
        <f ca="1">IFERROR(__xludf.DUMMYFUNCTION("IF(AND(NOT(K485 = """"), G485 &gt;= 15),K485/FILTER('Base Stats'!$C$2:$C1000, LOWER('Base Stats'!$B$2:$B1000) = LOWER($A485)), """")"),"#N/A")</f>
        <v>#N/A</v>
      </c>
      <c r="M485" t="str">
        <f ca="1">IFERROR(__xludf.DUMMYFUNCTION("1.15 + 0.02 * FILTER('Base Stats'!$C$2:$C1000, LOWER('Base Stats'!$B$2:$B1000) = LOWER($A485))"),"1.15")</f>
        <v>1.15</v>
      </c>
      <c r="N485" t="s">
        <v>527</v>
      </c>
    </row>
    <row r="486" spans="1:14" ht="12.75" x14ac:dyDescent="0.2">
      <c r="A486">
        <f>'Form Responses (Pokemon Stats)'!B446</f>
        <v>0</v>
      </c>
      <c r="B486">
        <f>'Form Responses (Pokemon Stats)'!D446</f>
        <v>0</v>
      </c>
      <c r="C486">
        <f>'Form Responses (Pokemon Stats)'!C446</f>
        <v>0</v>
      </c>
      <c r="F486">
        <f>'Form Responses (Pokemon Stats)'!E446</f>
        <v>0</v>
      </c>
      <c r="G486" t="str">
        <f ca="1">IFERROR(__xludf.DUMMYFUNCTION("ROUND(B486/ FILTER('Pokemon CP/HP'!$M$2:$M1000, LOWER('Pokemon CP/HP'!$B$2:$B1000)=LOWER(A486)))"),"#DIV/0!")</f>
        <v>#DIV/0!</v>
      </c>
      <c r="H486" t="str">
        <f ca="1">IFERROR(__xludf.DUMMYFUNCTION("FILTER('Leveling Info'!$B$2:$B1000, 'Leveling Info'!$A$2:$A1000 =G486)"),"#N/A")</f>
        <v>#N/A</v>
      </c>
      <c r="I486" s="29" t="e">
        <f t="shared" ca="1" si="0"/>
        <v>#VALUE!</v>
      </c>
      <c r="J486" s="29" t="str">
        <f ca="1">IFERROR(__xludf.DUMMYFUNCTION("IF(F486 = H486,C486/FILTER('Base Stats'!$C$2:$C1000, LOWER('Base Stats'!$B$2:$B1000) = LOWER($A486)), """")"),"#N/A")</f>
        <v>#N/A</v>
      </c>
      <c r="K486" t="str">
        <f t="shared" ca="1" si="1"/>
        <v/>
      </c>
      <c r="L486" t="str">
        <f ca="1">IFERROR(__xludf.DUMMYFUNCTION("IF(AND(NOT(K486 = """"), G486 &gt;= 15),K486/FILTER('Base Stats'!$C$2:$C1000, LOWER('Base Stats'!$B$2:$B1000) = LOWER($A486)), """")"),"#N/A")</f>
        <v>#N/A</v>
      </c>
      <c r="M486" t="str">
        <f ca="1">IFERROR(__xludf.DUMMYFUNCTION("1.15 + 0.02 * FILTER('Base Stats'!$C$2:$C1000, LOWER('Base Stats'!$B$2:$B1000) = LOWER($A486))"),"1.15")</f>
        <v>1.15</v>
      </c>
      <c r="N486" t="s">
        <v>527</v>
      </c>
    </row>
    <row r="487" spans="1:14" ht="12.75" x14ac:dyDescent="0.2">
      <c r="A487">
        <f>'Form Responses (Pokemon Stats)'!B447</f>
        <v>0</v>
      </c>
      <c r="B487">
        <f>'Form Responses (Pokemon Stats)'!D447</f>
        <v>0</v>
      </c>
      <c r="C487">
        <f>'Form Responses (Pokemon Stats)'!C447</f>
        <v>0</v>
      </c>
      <c r="F487">
        <f>'Form Responses (Pokemon Stats)'!E447</f>
        <v>0</v>
      </c>
      <c r="G487" t="str">
        <f ca="1">IFERROR(__xludf.DUMMYFUNCTION("ROUND(B487/ FILTER('Pokemon CP/HP'!$M$2:$M1000, LOWER('Pokemon CP/HP'!$B$2:$B1000)=LOWER(A487)))"),"#DIV/0!")</f>
        <v>#DIV/0!</v>
      </c>
      <c r="H487" t="str">
        <f ca="1">IFERROR(__xludf.DUMMYFUNCTION("FILTER('Leveling Info'!$B$2:$B1000, 'Leveling Info'!$A$2:$A1000 =G487)"),"#N/A")</f>
        <v>#N/A</v>
      </c>
      <c r="I487" s="29" t="e">
        <f t="shared" ca="1" si="0"/>
        <v>#VALUE!</v>
      </c>
      <c r="J487" s="29" t="str">
        <f ca="1">IFERROR(__xludf.DUMMYFUNCTION("IF(F487 = H487,C487/FILTER('Base Stats'!$C$2:$C1000, LOWER('Base Stats'!$B$2:$B1000) = LOWER($A487)), """")"),"#N/A")</f>
        <v>#N/A</v>
      </c>
      <c r="K487" t="str">
        <f t="shared" ca="1" si="1"/>
        <v/>
      </c>
      <c r="L487" t="str">
        <f ca="1">IFERROR(__xludf.DUMMYFUNCTION("IF(AND(NOT(K487 = """"), G487 &gt;= 15),K487/FILTER('Base Stats'!$C$2:$C1000, LOWER('Base Stats'!$B$2:$B1000) = LOWER($A487)), """")"),"#N/A")</f>
        <v>#N/A</v>
      </c>
      <c r="M487" t="str">
        <f ca="1">IFERROR(__xludf.DUMMYFUNCTION("1.15 + 0.02 * FILTER('Base Stats'!$C$2:$C1000, LOWER('Base Stats'!$B$2:$B1000) = LOWER($A487))"),"1.15")</f>
        <v>1.15</v>
      </c>
      <c r="N487" t="s">
        <v>527</v>
      </c>
    </row>
    <row r="488" spans="1:14" ht="12.75" x14ac:dyDescent="0.2">
      <c r="A488">
        <f>'Form Responses (Pokemon Stats)'!B448</f>
        <v>0</v>
      </c>
      <c r="B488">
        <f>'Form Responses (Pokemon Stats)'!D448</f>
        <v>0</v>
      </c>
      <c r="C488">
        <f>'Form Responses (Pokemon Stats)'!C448</f>
        <v>0</v>
      </c>
      <c r="F488">
        <f>'Form Responses (Pokemon Stats)'!E448</f>
        <v>0</v>
      </c>
      <c r="G488" t="str">
        <f ca="1">IFERROR(__xludf.DUMMYFUNCTION("ROUND(B488/ FILTER('Pokemon CP/HP'!$M$2:$M1000, LOWER('Pokemon CP/HP'!$B$2:$B1000)=LOWER(A488)))"),"#DIV/0!")</f>
        <v>#DIV/0!</v>
      </c>
      <c r="H488" t="str">
        <f ca="1">IFERROR(__xludf.DUMMYFUNCTION("FILTER('Leveling Info'!$B$2:$B1000, 'Leveling Info'!$A$2:$A1000 =G488)"),"#N/A")</f>
        <v>#N/A</v>
      </c>
      <c r="I488" s="29" t="e">
        <f t="shared" ca="1" si="0"/>
        <v>#VALUE!</v>
      </c>
      <c r="J488" s="29" t="str">
        <f ca="1">IFERROR(__xludf.DUMMYFUNCTION("IF(F488 = H488,C488/FILTER('Base Stats'!$C$2:$C1000, LOWER('Base Stats'!$B$2:$B1000) = LOWER($A488)), """")"),"#N/A")</f>
        <v>#N/A</v>
      </c>
      <c r="K488" t="str">
        <f t="shared" ca="1" si="1"/>
        <v/>
      </c>
      <c r="L488" t="str">
        <f ca="1">IFERROR(__xludf.DUMMYFUNCTION("IF(AND(NOT(K488 = """"), G488 &gt;= 15),K488/FILTER('Base Stats'!$C$2:$C1000, LOWER('Base Stats'!$B$2:$B1000) = LOWER($A488)), """")"),"#N/A")</f>
        <v>#N/A</v>
      </c>
      <c r="M488" t="str">
        <f ca="1">IFERROR(__xludf.DUMMYFUNCTION("1.15 + 0.02 * FILTER('Base Stats'!$C$2:$C1000, LOWER('Base Stats'!$B$2:$B1000) = LOWER($A488))"),"1.15")</f>
        <v>1.15</v>
      </c>
      <c r="N488" t="s">
        <v>527</v>
      </c>
    </row>
    <row r="489" spans="1:14" ht="12.75" x14ac:dyDescent="0.2">
      <c r="A489">
        <f>'Form Responses (Pokemon Stats)'!B449</f>
        <v>0</v>
      </c>
      <c r="B489">
        <f>'Form Responses (Pokemon Stats)'!D449</f>
        <v>0</v>
      </c>
      <c r="C489">
        <f>'Form Responses (Pokemon Stats)'!C449</f>
        <v>0</v>
      </c>
      <c r="F489">
        <f>'Form Responses (Pokemon Stats)'!E449</f>
        <v>0</v>
      </c>
      <c r="G489" t="str">
        <f ca="1">IFERROR(__xludf.DUMMYFUNCTION("ROUND(B489/ FILTER('Pokemon CP/HP'!$M$2:$M1000, LOWER('Pokemon CP/HP'!$B$2:$B1000)=LOWER(A489)))"),"#DIV/0!")</f>
        <v>#DIV/0!</v>
      </c>
      <c r="H489" t="str">
        <f ca="1">IFERROR(__xludf.DUMMYFUNCTION("FILTER('Leveling Info'!$B$2:$B1000, 'Leveling Info'!$A$2:$A1000 =G489)"),"#N/A")</f>
        <v>#N/A</v>
      </c>
      <c r="I489" s="29" t="e">
        <f t="shared" ca="1" si="0"/>
        <v>#VALUE!</v>
      </c>
      <c r="J489" s="29" t="str">
        <f ca="1">IFERROR(__xludf.DUMMYFUNCTION("IF(F489 = H489,C489/FILTER('Base Stats'!$C$2:$C1000, LOWER('Base Stats'!$B$2:$B1000) = LOWER($A489)), """")"),"#N/A")</f>
        <v>#N/A</v>
      </c>
      <c r="K489" t="str">
        <f t="shared" ca="1" si="1"/>
        <v/>
      </c>
      <c r="L489" t="str">
        <f ca="1">IFERROR(__xludf.DUMMYFUNCTION("IF(AND(NOT(K489 = """"), G489 &gt;= 15),K489/FILTER('Base Stats'!$C$2:$C1000, LOWER('Base Stats'!$B$2:$B1000) = LOWER($A489)), """")"),"#N/A")</f>
        <v>#N/A</v>
      </c>
      <c r="M489" t="str">
        <f ca="1">IFERROR(__xludf.DUMMYFUNCTION("1.15 + 0.02 * FILTER('Base Stats'!$C$2:$C1000, LOWER('Base Stats'!$B$2:$B1000) = LOWER($A489))"),"1.15")</f>
        <v>1.15</v>
      </c>
      <c r="N489" t="s">
        <v>527</v>
      </c>
    </row>
    <row r="490" spans="1:14" ht="12.75" x14ac:dyDescent="0.2">
      <c r="A490">
        <f>'Form Responses (Pokemon Stats)'!B450</f>
        <v>0</v>
      </c>
      <c r="B490">
        <f>'Form Responses (Pokemon Stats)'!D450</f>
        <v>0</v>
      </c>
      <c r="C490">
        <f>'Form Responses (Pokemon Stats)'!C450</f>
        <v>0</v>
      </c>
      <c r="F490">
        <f>'Form Responses (Pokemon Stats)'!E450</f>
        <v>0</v>
      </c>
      <c r="G490" t="str">
        <f ca="1">IFERROR(__xludf.DUMMYFUNCTION("ROUND(B490/ FILTER('Pokemon CP/HP'!$M$2:$M1000, LOWER('Pokemon CP/HP'!$B$2:$B1000)=LOWER(A490)))"),"#DIV/0!")</f>
        <v>#DIV/0!</v>
      </c>
      <c r="H490" t="str">
        <f ca="1">IFERROR(__xludf.DUMMYFUNCTION("FILTER('Leveling Info'!$B$2:$B1000, 'Leveling Info'!$A$2:$A1000 =G490)"),"#N/A")</f>
        <v>#N/A</v>
      </c>
      <c r="I490" s="29" t="e">
        <f t="shared" ca="1" si="0"/>
        <v>#VALUE!</v>
      </c>
      <c r="J490" s="29" t="str">
        <f ca="1">IFERROR(__xludf.DUMMYFUNCTION("IF(F490 = H490,C490/FILTER('Base Stats'!$C$2:$C1000, LOWER('Base Stats'!$B$2:$B1000) = LOWER($A490)), """")"),"#N/A")</f>
        <v>#N/A</v>
      </c>
      <c r="K490" t="str">
        <f t="shared" ca="1" si="1"/>
        <v/>
      </c>
      <c r="L490" t="str">
        <f ca="1">IFERROR(__xludf.DUMMYFUNCTION("IF(AND(NOT(K490 = """"), G490 &gt;= 15),K490/FILTER('Base Stats'!$C$2:$C1000, LOWER('Base Stats'!$B$2:$B1000) = LOWER($A490)), """")"),"#N/A")</f>
        <v>#N/A</v>
      </c>
      <c r="M490" t="str">
        <f ca="1">IFERROR(__xludf.DUMMYFUNCTION("1.15 + 0.02 * FILTER('Base Stats'!$C$2:$C1000, LOWER('Base Stats'!$B$2:$B1000) = LOWER($A490))"),"1.15")</f>
        <v>1.15</v>
      </c>
      <c r="N490" t="s">
        <v>527</v>
      </c>
    </row>
    <row r="491" spans="1:14" ht="12.75" x14ac:dyDescent="0.2">
      <c r="A491">
        <f>'Form Responses (Pokemon Stats)'!B451</f>
        <v>0</v>
      </c>
      <c r="B491">
        <f>'Form Responses (Pokemon Stats)'!D451</f>
        <v>0</v>
      </c>
      <c r="C491">
        <f>'Form Responses (Pokemon Stats)'!C451</f>
        <v>0</v>
      </c>
      <c r="F491">
        <f>'Form Responses (Pokemon Stats)'!E451</f>
        <v>0</v>
      </c>
      <c r="G491" t="str">
        <f ca="1">IFERROR(__xludf.DUMMYFUNCTION("ROUND(B491/ FILTER('Pokemon CP/HP'!$M$2:$M1000, LOWER('Pokemon CP/HP'!$B$2:$B1000)=LOWER(A491)))"),"#DIV/0!")</f>
        <v>#DIV/0!</v>
      </c>
      <c r="H491" t="str">
        <f ca="1">IFERROR(__xludf.DUMMYFUNCTION("FILTER('Leveling Info'!$B$2:$B1000, 'Leveling Info'!$A$2:$A1000 =G491)"),"#N/A")</f>
        <v>#N/A</v>
      </c>
      <c r="I491" s="29" t="e">
        <f t="shared" ca="1" si="0"/>
        <v>#VALUE!</v>
      </c>
      <c r="J491" s="29" t="str">
        <f ca="1">IFERROR(__xludf.DUMMYFUNCTION("IF(F491 = H491,C491/FILTER('Base Stats'!$C$2:$C1000, LOWER('Base Stats'!$B$2:$B1000) = LOWER($A491)), """")"),"#N/A")</f>
        <v>#N/A</v>
      </c>
      <c r="K491" t="str">
        <f t="shared" ca="1" si="1"/>
        <v/>
      </c>
      <c r="L491" t="str">
        <f ca="1">IFERROR(__xludf.DUMMYFUNCTION("IF(AND(NOT(K491 = """"), G491 &gt;= 15),K491/FILTER('Base Stats'!$C$2:$C1000, LOWER('Base Stats'!$B$2:$B1000) = LOWER($A491)), """")"),"#N/A")</f>
        <v>#N/A</v>
      </c>
      <c r="M491" t="str">
        <f ca="1">IFERROR(__xludf.DUMMYFUNCTION("1.15 + 0.02 * FILTER('Base Stats'!$C$2:$C1000, LOWER('Base Stats'!$B$2:$B1000) = LOWER($A491))"),"1.15")</f>
        <v>1.15</v>
      </c>
      <c r="N491" t="s">
        <v>527</v>
      </c>
    </row>
    <row r="492" spans="1:14" ht="12.75" x14ac:dyDescent="0.2">
      <c r="A492">
        <f>'Form Responses (Pokemon Stats)'!B452</f>
        <v>0</v>
      </c>
      <c r="B492">
        <f>'Form Responses (Pokemon Stats)'!D452</f>
        <v>0</v>
      </c>
      <c r="C492">
        <f>'Form Responses (Pokemon Stats)'!C452</f>
        <v>0</v>
      </c>
      <c r="F492">
        <f>'Form Responses (Pokemon Stats)'!E452</f>
        <v>0</v>
      </c>
      <c r="G492" t="str">
        <f ca="1">IFERROR(__xludf.DUMMYFUNCTION("ROUND(B492/ FILTER('Pokemon CP/HP'!$M$2:$M1000, LOWER('Pokemon CP/HP'!$B$2:$B1000)=LOWER(A492)))"),"#DIV/0!")</f>
        <v>#DIV/0!</v>
      </c>
      <c r="H492" t="str">
        <f ca="1">IFERROR(__xludf.DUMMYFUNCTION("FILTER('Leveling Info'!$B$2:$B1000, 'Leveling Info'!$A$2:$A1000 =G492)"),"#N/A")</f>
        <v>#N/A</v>
      </c>
      <c r="I492" s="29" t="e">
        <f t="shared" ca="1" si="0"/>
        <v>#VALUE!</v>
      </c>
      <c r="J492" s="29" t="str">
        <f ca="1">IFERROR(__xludf.DUMMYFUNCTION("IF(F492 = H492,C492/FILTER('Base Stats'!$C$2:$C1000, LOWER('Base Stats'!$B$2:$B1000) = LOWER($A492)), """")"),"#N/A")</f>
        <v>#N/A</v>
      </c>
      <c r="K492" t="str">
        <f t="shared" ca="1" si="1"/>
        <v/>
      </c>
      <c r="L492" t="str">
        <f ca="1">IFERROR(__xludf.DUMMYFUNCTION("IF(AND(NOT(K492 = """"), G492 &gt;= 15),K492/FILTER('Base Stats'!$C$2:$C1000, LOWER('Base Stats'!$B$2:$B1000) = LOWER($A492)), """")"),"#N/A")</f>
        <v>#N/A</v>
      </c>
      <c r="M492" t="str">
        <f ca="1">IFERROR(__xludf.DUMMYFUNCTION("1.15 + 0.02 * FILTER('Base Stats'!$C$2:$C1000, LOWER('Base Stats'!$B$2:$B1000) = LOWER($A492))"),"1.15")</f>
        <v>1.15</v>
      </c>
      <c r="N492" t="s">
        <v>527</v>
      </c>
    </row>
    <row r="493" spans="1:14" ht="12.75" x14ac:dyDescent="0.2">
      <c r="A493">
        <f>'Form Responses (Pokemon Stats)'!B453</f>
        <v>0</v>
      </c>
      <c r="B493">
        <f>'Form Responses (Pokemon Stats)'!D453</f>
        <v>0</v>
      </c>
      <c r="C493">
        <f>'Form Responses (Pokemon Stats)'!C453</f>
        <v>0</v>
      </c>
      <c r="F493">
        <f>'Form Responses (Pokemon Stats)'!E453</f>
        <v>0</v>
      </c>
      <c r="G493" t="str">
        <f ca="1">IFERROR(__xludf.DUMMYFUNCTION("ROUND(B493/ FILTER('Pokemon CP/HP'!$M$2:$M1000, LOWER('Pokemon CP/HP'!$B$2:$B1000)=LOWER(A493)))"),"#DIV/0!")</f>
        <v>#DIV/0!</v>
      </c>
      <c r="H493" t="str">
        <f ca="1">IFERROR(__xludf.DUMMYFUNCTION("FILTER('Leveling Info'!$B$2:$B1000, 'Leveling Info'!$A$2:$A1000 =G493)"),"#N/A")</f>
        <v>#N/A</v>
      </c>
      <c r="I493" s="29" t="e">
        <f t="shared" ca="1" si="0"/>
        <v>#VALUE!</v>
      </c>
      <c r="J493" s="29" t="str">
        <f ca="1">IFERROR(__xludf.DUMMYFUNCTION("IF(F493 = H493,C493/FILTER('Base Stats'!$C$2:$C1000, LOWER('Base Stats'!$B$2:$B1000) = LOWER($A493)), """")"),"#N/A")</f>
        <v>#N/A</v>
      </c>
      <c r="K493" t="str">
        <f t="shared" ca="1" si="1"/>
        <v/>
      </c>
      <c r="L493" t="str">
        <f ca="1">IFERROR(__xludf.DUMMYFUNCTION("IF(AND(NOT(K493 = """"), G493 &gt;= 15),K493/FILTER('Base Stats'!$C$2:$C1000, LOWER('Base Stats'!$B$2:$B1000) = LOWER($A493)), """")"),"#N/A")</f>
        <v>#N/A</v>
      </c>
      <c r="M493" t="str">
        <f ca="1">IFERROR(__xludf.DUMMYFUNCTION("1.15 + 0.02 * FILTER('Base Stats'!$C$2:$C1000, LOWER('Base Stats'!$B$2:$B1000) = LOWER($A493))"),"1.15")</f>
        <v>1.15</v>
      </c>
      <c r="N493" t="s">
        <v>527</v>
      </c>
    </row>
    <row r="494" spans="1:14" ht="12.75" x14ac:dyDescent="0.2">
      <c r="A494">
        <f>'Form Responses (Pokemon Stats)'!B454</f>
        <v>0</v>
      </c>
      <c r="B494">
        <f>'Form Responses (Pokemon Stats)'!D454</f>
        <v>0</v>
      </c>
      <c r="C494">
        <f>'Form Responses (Pokemon Stats)'!C454</f>
        <v>0</v>
      </c>
      <c r="F494">
        <f>'Form Responses (Pokemon Stats)'!E454</f>
        <v>0</v>
      </c>
      <c r="G494" t="str">
        <f ca="1">IFERROR(__xludf.DUMMYFUNCTION("ROUND(B494/ FILTER('Pokemon CP/HP'!$M$2:$M1000, LOWER('Pokemon CP/HP'!$B$2:$B1000)=LOWER(A494)))"),"#DIV/0!")</f>
        <v>#DIV/0!</v>
      </c>
      <c r="H494" t="str">
        <f ca="1">IFERROR(__xludf.DUMMYFUNCTION("FILTER('Leveling Info'!$B$2:$B1000, 'Leveling Info'!$A$2:$A1000 =G494)"),"#N/A")</f>
        <v>#N/A</v>
      </c>
      <c r="I494" s="29" t="e">
        <f t="shared" ca="1" si="0"/>
        <v>#VALUE!</v>
      </c>
      <c r="J494" s="29" t="str">
        <f ca="1">IFERROR(__xludf.DUMMYFUNCTION("IF(F494 = H494,C494/FILTER('Base Stats'!$C$2:$C1000, LOWER('Base Stats'!$B$2:$B1000) = LOWER($A494)), """")"),"#N/A")</f>
        <v>#N/A</v>
      </c>
      <c r="K494" t="str">
        <f t="shared" ca="1" si="1"/>
        <v/>
      </c>
      <c r="L494" t="str">
        <f ca="1">IFERROR(__xludf.DUMMYFUNCTION("IF(AND(NOT(K494 = """"), G494 &gt;= 15),K494/FILTER('Base Stats'!$C$2:$C1000, LOWER('Base Stats'!$B$2:$B1000) = LOWER($A494)), """")"),"#N/A")</f>
        <v>#N/A</v>
      </c>
      <c r="M494" t="str">
        <f ca="1">IFERROR(__xludf.DUMMYFUNCTION("1.15 + 0.02 * FILTER('Base Stats'!$C$2:$C1000, LOWER('Base Stats'!$B$2:$B1000) = LOWER($A494))"),"1.15")</f>
        <v>1.15</v>
      </c>
      <c r="N494" t="s">
        <v>527</v>
      </c>
    </row>
    <row r="495" spans="1:14" ht="12.75" x14ac:dyDescent="0.2">
      <c r="A495">
        <f>'Form Responses (Pokemon Stats)'!B455</f>
        <v>0</v>
      </c>
      <c r="B495">
        <f>'Form Responses (Pokemon Stats)'!D455</f>
        <v>0</v>
      </c>
      <c r="C495">
        <f>'Form Responses (Pokemon Stats)'!C455</f>
        <v>0</v>
      </c>
      <c r="F495">
        <f>'Form Responses (Pokemon Stats)'!E455</f>
        <v>0</v>
      </c>
      <c r="G495" t="str">
        <f ca="1">IFERROR(__xludf.DUMMYFUNCTION("ROUND(B495/ FILTER('Pokemon CP/HP'!$M$2:$M1000, LOWER('Pokemon CP/HP'!$B$2:$B1000)=LOWER(A495)))"),"#DIV/0!")</f>
        <v>#DIV/0!</v>
      </c>
      <c r="H495" t="str">
        <f ca="1">IFERROR(__xludf.DUMMYFUNCTION("FILTER('Leveling Info'!$B$2:$B1000, 'Leveling Info'!$A$2:$A1000 =G495)"),"#N/A")</f>
        <v>#N/A</v>
      </c>
      <c r="I495" s="29" t="e">
        <f t="shared" ca="1" si="0"/>
        <v>#VALUE!</v>
      </c>
      <c r="J495" s="29" t="str">
        <f ca="1">IFERROR(__xludf.DUMMYFUNCTION("IF(F495 = H495,C495/FILTER('Base Stats'!$C$2:$C1000, LOWER('Base Stats'!$B$2:$B1000) = LOWER($A495)), """")"),"#N/A")</f>
        <v>#N/A</v>
      </c>
      <c r="K495" t="str">
        <f t="shared" ca="1" si="1"/>
        <v/>
      </c>
      <c r="L495" t="str">
        <f ca="1">IFERROR(__xludf.DUMMYFUNCTION("IF(AND(NOT(K495 = """"), G495 &gt;= 15),K495/FILTER('Base Stats'!$C$2:$C1000, LOWER('Base Stats'!$B$2:$B1000) = LOWER($A495)), """")"),"#N/A")</f>
        <v>#N/A</v>
      </c>
      <c r="M495" t="str">
        <f ca="1">IFERROR(__xludf.DUMMYFUNCTION("1.15 + 0.02 * FILTER('Base Stats'!$C$2:$C1000, LOWER('Base Stats'!$B$2:$B1000) = LOWER($A495))"),"1.15")</f>
        <v>1.15</v>
      </c>
      <c r="N495" t="s">
        <v>527</v>
      </c>
    </row>
    <row r="496" spans="1:14" ht="12.75" x14ac:dyDescent="0.2">
      <c r="A496">
        <f>'Form Responses (Pokemon Stats)'!B456</f>
        <v>0</v>
      </c>
      <c r="B496">
        <f>'Form Responses (Pokemon Stats)'!D456</f>
        <v>0</v>
      </c>
      <c r="C496">
        <f>'Form Responses (Pokemon Stats)'!C456</f>
        <v>0</v>
      </c>
      <c r="F496">
        <f>'Form Responses (Pokemon Stats)'!E456</f>
        <v>0</v>
      </c>
      <c r="G496" t="str">
        <f ca="1">IFERROR(__xludf.DUMMYFUNCTION("ROUND(B496/ FILTER('Pokemon CP/HP'!$M$2:$M1000, LOWER('Pokemon CP/HP'!$B$2:$B1000)=LOWER(A496)))"),"#DIV/0!")</f>
        <v>#DIV/0!</v>
      </c>
      <c r="H496" t="str">
        <f ca="1">IFERROR(__xludf.DUMMYFUNCTION("FILTER('Leveling Info'!$B$2:$B1000, 'Leveling Info'!$A$2:$A1000 =G496)"),"#N/A")</f>
        <v>#N/A</v>
      </c>
      <c r="I496" s="29" t="e">
        <f t="shared" ca="1" si="0"/>
        <v>#VALUE!</v>
      </c>
      <c r="J496" s="29" t="str">
        <f ca="1">IFERROR(__xludf.DUMMYFUNCTION("IF(F496 = H496,C496/FILTER('Base Stats'!$C$2:$C1000, LOWER('Base Stats'!$B$2:$B1000) = LOWER($A496)), """")"),"#N/A")</f>
        <v>#N/A</v>
      </c>
      <c r="K496" t="str">
        <f t="shared" ca="1" si="1"/>
        <v/>
      </c>
      <c r="L496" t="str">
        <f ca="1">IFERROR(__xludf.DUMMYFUNCTION("IF(AND(NOT(K496 = """"), G496 &gt;= 15),K496/FILTER('Base Stats'!$C$2:$C1000, LOWER('Base Stats'!$B$2:$B1000) = LOWER($A496)), """")"),"#N/A")</f>
        <v>#N/A</v>
      </c>
      <c r="M496" t="str">
        <f ca="1">IFERROR(__xludf.DUMMYFUNCTION("1.15 + 0.02 * FILTER('Base Stats'!$C$2:$C1000, LOWER('Base Stats'!$B$2:$B1000) = LOWER($A496))"),"1.15")</f>
        <v>1.15</v>
      </c>
      <c r="N496" t="s">
        <v>527</v>
      </c>
    </row>
    <row r="497" spans="1:14" ht="12.75" x14ac:dyDescent="0.2">
      <c r="A497">
        <f>'Form Responses (Pokemon Stats)'!B457</f>
        <v>0</v>
      </c>
      <c r="B497">
        <f>'Form Responses (Pokemon Stats)'!D457</f>
        <v>0</v>
      </c>
      <c r="C497">
        <f>'Form Responses (Pokemon Stats)'!C457</f>
        <v>0</v>
      </c>
      <c r="F497">
        <f>'Form Responses (Pokemon Stats)'!E457</f>
        <v>0</v>
      </c>
      <c r="G497" t="str">
        <f ca="1">IFERROR(__xludf.DUMMYFUNCTION("ROUND(B497/ FILTER('Pokemon CP/HP'!$M$2:$M1000, LOWER('Pokemon CP/HP'!$B$2:$B1000)=LOWER(A497)))"),"#DIV/0!")</f>
        <v>#DIV/0!</v>
      </c>
      <c r="H497" t="str">
        <f ca="1">IFERROR(__xludf.DUMMYFUNCTION("FILTER('Leveling Info'!$B$2:$B1000, 'Leveling Info'!$A$2:$A1000 =G497)"),"#N/A")</f>
        <v>#N/A</v>
      </c>
      <c r="I497" s="29" t="e">
        <f t="shared" ca="1" si="0"/>
        <v>#VALUE!</v>
      </c>
      <c r="J497" s="29" t="str">
        <f ca="1">IFERROR(__xludf.DUMMYFUNCTION("IF(F497 = H497,C497/FILTER('Base Stats'!$C$2:$C1000, LOWER('Base Stats'!$B$2:$B1000) = LOWER($A497)), """")"),"#N/A")</f>
        <v>#N/A</v>
      </c>
      <c r="K497" t="str">
        <f t="shared" ca="1" si="1"/>
        <v/>
      </c>
      <c r="L497" t="str">
        <f ca="1">IFERROR(__xludf.DUMMYFUNCTION("IF(AND(NOT(K497 = """"), G497 &gt;= 15),K497/FILTER('Base Stats'!$C$2:$C1000, LOWER('Base Stats'!$B$2:$B1000) = LOWER($A497)), """")"),"#N/A")</f>
        <v>#N/A</v>
      </c>
      <c r="M497" t="str">
        <f ca="1">IFERROR(__xludf.DUMMYFUNCTION("1.15 + 0.02 * FILTER('Base Stats'!$C$2:$C1000, LOWER('Base Stats'!$B$2:$B1000) = LOWER($A497))"),"1.15")</f>
        <v>1.15</v>
      </c>
      <c r="N497" t="s">
        <v>527</v>
      </c>
    </row>
    <row r="498" spans="1:14" ht="12.75" x14ac:dyDescent="0.2">
      <c r="A498">
        <f>'Form Responses (Pokemon Stats)'!B458</f>
        <v>0</v>
      </c>
      <c r="B498">
        <f>'Form Responses (Pokemon Stats)'!D458</f>
        <v>0</v>
      </c>
      <c r="C498">
        <f>'Form Responses (Pokemon Stats)'!C458</f>
        <v>0</v>
      </c>
      <c r="F498">
        <f>'Form Responses (Pokemon Stats)'!E458</f>
        <v>0</v>
      </c>
      <c r="G498" t="str">
        <f ca="1">IFERROR(__xludf.DUMMYFUNCTION("ROUND(B498/ FILTER('Pokemon CP/HP'!$M$2:$M1000, LOWER('Pokemon CP/HP'!$B$2:$B1000)=LOWER(A498)))"),"#DIV/0!")</f>
        <v>#DIV/0!</v>
      </c>
      <c r="H498" t="str">
        <f ca="1">IFERROR(__xludf.DUMMYFUNCTION("FILTER('Leveling Info'!$B$2:$B1000, 'Leveling Info'!$A$2:$A1000 =G498)"),"#N/A")</f>
        <v>#N/A</v>
      </c>
      <c r="I498" s="29" t="e">
        <f t="shared" ca="1" si="0"/>
        <v>#VALUE!</v>
      </c>
      <c r="J498" s="29" t="str">
        <f ca="1">IFERROR(__xludf.DUMMYFUNCTION("IF(F498 = H498,C498/FILTER('Base Stats'!$C$2:$C1000, LOWER('Base Stats'!$B$2:$B1000) = LOWER($A498)), """")"),"#N/A")</f>
        <v>#N/A</v>
      </c>
      <c r="K498" t="str">
        <f t="shared" ca="1" si="1"/>
        <v/>
      </c>
      <c r="L498" t="str">
        <f ca="1">IFERROR(__xludf.DUMMYFUNCTION("IF(AND(NOT(K498 = """"), G498 &gt;= 15),K498/FILTER('Base Stats'!$C$2:$C1000, LOWER('Base Stats'!$B$2:$B1000) = LOWER($A498)), """")"),"#N/A")</f>
        <v>#N/A</v>
      </c>
      <c r="M498" t="str">
        <f ca="1">IFERROR(__xludf.DUMMYFUNCTION("1.15 + 0.02 * FILTER('Base Stats'!$C$2:$C1000, LOWER('Base Stats'!$B$2:$B1000) = LOWER($A498))"),"1.15")</f>
        <v>1.15</v>
      </c>
      <c r="N498" t="s">
        <v>527</v>
      </c>
    </row>
    <row r="499" spans="1:14" ht="12.75" x14ac:dyDescent="0.2">
      <c r="A499">
        <f>'Form Responses (Pokemon Stats)'!B459</f>
        <v>0</v>
      </c>
      <c r="B499">
        <f>'Form Responses (Pokemon Stats)'!D459</f>
        <v>0</v>
      </c>
      <c r="C499">
        <f>'Form Responses (Pokemon Stats)'!C459</f>
        <v>0</v>
      </c>
      <c r="F499">
        <f>'Form Responses (Pokemon Stats)'!E459</f>
        <v>0</v>
      </c>
      <c r="G499" t="str">
        <f ca="1">IFERROR(__xludf.DUMMYFUNCTION("ROUND(B499/ FILTER('Pokemon CP/HP'!$M$2:$M1000, LOWER('Pokemon CP/HP'!$B$2:$B1000)=LOWER(A499)))"),"#DIV/0!")</f>
        <v>#DIV/0!</v>
      </c>
      <c r="H499" t="str">
        <f ca="1">IFERROR(__xludf.DUMMYFUNCTION("FILTER('Leveling Info'!$B$2:$B1000, 'Leveling Info'!$A$2:$A1000 =G499)"),"#N/A")</f>
        <v>#N/A</v>
      </c>
      <c r="I499" s="29" t="e">
        <f t="shared" ca="1" si="0"/>
        <v>#VALUE!</v>
      </c>
      <c r="J499" s="29" t="str">
        <f ca="1">IFERROR(__xludf.DUMMYFUNCTION("IF(F499 = H499,C499/FILTER('Base Stats'!$C$2:$C1000, LOWER('Base Stats'!$B$2:$B1000) = LOWER($A499)), """")"),"#N/A")</f>
        <v>#N/A</v>
      </c>
      <c r="K499" t="str">
        <f t="shared" ca="1" si="1"/>
        <v/>
      </c>
      <c r="L499" t="str">
        <f ca="1">IFERROR(__xludf.DUMMYFUNCTION("IF(AND(NOT(K499 = """"), G499 &gt;= 15),K499/FILTER('Base Stats'!$C$2:$C1000, LOWER('Base Stats'!$B$2:$B1000) = LOWER($A499)), """")"),"#N/A")</f>
        <v>#N/A</v>
      </c>
      <c r="M499" t="str">
        <f ca="1">IFERROR(__xludf.DUMMYFUNCTION("1.15 + 0.02 * FILTER('Base Stats'!$C$2:$C1000, LOWER('Base Stats'!$B$2:$B1000) = LOWER($A499))"),"1.15")</f>
        <v>1.15</v>
      </c>
      <c r="N499" t="s">
        <v>527</v>
      </c>
    </row>
    <row r="500" spans="1:14" ht="12.75" x14ac:dyDescent="0.2">
      <c r="A500">
        <f>'Form Responses (Pokemon Stats)'!B460</f>
        <v>0</v>
      </c>
      <c r="B500">
        <f>'Form Responses (Pokemon Stats)'!D460</f>
        <v>0</v>
      </c>
      <c r="C500">
        <f>'Form Responses (Pokemon Stats)'!C460</f>
        <v>0</v>
      </c>
      <c r="F500">
        <f>'Form Responses (Pokemon Stats)'!E460</f>
        <v>0</v>
      </c>
      <c r="G500" t="str">
        <f ca="1">IFERROR(__xludf.DUMMYFUNCTION("ROUND(B500/ FILTER('Pokemon CP/HP'!$M$2:$M1000, LOWER('Pokemon CP/HP'!$B$2:$B1000)=LOWER(A500)))"),"#DIV/0!")</f>
        <v>#DIV/0!</v>
      </c>
      <c r="H500" t="str">
        <f ca="1">IFERROR(__xludf.DUMMYFUNCTION("FILTER('Leveling Info'!$B$2:$B1000, 'Leveling Info'!$A$2:$A1000 =G500)"),"#N/A")</f>
        <v>#N/A</v>
      </c>
      <c r="I500" s="29" t="e">
        <f t="shared" ca="1" si="0"/>
        <v>#VALUE!</v>
      </c>
      <c r="J500" s="29" t="str">
        <f ca="1">IFERROR(__xludf.DUMMYFUNCTION("IF(F500 = H500,C500/FILTER('Base Stats'!$C$2:$C1000, LOWER('Base Stats'!$B$2:$B1000) = LOWER($A500)), """")"),"#N/A")</f>
        <v>#N/A</v>
      </c>
      <c r="K500" t="str">
        <f t="shared" ca="1" si="1"/>
        <v/>
      </c>
      <c r="L500" t="str">
        <f ca="1">IFERROR(__xludf.DUMMYFUNCTION("IF(AND(NOT(K500 = """"), G500 &gt;= 15),K500/FILTER('Base Stats'!$C$2:$C1000, LOWER('Base Stats'!$B$2:$B1000) = LOWER($A500)), """")"),"#N/A")</f>
        <v>#N/A</v>
      </c>
      <c r="M500" t="str">
        <f ca="1">IFERROR(__xludf.DUMMYFUNCTION("1.15 + 0.02 * FILTER('Base Stats'!$C$2:$C1000, LOWER('Base Stats'!$B$2:$B1000) = LOWER($A500))"),"1.15")</f>
        <v>1.15</v>
      </c>
      <c r="N500" t="s">
        <v>527</v>
      </c>
    </row>
    <row r="501" spans="1:14" ht="12.75" x14ac:dyDescent="0.2">
      <c r="A501">
        <f>'Form Responses (Pokemon Stats)'!B461</f>
        <v>0</v>
      </c>
      <c r="B501">
        <f>'Form Responses (Pokemon Stats)'!D461</f>
        <v>0</v>
      </c>
      <c r="C501">
        <f>'Form Responses (Pokemon Stats)'!C461</f>
        <v>0</v>
      </c>
      <c r="F501">
        <f>'Form Responses (Pokemon Stats)'!E461</f>
        <v>0</v>
      </c>
      <c r="G501" t="str">
        <f ca="1">IFERROR(__xludf.DUMMYFUNCTION("ROUND(B501/ FILTER('Pokemon CP/HP'!$M$2:$M1000, LOWER('Pokemon CP/HP'!$B$2:$B1000)=LOWER(A501)))"),"#DIV/0!")</f>
        <v>#DIV/0!</v>
      </c>
      <c r="H501" t="str">
        <f ca="1">IFERROR(__xludf.DUMMYFUNCTION("FILTER('Leveling Info'!$B$2:$B1000, 'Leveling Info'!$A$2:$A1000 =G501)"),"#N/A")</f>
        <v>#N/A</v>
      </c>
      <c r="I501" s="29" t="e">
        <f t="shared" ca="1" si="0"/>
        <v>#VALUE!</v>
      </c>
      <c r="J501" s="29" t="str">
        <f ca="1">IFERROR(__xludf.DUMMYFUNCTION("IF(F501 = H501,C501/FILTER('Base Stats'!$C$2:$C1000, LOWER('Base Stats'!$B$2:$B1000) = LOWER($A501)), """")"),"#N/A")</f>
        <v>#N/A</v>
      </c>
      <c r="K501" t="str">
        <f t="shared" ca="1" si="1"/>
        <v/>
      </c>
      <c r="L501" t="str">
        <f ca="1">IFERROR(__xludf.DUMMYFUNCTION("IF(AND(NOT(K501 = """"), G501 &gt;= 15),K501/FILTER('Base Stats'!$C$2:$C1000, LOWER('Base Stats'!$B$2:$B1000) = LOWER($A501)), """")"),"#N/A")</f>
        <v>#N/A</v>
      </c>
      <c r="M501" t="str">
        <f ca="1">IFERROR(__xludf.DUMMYFUNCTION("1.15 + 0.02 * FILTER('Base Stats'!$C$2:$C1000, LOWER('Base Stats'!$B$2:$B1000) = LOWER($A501))"),"1.15")</f>
        <v>1.15</v>
      </c>
      <c r="N501" t="s">
        <v>527</v>
      </c>
    </row>
    <row r="502" spans="1:14" ht="12.75" x14ac:dyDescent="0.2">
      <c r="A502">
        <f>'Form Responses (Pokemon Stats)'!B462</f>
        <v>0</v>
      </c>
      <c r="B502">
        <f>'Form Responses (Pokemon Stats)'!D462</f>
        <v>0</v>
      </c>
      <c r="C502">
        <f>'Form Responses (Pokemon Stats)'!C462</f>
        <v>0</v>
      </c>
      <c r="F502">
        <f>'Form Responses (Pokemon Stats)'!E462</f>
        <v>0</v>
      </c>
      <c r="G502" t="str">
        <f ca="1">IFERROR(__xludf.DUMMYFUNCTION("ROUND(B502/ FILTER('Pokemon CP/HP'!$M$2:$M1000, LOWER('Pokemon CP/HP'!$B$2:$B1000)=LOWER(A502)))"),"#DIV/0!")</f>
        <v>#DIV/0!</v>
      </c>
      <c r="H502" t="str">
        <f ca="1">IFERROR(__xludf.DUMMYFUNCTION("FILTER('Leveling Info'!$B$2:$B1000, 'Leveling Info'!$A$2:$A1000 =G502)"),"#N/A")</f>
        <v>#N/A</v>
      </c>
      <c r="I502" s="29" t="e">
        <f t="shared" ca="1" si="0"/>
        <v>#VALUE!</v>
      </c>
      <c r="J502" s="29" t="str">
        <f ca="1">IFERROR(__xludf.DUMMYFUNCTION("IF(F502 = H502,C502/FILTER('Base Stats'!$C$2:$C1000, LOWER('Base Stats'!$B$2:$B1000) = LOWER($A502)), """")"),"#N/A")</f>
        <v>#N/A</v>
      </c>
      <c r="K502" t="str">
        <f t="shared" ca="1" si="1"/>
        <v/>
      </c>
      <c r="L502" t="str">
        <f ca="1">IFERROR(__xludf.DUMMYFUNCTION("IF(AND(NOT(K502 = """"), G502 &gt;= 15),K502/FILTER('Base Stats'!$C$2:$C1000, LOWER('Base Stats'!$B$2:$B1000) = LOWER($A502)), """")"),"#N/A")</f>
        <v>#N/A</v>
      </c>
      <c r="M502" t="str">
        <f ca="1">IFERROR(__xludf.DUMMYFUNCTION("1.15 + 0.02 * FILTER('Base Stats'!$C$2:$C1000, LOWER('Base Stats'!$B$2:$B1000) = LOWER($A502))"),"1.15")</f>
        <v>1.15</v>
      </c>
      <c r="N502" t="s">
        <v>527</v>
      </c>
    </row>
    <row r="503" spans="1:14" ht="12.75" x14ac:dyDescent="0.2">
      <c r="A503">
        <f>'Form Responses (Pokemon Stats)'!B463</f>
        <v>0</v>
      </c>
      <c r="B503">
        <f>'Form Responses (Pokemon Stats)'!D463</f>
        <v>0</v>
      </c>
      <c r="C503">
        <f>'Form Responses (Pokemon Stats)'!C463</f>
        <v>0</v>
      </c>
      <c r="F503">
        <f>'Form Responses (Pokemon Stats)'!E463</f>
        <v>0</v>
      </c>
      <c r="G503" t="str">
        <f ca="1">IFERROR(__xludf.DUMMYFUNCTION("ROUND(B503/ FILTER('Pokemon CP/HP'!$M$2:$M1000, LOWER('Pokemon CP/HP'!$B$2:$B1000)=LOWER(A503)))"),"#DIV/0!")</f>
        <v>#DIV/0!</v>
      </c>
      <c r="H503" t="str">
        <f ca="1">IFERROR(__xludf.DUMMYFUNCTION("FILTER('Leveling Info'!$B$2:$B1000, 'Leveling Info'!$A$2:$A1000 =G503)"),"#N/A")</f>
        <v>#N/A</v>
      </c>
      <c r="I503" s="29" t="e">
        <f t="shared" ca="1" si="0"/>
        <v>#VALUE!</v>
      </c>
      <c r="J503" s="29" t="str">
        <f ca="1">IFERROR(__xludf.DUMMYFUNCTION("IF(F503 = H503,C503/FILTER('Base Stats'!$C$2:$C1000, LOWER('Base Stats'!$B$2:$B1000) = LOWER($A503)), """")"),"#N/A")</f>
        <v>#N/A</v>
      </c>
      <c r="K503" t="str">
        <f t="shared" ca="1" si="1"/>
        <v/>
      </c>
      <c r="L503" t="str">
        <f ca="1">IFERROR(__xludf.DUMMYFUNCTION("IF(AND(NOT(K503 = """"), G503 &gt;= 15),K503/FILTER('Base Stats'!$C$2:$C1000, LOWER('Base Stats'!$B$2:$B1000) = LOWER($A503)), """")"),"#N/A")</f>
        <v>#N/A</v>
      </c>
      <c r="M503" t="str">
        <f ca="1">IFERROR(__xludf.DUMMYFUNCTION("1.15 + 0.02 * FILTER('Base Stats'!$C$2:$C1000, LOWER('Base Stats'!$B$2:$B1000) = LOWER($A503))"),"1.15")</f>
        <v>1.15</v>
      </c>
      <c r="N503" t="s">
        <v>527</v>
      </c>
    </row>
    <row r="504" spans="1:14" ht="12.75" x14ac:dyDescent="0.2">
      <c r="A504">
        <f>'Form Responses (Pokemon Stats)'!B464</f>
        <v>0</v>
      </c>
      <c r="B504">
        <f>'Form Responses (Pokemon Stats)'!D464</f>
        <v>0</v>
      </c>
      <c r="C504">
        <f>'Form Responses (Pokemon Stats)'!C464</f>
        <v>0</v>
      </c>
      <c r="F504">
        <f>'Form Responses (Pokemon Stats)'!E464</f>
        <v>0</v>
      </c>
      <c r="G504" t="str">
        <f ca="1">IFERROR(__xludf.DUMMYFUNCTION("ROUND(B504/ FILTER('Pokemon CP/HP'!$M$2:$M1000, LOWER('Pokemon CP/HP'!$B$2:$B1000)=LOWER(A504)))"),"#DIV/0!")</f>
        <v>#DIV/0!</v>
      </c>
      <c r="H504" t="str">
        <f ca="1">IFERROR(__xludf.DUMMYFUNCTION("FILTER('Leveling Info'!$B$2:$B1000, 'Leveling Info'!$A$2:$A1000 =G504)"),"#N/A")</f>
        <v>#N/A</v>
      </c>
      <c r="I504" s="29" t="e">
        <f t="shared" ca="1" si="0"/>
        <v>#VALUE!</v>
      </c>
      <c r="J504" s="29" t="str">
        <f ca="1">IFERROR(__xludf.DUMMYFUNCTION("IF(F504 = H504,C504/FILTER('Base Stats'!$C$2:$C1000, LOWER('Base Stats'!$B$2:$B1000) = LOWER($A504)), """")"),"#N/A")</f>
        <v>#N/A</v>
      </c>
      <c r="K504" t="str">
        <f t="shared" ca="1" si="1"/>
        <v/>
      </c>
      <c r="L504" t="str">
        <f ca="1">IFERROR(__xludf.DUMMYFUNCTION("IF(AND(NOT(K504 = """"), G504 &gt;= 15),K504/FILTER('Base Stats'!$C$2:$C1000, LOWER('Base Stats'!$B$2:$B1000) = LOWER($A504)), """")"),"#N/A")</f>
        <v>#N/A</v>
      </c>
      <c r="M504" t="str">
        <f ca="1">IFERROR(__xludf.DUMMYFUNCTION("1.15 + 0.02 * FILTER('Base Stats'!$C$2:$C1000, LOWER('Base Stats'!$B$2:$B1000) = LOWER($A504))"),"1.15")</f>
        <v>1.15</v>
      </c>
      <c r="N504" t="s">
        <v>527</v>
      </c>
    </row>
    <row r="505" spans="1:14" ht="12.75" x14ac:dyDescent="0.2">
      <c r="A505">
        <f>'Form Responses (Pokemon Stats)'!B465</f>
        <v>0</v>
      </c>
      <c r="B505">
        <f>'Form Responses (Pokemon Stats)'!D465</f>
        <v>0</v>
      </c>
      <c r="C505">
        <f>'Form Responses (Pokemon Stats)'!C465</f>
        <v>0</v>
      </c>
      <c r="F505">
        <f>'Form Responses (Pokemon Stats)'!E465</f>
        <v>0</v>
      </c>
      <c r="G505" t="str">
        <f ca="1">IFERROR(__xludf.DUMMYFUNCTION("ROUND(B505/ FILTER('Pokemon CP/HP'!$M$2:$M1000, LOWER('Pokemon CP/HP'!$B$2:$B1000)=LOWER(A505)))"),"#DIV/0!")</f>
        <v>#DIV/0!</v>
      </c>
      <c r="H505" t="str">
        <f ca="1">IFERROR(__xludf.DUMMYFUNCTION("FILTER('Leveling Info'!$B$2:$B1000, 'Leveling Info'!$A$2:$A1000 =G505)"),"#N/A")</f>
        <v>#N/A</v>
      </c>
      <c r="I505" s="29" t="e">
        <f t="shared" ca="1" si="0"/>
        <v>#VALUE!</v>
      </c>
      <c r="J505" s="29" t="str">
        <f ca="1">IFERROR(__xludf.DUMMYFUNCTION("IF(F505 = H505,C505/FILTER('Base Stats'!$C$2:$C1000, LOWER('Base Stats'!$B$2:$B1000) = LOWER($A505)), """")"),"#N/A")</f>
        <v>#N/A</v>
      </c>
      <c r="K505" t="str">
        <f t="shared" ca="1" si="1"/>
        <v/>
      </c>
      <c r="L505" t="str">
        <f ca="1">IFERROR(__xludf.DUMMYFUNCTION("IF(AND(NOT(K505 = """"), G505 &gt;= 15),K505/FILTER('Base Stats'!$C$2:$C1000, LOWER('Base Stats'!$B$2:$B1000) = LOWER($A505)), """")"),"#N/A")</f>
        <v>#N/A</v>
      </c>
      <c r="M505" t="str">
        <f ca="1">IFERROR(__xludf.DUMMYFUNCTION("1.15 + 0.02 * FILTER('Base Stats'!$C$2:$C1000, LOWER('Base Stats'!$B$2:$B1000) = LOWER($A505))"),"1.15")</f>
        <v>1.15</v>
      </c>
      <c r="N505" t="s">
        <v>527</v>
      </c>
    </row>
    <row r="506" spans="1:14" ht="12.75" x14ac:dyDescent="0.2">
      <c r="A506">
        <f>'Form Responses (Pokemon Stats)'!B466</f>
        <v>0</v>
      </c>
      <c r="B506">
        <f>'Form Responses (Pokemon Stats)'!D466</f>
        <v>0</v>
      </c>
      <c r="C506">
        <f>'Form Responses (Pokemon Stats)'!C466</f>
        <v>0</v>
      </c>
      <c r="F506">
        <f>'Form Responses (Pokemon Stats)'!E466</f>
        <v>0</v>
      </c>
      <c r="G506" t="str">
        <f ca="1">IFERROR(__xludf.DUMMYFUNCTION("ROUND(B506/ FILTER('Pokemon CP/HP'!$M$2:$M1000, LOWER('Pokemon CP/HP'!$B$2:$B1000)=LOWER(A506)))"),"#DIV/0!")</f>
        <v>#DIV/0!</v>
      </c>
      <c r="H506" t="str">
        <f ca="1">IFERROR(__xludf.DUMMYFUNCTION("FILTER('Leveling Info'!$B$2:$B1000, 'Leveling Info'!$A$2:$A1000 =G506)"),"#N/A")</f>
        <v>#N/A</v>
      </c>
      <c r="I506" s="29" t="e">
        <f t="shared" ca="1" si="0"/>
        <v>#VALUE!</v>
      </c>
      <c r="J506" s="29" t="str">
        <f ca="1">IFERROR(__xludf.DUMMYFUNCTION("IF(F506 = H506,C506/FILTER('Base Stats'!$C$2:$C1000, LOWER('Base Stats'!$B$2:$B1000) = LOWER($A506)), """")"),"#N/A")</f>
        <v>#N/A</v>
      </c>
      <c r="K506" t="str">
        <f t="shared" ca="1" si="1"/>
        <v/>
      </c>
      <c r="L506" t="str">
        <f ca="1">IFERROR(__xludf.DUMMYFUNCTION("IF(AND(NOT(K506 = """"), G506 &gt;= 15),K506/FILTER('Base Stats'!$C$2:$C1000, LOWER('Base Stats'!$B$2:$B1000) = LOWER($A506)), """")"),"#N/A")</f>
        <v>#N/A</v>
      </c>
      <c r="M506" t="str">
        <f ca="1">IFERROR(__xludf.DUMMYFUNCTION("1.15 + 0.02 * FILTER('Base Stats'!$C$2:$C1000, LOWER('Base Stats'!$B$2:$B1000) = LOWER($A506))"),"1.15")</f>
        <v>1.15</v>
      </c>
      <c r="N506" t="s">
        <v>527</v>
      </c>
    </row>
    <row r="507" spans="1:14" ht="12.75" x14ac:dyDescent="0.2">
      <c r="A507">
        <f>'Form Responses (Pokemon Stats)'!B467</f>
        <v>0</v>
      </c>
      <c r="B507">
        <f>'Form Responses (Pokemon Stats)'!D467</f>
        <v>0</v>
      </c>
      <c r="C507">
        <f>'Form Responses (Pokemon Stats)'!C467</f>
        <v>0</v>
      </c>
      <c r="F507">
        <f>'Form Responses (Pokemon Stats)'!E467</f>
        <v>0</v>
      </c>
      <c r="G507" t="str">
        <f ca="1">IFERROR(__xludf.DUMMYFUNCTION("ROUND(B507/ FILTER('Pokemon CP/HP'!$M$2:$M1000, LOWER('Pokemon CP/HP'!$B$2:$B1000)=LOWER(A507)))"),"#DIV/0!")</f>
        <v>#DIV/0!</v>
      </c>
      <c r="H507" t="str">
        <f ca="1">IFERROR(__xludf.DUMMYFUNCTION("FILTER('Leveling Info'!$B$2:$B1000, 'Leveling Info'!$A$2:$A1000 =G507)"),"#N/A")</f>
        <v>#N/A</v>
      </c>
      <c r="I507" s="29" t="e">
        <f t="shared" ca="1" si="0"/>
        <v>#VALUE!</v>
      </c>
      <c r="J507" s="29" t="str">
        <f ca="1">IFERROR(__xludf.DUMMYFUNCTION("IF(F507 = H507,C507/FILTER('Base Stats'!$C$2:$C1000, LOWER('Base Stats'!$B$2:$B1000) = LOWER($A507)), """")"),"#N/A")</f>
        <v>#N/A</v>
      </c>
      <c r="K507" t="str">
        <f t="shared" ca="1" si="1"/>
        <v/>
      </c>
      <c r="L507" t="str">
        <f ca="1">IFERROR(__xludf.DUMMYFUNCTION("IF(AND(NOT(K507 = """"), G507 &gt;= 15),K507/FILTER('Base Stats'!$C$2:$C1000, LOWER('Base Stats'!$B$2:$B1000) = LOWER($A507)), """")"),"#N/A")</f>
        <v>#N/A</v>
      </c>
      <c r="M507" t="str">
        <f ca="1">IFERROR(__xludf.DUMMYFUNCTION("1.15 + 0.02 * FILTER('Base Stats'!$C$2:$C1000, LOWER('Base Stats'!$B$2:$B1000) = LOWER($A507))"),"1.15")</f>
        <v>1.15</v>
      </c>
      <c r="N507" t="s">
        <v>527</v>
      </c>
    </row>
    <row r="508" spans="1:14" ht="12.75" x14ac:dyDescent="0.2">
      <c r="A508">
        <f>'Form Responses (Pokemon Stats)'!B468</f>
        <v>0</v>
      </c>
      <c r="B508">
        <f>'Form Responses (Pokemon Stats)'!D468</f>
        <v>0</v>
      </c>
      <c r="C508">
        <f>'Form Responses (Pokemon Stats)'!C468</f>
        <v>0</v>
      </c>
      <c r="F508">
        <f>'Form Responses (Pokemon Stats)'!E468</f>
        <v>0</v>
      </c>
      <c r="G508" t="str">
        <f ca="1">IFERROR(__xludf.DUMMYFUNCTION("ROUND(B508/ FILTER('Pokemon CP/HP'!$M$2:$M1000, LOWER('Pokemon CP/HP'!$B$2:$B1000)=LOWER(A508)))"),"#DIV/0!")</f>
        <v>#DIV/0!</v>
      </c>
      <c r="H508" t="str">
        <f ca="1">IFERROR(__xludf.DUMMYFUNCTION("FILTER('Leveling Info'!$B$2:$B1000, 'Leveling Info'!$A$2:$A1000 =G508)"),"#N/A")</f>
        <v>#N/A</v>
      </c>
      <c r="I508" s="29" t="e">
        <f t="shared" ca="1" si="0"/>
        <v>#VALUE!</v>
      </c>
      <c r="J508" s="29" t="str">
        <f ca="1">IFERROR(__xludf.DUMMYFUNCTION("IF(F508 = H508,C508/FILTER('Base Stats'!$C$2:$C1000, LOWER('Base Stats'!$B$2:$B1000) = LOWER($A508)), """")"),"#N/A")</f>
        <v>#N/A</v>
      </c>
      <c r="K508" t="str">
        <f t="shared" ca="1" si="1"/>
        <v/>
      </c>
      <c r="L508" t="str">
        <f ca="1">IFERROR(__xludf.DUMMYFUNCTION("IF(AND(NOT(K508 = """"), G508 &gt;= 15),K508/FILTER('Base Stats'!$C$2:$C1000, LOWER('Base Stats'!$B$2:$B1000) = LOWER($A508)), """")"),"#N/A")</f>
        <v>#N/A</v>
      </c>
      <c r="M508" t="str">
        <f ca="1">IFERROR(__xludf.DUMMYFUNCTION("1.15 + 0.02 * FILTER('Base Stats'!$C$2:$C1000, LOWER('Base Stats'!$B$2:$B1000) = LOWER($A508))"),"1.15")</f>
        <v>1.15</v>
      </c>
      <c r="N508" t="s">
        <v>527</v>
      </c>
    </row>
    <row r="509" spans="1:14" ht="12.75" x14ac:dyDescent="0.2">
      <c r="A509">
        <f>'Form Responses (Pokemon Stats)'!B469</f>
        <v>0</v>
      </c>
      <c r="B509">
        <f>'Form Responses (Pokemon Stats)'!D469</f>
        <v>0</v>
      </c>
      <c r="C509">
        <f>'Form Responses (Pokemon Stats)'!C469</f>
        <v>0</v>
      </c>
      <c r="F509">
        <f>'Form Responses (Pokemon Stats)'!E469</f>
        <v>0</v>
      </c>
      <c r="G509" t="str">
        <f ca="1">IFERROR(__xludf.DUMMYFUNCTION("ROUND(B509/ FILTER('Pokemon CP/HP'!$M$2:$M1000, LOWER('Pokemon CP/HP'!$B$2:$B1000)=LOWER(A509)))"),"#DIV/0!")</f>
        <v>#DIV/0!</v>
      </c>
      <c r="H509" t="str">
        <f ca="1">IFERROR(__xludf.DUMMYFUNCTION("FILTER('Leveling Info'!$B$2:$B1000, 'Leveling Info'!$A$2:$A1000 =G509)"),"#N/A")</f>
        <v>#N/A</v>
      </c>
      <c r="I509" s="29" t="e">
        <f t="shared" ca="1" si="0"/>
        <v>#VALUE!</v>
      </c>
      <c r="J509" s="29" t="str">
        <f ca="1">IFERROR(__xludf.DUMMYFUNCTION("IF(F509 = H509,C509/FILTER('Base Stats'!$C$2:$C1000, LOWER('Base Stats'!$B$2:$B1000) = LOWER($A509)), """")"),"#N/A")</f>
        <v>#N/A</v>
      </c>
      <c r="K509" t="str">
        <f t="shared" ca="1" si="1"/>
        <v/>
      </c>
      <c r="L509" t="str">
        <f ca="1">IFERROR(__xludf.DUMMYFUNCTION("IF(AND(NOT(K509 = """"), G509 &gt;= 15),K509/FILTER('Base Stats'!$C$2:$C1000, LOWER('Base Stats'!$B$2:$B1000) = LOWER($A509)), """")"),"#N/A")</f>
        <v>#N/A</v>
      </c>
      <c r="M509" t="str">
        <f ca="1">IFERROR(__xludf.DUMMYFUNCTION("1.15 + 0.02 * FILTER('Base Stats'!$C$2:$C1000, LOWER('Base Stats'!$B$2:$B1000) = LOWER($A509))"),"1.15")</f>
        <v>1.15</v>
      </c>
      <c r="N509" t="s">
        <v>527</v>
      </c>
    </row>
    <row r="510" spans="1:14" ht="12.75" x14ac:dyDescent="0.2">
      <c r="A510">
        <f>'Form Responses (Pokemon Stats)'!B470</f>
        <v>0</v>
      </c>
      <c r="B510">
        <f>'Form Responses (Pokemon Stats)'!D470</f>
        <v>0</v>
      </c>
      <c r="C510">
        <f>'Form Responses (Pokemon Stats)'!C470</f>
        <v>0</v>
      </c>
      <c r="F510">
        <f>'Form Responses (Pokemon Stats)'!E470</f>
        <v>0</v>
      </c>
      <c r="G510" t="str">
        <f ca="1">IFERROR(__xludf.DUMMYFUNCTION("ROUND(B510/ FILTER('Pokemon CP/HP'!$M$2:$M1000, LOWER('Pokemon CP/HP'!$B$2:$B1000)=LOWER(A510)))"),"#DIV/0!")</f>
        <v>#DIV/0!</v>
      </c>
      <c r="H510" t="str">
        <f ca="1">IFERROR(__xludf.DUMMYFUNCTION("FILTER('Leveling Info'!$B$2:$B1000, 'Leveling Info'!$A$2:$A1000 =G510)"),"#N/A")</f>
        <v>#N/A</v>
      </c>
      <c r="I510" s="29" t="e">
        <f t="shared" ca="1" si="0"/>
        <v>#VALUE!</v>
      </c>
      <c r="J510" s="29" t="str">
        <f ca="1">IFERROR(__xludf.DUMMYFUNCTION("IF(F510 = H510,C510/FILTER('Base Stats'!$C$2:$C1000, LOWER('Base Stats'!$B$2:$B1000) = LOWER($A510)), """")"),"#N/A")</f>
        <v>#N/A</v>
      </c>
      <c r="K510" t="str">
        <f t="shared" ca="1" si="1"/>
        <v/>
      </c>
      <c r="L510" t="str">
        <f ca="1">IFERROR(__xludf.DUMMYFUNCTION("IF(AND(NOT(K510 = """"), G510 &gt;= 15),K510/FILTER('Base Stats'!$C$2:$C1000, LOWER('Base Stats'!$B$2:$B1000) = LOWER($A510)), """")"),"#N/A")</f>
        <v>#N/A</v>
      </c>
      <c r="M510" t="str">
        <f ca="1">IFERROR(__xludf.DUMMYFUNCTION("1.15 + 0.02 * FILTER('Base Stats'!$C$2:$C1000, LOWER('Base Stats'!$B$2:$B1000) = LOWER($A510))"),"1.15")</f>
        <v>1.15</v>
      </c>
      <c r="N510" t="s">
        <v>527</v>
      </c>
    </row>
    <row r="511" spans="1:14" ht="12.75" x14ac:dyDescent="0.2">
      <c r="A511">
        <f>'Form Responses (Pokemon Stats)'!B471</f>
        <v>0</v>
      </c>
      <c r="B511">
        <f>'Form Responses (Pokemon Stats)'!D471</f>
        <v>0</v>
      </c>
      <c r="C511">
        <f>'Form Responses (Pokemon Stats)'!C471</f>
        <v>0</v>
      </c>
      <c r="F511">
        <f>'Form Responses (Pokemon Stats)'!E471</f>
        <v>0</v>
      </c>
      <c r="G511" t="str">
        <f ca="1">IFERROR(__xludf.DUMMYFUNCTION("ROUND(B511/ FILTER('Pokemon CP/HP'!$M$2:$M1000, LOWER('Pokemon CP/HP'!$B$2:$B1000)=LOWER(A511)))"),"#DIV/0!")</f>
        <v>#DIV/0!</v>
      </c>
      <c r="H511" t="str">
        <f ca="1">IFERROR(__xludf.DUMMYFUNCTION("FILTER('Leveling Info'!$B$2:$B1000, 'Leveling Info'!$A$2:$A1000 =G511)"),"#N/A")</f>
        <v>#N/A</v>
      </c>
      <c r="I511" s="29" t="e">
        <f t="shared" ca="1" si="0"/>
        <v>#VALUE!</v>
      </c>
      <c r="J511" s="29" t="str">
        <f ca="1">IFERROR(__xludf.DUMMYFUNCTION("IF(F511 = H511,C511/FILTER('Base Stats'!$C$2:$C1000, LOWER('Base Stats'!$B$2:$B1000) = LOWER($A511)), """")"),"#N/A")</f>
        <v>#N/A</v>
      </c>
      <c r="K511" t="str">
        <f t="shared" ca="1" si="1"/>
        <v/>
      </c>
      <c r="L511" t="str">
        <f ca="1">IFERROR(__xludf.DUMMYFUNCTION("IF(AND(NOT(K511 = """"), G511 &gt;= 15),K511/FILTER('Base Stats'!$C$2:$C1000, LOWER('Base Stats'!$B$2:$B1000) = LOWER($A511)), """")"),"#N/A")</f>
        <v>#N/A</v>
      </c>
      <c r="M511" t="str">
        <f ca="1">IFERROR(__xludf.DUMMYFUNCTION("1.15 + 0.02 * FILTER('Base Stats'!$C$2:$C1000, LOWER('Base Stats'!$B$2:$B1000) = LOWER($A511))"),"1.15")</f>
        <v>1.15</v>
      </c>
      <c r="N511" t="s">
        <v>527</v>
      </c>
    </row>
    <row r="512" spans="1:14" ht="12.75" x14ac:dyDescent="0.2">
      <c r="A512">
        <f>'Form Responses (Pokemon Stats)'!B472</f>
        <v>0</v>
      </c>
      <c r="B512">
        <f>'Form Responses (Pokemon Stats)'!D472</f>
        <v>0</v>
      </c>
      <c r="C512">
        <f>'Form Responses (Pokemon Stats)'!C472</f>
        <v>0</v>
      </c>
      <c r="F512">
        <f>'Form Responses (Pokemon Stats)'!E472</f>
        <v>0</v>
      </c>
      <c r="G512" t="str">
        <f ca="1">IFERROR(__xludf.DUMMYFUNCTION("ROUND(B512/ FILTER('Pokemon CP/HP'!$M$2:$M1000, LOWER('Pokemon CP/HP'!$B$2:$B1000)=LOWER(A512)))"),"#DIV/0!")</f>
        <v>#DIV/0!</v>
      </c>
      <c r="H512" t="str">
        <f ca="1">IFERROR(__xludf.DUMMYFUNCTION("FILTER('Leveling Info'!$B$2:$B1000, 'Leveling Info'!$A$2:$A1000 =G512)"),"#N/A")</f>
        <v>#N/A</v>
      </c>
      <c r="I512" s="29" t="e">
        <f t="shared" ca="1" si="0"/>
        <v>#VALUE!</v>
      </c>
      <c r="J512" s="29" t="str">
        <f ca="1">IFERROR(__xludf.DUMMYFUNCTION("IF(F512 = H512,C512/FILTER('Base Stats'!$C$2:$C1000, LOWER('Base Stats'!$B$2:$B1000) = LOWER($A512)), """")"),"#N/A")</f>
        <v>#N/A</v>
      </c>
      <c r="K512" t="str">
        <f t="shared" ca="1" si="1"/>
        <v/>
      </c>
      <c r="L512" t="str">
        <f ca="1">IFERROR(__xludf.DUMMYFUNCTION("IF(AND(NOT(K512 = """"), G512 &gt;= 15),K512/FILTER('Base Stats'!$C$2:$C1000, LOWER('Base Stats'!$B$2:$B1000) = LOWER($A512)), """")"),"#N/A")</f>
        <v>#N/A</v>
      </c>
      <c r="M512" t="str">
        <f ca="1">IFERROR(__xludf.DUMMYFUNCTION("1.15 + 0.02 * FILTER('Base Stats'!$C$2:$C1000, LOWER('Base Stats'!$B$2:$B1000) = LOWER($A512))"),"1.15")</f>
        <v>1.15</v>
      </c>
      <c r="N512" t="s">
        <v>527</v>
      </c>
    </row>
    <row r="513" spans="1:14" ht="12.75" x14ac:dyDescent="0.2">
      <c r="A513">
        <f>'Form Responses (Pokemon Stats)'!B473</f>
        <v>0</v>
      </c>
      <c r="B513">
        <f>'Form Responses (Pokemon Stats)'!D473</f>
        <v>0</v>
      </c>
      <c r="C513">
        <f>'Form Responses (Pokemon Stats)'!C473</f>
        <v>0</v>
      </c>
      <c r="F513">
        <f>'Form Responses (Pokemon Stats)'!E473</f>
        <v>0</v>
      </c>
      <c r="G513" t="str">
        <f ca="1">IFERROR(__xludf.DUMMYFUNCTION("ROUND(B513/ FILTER('Pokemon CP/HP'!$M$2:$M1000, LOWER('Pokemon CP/HP'!$B$2:$B1000)=LOWER(A513)))"),"#DIV/0!")</f>
        <v>#DIV/0!</v>
      </c>
      <c r="H513" t="str">
        <f ca="1">IFERROR(__xludf.DUMMYFUNCTION("FILTER('Leveling Info'!$B$2:$B1000, 'Leveling Info'!$A$2:$A1000 =G513)"),"#N/A")</f>
        <v>#N/A</v>
      </c>
      <c r="I513" s="29" t="e">
        <f t="shared" ca="1" si="0"/>
        <v>#VALUE!</v>
      </c>
      <c r="J513" s="29" t="str">
        <f ca="1">IFERROR(__xludf.DUMMYFUNCTION("IF(F513 = H513,C513/FILTER('Base Stats'!$C$2:$C1000, LOWER('Base Stats'!$B$2:$B1000) = LOWER($A513)), """")"),"#N/A")</f>
        <v>#N/A</v>
      </c>
      <c r="K513" t="str">
        <f t="shared" ca="1" si="1"/>
        <v/>
      </c>
      <c r="L513" t="str">
        <f ca="1">IFERROR(__xludf.DUMMYFUNCTION("IF(AND(NOT(K513 = """"), G513 &gt;= 15),K513/FILTER('Base Stats'!$C$2:$C1000, LOWER('Base Stats'!$B$2:$B1000) = LOWER($A513)), """")"),"#N/A")</f>
        <v>#N/A</v>
      </c>
      <c r="M513" t="str">
        <f ca="1">IFERROR(__xludf.DUMMYFUNCTION("1.15 + 0.02 * FILTER('Base Stats'!$C$2:$C1000, LOWER('Base Stats'!$B$2:$B1000) = LOWER($A513))"),"1.15")</f>
        <v>1.15</v>
      </c>
      <c r="N513" t="s">
        <v>527</v>
      </c>
    </row>
    <row r="514" spans="1:14" ht="12.75" x14ac:dyDescent="0.2">
      <c r="A514">
        <f>'Form Responses (Pokemon Stats)'!B474</f>
        <v>0</v>
      </c>
      <c r="B514">
        <f>'Form Responses (Pokemon Stats)'!D474</f>
        <v>0</v>
      </c>
      <c r="C514">
        <f>'Form Responses (Pokemon Stats)'!C474</f>
        <v>0</v>
      </c>
      <c r="F514">
        <f>'Form Responses (Pokemon Stats)'!E474</f>
        <v>0</v>
      </c>
      <c r="G514" t="str">
        <f ca="1">IFERROR(__xludf.DUMMYFUNCTION("ROUND(B514/ FILTER('Pokemon CP/HP'!$M$2:$M1000, LOWER('Pokemon CP/HP'!$B$2:$B1000)=LOWER(A514)))"),"#DIV/0!")</f>
        <v>#DIV/0!</v>
      </c>
      <c r="H514" t="str">
        <f ca="1">IFERROR(__xludf.DUMMYFUNCTION("FILTER('Leveling Info'!$B$2:$B1000, 'Leveling Info'!$A$2:$A1000 =G514)"),"#N/A")</f>
        <v>#N/A</v>
      </c>
      <c r="I514" s="29" t="e">
        <f t="shared" ca="1" si="0"/>
        <v>#VALUE!</v>
      </c>
      <c r="J514" s="29" t="str">
        <f ca="1">IFERROR(__xludf.DUMMYFUNCTION("IF(F514 = H514,C514/FILTER('Base Stats'!$C$2:$C1000, LOWER('Base Stats'!$B$2:$B1000) = LOWER($A514)), """")"),"#N/A")</f>
        <v>#N/A</v>
      </c>
      <c r="K514" t="str">
        <f t="shared" ca="1" si="1"/>
        <v/>
      </c>
      <c r="L514" t="str">
        <f ca="1">IFERROR(__xludf.DUMMYFUNCTION("IF(AND(NOT(K514 = """"), G514 &gt;= 15),K514/FILTER('Base Stats'!$C$2:$C1000, LOWER('Base Stats'!$B$2:$B1000) = LOWER($A514)), """")"),"#N/A")</f>
        <v>#N/A</v>
      </c>
      <c r="M514" t="str">
        <f ca="1">IFERROR(__xludf.DUMMYFUNCTION("1.15 + 0.02 * FILTER('Base Stats'!$C$2:$C1000, LOWER('Base Stats'!$B$2:$B1000) = LOWER($A514))"),"1.15")</f>
        <v>1.15</v>
      </c>
      <c r="N514" t="s">
        <v>527</v>
      </c>
    </row>
    <row r="515" spans="1:14" ht="12.75" x14ac:dyDescent="0.2">
      <c r="A515">
        <f>'Form Responses (Pokemon Stats)'!B475</f>
        <v>0</v>
      </c>
      <c r="B515">
        <f>'Form Responses (Pokemon Stats)'!D475</f>
        <v>0</v>
      </c>
      <c r="C515">
        <f>'Form Responses (Pokemon Stats)'!C475</f>
        <v>0</v>
      </c>
      <c r="F515">
        <f>'Form Responses (Pokemon Stats)'!E475</f>
        <v>0</v>
      </c>
      <c r="G515" t="str">
        <f ca="1">IFERROR(__xludf.DUMMYFUNCTION("ROUND(B515/ FILTER('Pokemon CP/HP'!$M$2:$M1000, LOWER('Pokemon CP/HP'!$B$2:$B1000)=LOWER(A515)))"),"#DIV/0!")</f>
        <v>#DIV/0!</v>
      </c>
      <c r="H515" t="str">
        <f ca="1">IFERROR(__xludf.DUMMYFUNCTION("FILTER('Leveling Info'!$B$2:$B1000, 'Leveling Info'!$A$2:$A1000 =G515)"),"#N/A")</f>
        <v>#N/A</v>
      </c>
      <c r="I515" s="29" t="e">
        <f t="shared" ca="1" si="0"/>
        <v>#VALUE!</v>
      </c>
      <c r="J515" s="29" t="str">
        <f ca="1">IFERROR(__xludf.DUMMYFUNCTION("IF(F515 = H515,C515/FILTER('Base Stats'!$C$2:$C1000, LOWER('Base Stats'!$B$2:$B1000) = LOWER($A515)), """")"),"#N/A")</f>
        <v>#N/A</v>
      </c>
      <c r="K515" t="str">
        <f t="shared" ca="1" si="1"/>
        <v/>
      </c>
      <c r="L515" t="str">
        <f ca="1">IFERROR(__xludf.DUMMYFUNCTION("IF(AND(NOT(K515 = """"), G515 &gt;= 15),K515/FILTER('Base Stats'!$C$2:$C1000, LOWER('Base Stats'!$B$2:$B1000) = LOWER($A515)), """")"),"#N/A")</f>
        <v>#N/A</v>
      </c>
      <c r="M515" t="str">
        <f ca="1">IFERROR(__xludf.DUMMYFUNCTION("1.15 + 0.02 * FILTER('Base Stats'!$C$2:$C1000, LOWER('Base Stats'!$B$2:$B1000) = LOWER($A515))"),"1.15")</f>
        <v>1.15</v>
      </c>
      <c r="N515" t="s">
        <v>527</v>
      </c>
    </row>
    <row r="516" spans="1:14" ht="12.75" x14ac:dyDescent="0.2">
      <c r="A516">
        <f>'Form Responses (Pokemon Stats)'!B476</f>
        <v>0</v>
      </c>
      <c r="B516">
        <f>'Form Responses (Pokemon Stats)'!D476</f>
        <v>0</v>
      </c>
      <c r="C516">
        <f>'Form Responses (Pokemon Stats)'!C476</f>
        <v>0</v>
      </c>
      <c r="F516">
        <f>'Form Responses (Pokemon Stats)'!E476</f>
        <v>0</v>
      </c>
      <c r="G516" t="str">
        <f ca="1">IFERROR(__xludf.DUMMYFUNCTION("ROUND(B516/ FILTER('Pokemon CP/HP'!$M$2:$M1000, LOWER('Pokemon CP/HP'!$B$2:$B1000)=LOWER(A516)))"),"#DIV/0!")</f>
        <v>#DIV/0!</v>
      </c>
      <c r="H516" t="str">
        <f ca="1">IFERROR(__xludf.DUMMYFUNCTION("FILTER('Leveling Info'!$B$2:$B1000, 'Leveling Info'!$A$2:$A1000 =G516)"),"#N/A")</f>
        <v>#N/A</v>
      </c>
      <c r="I516" s="29" t="e">
        <f t="shared" ca="1" si="0"/>
        <v>#VALUE!</v>
      </c>
      <c r="J516" s="29" t="str">
        <f ca="1">IFERROR(__xludf.DUMMYFUNCTION("IF(F516 = H516,C516/FILTER('Base Stats'!$C$2:$C1000, LOWER('Base Stats'!$B$2:$B1000) = LOWER($A516)), """")"),"#N/A")</f>
        <v>#N/A</v>
      </c>
      <c r="K516" t="str">
        <f t="shared" ca="1" si="1"/>
        <v/>
      </c>
      <c r="L516" t="str">
        <f ca="1">IFERROR(__xludf.DUMMYFUNCTION("IF(AND(NOT(K516 = """"), G516 &gt;= 15),K516/FILTER('Base Stats'!$C$2:$C1000, LOWER('Base Stats'!$B$2:$B1000) = LOWER($A516)), """")"),"#N/A")</f>
        <v>#N/A</v>
      </c>
      <c r="M516" t="str">
        <f ca="1">IFERROR(__xludf.DUMMYFUNCTION("1.15 + 0.02 * FILTER('Base Stats'!$C$2:$C1000, LOWER('Base Stats'!$B$2:$B1000) = LOWER($A516))"),"1.15")</f>
        <v>1.15</v>
      </c>
      <c r="N516" t="s">
        <v>527</v>
      </c>
    </row>
    <row r="517" spans="1:14" ht="12.75" x14ac:dyDescent="0.2">
      <c r="A517">
        <f>'Form Responses (Pokemon Stats)'!B477</f>
        <v>0</v>
      </c>
      <c r="B517">
        <f>'Form Responses (Pokemon Stats)'!D477</f>
        <v>0</v>
      </c>
      <c r="C517">
        <f>'Form Responses (Pokemon Stats)'!C477</f>
        <v>0</v>
      </c>
      <c r="F517">
        <f>'Form Responses (Pokemon Stats)'!E477</f>
        <v>0</v>
      </c>
      <c r="G517" t="str">
        <f ca="1">IFERROR(__xludf.DUMMYFUNCTION("ROUND(B517/ FILTER('Pokemon CP/HP'!$M$2:$M1000, LOWER('Pokemon CP/HP'!$B$2:$B1000)=LOWER(A517)))"),"#DIV/0!")</f>
        <v>#DIV/0!</v>
      </c>
      <c r="H517" t="str">
        <f ca="1">IFERROR(__xludf.DUMMYFUNCTION("FILTER('Leveling Info'!$B$2:$B1000, 'Leveling Info'!$A$2:$A1000 =G517)"),"#N/A")</f>
        <v>#N/A</v>
      </c>
      <c r="I517" s="29" t="e">
        <f t="shared" ca="1" si="0"/>
        <v>#VALUE!</v>
      </c>
      <c r="J517" s="29" t="str">
        <f ca="1">IFERROR(__xludf.DUMMYFUNCTION("IF(F517 = H517,C517/FILTER('Base Stats'!$C$2:$C1000, LOWER('Base Stats'!$B$2:$B1000) = LOWER($A517)), """")"),"#N/A")</f>
        <v>#N/A</v>
      </c>
      <c r="K517" t="str">
        <f t="shared" ca="1" si="1"/>
        <v/>
      </c>
      <c r="L517" t="str">
        <f ca="1">IFERROR(__xludf.DUMMYFUNCTION("IF(AND(NOT(K517 = """"), G517 &gt;= 15),K517/FILTER('Base Stats'!$C$2:$C1000, LOWER('Base Stats'!$B$2:$B1000) = LOWER($A517)), """")"),"#N/A")</f>
        <v>#N/A</v>
      </c>
      <c r="M517" t="str">
        <f ca="1">IFERROR(__xludf.DUMMYFUNCTION("1.15 + 0.02 * FILTER('Base Stats'!$C$2:$C1000, LOWER('Base Stats'!$B$2:$B1000) = LOWER($A517))"),"1.15")</f>
        <v>1.15</v>
      </c>
      <c r="N517" t="s">
        <v>527</v>
      </c>
    </row>
    <row r="518" spans="1:14" ht="12.75" x14ac:dyDescent="0.2">
      <c r="A518">
        <f>'Form Responses (Pokemon Stats)'!B478</f>
        <v>0</v>
      </c>
      <c r="B518">
        <f>'Form Responses (Pokemon Stats)'!D478</f>
        <v>0</v>
      </c>
      <c r="C518">
        <f>'Form Responses (Pokemon Stats)'!C478</f>
        <v>0</v>
      </c>
      <c r="F518">
        <f>'Form Responses (Pokemon Stats)'!E478</f>
        <v>0</v>
      </c>
      <c r="G518" t="str">
        <f ca="1">IFERROR(__xludf.DUMMYFUNCTION("ROUND(B518/ FILTER('Pokemon CP/HP'!$M$2:$M1000, LOWER('Pokemon CP/HP'!$B$2:$B1000)=LOWER(A518)))"),"#DIV/0!")</f>
        <v>#DIV/0!</v>
      </c>
      <c r="H518" t="str">
        <f ca="1">IFERROR(__xludf.DUMMYFUNCTION("FILTER('Leveling Info'!$B$2:$B1000, 'Leveling Info'!$A$2:$A1000 =G518)"),"#N/A")</f>
        <v>#N/A</v>
      </c>
      <c r="I518" s="29" t="e">
        <f t="shared" ca="1" si="0"/>
        <v>#VALUE!</v>
      </c>
      <c r="J518" s="29" t="str">
        <f ca="1">IFERROR(__xludf.DUMMYFUNCTION("IF(F518 = H518,C518/FILTER('Base Stats'!$C$2:$C1000, LOWER('Base Stats'!$B$2:$B1000) = LOWER($A518)), """")"),"#N/A")</f>
        <v>#N/A</v>
      </c>
      <c r="K518" t="str">
        <f t="shared" ca="1" si="1"/>
        <v/>
      </c>
      <c r="L518" t="str">
        <f ca="1">IFERROR(__xludf.DUMMYFUNCTION("IF(AND(NOT(K518 = """"), G518 &gt;= 15),K518/FILTER('Base Stats'!$C$2:$C1000, LOWER('Base Stats'!$B$2:$B1000) = LOWER($A518)), """")"),"#N/A")</f>
        <v>#N/A</v>
      </c>
      <c r="M518" t="str">
        <f ca="1">IFERROR(__xludf.DUMMYFUNCTION("1.15 + 0.02 * FILTER('Base Stats'!$C$2:$C1000, LOWER('Base Stats'!$B$2:$B1000) = LOWER($A518))"),"1.15")</f>
        <v>1.15</v>
      </c>
      <c r="N518" t="s">
        <v>527</v>
      </c>
    </row>
    <row r="519" spans="1:14" ht="12.75" x14ac:dyDescent="0.2">
      <c r="A519">
        <f>'Form Responses (Pokemon Stats)'!B479</f>
        <v>0</v>
      </c>
      <c r="B519">
        <f>'Form Responses (Pokemon Stats)'!D479</f>
        <v>0</v>
      </c>
      <c r="C519">
        <f>'Form Responses (Pokemon Stats)'!C479</f>
        <v>0</v>
      </c>
      <c r="F519">
        <f>'Form Responses (Pokemon Stats)'!E479</f>
        <v>0</v>
      </c>
      <c r="G519" t="str">
        <f ca="1">IFERROR(__xludf.DUMMYFUNCTION("ROUND(B519/ FILTER('Pokemon CP/HP'!$M$2:$M1000, LOWER('Pokemon CP/HP'!$B$2:$B1000)=LOWER(A519)))"),"#DIV/0!")</f>
        <v>#DIV/0!</v>
      </c>
      <c r="H519" t="str">
        <f ca="1">IFERROR(__xludf.DUMMYFUNCTION("FILTER('Leveling Info'!$B$2:$B1000, 'Leveling Info'!$A$2:$A1000 =G519)"),"#N/A")</f>
        <v>#N/A</v>
      </c>
      <c r="I519" s="29" t="e">
        <f t="shared" ca="1" si="0"/>
        <v>#VALUE!</v>
      </c>
      <c r="J519" s="29" t="str">
        <f ca="1">IFERROR(__xludf.DUMMYFUNCTION("IF(F519 = H519,C519/FILTER('Base Stats'!$C$2:$C1000, LOWER('Base Stats'!$B$2:$B1000) = LOWER($A519)), """")"),"#N/A")</f>
        <v>#N/A</v>
      </c>
      <c r="K519" t="str">
        <f t="shared" ca="1" si="1"/>
        <v/>
      </c>
      <c r="L519" t="str">
        <f ca="1">IFERROR(__xludf.DUMMYFUNCTION("IF(AND(NOT(K519 = """"), G519 &gt;= 15),K519/FILTER('Base Stats'!$C$2:$C1000, LOWER('Base Stats'!$B$2:$B1000) = LOWER($A519)), """")"),"#N/A")</f>
        <v>#N/A</v>
      </c>
      <c r="M519" t="str">
        <f ca="1">IFERROR(__xludf.DUMMYFUNCTION("1.15 + 0.02 * FILTER('Base Stats'!$C$2:$C1000, LOWER('Base Stats'!$B$2:$B1000) = LOWER($A519))"),"1.15")</f>
        <v>1.15</v>
      </c>
      <c r="N519" t="s">
        <v>527</v>
      </c>
    </row>
    <row r="520" spans="1:14" ht="12.75" x14ac:dyDescent="0.2">
      <c r="A520">
        <f>'Form Responses (Pokemon Stats)'!B480</f>
        <v>0</v>
      </c>
      <c r="B520">
        <f>'Form Responses (Pokemon Stats)'!D480</f>
        <v>0</v>
      </c>
      <c r="C520">
        <f>'Form Responses (Pokemon Stats)'!C480</f>
        <v>0</v>
      </c>
      <c r="F520">
        <f>'Form Responses (Pokemon Stats)'!E480</f>
        <v>0</v>
      </c>
      <c r="G520" t="str">
        <f ca="1">IFERROR(__xludf.DUMMYFUNCTION("ROUND(B520/ FILTER('Pokemon CP/HP'!$M$2:$M1000, LOWER('Pokemon CP/HP'!$B$2:$B1000)=LOWER(A520)))"),"#DIV/0!")</f>
        <v>#DIV/0!</v>
      </c>
      <c r="H520" t="str">
        <f ca="1">IFERROR(__xludf.DUMMYFUNCTION("FILTER('Leveling Info'!$B$2:$B1000, 'Leveling Info'!$A$2:$A1000 =G520)"),"#N/A")</f>
        <v>#N/A</v>
      </c>
      <c r="I520" s="29" t="e">
        <f t="shared" ca="1" si="0"/>
        <v>#VALUE!</v>
      </c>
      <c r="J520" s="29" t="str">
        <f ca="1">IFERROR(__xludf.DUMMYFUNCTION("IF(F520 = H520,C520/FILTER('Base Stats'!$C$2:$C1000, LOWER('Base Stats'!$B$2:$B1000) = LOWER($A520)), """")"),"#N/A")</f>
        <v>#N/A</v>
      </c>
      <c r="K520" t="str">
        <f t="shared" ca="1" si="1"/>
        <v/>
      </c>
      <c r="L520" t="str">
        <f ca="1">IFERROR(__xludf.DUMMYFUNCTION("IF(AND(NOT(K520 = """"), G520 &gt;= 15),K520/FILTER('Base Stats'!$C$2:$C1000, LOWER('Base Stats'!$B$2:$B1000) = LOWER($A520)), """")"),"#N/A")</f>
        <v>#N/A</v>
      </c>
      <c r="M520" t="str">
        <f ca="1">IFERROR(__xludf.DUMMYFUNCTION("1.15 + 0.02 * FILTER('Base Stats'!$C$2:$C1000, LOWER('Base Stats'!$B$2:$B1000) = LOWER($A520))"),"1.15")</f>
        <v>1.15</v>
      </c>
      <c r="N520" t="s">
        <v>527</v>
      </c>
    </row>
    <row r="521" spans="1:14" ht="12.75" x14ac:dyDescent="0.2">
      <c r="A521">
        <f>'Form Responses (Pokemon Stats)'!B481</f>
        <v>0</v>
      </c>
      <c r="B521">
        <f>'Form Responses (Pokemon Stats)'!D481</f>
        <v>0</v>
      </c>
      <c r="C521">
        <f>'Form Responses (Pokemon Stats)'!C481</f>
        <v>0</v>
      </c>
      <c r="F521">
        <f>'Form Responses (Pokemon Stats)'!E481</f>
        <v>0</v>
      </c>
      <c r="G521" t="str">
        <f ca="1">IFERROR(__xludf.DUMMYFUNCTION("ROUND(B521/ FILTER('Pokemon CP/HP'!$M$2:$M1000, LOWER('Pokemon CP/HP'!$B$2:$B1000)=LOWER(A521)))"),"#DIV/0!")</f>
        <v>#DIV/0!</v>
      </c>
      <c r="H521" t="str">
        <f ca="1">IFERROR(__xludf.DUMMYFUNCTION("FILTER('Leveling Info'!$B$2:$B1000, 'Leveling Info'!$A$2:$A1000 =G521)"),"#N/A")</f>
        <v>#N/A</v>
      </c>
      <c r="I521" s="29" t="e">
        <f t="shared" ca="1" si="0"/>
        <v>#VALUE!</v>
      </c>
      <c r="J521" s="29" t="str">
        <f ca="1">IFERROR(__xludf.DUMMYFUNCTION("IF(F521 = H521,C521/FILTER('Base Stats'!$C$2:$C1000, LOWER('Base Stats'!$B$2:$B1000) = LOWER($A521)), """")"),"#N/A")</f>
        <v>#N/A</v>
      </c>
      <c r="K521" t="str">
        <f t="shared" ca="1" si="1"/>
        <v/>
      </c>
      <c r="L521" t="str">
        <f ca="1">IFERROR(__xludf.DUMMYFUNCTION("IF(AND(NOT(K521 = """"), G521 &gt;= 15),K521/FILTER('Base Stats'!$C$2:$C1000, LOWER('Base Stats'!$B$2:$B1000) = LOWER($A521)), """")"),"#N/A")</f>
        <v>#N/A</v>
      </c>
      <c r="M521" t="str">
        <f ca="1">IFERROR(__xludf.DUMMYFUNCTION("1.15 + 0.02 * FILTER('Base Stats'!$C$2:$C1000, LOWER('Base Stats'!$B$2:$B1000) = LOWER($A521))"),"1.15")</f>
        <v>1.15</v>
      </c>
      <c r="N521" t="s">
        <v>527</v>
      </c>
    </row>
    <row r="522" spans="1:14" ht="12.75" x14ac:dyDescent="0.2">
      <c r="A522">
        <f>'Form Responses (Pokemon Stats)'!B482</f>
        <v>0</v>
      </c>
      <c r="B522">
        <f>'Form Responses (Pokemon Stats)'!D482</f>
        <v>0</v>
      </c>
      <c r="C522">
        <f>'Form Responses (Pokemon Stats)'!C482</f>
        <v>0</v>
      </c>
      <c r="F522">
        <f>'Form Responses (Pokemon Stats)'!E482</f>
        <v>0</v>
      </c>
      <c r="G522" t="str">
        <f ca="1">IFERROR(__xludf.DUMMYFUNCTION("ROUND(B522/ FILTER('Pokemon CP/HP'!$M$2:$M1000, LOWER('Pokemon CP/HP'!$B$2:$B1000)=LOWER(A522)))"),"#DIV/0!")</f>
        <v>#DIV/0!</v>
      </c>
      <c r="H522" t="str">
        <f ca="1">IFERROR(__xludf.DUMMYFUNCTION("FILTER('Leveling Info'!$B$2:$B1000, 'Leveling Info'!$A$2:$A1000 =G522)"),"#N/A")</f>
        <v>#N/A</v>
      </c>
      <c r="I522" s="29" t="e">
        <f t="shared" ca="1" si="0"/>
        <v>#VALUE!</v>
      </c>
      <c r="J522" s="29" t="str">
        <f ca="1">IFERROR(__xludf.DUMMYFUNCTION("IF(F522 = H522,C522/FILTER('Base Stats'!$C$2:$C1000, LOWER('Base Stats'!$B$2:$B1000) = LOWER($A522)), """")"),"#N/A")</f>
        <v>#N/A</v>
      </c>
      <c r="K522" t="str">
        <f t="shared" ca="1" si="1"/>
        <v/>
      </c>
      <c r="L522" t="str">
        <f ca="1">IFERROR(__xludf.DUMMYFUNCTION("IF(AND(NOT(K522 = """"), G522 &gt;= 15),K522/FILTER('Base Stats'!$C$2:$C1000, LOWER('Base Stats'!$B$2:$B1000) = LOWER($A522)), """")"),"#N/A")</f>
        <v>#N/A</v>
      </c>
      <c r="M522" t="str">
        <f ca="1">IFERROR(__xludf.DUMMYFUNCTION("1.15 + 0.02 * FILTER('Base Stats'!$C$2:$C1000, LOWER('Base Stats'!$B$2:$B1000) = LOWER($A522))"),"1.15")</f>
        <v>1.15</v>
      </c>
      <c r="N522" t="s">
        <v>527</v>
      </c>
    </row>
    <row r="523" spans="1:14" ht="12.75" x14ac:dyDescent="0.2">
      <c r="A523">
        <f>'Form Responses (Pokemon Stats)'!B483</f>
        <v>0</v>
      </c>
      <c r="B523">
        <f>'Form Responses (Pokemon Stats)'!D483</f>
        <v>0</v>
      </c>
      <c r="C523">
        <f>'Form Responses (Pokemon Stats)'!C483</f>
        <v>0</v>
      </c>
      <c r="F523">
        <f>'Form Responses (Pokemon Stats)'!E483</f>
        <v>0</v>
      </c>
      <c r="G523" t="str">
        <f ca="1">IFERROR(__xludf.DUMMYFUNCTION("ROUND(B523/ FILTER('Pokemon CP/HP'!$M$2:$M1000, LOWER('Pokemon CP/HP'!$B$2:$B1000)=LOWER(A523)))"),"#DIV/0!")</f>
        <v>#DIV/0!</v>
      </c>
      <c r="H523" t="str">
        <f ca="1">IFERROR(__xludf.DUMMYFUNCTION("FILTER('Leveling Info'!$B$2:$B1000, 'Leveling Info'!$A$2:$A1000 =G523)"),"#N/A")</f>
        <v>#N/A</v>
      </c>
      <c r="I523" s="29" t="e">
        <f t="shared" ca="1" si="0"/>
        <v>#VALUE!</v>
      </c>
      <c r="J523" s="29" t="str">
        <f ca="1">IFERROR(__xludf.DUMMYFUNCTION("IF(F523 = H523,C523/FILTER('Base Stats'!$C$2:$C1000, LOWER('Base Stats'!$B$2:$B1000) = LOWER($A523)), """")"),"#N/A")</f>
        <v>#N/A</v>
      </c>
      <c r="K523" t="str">
        <f t="shared" ca="1" si="1"/>
        <v/>
      </c>
      <c r="L523" t="str">
        <f ca="1">IFERROR(__xludf.DUMMYFUNCTION("IF(AND(NOT(K523 = """"), G523 &gt;= 15),K523/FILTER('Base Stats'!$C$2:$C1000, LOWER('Base Stats'!$B$2:$B1000) = LOWER($A523)), """")"),"#N/A")</f>
        <v>#N/A</v>
      </c>
      <c r="M523" t="str">
        <f ca="1">IFERROR(__xludf.DUMMYFUNCTION("1.15 + 0.02 * FILTER('Base Stats'!$C$2:$C1000, LOWER('Base Stats'!$B$2:$B1000) = LOWER($A523))"),"1.15")</f>
        <v>1.15</v>
      </c>
      <c r="N523" t="s">
        <v>527</v>
      </c>
    </row>
    <row r="524" spans="1:14" ht="12.75" x14ac:dyDescent="0.2">
      <c r="A524">
        <f>'Form Responses (Pokemon Stats)'!B484</f>
        <v>0</v>
      </c>
      <c r="B524">
        <f>'Form Responses (Pokemon Stats)'!D484</f>
        <v>0</v>
      </c>
      <c r="C524">
        <f>'Form Responses (Pokemon Stats)'!C484</f>
        <v>0</v>
      </c>
      <c r="F524">
        <f>'Form Responses (Pokemon Stats)'!E484</f>
        <v>0</v>
      </c>
      <c r="G524" t="str">
        <f ca="1">IFERROR(__xludf.DUMMYFUNCTION("ROUND(B524/ FILTER('Pokemon CP/HP'!$M$2:$M1000, LOWER('Pokemon CP/HP'!$B$2:$B1000)=LOWER(A524)))"),"#DIV/0!")</f>
        <v>#DIV/0!</v>
      </c>
      <c r="H524" t="str">
        <f ca="1">IFERROR(__xludf.DUMMYFUNCTION("FILTER('Leveling Info'!$B$2:$B1000, 'Leveling Info'!$A$2:$A1000 =G524)"),"#N/A")</f>
        <v>#N/A</v>
      </c>
      <c r="I524" s="29" t="e">
        <f t="shared" ca="1" si="0"/>
        <v>#VALUE!</v>
      </c>
      <c r="J524" s="29" t="str">
        <f ca="1">IFERROR(__xludf.DUMMYFUNCTION("IF(F524 = H524,C524/FILTER('Base Stats'!$C$2:$C1000, LOWER('Base Stats'!$B$2:$B1000) = LOWER($A524)), """")"),"#N/A")</f>
        <v>#N/A</v>
      </c>
      <c r="K524" t="str">
        <f t="shared" ca="1" si="1"/>
        <v/>
      </c>
      <c r="L524" t="str">
        <f ca="1">IFERROR(__xludf.DUMMYFUNCTION("IF(AND(NOT(K524 = """"), G524 &gt;= 15),K524/FILTER('Base Stats'!$C$2:$C1000, LOWER('Base Stats'!$B$2:$B1000) = LOWER($A524)), """")"),"#N/A")</f>
        <v>#N/A</v>
      </c>
      <c r="M524" t="str">
        <f ca="1">IFERROR(__xludf.DUMMYFUNCTION("1.15 + 0.02 * FILTER('Base Stats'!$C$2:$C1000, LOWER('Base Stats'!$B$2:$B1000) = LOWER($A524))"),"1.15")</f>
        <v>1.15</v>
      </c>
      <c r="N524" t="s">
        <v>527</v>
      </c>
    </row>
    <row r="525" spans="1:14" ht="12.75" x14ac:dyDescent="0.2">
      <c r="A525">
        <f>'Form Responses (Pokemon Stats)'!B485</f>
        <v>0</v>
      </c>
      <c r="B525">
        <f>'Form Responses (Pokemon Stats)'!D485</f>
        <v>0</v>
      </c>
      <c r="C525">
        <f>'Form Responses (Pokemon Stats)'!C485</f>
        <v>0</v>
      </c>
      <c r="F525">
        <f>'Form Responses (Pokemon Stats)'!E485</f>
        <v>0</v>
      </c>
      <c r="G525" t="str">
        <f ca="1">IFERROR(__xludf.DUMMYFUNCTION("ROUND(B525/ FILTER('Pokemon CP/HP'!$M$2:$M1000, LOWER('Pokemon CP/HP'!$B$2:$B1000)=LOWER(A525)))"),"#DIV/0!")</f>
        <v>#DIV/0!</v>
      </c>
      <c r="H525" t="str">
        <f ca="1">IFERROR(__xludf.DUMMYFUNCTION("FILTER('Leveling Info'!$B$2:$B1000, 'Leveling Info'!$A$2:$A1000 =G525)"),"#N/A")</f>
        <v>#N/A</v>
      </c>
      <c r="I525" s="29" t="e">
        <f t="shared" ca="1" si="0"/>
        <v>#VALUE!</v>
      </c>
      <c r="J525" s="29" t="str">
        <f ca="1">IFERROR(__xludf.DUMMYFUNCTION("IF(F525 = H525,C525/FILTER('Base Stats'!$C$2:$C1000, LOWER('Base Stats'!$B$2:$B1000) = LOWER($A525)), """")"),"#N/A")</f>
        <v>#N/A</v>
      </c>
      <c r="K525" t="str">
        <f t="shared" ca="1" si="1"/>
        <v/>
      </c>
      <c r="L525" t="str">
        <f ca="1">IFERROR(__xludf.DUMMYFUNCTION("IF(AND(NOT(K525 = """"), G525 &gt;= 15),K525/FILTER('Base Stats'!$C$2:$C1000, LOWER('Base Stats'!$B$2:$B1000) = LOWER($A525)), """")"),"#N/A")</f>
        <v>#N/A</v>
      </c>
      <c r="M525" t="str">
        <f ca="1">IFERROR(__xludf.DUMMYFUNCTION("1.15 + 0.02 * FILTER('Base Stats'!$C$2:$C1000, LOWER('Base Stats'!$B$2:$B1000) = LOWER($A525))"),"1.15")</f>
        <v>1.15</v>
      </c>
      <c r="N525" t="s">
        <v>527</v>
      </c>
    </row>
    <row r="526" spans="1:14" ht="12.75" x14ac:dyDescent="0.2">
      <c r="A526">
        <f>'Form Responses (Pokemon Stats)'!B486</f>
        <v>0</v>
      </c>
      <c r="B526">
        <f>'Form Responses (Pokemon Stats)'!D486</f>
        <v>0</v>
      </c>
      <c r="C526">
        <f>'Form Responses (Pokemon Stats)'!C486</f>
        <v>0</v>
      </c>
      <c r="F526">
        <f>'Form Responses (Pokemon Stats)'!E486</f>
        <v>0</v>
      </c>
      <c r="G526" t="str">
        <f ca="1">IFERROR(__xludf.DUMMYFUNCTION("ROUND(B526/ FILTER('Pokemon CP/HP'!$M$2:$M1000, LOWER('Pokemon CP/HP'!$B$2:$B1000)=LOWER(A526)))"),"#DIV/0!")</f>
        <v>#DIV/0!</v>
      </c>
      <c r="H526" t="str">
        <f ca="1">IFERROR(__xludf.DUMMYFUNCTION("FILTER('Leveling Info'!$B$2:$B1000, 'Leveling Info'!$A$2:$A1000 =G526)"),"#N/A")</f>
        <v>#N/A</v>
      </c>
      <c r="I526" s="29" t="e">
        <f t="shared" ca="1" si="0"/>
        <v>#VALUE!</v>
      </c>
      <c r="J526" s="29" t="str">
        <f ca="1">IFERROR(__xludf.DUMMYFUNCTION("IF(F526 = H526,C526/FILTER('Base Stats'!$C$2:$C1000, LOWER('Base Stats'!$B$2:$B1000) = LOWER($A526)), """")"),"#N/A")</f>
        <v>#N/A</v>
      </c>
      <c r="K526" t="str">
        <f t="shared" ca="1" si="1"/>
        <v/>
      </c>
      <c r="L526" t="str">
        <f ca="1">IFERROR(__xludf.DUMMYFUNCTION("IF(AND(NOT(K526 = """"), G526 &gt;= 15),K526/FILTER('Base Stats'!$C$2:$C1000, LOWER('Base Stats'!$B$2:$B1000) = LOWER($A526)), """")"),"#N/A")</f>
        <v>#N/A</v>
      </c>
      <c r="M526" t="str">
        <f ca="1">IFERROR(__xludf.DUMMYFUNCTION("1.15 + 0.02 * FILTER('Base Stats'!$C$2:$C1000, LOWER('Base Stats'!$B$2:$B1000) = LOWER($A526))"),"1.15")</f>
        <v>1.15</v>
      </c>
      <c r="N526" t="s">
        <v>527</v>
      </c>
    </row>
    <row r="527" spans="1:14" ht="12.75" x14ac:dyDescent="0.2">
      <c r="A527">
        <f>'Form Responses (Pokemon Stats)'!B487</f>
        <v>0</v>
      </c>
      <c r="B527">
        <f>'Form Responses (Pokemon Stats)'!D487</f>
        <v>0</v>
      </c>
      <c r="C527">
        <f>'Form Responses (Pokemon Stats)'!C487</f>
        <v>0</v>
      </c>
      <c r="F527">
        <f>'Form Responses (Pokemon Stats)'!E487</f>
        <v>0</v>
      </c>
      <c r="G527" t="str">
        <f ca="1">IFERROR(__xludf.DUMMYFUNCTION("ROUND(B527/ FILTER('Pokemon CP/HP'!$M$2:$M1000, LOWER('Pokemon CP/HP'!$B$2:$B1000)=LOWER(A527)))"),"#DIV/0!")</f>
        <v>#DIV/0!</v>
      </c>
      <c r="H527" t="str">
        <f ca="1">IFERROR(__xludf.DUMMYFUNCTION("FILTER('Leveling Info'!$B$2:$B1000, 'Leveling Info'!$A$2:$A1000 =G527)"),"#N/A")</f>
        <v>#N/A</v>
      </c>
      <c r="I527" s="29" t="e">
        <f t="shared" ca="1" si="0"/>
        <v>#VALUE!</v>
      </c>
      <c r="J527" s="29" t="str">
        <f ca="1">IFERROR(__xludf.DUMMYFUNCTION("IF(F527 = H527,C527/FILTER('Base Stats'!$C$2:$C1000, LOWER('Base Stats'!$B$2:$B1000) = LOWER($A527)), """")"),"#N/A")</f>
        <v>#N/A</v>
      </c>
      <c r="K527" t="str">
        <f t="shared" ca="1" si="1"/>
        <v/>
      </c>
      <c r="L527" t="str">
        <f ca="1">IFERROR(__xludf.DUMMYFUNCTION("IF(AND(NOT(K527 = """"), G527 &gt;= 15),K527/FILTER('Base Stats'!$C$2:$C1000, LOWER('Base Stats'!$B$2:$B1000) = LOWER($A527)), """")"),"#N/A")</f>
        <v>#N/A</v>
      </c>
      <c r="M527" t="str">
        <f ca="1">IFERROR(__xludf.DUMMYFUNCTION("1.15 + 0.02 * FILTER('Base Stats'!$C$2:$C1000, LOWER('Base Stats'!$B$2:$B1000) = LOWER($A527))"),"1.15")</f>
        <v>1.15</v>
      </c>
      <c r="N527" t="s">
        <v>527</v>
      </c>
    </row>
    <row r="528" spans="1:14" ht="12.75" x14ac:dyDescent="0.2">
      <c r="A528">
        <f>'Form Responses (Pokemon Stats)'!B488</f>
        <v>0</v>
      </c>
      <c r="B528">
        <f>'Form Responses (Pokemon Stats)'!D488</f>
        <v>0</v>
      </c>
      <c r="C528">
        <f>'Form Responses (Pokemon Stats)'!C488</f>
        <v>0</v>
      </c>
      <c r="F528">
        <f>'Form Responses (Pokemon Stats)'!E488</f>
        <v>0</v>
      </c>
      <c r="G528" t="str">
        <f ca="1">IFERROR(__xludf.DUMMYFUNCTION("ROUND(B528/ FILTER('Pokemon CP/HP'!$M$2:$M1000, LOWER('Pokemon CP/HP'!$B$2:$B1000)=LOWER(A528)))"),"#DIV/0!")</f>
        <v>#DIV/0!</v>
      </c>
      <c r="H528" t="str">
        <f ca="1">IFERROR(__xludf.DUMMYFUNCTION("FILTER('Leveling Info'!$B$2:$B1000, 'Leveling Info'!$A$2:$A1000 =G528)"),"#N/A")</f>
        <v>#N/A</v>
      </c>
      <c r="I528" s="29" t="e">
        <f t="shared" ca="1" si="0"/>
        <v>#VALUE!</v>
      </c>
      <c r="J528" s="29" t="str">
        <f ca="1">IFERROR(__xludf.DUMMYFUNCTION("IF(F528 = H528,C528/FILTER('Base Stats'!$C$2:$C1000, LOWER('Base Stats'!$B$2:$B1000) = LOWER($A528)), """")"),"#N/A")</f>
        <v>#N/A</v>
      </c>
      <c r="K528" t="str">
        <f t="shared" ca="1" si="1"/>
        <v/>
      </c>
      <c r="L528" t="str">
        <f ca="1">IFERROR(__xludf.DUMMYFUNCTION("IF(AND(NOT(K528 = """"), G528 &gt;= 15),K528/FILTER('Base Stats'!$C$2:$C1000, LOWER('Base Stats'!$B$2:$B1000) = LOWER($A528)), """")"),"#N/A")</f>
        <v>#N/A</v>
      </c>
      <c r="M528" t="str">
        <f ca="1">IFERROR(__xludf.DUMMYFUNCTION("1.15 + 0.02 * FILTER('Base Stats'!$C$2:$C1000, LOWER('Base Stats'!$B$2:$B1000) = LOWER($A528))"),"1.15")</f>
        <v>1.15</v>
      </c>
      <c r="N528" t="s">
        <v>527</v>
      </c>
    </row>
    <row r="529" spans="1:14" ht="12.75" x14ac:dyDescent="0.2">
      <c r="A529">
        <f>'Form Responses (Pokemon Stats)'!B489</f>
        <v>0</v>
      </c>
      <c r="B529">
        <f>'Form Responses (Pokemon Stats)'!D489</f>
        <v>0</v>
      </c>
      <c r="C529">
        <f>'Form Responses (Pokemon Stats)'!C489</f>
        <v>0</v>
      </c>
      <c r="F529">
        <f>'Form Responses (Pokemon Stats)'!E489</f>
        <v>0</v>
      </c>
      <c r="G529" t="str">
        <f ca="1">IFERROR(__xludf.DUMMYFUNCTION("ROUND(B529/ FILTER('Pokemon CP/HP'!$M$2:$M1000, LOWER('Pokemon CP/HP'!$B$2:$B1000)=LOWER(A529)))"),"#DIV/0!")</f>
        <v>#DIV/0!</v>
      </c>
      <c r="H529" t="str">
        <f ca="1">IFERROR(__xludf.DUMMYFUNCTION("FILTER('Leveling Info'!$B$2:$B1000, 'Leveling Info'!$A$2:$A1000 =G529)"),"#N/A")</f>
        <v>#N/A</v>
      </c>
      <c r="I529" s="29" t="e">
        <f t="shared" ca="1" si="0"/>
        <v>#VALUE!</v>
      </c>
      <c r="J529" s="29" t="str">
        <f ca="1">IFERROR(__xludf.DUMMYFUNCTION("IF(F529 = H529,C529/FILTER('Base Stats'!$C$2:$C1000, LOWER('Base Stats'!$B$2:$B1000) = LOWER($A529)), """")"),"#N/A")</f>
        <v>#N/A</v>
      </c>
      <c r="K529" t="str">
        <f t="shared" ca="1" si="1"/>
        <v/>
      </c>
      <c r="L529" t="str">
        <f ca="1">IFERROR(__xludf.DUMMYFUNCTION("IF(AND(NOT(K529 = """"), G529 &gt;= 15),K529/FILTER('Base Stats'!$C$2:$C1000, LOWER('Base Stats'!$B$2:$B1000) = LOWER($A529)), """")"),"#N/A")</f>
        <v>#N/A</v>
      </c>
      <c r="M529" t="str">
        <f ca="1">IFERROR(__xludf.DUMMYFUNCTION("1.15 + 0.02 * FILTER('Base Stats'!$C$2:$C1000, LOWER('Base Stats'!$B$2:$B1000) = LOWER($A529))"),"1.15")</f>
        <v>1.15</v>
      </c>
      <c r="N529" t="s">
        <v>527</v>
      </c>
    </row>
    <row r="530" spans="1:14" ht="12.75" x14ac:dyDescent="0.2">
      <c r="A530">
        <f>'Form Responses (Pokemon Stats)'!B490</f>
        <v>0</v>
      </c>
      <c r="B530">
        <f>'Form Responses (Pokemon Stats)'!D490</f>
        <v>0</v>
      </c>
      <c r="C530">
        <f>'Form Responses (Pokemon Stats)'!C490</f>
        <v>0</v>
      </c>
      <c r="F530">
        <f>'Form Responses (Pokemon Stats)'!E490</f>
        <v>0</v>
      </c>
      <c r="G530" t="str">
        <f ca="1">IFERROR(__xludf.DUMMYFUNCTION("ROUND(B530/ FILTER('Pokemon CP/HP'!$M$2:$M1000, LOWER('Pokemon CP/HP'!$B$2:$B1000)=LOWER(A530)))"),"#DIV/0!")</f>
        <v>#DIV/0!</v>
      </c>
      <c r="H530" t="str">
        <f ca="1">IFERROR(__xludf.DUMMYFUNCTION("FILTER('Leveling Info'!$B$2:$B1000, 'Leveling Info'!$A$2:$A1000 =G530)"),"#N/A")</f>
        <v>#N/A</v>
      </c>
      <c r="I530" s="29" t="e">
        <f t="shared" ca="1" si="0"/>
        <v>#VALUE!</v>
      </c>
      <c r="J530" s="29" t="str">
        <f ca="1">IFERROR(__xludf.DUMMYFUNCTION("IF(F530 = H530,C530/FILTER('Base Stats'!$C$2:$C1000, LOWER('Base Stats'!$B$2:$B1000) = LOWER($A530)), """")"),"#N/A")</f>
        <v>#N/A</v>
      </c>
      <c r="K530" t="str">
        <f t="shared" ca="1" si="1"/>
        <v/>
      </c>
      <c r="L530" t="str">
        <f ca="1">IFERROR(__xludf.DUMMYFUNCTION("IF(AND(NOT(K530 = """"), G530 &gt;= 15),K530/FILTER('Base Stats'!$C$2:$C1000, LOWER('Base Stats'!$B$2:$B1000) = LOWER($A530)), """")"),"#N/A")</f>
        <v>#N/A</v>
      </c>
      <c r="M530" t="str">
        <f ca="1">IFERROR(__xludf.DUMMYFUNCTION("1.15 + 0.02 * FILTER('Base Stats'!$C$2:$C1000, LOWER('Base Stats'!$B$2:$B1000) = LOWER($A530))"),"1.15")</f>
        <v>1.15</v>
      </c>
      <c r="N530" t="s">
        <v>527</v>
      </c>
    </row>
    <row r="531" spans="1:14" ht="12.75" x14ac:dyDescent="0.2">
      <c r="A531">
        <f>'Form Responses (Pokemon Stats)'!B491</f>
        <v>0</v>
      </c>
      <c r="B531">
        <f>'Form Responses (Pokemon Stats)'!D491</f>
        <v>0</v>
      </c>
      <c r="C531">
        <f>'Form Responses (Pokemon Stats)'!C491</f>
        <v>0</v>
      </c>
      <c r="F531">
        <f>'Form Responses (Pokemon Stats)'!E491</f>
        <v>0</v>
      </c>
      <c r="G531" t="str">
        <f ca="1">IFERROR(__xludf.DUMMYFUNCTION("ROUND(B531/ FILTER('Pokemon CP/HP'!$M$2:$M1000, LOWER('Pokemon CP/HP'!$B$2:$B1000)=LOWER(A531)))"),"#DIV/0!")</f>
        <v>#DIV/0!</v>
      </c>
      <c r="H531" t="str">
        <f ca="1">IFERROR(__xludf.DUMMYFUNCTION("FILTER('Leveling Info'!$B$2:$B1000, 'Leveling Info'!$A$2:$A1000 =G531)"),"#N/A")</f>
        <v>#N/A</v>
      </c>
      <c r="I531" s="29" t="e">
        <f t="shared" ca="1" si="0"/>
        <v>#VALUE!</v>
      </c>
      <c r="J531" s="29" t="str">
        <f ca="1">IFERROR(__xludf.DUMMYFUNCTION("IF(F531 = H531,C531/FILTER('Base Stats'!$C$2:$C1000, LOWER('Base Stats'!$B$2:$B1000) = LOWER($A531)), """")"),"#N/A")</f>
        <v>#N/A</v>
      </c>
      <c r="K531" t="str">
        <f t="shared" ca="1" si="1"/>
        <v/>
      </c>
      <c r="L531" t="str">
        <f ca="1">IFERROR(__xludf.DUMMYFUNCTION("IF(AND(NOT(K531 = """"), G531 &gt;= 15),K531/FILTER('Base Stats'!$C$2:$C1000, LOWER('Base Stats'!$B$2:$B1000) = LOWER($A531)), """")"),"#N/A")</f>
        <v>#N/A</v>
      </c>
      <c r="M531" t="str">
        <f ca="1">IFERROR(__xludf.DUMMYFUNCTION("1.15 + 0.02 * FILTER('Base Stats'!$C$2:$C1000, LOWER('Base Stats'!$B$2:$B1000) = LOWER($A531))"),"1.15")</f>
        <v>1.15</v>
      </c>
      <c r="N531" t="s">
        <v>527</v>
      </c>
    </row>
    <row r="532" spans="1:14" ht="12.75" x14ac:dyDescent="0.2">
      <c r="A532">
        <f>'Form Responses (Pokemon Stats)'!B492</f>
        <v>0</v>
      </c>
      <c r="B532">
        <f>'Form Responses (Pokemon Stats)'!D492</f>
        <v>0</v>
      </c>
      <c r="C532">
        <f>'Form Responses (Pokemon Stats)'!C492</f>
        <v>0</v>
      </c>
      <c r="F532">
        <f>'Form Responses (Pokemon Stats)'!E492</f>
        <v>0</v>
      </c>
      <c r="G532" t="str">
        <f ca="1">IFERROR(__xludf.DUMMYFUNCTION("ROUND(B532/ FILTER('Pokemon CP/HP'!$M$2:$M1000, LOWER('Pokemon CP/HP'!$B$2:$B1000)=LOWER(A532)))"),"#DIV/0!")</f>
        <v>#DIV/0!</v>
      </c>
      <c r="H532" t="str">
        <f ca="1">IFERROR(__xludf.DUMMYFUNCTION("FILTER('Leveling Info'!$B$2:$B1000, 'Leveling Info'!$A$2:$A1000 =G532)"),"#N/A")</f>
        <v>#N/A</v>
      </c>
      <c r="I532" s="29" t="e">
        <f t="shared" ca="1" si="0"/>
        <v>#VALUE!</v>
      </c>
      <c r="J532" s="29" t="str">
        <f ca="1">IFERROR(__xludf.DUMMYFUNCTION("IF(F532 = H532,C532/FILTER('Base Stats'!$C$2:$C1000, LOWER('Base Stats'!$B$2:$B1000) = LOWER($A532)), """")"),"#N/A")</f>
        <v>#N/A</v>
      </c>
      <c r="K532" t="str">
        <f t="shared" ca="1" si="1"/>
        <v/>
      </c>
      <c r="L532" t="str">
        <f ca="1">IFERROR(__xludf.DUMMYFUNCTION("IF(AND(NOT(K532 = """"), G532 &gt;= 15),K532/FILTER('Base Stats'!$C$2:$C1000, LOWER('Base Stats'!$B$2:$B1000) = LOWER($A532)), """")"),"#N/A")</f>
        <v>#N/A</v>
      </c>
      <c r="M532" t="str">
        <f ca="1">IFERROR(__xludf.DUMMYFUNCTION("1.15 + 0.02 * FILTER('Base Stats'!$C$2:$C1000, LOWER('Base Stats'!$B$2:$B1000) = LOWER($A532))"),"1.15")</f>
        <v>1.15</v>
      </c>
      <c r="N532" t="s">
        <v>527</v>
      </c>
    </row>
    <row r="533" spans="1:14" ht="12.75" x14ac:dyDescent="0.2">
      <c r="A533">
        <f>'Form Responses (Pokemon Stats)'!B493</f>
        <v>0</v>
      </c>
      <c r="B533">
        <f>'Form Responses (Pokemon Stats)'!D493</f>
        <v>0</v>
      </c>
      <c r="C533">
        <f>'Form Responses (Pokemon Stats)'!C493</f>
        <v>0</v>
      </c>
      <c r="F533">
        <f>'Form Responses (Pokemon Stats)'!E493</f>
        <v>0</v>
      </c>
      <c r="G533" t="str">
        <f ca="1">IFERROR(__xludf.DUMMYFUNCTION("ROUND(B533/ FILTER('Pokemon CP/HP'!$M$2:$M1000, LOWER('Pokemon CP/HP'!$B$2:$B1000)=LOWER(A533)))"),"#DIV/0!")</f>
        <v>#DIV/0!</v>
      </c>
      <c r="H533" t="str">
        <f ca="1">IFERROR(__xludf.DUMMYFUNCTION("FILTER('Leveling Info'!$B$2:$B1000, 'Leveling Info'!$A$2:$A1000 =G533)"),"#N/A")</f>
        <v>#N/A</v>
      </c>
      <c r="I533" s="29" t="e">
        <f t="shared" ca="1" si="0"/>
        <v>#VALUE!</v>
      </c>
      <c r="J533" s="29" t="str">
        <f ca="1">IFERROR(__xludf.DUMMYFUNCTION("IF(F533 = H533,C533/FILTER('Base Stats'!$C$2:$C1000, LOWER('Base Stats'!$B$2:$B1000) = LOWER($A533)), """")"),"#N/A")</f>
        <v>#N/A</v>
      </c>
      <c r="K533" t="str">
        <f t="shared" ca="1" si="1"/>
        <v/>
      </c>
      <c r="L533" t="str">
        <f ca="1">IFERROR(__xludf.DUMMYFUNCTION("IF(AND(NOT(K533 = """"), G533 &gt;= 15),K533/FILTER('Base Stats'!$C$2:$C1000, LOWER('Base Stats'!$B$2:$B1000) = LOWER($A533)), """")"),"#N/A")</f>
        <v>#N/A</v>
      </c>
      <c r="M533" t="str">
        <f ca="1">IFERROR(__xludf.DUMMYFUNCTION("1.15 + 0.02 * FILTER('Base Stats'!$C$2:$C1000, LOWER('Base Stats'!$B$2:$B1000) = LOWER($A533))"),"1.15")</f>
        <v>1.15</v>
      </c>
      <c r="N533" t="s">
        <v>527</v>
      </c>
    </row>
    <row r="534" spans="1:14" ht="12.75" x14ac:dyDescent="0.2">
      <c r="A534">
        <f>'Form Responses (Pokemon Stats)'!B494</f>
        <v>0</v>
      </c>
      <c r="B534">
        <f>'Form Responses (Pokemon Stats)'!D494</f>
        <v>0</v>
      </c>
      <c r="C534">
        <f>'Form Responses (Pokemon Stats)'!C494</f>
        <v>0</v>
      </c>
      <c r="F534">
        <f>'Form Responses (Pokemon Stats)'!E494</f>
        <v>0</v>
      </c>
      <c r="G534" t="str">
        <f ca="1">IFERROR(__xludf.DUMMYFUNCTION("ROUND(B534/ FILTER('Pokemon CP/HP'!$M$2:$M1000, LOWER('Pokemon CP/HP'!$B$2:$B1000)=LOWER(A534)))"),"#DIV/0!")</f>
        <v>#DIV/0!</v>
      </c>
      <c r="H534" t="str">
        <f ca="1">IFERROR(__xludf.DUMMYFUNCTION("FILTER('Leveling Info'!$B$2:$B1000, 'Leveling Info'!$A$2:$A1000 =G534)"),"#N/A")</f>
        <v>#N/A</v>
      </c>
      <c r="I534" s="29" t="e">
        <f t="shared" ca="1" si="0"/>
        <v>#VALUE!</v>
      </c>
      <c r="J534" s="29" t="str">
        <f ca="1">IFERROR(__xludf.DUMMYFUNCTION("IF(F534 = H534,C534/FILTER('Base Stats'!$C$2:$C1000, LOWER('Base Stats'!$B$2:$B1000) = LOWER($A534)), """")"),"#N/A")</f>
        <v>#N/A</v>
      </c>
      <c r="K534" t="str">
        <f t="shared" ca="1" si="1"/>
        <v/>
      </c>
      <c r="L534" t="str">
        <f ca="1">IFERROR(__xludf.DUMMYFUNCTION("IF(AND(NOT(K534 = """"), G534 &gt;= 15),K534/FILTER('Base Stats'!$C$2:$C1000, LOWER('Base Stats'!$B$2:$B1000) = LOWER($A534)), """")"),"#N/A")</f>
        <v>#N/A</v>
      </c>
      <c r="M534" t="str">
        <f ca="1">IFERROR(__xludf.DUMMYFUNCTION("1.15 + 0.02 * FILTER('Base Stats'!$C$2:$C1000, LOWER('Base Stats'!$B$2:$B1000) = LOWER($A534))"),"1.15")</f>
        <v>1.15</v>
      </c>
      <c r="N534" t="s">
        <v>527</v>
      </c>
    </row>
    <row r="535" spans="1:14" ht="12.75" x14ac:dyDescent="0.2">
      <c r="A535">
        <f>'Form Responses (Pokemon Stats)'!B495</f>
        <v>0</v>
      </c>
      <c r="B535">
        <f>'Form Responses (Pokemon Stats)'!D495</f>
        <v>0</v>
      </c>
      <c r="C535">
        <f>'Form Responses (Pokemon Stats)'!C495</f>
        <v>0</v>
      </c>
      <c r="F535">
        <f>'Form Responses (Pokemon Stats)'!E495</f>
        <v>0</v>
      </c>
      <c r="G535" t="str">
        <f ca="1">IFERROR(__xludf.DUMMYFUNCTION("ROUND(B535/ FILTER('Pokemon CP/HP'!$M$2:$M1000, LOWER('Pokemon CP/HP'!$B$2:$B1000)=LOWER(A535)))"),"#DIV/0!")</f>
        <v>#DIV/0!</v>
      </c>
      <c r="H535" t="str">
        <f ca="1">IFERROR(__xludf.DUMMYFUNCTION("FILTER('Leveling Info'!$B$2:$B1000, 'Leveling Info'!$A$2:$A1000 =G535)"),"#N/A")</f>
        <v>#N/A</v>
      </c>
      <c r="I535" s="29" t="e">
        <f t="shared" ca="1" si="0"/>
        <v>#VALUE!</v>
      </c>
      <c r="J535" s="29" t="str">
        <f ca="1">IFERROR(__xludf.DUMMYFUNCTION("IF(F535 = H535,C535/FILTER('Base Stats'!$C$2:$C1000, LOWER('Base Stats'!$B$2:$B1000) = LOWER($A535)), """")"),"#N/A")</f>
        <v>#N/A</v>
      </c>
      <c r="K535" t="str">
        <f t="shared" ca="1" si="1"/>
        <v/>
      </c>
      <c r="L535" t="str">
        <f ca="1">IFERROR(__xludf.DUMMYFUNCTION("IF(AND(NOT(K535 = """"), G535 &gt;= 15),K535/FILTER('Base Stats'!$C$2:$C1000, LOWER('Base Stats'!$B$2:$B1000) = LOWER($A535)), """")"),"#N/A")</f>
        <v>#N/A</v>
      </c>
      <c r="M535" t="str">
        <f ca="1">IFERROR(__xludf.DUMMYFUNCTION("1.15 + 0.02 * FILTER('Base Stats'!$C$2:$C1000, LOWER('Base Stats'!$B$2:$B1000) = LOWER($A535))"),"1.15")</f>
        <v>1.15</v>
      </c>
      <c r="N535" t="s">
        <v>527</v>
      </c>
    </row>
    <row r="536" spans="1:14" ht="12.75" x14ac:dyDescent="0.2">
      <c r="A536">
        <f>'Form Responses (Pokemon Stats)'!B496</f>
        <v>0</v>
      </c>
      <c r="B536">
        <f>'Form Responses (Pokemon Stats)'!D496</f>
        <v>0</v>
      </c>
      <c r="C536">
        <f>'Form Responses (Pokemon Stats)'!C496</f>
        <v>0</v>
      </c>
      <c r="F536">
        <f>'Form Responses (Pokemon Stats)'!E496</f>
        <v>0</v>
      </c>
      <c r="G536" t="str">
        <f ca="1">IFERROR(__xludf.DUMMYFUNCTION("ROUND(B536/ FILTER('Pokemon CP/HP'!$M$2:$M1000, LOWER('Pokemon CP/HP'!$B$2:$B1000)=LOWER(A536)))"),"#DIV/0!")</f>
        <v>#DIV/0!</v>
      </c>
      <c r="H536" t="str">
        <f ca="1">IFERROR(__xludf.DUMMYFUNCTION("FILTER('Leveling Info'!$B$2:$B1000, 'Leveling Info'!$A$2:$A1000 =G536)"),"#N/A")</f>
        <v>#N/A</v>
      </c>
      <c r="I536" s="29" t="e">
        <f t="shared" ca="1" si="0"/>
        <v>#VALUE!</v>
      </c>
      <c r="J536" s="29" t="str">
        <f ca="1">IFERROR(__xludf.DUMMYFUNCTION("IF(F536 = H536,C536/FILTER('Base Stats'!$C$2:$C1000, LOWER('Base Stats'!$B$2:$B1000) = LOWER($A536)), """")"),"#N/A")</f>
        <v>#N/A</v>
      </c>
      <c r="K536" t="str">
        <f t="shared" ca="1" si="1"/>
        <v/>
      </c>
      <c r="L536" t="str">
        <f ca="1">IFERROR(__xludf.DUMMYFUNCTION("IF(AND(NOT(K536 = """"), G536 &gt;= 15),K536/FILTER('Base Stats'!$C$2:$C1000, LOWER('Base Stats'!$B$2:$B1000) = LOWER($A536)), """")"),"#N/A")</f>
        <v>#N/A</v>
      </c>
      <c r="M536" t="str">
        <f ca="1">IFERROR(__xludf.DUMMYFUNCTION("1.15 + 0.02 * FILTER('Base Stats'!$C$2:$C1000, LOWER('Base Stats'!$B$2:$B1000) = LOWER($A536))"),"1.15")</f>
        <v>1.15</v>
      </c>
      <c r="N536" t="s">
        <v>527</v>
      </c>
    </row>
    <row r="537" spans="1:14" ht="12.75" x14ac:dyDescent="0.2">
      <c r="A537">
        <f>'Form Responses (Pokemon Stats)'!B497</f>
        <v>0</v>
      </c>
      <c r="B537">
        <f>'Form Responses (Pokemon Stats)'!D497</f>
        <v>0</v>
      </c>
      <c r="C537">
        <f>'Form Responses (Pokemon Stats)'!C497</f>
        <v>0</v>
      </c>
      <c r="F537">
        <f>'Form Responses (Pokemon Stats)'!E497</f>
        <v>0</v>
      </c>
      <c r="G537" t="str">
        <f ca="1">IFERROR(__xludf.DUMMYFUNCTION("ROUND(B537/ FILTER('Pokemon CP/HP'!$M$2:$M1000, LOWER('Pokemon CP/HP'!$B$2:$B1000)=LOWER(A537)))"),"#DIV/0!")</f>
        <v>#DIV/0!</v>
      </c>
      <c r="H537" t="str">
        <f ca="1">IFERROR(__xludf.DUMMYFUNCTION("FILTER('Leveling Info'!$B$2:$B1000, 'Leveling Info'!$A$2:$A1000 =G537)"),"#N/A")</f>
        <v>#N/A</v>
      </c>
      <c r="I537" s="29" t="e">
        <f t="shared" ca="1" si="0"/>
        <v>#VALUE!</v>
      </c>
      <c r="J537" s="29" t="str">
        <f ca="1">IFERROR(__xludf.DUMMYFUNCTION("IF(F537 = H537,C537/FILTER('Base Stats'!$C$2:$C1000, LOWER('Base Stats'!$B$2:$B1000) = LOWER($A537)), """")"),"#N/A")</f>
        <v>#N/A</v>
      </c>
      <c r="K537" t="str">
        <f t="shared" ca="1" si="1"/>
        <v/>
      </c>
      <c r="L537" t="str">
        <f ca="1">IFERROR(__xludf.DUMMYFUNCTION("IF(AND(NOT(K537 = """"), G537 &gt;= 15),K537/FILTER('Base Stats'!$C$2:$C1000, LOWER('Base Stats'!$B$2:$B1000) = LOWER($A537)), """")"),"#N/A")</f>
        <v>#N/A</v>
      </c>
      <c r="M537" t="str">
        <f ca="1">IFERROR(__xludf.DUMMYFUNCTION("1.15 + 0.02 * FILTER('Base Stats'!$C$2:$C1000, LOWER('Base Stats'!$B$2:$B1000) = LOWER($A537))"),"1.15")</f>
        <v>1.15</v>
      </c>
      <c r="N537" t="s">
        <v>527</v>
      </c>
    </row>
    <row r="538" spans="1:14" ht="12.75" x14ac:dyDescent="0.2">
      <c r="A538">
        <f>'Form Responses (Pokemon Stats)'!B498</f>
        <v>0</v>
      </c>
      <c r="B538">
        <f>'Form Responses (Pokemon Stats)'!D498</f>
        <v>0</v>
      </c>
      <c r="C538">
        <f>'Form Responses (Pokemon Stats)'!C498</f>
        <v>0</v>
      </c>
      <c r="F538">
        <f>'Form Responses (Pokemon Stats)'!E498</f>
        <v>0</v>
      </c>
      <c r="G538" t="str">
        <f ca="1">IFERROR(__xludf.DUMMYFUNCTION("ROUND(B538/ FILTER('Pokemon CP/HP'!$M$2:$M1000, LOWER('Pokemon CP/HP'!$B$2:$B1000)=LOWER(A538)))"),"#DIV/0!")</f>
        <v>#DIV/0!</v>
      </c>
      <c r="H538" t="str">
        <f ca="1">IFERROR(__xludf.DUMMYFUNCTION("FILTER('Leveling Info'!$B$2:$B1000, 'Leveling Info'!$A$2:$A1000 =G538)"),"#N/A")</f>
        <v>#N/A</v>
      </c>
      <c r="I538" s="29" t="e">
        <f t="shared" ca="1" si="0"/>
        <v>#VALUE!</v>
      </c>
      <c r="J538" s="29" t="str">
        <f ca="1">IFERROR(__xludf.DUMMYFUNCTION("IF(F538 = H538,C538/FILTER('Base Stats'!$C$2:$C1000, LOWER('Base Stats'!$B$2:$B1000) = LOWER($A538)), """")"),"#N/A")</f>
        <v>#N/A</v>
      </c>
      <c r="K538" t="str">
        <f t="shared" ca="1" si="1"/>
        <v/>
      </c>
      <c r="L538" t="str">
        <f ca="1">IFERROR(__xludf.DUMMYFUNCTION("IF(AND(NOT(K538 = """"), G538 &gt;= 15),K538/FILTER('Base Stats'!$C$2:$C1000, LOWER('Base Stats'!$B$2:$B1000) = LOWER($A538)), """")"),"#N/A")</f>
        <v>#N/A</v>
      </c>
      <c r="M538" t="str">
        <f ca="1">IFERROR(__xludf.DUMMYFUNCTION("1.15 + 0.02 * FILTER('Base Stats'!$C$2:$C1000, LOWER('Base Stats'!$B$2:$B1000) = LOWER($A538))"),"1.15")</f>
        <v>1.15</v>
      </c>
      <c r="N538" t="s">
        <v>527</v>
      </c>
    </row>
    <row r="539" spans="1:14" ht="12.75" x14ac:dyDescent="0.2">
      <c r="A539">
        <f>'Form Responses (Pokemon Stats)'!B499</f>
        <v>0</v>
      </c>
      <c r="B539">
        <f>'Form Responses (Pokemon Stats)'!D499</f>
        <v>0</v>
      </c>
      <c r="C539">
        <f>'Form Responses (Pokemon Stats)'!C499</f>
        <v>0</v>
      </c>
      <c r="F539">
        <f>'Form Responses (Pokemon Stats)'!E499</f>
        <v>0</v>
      </c>
      <c r="G539" t="str">
        <f ca="1">IFERROR(__xludf.DUMMYFUNCTION("ROUND(B539/ FILTER('Pokemon CP/HP'!$M$2:$M1000, LOWER('Pokemon CP/HP'!$B$2:$B1000)=LOWER(A539)))"),"#DIV/0!")</f>
        <v>#DIV/0!</v>
      </c>
      <c r="H539" t="str">
        <f ca="1">IFERROR(__xludf.DUMMYFUNCTION("FILTER('Leveling Info'!$B$2:$B1000, 'Leveling Info'!$A$2:$A1000 =G539)"),"#N/A")</f>
        <v>#N/A</v>
      </c>
      <c r="I539" s="29" t="e">
        <f t="shared" ca="1" si="0"/>
        <v>#VALUE!</v>
      </c>
      <c r="J539" s="29" t="str">
        <f ca="1">IFERROR(__xludf.DUMMYFUNCTION("IF(F539 = H539,C539/FILTER('Base Stats'!$C$2:$C1000, LOWER('Base Stats'!$B$2:$B1000) = LOWER($A539)), """")"),"#N/A")</f>
        <v>#N/A</v>
      </c>
      <c r="K539" t="str">
        <f t="shared" ca="1" si="1"/>
        <v/>
      </c>
      <c r="L539" t="str">
        <f ca="1">IFERROR(__xludf.DUMMYFUNCTION("IF(AND(NOT(K539 = """"), G539 &gt;= 15),K539/FILTER('Base Stats'!$C$2:$C1000, LOWER('Base Stats'!$B$2:$B1000) = LOWER($A539)), """")"),"#N/A")</f>
        <v>#N/A</v>
      </c>
      <c r="M539" t="str">
        <f ca="1">IFERROR(__xludf.DUMMYFUNCTION("1.15 + 0.02 * FILTER('Base Stats'!$C$2:$C1000, LOWER('Base Stats'!$B$2:$B1000) = LOWER($A539))"),"1.15")</f>
        <v>1.15</v>
      </c>
      <c r="N539" t="s">
        <v>527</v>
      </c>
    </row>
    <row r="540" spans="1:14" ht="12.75" x14ac:dyDescent="0.2">
      <c r="A540">
        <f>'Form Responses (Pokemon Stats)'!B500</f>
        <v>0</v>
      </c>
      <c r="B540">
        <f>'Form Responses (Pokemon Stats)'!D500</f>
        <v>0</v>
      </c>
      <c r="C540">
        <f>'Form Responses (Pokemon Stats)'!C500</f>
        <v>0</v>
      </c>
      <c r="F540">
        <f>'Form Responses (Pokemon Stats)'!E500</f>
        <v>0</v>
      </c>
      <c r="G540" t="str">
        <f ca="1">IFERROR(__xludf.DUMMYFUNCTION("ROUND(B540/ FILTER('Pokemon CP/HP'!$M$2:$M1000, LOWER('Pokemon CP/HP'!$B$2:$B1000)=LOWER(A540)))"),"#DIV/0!")</f>
        <v>#DIV/0!</v>
      </c>
      <c r="H540" t="str">
        <f ca="1">IFERROR(__xludf.DUMMYFUNCTION("FILTER('Leveling Info'!$B$2:$B1000, 'Leveling Info'!$A$2:$A1000 =G540)"),"#N/A")</f>
        <v>#N/A</v>
      </c>
      <c r="I540" s="29" t="e">
        <f t="shared" ca="1" si="0"/>
        <v>#VALUE!</v>
      </c>
      <c r="J540" s="29" t="str">
        <f ca="1">IFERROR(__xludf.DUMMYFUNCTION("IF(F540 = H540,C540/FILTER('Base Stats'!$C$2:$C1000, LOWER('Base Stats'!$B$2:$B1000) = LOWER($A540)), """")"),"#N/A")</f>
        <v>#N/A</v>
      </c>
      <c r="K540" t="str">
        <f t="shared" ca="1" si="1"/>
        <v/>
      </c>
      <c r="L540" t="str">
        <f ca="1">IFERROR(__xludf.DUMMYFUNCTION("IF(AND(NOT(K540 = """"), G540 &gt;= 15),K540/FILTER('Base Stats'!$C$2:$C1000, LOWER('Base Stats'!$B$2:$B1000) = LOWER($A540)), """")"),"#N/A")</f>
        <v>#N/A</v>
      </c>
      <c r="M540" t="str">
        <f ca="1">IFERROR(__xludf.DUMMYFUNCTION("1.15 + 0.02 * FILTER('Base Stats'!$C$2:$C1000, LOWER('Base Stats'!$B$2:$B1000) = LOWER($A540))"),"1.15")</f>
        <v>1.15</v>
      </c>
      <c r="N540" t="s">
        <v>527</v>
      </c>
    </row>
    <row r="541" spans="1:14" ht="12.75" x14ac:dyDescent="0.2">
      <c r="A541">
        <f>'Form Responses (Pokemon Stats)'!B501</f>
        <v>0</v>
      </c>
      <c r="B541">
        <f>'Form Responses (Pokemon Stats)'!D501</f>
        <v>0</v>
      </c>
      <c r="C541">
        <f>'Form Responses (Pokemon Stats)'!C501</f>
        <v>0</v>
      </c>
      <c r="F541">
        <f>'Form Responses (Pokemon Stats)'!E501</f>
        <v>0</v>
      </c>
      <c r="G541" t="str">
        <f ca="1">IFERROR(__xludf.DUMMYFUNCTION("ROUND(B541/ FILTER('Pokemon CP/HP'!$M$2:$M1000, LOWER('Pokemon CP/HP'!$B$2:$B1000)=LOWER(A541)))"),"#DIV/0!")</f>
        <v>#DIV/0!</v>
      </c>
      <c r="H541" t="str">
        <f ca="1">IFERROR(__xludf.DUMMYFUNCTION("FILTER('Leveling Info'!$B$2:$B1000, 'Leveling Info'!$A$2:$A1000 =G541)"),"#N/A")</f>
        <v>#N/A</v>
      </c>
      <c r="I541" s="29" t="e">
        <f t="shared" ca="1" si="0"/>
        <v>#VALUE!</v>
      </c>
      <c r="J541" s="29" t="str">
        <f ca="1">IFERROR(__xludf.DUMMYFUNCTION("IF(F541 = H541,C541/FILTER('Base Stats'!$C$2:$C1000, LOWER('Base Stats'!$B$2:$B1000) = LOWER($A541)), """")"),"#N/A")</f>
        <v>#N/A</v>
      </c>
      <c r="K541" t="str">
        <f t="shared" ca="1" si="1"/>
        <v/>
      </c>
      <c r="L541" t="str">
        <f ca="1">IFERROR(__xludf.DUMMYFUNCTION("IF(AND(NOT(K541 = """"), G541 &gt;= 15),K541/FILTER('Base Stats'!$C$2:$C1000, LOWER('Base Stats'!$B$2:$B1000) = LOWER($A541)), """")"),"#N/A")</f>
        <v>#N/A</v>
      </c>
      <c r="M541" t="str">
        <f ca="1">IFERROR(__xludf.DUMMYFUNCTION("1.15 + 0.02 * FILTER('Base Stats'!$C$2:$C1000, LOWER('Base Stats'!$B$2:$B1000) = LOWER($A541))"),"1.15")</f>
        <v>1.15</v>
      </c>
      <c r="N541" t="s">
        <v>527</v>
      </c>
    </row>
    <row r="542" spans="1:14" ht="12.75" x14ac:dyDescent="0.2">
      <c r="A542">
        <f>'Form Responses (Pokemon Stats)'!B502</f>
        <v>0</v>
      </c>
      <c r="B542">
        <f>'Form Responses (Pokemon Stats)'!D502</f>
        <v>0</v>
      </c>
      <c r="C542">
        <f>'Form Responses (Pokemon Stats)'!C502</f>
        <v>0</v>
      </c>
      <c r="F542">
        <f>'Form Responses (Pokemon Stats)'!E502</f>
        <v>0</v>
      </c>
      <c r="G542" t="str">
        <f ca="1">IFERROR(__xludf.DUMMYFUNCTION("ROUND(B542/ FILTER('Pokemon CP/HP'!$M$2:$M1000, LOWER('Pokemon CP/HP'!$B$2:$B1000)=LOWER(A542)))"),"#DIV/0!")</f>
        <v>#DIV/0!</v>
      </c>
      <c r="H542" t="str">
        <f ca="1">IFERROR(__xludf.DUMMYFUNCTION("FILTER('Leveling Info'!$B$2:$B1000, 'Leveling Info'!$A$2:$A1000 =G542)"),"#N/A")</f>
        <v>#N/A</v>
      </c>
      <c r="I542" s="29" t="e">
        <f t="shared" ca="1" si="0"/>
        <v>#VALUE!</v>
      </c>
      <c r="J542" s="29" t="str">
        <f ca="1">IFERROR(__xludf.DUMMYFUNCTION("IF(F542 = H542,C542/FILTER('Base Stats'!$C$2:$C1000, LOWER('Base Stats'!$B$2:$B1000) = LOWER($A542)), """")"),"#N/A")</f>
        <v>#N/A</v>
      </c>
      <c r="K542" t="str">
        <f t="shared" ca="1" si="1"/>
        <v/>
      </c>
      <c r="L542" t="str">
        <f ca="1">IFERROR(__xludf.DUMMYFUNCTION("IF(AND(NOT(K542 = """"), G542 &gt;= 15),K542/FILTER('Base Stats'!$C$2:$C1000, LOWER('Base Stats'!$B$2:$B1000) = LOWER($A542)), """")"),"#N/A")</f>
        <v>#N/A</v>
      </c>
      <c r="M542" t="str">
        <f ca="1">IFERROR(__xludf.DUMMYFUNCTION("1.15 + 0.02 * FILTER('Base Stats'!$C$2:$C1000, LOWER('Base Stats'!$B$2:$B1000) = LOWER($A542))"),"1.15")</f>
        <v>1.15</v>
      </c>
      <c r="N542" t="s">
        <v>527</v>
      </c>
    </row>
    <row r="543" spans="1:14" ht="12.75" x14ac:dyDescent="0.2">
      <c r="A543">
        <f>'Form Responses (Pokemon Stats)'!B503</f>
        <v>0</v>
      </c>
      <c r="B543">
        <f>'Form Responses (Pokemon Stats)'!D503</f>
        <v>0</v>
      </c>
      <c r="C543">
        <f>'Form Responses (Pokemon Stats)'!C503</f>
        <v>0</v>
      </c>
      <c r="F543">
        <f>'Form Responses (Pokemon Stats)'!E503</f>
        <v>0</v>
      </c>
      <c r="G543" t="str">
        <f ca="1">IFERROR(__xludf.DUMMYFUNCTION("ROUND(B543/ FILTER('Pokemon CP/HP'!$M$2:$M1000, LOWER('Pokemon CP/HP'!$B$2:$B1000)=LOWER(A543)))"),"#DIV/0!")</f>
        <v>#DIV/0!</v>
      </c>
      <c r="H543" t="str">
        <f ca="1">IFERROR(__xludf.DUMMYFUNCTION("FILTER('Leveling Info'!$B$2:$B1000, 'Leveling Info'!$A$2:$A1000 =G543)"),"#N/A")</f>
        <v>#N/A</v>
      </c>
      <c r="I543" s="29" t="e">
        <f t="shared" ca="1" si="0"/>
        <v>#VALUE!</v>
      </c>
      <c r="J543" s="29" t="str">
        <f ca="1">IFERROR(__xludf.DUMMYFUNCTION("IF(F543 = H543,C543/FILTER('Base Stats'!$C$2:$C1000, LOWER('Base Stats'!$B$2:$B1000) = LOWER($A543)), """")"),"#N/A")</f>
        <v>#N/A</v>
      </c>
      <c r="K543" t="str">
        <f t="shared" ca="1" si="1"/>
        <v/>
      </c>
      <c r="L543" t="str">
        <f ca="1">IFERROR(__xludf.DUMMYFUNCTION("IF(AND(NOT(K543 = """"), G543 &gt;= 15),K543/FILTER('Base Stats'!$C$2:$C1000, LOWER('Base Stats'!$B$2:$B1000) = LOWER($A543)), """")"),"#N/A")</f>
        <v>#N/A</v>
      </c>
      <c r="M543" t="str">
        <f ca="1">IFERROR(__xludf.DUMMYFUNCTION("1.15 + 0.02 * FILTER('Base Stats'!$C$2:$C1000, LOWER('Base Stats'!$B$2:$B1000) = LOWER($A543))"),"1.15")</f>
        <v>1.15</v>
      </c>
      <c r="N543" t="s">
        <v>527</v>
      </c>
    </row>
    <row r="544" spans="1:14" ht="12.75" x14ac:dyDescent="0.2">
      <c r="A544">
        <f>'Form Responses (Pokemon Stats)'!B504</f>
        <v>0</v>
      </c>
      <c r="B544">
        <f>'Form Responses (Pokemon Stats)'!D504</f>
        <v>0</v>
      </c>
      <c r="C544">
        <f>'Form Responses (Pokemon Stats)'!C504</f>
        <v>0</v>
      </c>
      <c r="F544">
        <f>'Form Responses (Pokemon Stats)'!E504</f>
        <v>0</v>
      </c>
      <c r="G544" t="str">
        <f ca="1">IFERROR(__xludf.DUMMYFUNCTION("ROUND(B544/ FILTER('Pokemon CP/HP'!$M$2:$M1000, LOWER('Pokemon CP/HP'!$B$2:$B1000)=LOWER(A544)))"),"#DIV/0!")</f>
        <v>#DIV/0!</v>
      </c>
      <c r="H544" t="str">
        <f ca="1">IFERROR(__xludf.DUMMYFUNCTION("FILTER('Leveling Info'!$B$2:$B1000, 'Leveling Info'!$A$2:$A1000 =G544)"),"#N/A")</f>
        <v>#N/A</v>
      </c>
      <c r="I544" s="29" t="e">
        <f t="shared" ca="1" si="0"/>
        <v>#VALUE!</v>
      </c>
      <c r="J544" s="29" t="str">
        <f ca="1">IFERROR(__xludf.DUMMYFUNCTION("IF(F544 = H544,C544/FILTER('Base Stats'!$C$2:$C1000, LOWER('Base Stats'!$B$2:$B1000) = LOWER($A544)), """")"),"#N/A")</f>
        <v>#N/A</v>
      </c>
      <c r="K544" t="str">
        <f t="shared" ca="1" si="1"/>
        <v/>
      </c>
      <c r="L544" t="str">
        <f ca="1">IFERROR(__xludf.DUMMYFUNCTION("IF(AND(NOT(K544 = """"), G544 &gt;= 15),K544/FILTER('Base Stats'!$C$2:$C1000, LOWER('Base Stats'!$B$2:$B1000) = LOWER($A544)), """")"),"#N/A")</f>
        <v>#N/A</v>
      </c>
      <c r="M544" t="str">
        <f ca="1">IFERROR(__xludf.DUMMYFUNCTION("1.15 + 0.02 * FILTER('Base Stats'!$C$2:$C1000, LOWER('Base Stats'!$B$2:$B1000) = LOWER($A544))"),"1.15")</f>
        <v>1.15</v>
      </c>
      <c r="N544" t="s">
        <v>527</v>
      </c>
    </row>
    <row r="545" spans="1:14" ht="12.75" x14ac:dyDescent="0.2">
      <c r="A545">
        <f>'Form Responses (Pokemon Stats)'!B505</f>
        <v>0</v>
      </c>
      <c r="B545">
        <f>'Form Responses (Pokemon Stats)'!D505</f>
        <v>0</v>
      </c>
      <c r="C545">
        <f>'Form Responses (Pokemon Stats)'!C505</f>
        <v>0</v>
      </c>
      <c r="F545">
        <f>'Form Responses (Pokemon Stats)'!E505</f>
        <v>0</v>
      </c>
      <c r="G545" t="str">
        <f ca="1">IFERROR(__xludf.DUMMYFUNCTION("ROUND(B545/ FILTER('Pokemon CP/HP'!$M$2:$M1000, LOWER('Pokemon CP/HP'!$B$2:$B1000)=LOWER(A545)))"),"#DIV/0!")</f>
        <v>#DIV/0!</v>
      </c>
      <c r="H545" t="str">
        <f ca="1">IFERROR(__xludf.DUMMYFUNCTION("FILTER('Leveling Info'!$B$2:$B1000, 'Leveling Info'!$A$2:$A1000 =G545)"),"#N/A")</f>
        <v>#N/A</v>
      </c>
      <c r="I545" s="29" t="e">
        <f t="shared" ca="1" si="0"/>
        <v>#VALUE!</v>
      </c>
      <c r="J545" s="29" t="str">
        <f ca="1">IFERROR(__xludf.DUMMYFUNCTION("IF(F545 = H545,C545/FILTER('Base Stats'!$C$2:$C1000, LOWER('Base Stats'!$B$2:$B1000) = LOWER($A545)), """")"),"#N/A")</f>
        <v>#N/A</v>
      </c>
      <c r="K545" t="str">
        <f t="shared" ca="1" si="1"/>
        <v/>
      </c>
      <c r="L545" t="str">
        <f ca="1">IFERROR(__xludf.DUMMYFUNCTION("IF(AND(NOT(K545 = """"), G545 &gt;= 15),K545/FILTER('Base Stats'!$C$2:$C1000, LOWER('Base Stats'!$B$2:$B1000) = LOWER($A545)), """")"),"#N/A")</f>
        <v>#N/A</v>
      </c>
      <c r="M545" t="str">
        <f ca="1">IFERROR(__xludf.DUMMYFUNCTION("1.15 + 0.02 * FILTER('Base Stats'!$C$2:$C1000, LOWER('Base Stats'!$B$2:$B1000) = LOWER($A545))"),"1.15")</f>
        <v>1.15</v>
      </c>
      <c r="N545" t="s">
        <v>527</v>
      </c>
    </row>
    <row r="546" spans="1:14" ht="12.75" x14ac:dyDescent="0.2">
      <c r="A546">
        <f>'Form Responses (Pokemon Stats)'!B506</f>
        <v>0</v>
      </c>
      <c r="B546">
        <f>'Form Responses (Pokemon Stats)'!D506</f>
        <v>0</v>
      </c>
      <c r="C546">
        <f>'Form Responses (Pokemon Stats)'!C506</f>
        <v>0</v>
      </c>
      <c r="F546">
        <f>'Form Responses (Pokemon Stats)'!E506</f>
        <v>0</v>
      </c>
      <c r="G546" t="str">
        <f ca="1">IFERROR(__xludf.DUMMYFUNCTION("ROUND(B546/ FILTER('Pokemon CP/HP'!$M$2:$M1000, LOWER('Pokemon CP/HP'!$B$2:$B1000)=LOWER(A546)))"),"#DIV/0!")</f>
        <v>#DIV/0!</v>
      </c>
      <c r="H546" t="str">
        <f ca="1">IFERROR(__xludf.DUMMYFUNCTION("FILTER('Leveling Info'!$B$2:$B1000, 'Leveling Info'!$A$2:$A1000 =G546)"),"#N/A")</f>
        <v>#N/A</v>
      </c>
      <c r="I546" s="29" t="e">
        <f t="shared" ca="1" si="0"/>
        <v>#VALUE!</v>
      </c>
      <c r="J546" s="29" t="str">
        <f ca="1">IFERROR(__xludf.DUMMYFUNCTION("IF(F546 = H546,C546/FILTER('Base Stats'!$C$2:$C1000, LOWER('Base Stats'!$B$2:$B1000) = LOWER($A546)), """")"),"#N/A")</f>
        <v>#N/A</v>
      </c>
      <c r="K546" t="str">
        <f t="shared" ca="1" si="1"/>
        <v/>
      </c>
      <c r="L546" t="str">
        <f ca="1">IFERROR(__xludf.DUMMYFUNCTION("IF(AND(NOT(K546 = """"), G546 &gt;= 15),K546/FILTER('Base Stats'!$C$2:$C1000, LOWER('Base Stats'!$B$2:$B1000) = LOWER($A546)), """")"),"#N/A")</f>
        <v>#N/A</v>
      </c>
      <c r="M546" t="str">
        <f ca="1">IFERROR(__xludf.DUMMYFUNCTION("1.15 + 0.02 * FILTER('Base Stats'!$C$2:$C1000, LOWER('Base Stats'!$B$2:$B1000) = LOWER($A546))"),"1.15")</f>
        <v>1.15</v>
      </c>
      <c r="N546" t="s">
        <v>527</v>
      </c>
    </row>
    <row r="547" spans="1:14" ht="12.75" x14ac:dyDescent="0.2">
      <c r="A547">
        <f>'Form Responses (Pokemon Stats)'!B507</f>
        <v>0</v>
      </c>
      <c r="B547">
        <f>'Form Responses (Pokemon Stats)'!D507</f>
        <v>0</v>
      </c>
      <c r="C547">
        <f>'Form Responses (Pokemon Stats)'!C507</f>
        <v>0</v>
      </c>
      <c r="F547">
        <f>'Form Responses (Pokemon Stats)'!E507</f>
        <v>0</v>
      </c>
      <c r="G547" t="str">
        <f ca="1">IFERROR(__xludf.DUMMYFUNCTION("ROUND(B547/ FILTER('Pokemon CP/HP'!$M$2:$M1000, LOWER('Pokemon CP/HP'!$B$2:$B1000)=LOWER(A547)))"),"#DIV/0!")</f>
        <v>#DIV/0!</v>
      </c>
      <c r="H547" t="str">
        <f ca="1">IFERROR(__xludf.DUMMYFUNCTION("FILTER('Leveling Info'!$B$2:$B1000, 'Leveling Info'!$A$2:$A1000 =G547)"),"#N/A")</f>
        <v>#N/A</v>
      </c>
      <c r="I547" s="29" t="e">
        <f t="shared" ca="1" si="0"/>
        <v>#VALUE!</v>
      </c>
      <c r="J547" s="29" t="str">
        <f ca="1">IFERROR(__xludf.DUMMYFUNCTION("IF(F547 = H547,C547/FILTER('Base Stats'!$C$2:$C1000, LOWER('Base Stats'!$B$2:$B1000) = LOWER($A547)), """")"),"#N/A")</f>
        <v>#N/A</v>
      </c>
      <c r="K547" t="str">
        <f t="shared" ca="1" si="1"/>
        <v/>
      </c>
      <c r="L547" t="str">
        <f ca="1">IFERROR(__xludf.DUMMYFUNCTION("IF(AND(NOT(K547 = """"), G547 &gt;= 15),K547/FILTER('Base Stats'!$C$2:$C1000, LOWER('Base Stats'!$B$2:$B1000) = LOWER($A547)), """")"),"#N/A")</f>
        <v>#N/A</v>
      </c>
      <c r="M547" t="str">
        <f ca="1">IFERROR(__xludf.DUMMYFUNCTION("1.15 + 0.02 * FILTER('Base Stats'!$C$2:$C1000, LOWER('Base Stats'!$B$2:$B1000) = LOWER($A547))"),"1.15")</f>
        <v>1.15</v>
      </c>
      <c r="N547" t="s">
        <v>527</v>
      </c>
    </row>
    <row r="548" spans="1:14" ht="12.75" x14ac:dyDescent="0.2">
      <c r="A548">
        <f>'Form Responses (Pokemon Stats)'!B508</f>
        <v>0</v>
      </c>
      <c r="B548">
        <f>'Form Responses (Pokemon Stats)'!D508</f>
        <v>0</v>
      </c>
      <c r="C548">
        <f>'Form Responses (Pokemon Stats)'!C508</f>
        <v>0</v>
      </c>
      <c r="F548">
        <f>'Form Responses (Pokemon Stats)'!E508</f>
        <v>0</v>
      </c>
      <c r="G548" t="str">
        <f ca="1">IFERROR(__xludf.DUMMYFUNCTION("ROUND(B548/ FILTER('Pokemon CP/HP'!$M$2:$M1000, LOWER('Pokemon CP/HP'!$B$2:$B1000)=LOWER(A548)))"),"#DIV/0!")</f>
        <v>#DIV/0!</v>
      </c>
      <c r="H548" t="str">
        <f ca="1">IFERROR(__xludf.DUMMYFUNCTION("FILTER('Leveling Info'!$B$2:$B1000, 'Leveling Info'!$A$2:$A1000 =G548)"),"#N/A")</f>
        <v>#N/A</v>
      </c>
      <c r="I548" s="29" t="e">
        <f t="shared" ca="1" si="0"/>
        <v>#VALUE!</v>
      </c>
      <c r="J548" s="29" t="str">
        <f ca="1">IFERROR(__xludf.DUMMYFUNCTION("IF(F548 = H548,C548/FILTER('Base Stats'!$C$2:$C1000, LOWER('Base Stats'!$B$2:$B1000) = LOWER($A548)), """")"),"#N/A")</f>
        <v>#N/A</v>
      </c>
      <c r="K548" t="str">
        <f t="shared" ca="1" si="1"/>
        <v/>
      </c>
      <c r="L548" t="str">
        <f ca="1">IFERROR(__xludf.DUMMYFUNCTION("IF(AND(NOT(K548 = """"), G548 &gt;= 15),K548/FILTER('Base Stats'!$C$2:$C1000, LOWER('Base Stats'!$B$2:$B1000) = LOWER($A548)), """")"),"#N/A")</f>
        <v>#N/A</v>
      </c>
      <c r="M548" t="str">
        <f ca="1">IFERROR(__xludf.DUMMYFUNCTION("1.15 + 0.02 * FILTER('Base Stats'!$C$2:$C1000, LOWER('Base Stats'!$B$2:$B1000) = LOWER($A548))"),"1.15")</f>
        <v>1.15</v>
      </c>
      <c r="N548" t="s">
        <v>527</v>
      </c>
    </row>
    <row r="549" spans="1:14" ht="12.75" x14ac:dyDescent="0.2">
      <c r="A549">
        <f>'Form Responses (Pokemon Stats)'!B509</f>
        <v>0</v>
      </c>
      <c r="B549">
        <f>'Form Responses (Pokemon Stats)'!D509</f>
        <v>0</v>
      </c>
      <c r="C549">
        <f>'Form Responses (Pokemon Stats)'!C509</f>
        <v>0</v>
      </c>
      <c r="F549">
        <f>'Form Responses (Pokemon Stats)'!E509</f>
        <v>0</v>
      </c>
      <c r="G549" t="str">
        <f ca="1">IFERROR(__xludf.DUMMYFUNCTION("ROUND(B549/ FILTER('Pokemon CP/HP'!$M$2:$M1000, LOWER('Pokemon CP/HP'!$B$2:$B1000)=LOWER(A549)))"),"#DIV/0!")</f>
        <v>#DIV/0!</v>
      </c>
      <c r="H549" t="str">
        <f ca="1">IFERROR(__xludf.DUMMYFUNCTION("FILTER('Leveling Info'!$B$2:$B1000, 'Leveling Info'!$A$2:$A1000 =G549)"),"#N/A")</f>
        <v>#N/A</v>
      </c>
      <c r="I549" s="29" t="e">
        <f t="shared" ca="1" si="0"/>
        <v>#VALUE!</v>
      </c>
      <c r="J549" s="29" t="str">
        <f ca="1">IFERROR(__xludf.DUMMYFUNCTION("IF(F549 = H549,C549/FILTER('Base Stats'!$C$2:$C1000, LOWER('Base Stats'!$B$2:$B1000) = LOWER($A549)), """")"),"#N/A")</f>
        <v>#N/A</v>
      </c>
      <c r="K549" t="str">
        <f t="shared" ca="1" si="1"/>
        <v/>
      </c>
      <c r="L549" t="str">
        <f ca="1">IFERROR(__xludf.DUMMYFUNCTION("IF(AND(NOT(K549 = """"), G549 &gt;= 15),K549/FILTER('Base Stats'!$C$2:$C1000, LOWER('Base Stats'!$B$2:$B1000) = LOWER($A549)), """")"),"#N/A")</f>
        <v>#N/A</v>
      </c>
      <c r="M549" t="str">
        <f ca="1">IFERROR(__xludf.DUMMYFUNCTION("1.15 + 0.02 * FILTER('Base Stats'!$C$2:$C1000, LOWER('Base Stats'!$B$2:$B1000) = LOWER($A549))"),"1.15")</f>
        <v>1.15</v>
      </c>
      <c r="N549" t="s">
        <v>527</v>
      </c>
    </row>
    <row r="550" spans="1:14" ht="12.75" x14ac:dyDescent="0.2">
      <c r="A550">
        <f>'Form Responses (Pokemon Stats)'!B510</f>
        <v>0</v>
      </c>
      <c r="B550">
        <f>'Form Responses (Pokemon Stats)'!D510</f>
        <v>0</v>
      </c>
      <c r="C550">
        <f>'Form Responses (Pokemon Stats)'!C510</f>
        <v>0</v>
      </c>
      <c r="F550">
        <f>'Form Responses (Pokemon Stats)'!E510</f>
        <v>0</v>
      </c>
      <c r="G550" t="str">
        <f ca="1">IFERROR(__xludf.DUMMYFUNCTION("ROUND(B550/ FILTER('Pokemon CP/HP'!$M$2:$M1000, LOWER('Pokemon CP/HP'!$B$2:$B1000)=LOWER(A550)))"),"#DIV/0!")</f>
        <v>#DIV/0!</v>
      </c>
      <c r="H550" t="str">
        <f ca="1">IFERROR(__xludf.DUMMYFUNCTION("FILTER('Leveling Info'!$B$2:$B1000, 'Leveling Info'!$A$2:$A1000 =G550)"),"#N/A")</f>
        <v>#N/A</v>
      </c>
      <c r="I550" s="29" t="e">
        <f t="shared" ca="1" si="0"/>
        <v>#VALUE!</v>
      </c>
      <c r="J550" s="29" t="str">
        <f ca="1">IFERROR(__xludf.DUMMYFUNCTION("IF(F550 = H550,C550/FILTER('Base Stats'!$C$2:$C1000, LOWER('Base Stats'!$B$2:$B1000) = LOWER($A550)), """")"),"#N/A")</f>
        <v>#N/A</v>
      </c>
      <c r="K550" t="str">
        <f t="shared" ca="1" si="1"/>
        <v/>
      </c>
      <c r="L550" t="str">
        <f ca="1">IFERROR(__xludf.DUMMYFUNCTION("IF(AND(NOT(K550 = """"), G550 &gt;= 15),K550/FILTER('Base Stats'!$C$2:$C1000, LOWER('Base Stats'!$B$2:$B1000) = LOWER($A550)), """")"),"#N/A")</f>
        <v>#N/A</v>
      </c>
      <c r="M550" t="str">
        <f ca="1">IFERROR(__xludf.DUMMYFUNCTION("1.15 + 0.02 * FILTER('Base Stats'!$C$2:$C1000, LOWER('Base Stats'!$B$2:$B1000) = LOWER($A550))"),"1.15")</f>
        <v>1.15</v>
      </c>
      <c r="N550" t="s">
        <v>527</v>
      </c>
    </row>
    <row r="551" spans="1:14" ht="12.75" x14ac:dyDescent="0.2">
      <c r="A551">
        <f>'Form Responses (Pokemon Stats)'!B511</f>
        <v>0</v>
      </c>
      <c r="B551">
        <f>'Form Responses (Pokemon Stats)'!D511</f>
        <v>0</v>
      </c>
      <c r="C551">
        <f>'Form Responses (Pokemon Stats)'!C511</f>
        <v>0</v>
      </c>
      <c r="F551">
        <f>'Form Responses (Pokemon Stats)'!E511</f>
        <v>0</v>
      </c>
      <c r="G551" t="str">
        <f ca="1">IFERROR(__xludf.DUMMYFUNCTION("ROUND(B551/ FILTER('Pokemon CP/HP'!$M$2:$M1000, LOWER('Pokemon CP/HP'!$B$2:$B1000)=LOWER(A551)))"),"#DIV/0!")</f>
        <v>#DIV/0!</v>
      </c>
      <c r="H551" t="str">
        <f ca="1">IFERROR(__xludf.DUMMYFUNCTION("FILTER('Leveling Info'!$B$2:$B1000, 'Leveling Info'!$A$2:$A1000 =G551)"),"#N/A")</f>
        <v>#N/A</v>
      </c>
      <c r="I551" s="29" t="e">
        <f t="shared" ca="1" si="0"/>
        <v>#VALUE!</v>
      </c>
      <c r="J551" s="29" t="str">
        <f ca="1">IFERROR(__xludf.DUMMYFUNCTION("IF(F551 = H551,C551/FILTER('Base Stats'!$C$2:$C1000, LOWER('Base Stats'!$B$2:$B1000) = LOWER($A551)), """")"),"#N/A")</f>
        <v>#N/A</v>
      </c>
      <c r="K551" t="str">
        <f t="shared" ca="1" si="1"/>
        <v/>
      </c>
      <c r="L551" t="str">
        <f ca="1">IFERROR(__xludf.DUMMYFUNCTION("IF(AND(NOT(K551 = """"), G551 &gt;= 15),K551/FILTER('Base Stats'!$C$2:$C1000, LOWER('Base Stats'!$B$2:$B1000) = LOWER($A551)), """")"),"#N/A")</f>
        <v>#N/A</v>
      </c>
      <c r="M551" t="str">
        <f ca="1">IFERROR(__xludf.DUMMYFUNCTION("1.15 + 0.02 * FILTER('Base Stats'!$C$2:$C1000, LOWER('Base Stats'!$B$2:$B1000) = LOWER($A551))"),"1.15")</f>
        <v>1.15</v>
      </c>
      <c r="N551" t="s">
        <v>527</v>
      </c>
    </row>
    <row r="552" spans="1:14" ht="12.75" x14ac:dyDescent="0.2">
      <c r="A552">
        <f>'Form Responses (Pokemon Stats)'!B512</f>
        <v>0</v>
      </c>
      <c r="B552">
        <f>'Form Responses (Pokemon Stats)'!D512</f>
        <v>0</v>
      </c>
      <c r="C552">
        <f>'Form Responses (Pokemon Stats)'!C512</f>
        <v>0</v>
      </c>
      <c r="F552">
        <f>'Form Responses (Pokemon Stats)'!E512</f>
        <v>0</v>
      </c>
      <c r="G552" t="str">
        <f ca="1">IFERROR(__xludf.DUMMYFUNCTION("ROUND(B552/ FILTER('Pokemon CP/HP'!$M$2:$M1000, LOWER('Pokemon CP/HP'!$B$2:$B1000)=LOWER(A552)))"),"#DIV/0!")</f>
        <v>#DIV/0!</v>
      </c>
      <c r="H552" t="str">
        <f ca="1">IFERROR(__xludf.DUMMYFUNCTION("FILTER('Leveling Info'!$B$2:$B1000, 'Leveling Info'!$A$2:$A1000 =G552)"),"#N/A")</f>
        <v>#N/A</v>
      </c>
      <c r="I552" s="29" t="e">
        <f t="shared" ca="1" si="0"/>
        <v>#VALUE!</v>
      </c>
      <c r="J552" s="29" t="str">
        <f ca="1">IFERROR(__xludf.DUMMYFUNCTION("IF(F552 = H552,C552/FILTER('Base Stats'!$C$2:$C1000, LOWER('Base Stats'!$B$2:$B1000) = LOWER($A552)), """")"),"#N/A")</f>
        <v>#N/A</v>
      </c>
      <c r="K552" t="str">
        <f t="shared" ca="1" si="1"/>
        <v/>
      </c>
      <c r="L552" t="str">
        <f ca="1">IFERROR(__xludf.DUMMYFUNCTION("IF(AND(NOT(K552 = """"), G552 &gt;= 15),K552/FILTER('Base Stats'!$C$2:$C1000, LOWER('Base Stats'!$B$2:$B1000) = LOWER($A552)), """")"),"#N/A")</f>
        <v>#N/A</v>
      </c>
      <c r="M552" t="str">
        <f ca="1">IFERROR(__xludf.DUMMYFUNCTION("1.15 + 0.02 * FILTER('Base Stats'!$C$2:$C1000, LOWER('Base Stats'!$B$2:$B1000) = LOWER($A552))"),"1.15")</f>
        <v>1.15</v>
      </c>
      <c r="N552" t="s">
        <v>527</v>
      </c>
    </row>
    <row r="553" spans="1:14" ht="12.75" x14ac:dyDescent="0.2">
      <c r="A553">
        <f>'Form Responses (Pokemon Stats)'!B513</f>
        <v>0</v>
      </c>
      <c r="B553">
        <f>'Form Responses (Pokemon Stats)'!D513</f>
        <v>0</v>
      </c>
      <c r="C553">
        <f>'Form Responses (Pokemon Stats)'!C513</f>
        <v>0</v>
      </c>
      <c r="F553">
        <f>'Form Responses (Pokemon Stats)'!E513</f>
        <v>0</v>
      </c>
      <c r="G553" t="str">
        <f ca="1">IFERROR(__xludf.DUMMYFUNCTION("ROUND(B553/ FILTER('Pokemon CP/HP'!$M$2:$M1000, LOWER('Pokemon CP/HP'!$B$2:$B1000)=LOWER(A553)))"),"#DIV/0!")</f>
        <v>#DIV/0!</v>
      </c>
      <c r="H553" t="str">
        <f ca="1">IFERROR(__xludf.DUMMYFUNCTION("FILTER('Leveling Info'!$B$2:$B1000, 'Leveling Info'!$A$2:$A1000 =G553)"),"#N/A")</f>
        <v>#N/A</v>
      </c>
      <c r="I553" s="29" t="e">
        <f t="shared" ca="1" si="0"/>
        <v>#VALUE!</v>
      </c>
      <c r="J553" s="29" t="str">
        <f ca="1">IFERROR(__xludf.DUMMYFUNCTION("IF(F553 = H553,C553/FILTER('Base Stats'!$C$2:$C1000, LOWER('Base Stats'!$B$2:$B1000) = LOWER($A553)), """")"),"#N/A")</f>
        <v>#N/A</v>
      </c>
      <c r="K553" t="str">
        <f t="shared" ca="1" si="1"/>
        <v/>
      </c>
      <c r="L553" t="str">
        <f ca="1">IFERROR(__xludf.DUMMYFUNCTION("IF(AND(NOT(K553 = """"), G553 &gt;= 15),K553/FILTER('Base Stats'!$C$2:$C1000, LOWER('Base Stats'!$B$2:$B1000) = LOWER($A553)), """")"),"#N/A")</f>
        <v>#N/A</v>
      </c>
      <c r="M553" t="str">
        <f ca="1">IFERROR(__xludf.DUMMYFUNCTION("1.15 + 0.02 * FILTER('Base Stats'!$C$2:$C1000, LOWER('Base Stats'!$B$2:$B1000) = LOWER($A553))"),"1.15")</f>
        <v>1.15</v>
      </c>
      <c r="N553" t="s">
        <v>527</v>
      </c>
    </row>
    <row r="554" spans="1:14" ht="12.75" x14ac:dyDescent="0.2">
      <c r="A554">
        <f>'Form Responses (Pokemon Stats)'!B514</f>
        <v>0</v>
      </c>
      <c r="B554">
        <f>'Form Responses (Pokemon Stats)'!D514</f>
        <v>0</v>
      </c>
      <c r="C554">
        <f>'Form Responses (Pokemon Stats)'!C514</f>
        <v>0</v>
      </c>
      <c r="F554">
        <f>'Form Responses (Pokemon Stats)'!E514</f>
        <v>0</v>
      </c>
      <c r="G554" t="str">
        <f ca="1">IFERROR(__xludf.DUMMYFUNCTION("ROUND(B554/ FILTER('Pokemon CP/HP'!$M$2:$M1000, LOWER('Pokemon CP/HP'!$B$2:$B1000)=LOWER(A554)))"),"#DIV/0!")</f>
        <v>#DIV/0!</v>
      </c>
      <c r="H554" t="str">
        <f ca="1">IFERROR(__xludf.DUMMYFUNCTION("FILTER('Leveling Info'!$B$2:$B1000, 'Leveling Info'!$A$2:$A1000 =G554)"),"#N/A")</f>
        <v>#N/A</v>
      </c>
      <c r="I554" s="29" t="e">
        <f t="shared" ca="1" si="0"/>
        <v>#VALUE!</v>
      </c>
      <c r="J554" s="29" t="str">
        <f ca="1">IFERROR(__xludf.DUMMYFUNCTION("IF(F554 = H554,C554/FILTER('Base Stats'!$C$2:$C1000, LOWER('Base Stats'!$B$2:$B1000) = LOWER($A554)), """")"),"#N/A")</f>
        <v>#N/A</v>
      </c>
      <c r="K554" t="str">
        <f t="shared" ca="1" si="1"/>
        <v/>
      </c>
      <c r="L554" t="str">
        <f ca="1">IFERROR(__xludf.DUMMYFUNCTION("IF(AND(NOT(K554 = """"), G554 &gt;= 15),K554/FILTER('Base Stats'!$C$2:$C1000, LOWER('Base Stats'!$B$2:$B1000) = LOWER($A554)), """")"),"#N/A")</f>
        <v>#N/A</v>
      </c>
      <c r="M554" t="str">
        <f ca="1">IFERROR(__xludf.DUMMYFUNCTION("1.15 + 0.02 * FILTER('Base Stats'!$C$2:$C1000, LOWER('Base Stats'!$B$2:$B1000) = LOWER($A554))"),"1.15")</f>
        <v>1.15</v>
      </c>
      <c r="N554" t="s">
        <v>527</v>
      </c>
    </row>
    <row r="555" spans="1:14" ht="12.75" x14ac:dyDescent="0.2">
      <c r="A555">
        <f>'Form Responses (Pokemon Stats)'!B515</f>
        <v>0</v>
      </c>
      <c r="B555">
        <f>'Form Responses (Pokemon Stats)'!D515</f>
        <v>0</v>
      </c>
      <c r="C555">
        <f>'Form Responses (Pokemon Stats)'!C515</f>
        <v>0</v>
      </c>
      <c r="F555">
        <f>'Form Responses (Pokemon Stats)'!E515</f>
        <v>0</v>
      </c>
      <c r="G555" t="str">
        <f ca="1">IFERROR(__xludf.DUMMYFUNCTION("ROUND(B555/ FILTER('Pokemon CP/HP'!$M$2:$M1000, LOWER('Pokemon CP/HP'!$B$2:$B1000)=LOWER(A555)))"),"#DIV/0!")</f>
        <v>#DIV/0!</v>
      </c>
      <c r="H555" t="str">
        <f ca="1">IFERROR(__xludf.DUMMYFUNCTION("FILTER('Leveling Info'!$B$2:$B1000, 'Leveling Info'!$A$2:$A1000 =G555)"),"#N/A")</f>
        <v>#N/A</v>
      </c>
      <c r="I555" s="29" t="e">
        <f t="shared" ca="1" si="0"/>
        <v>#VALUE!</v>
      </c>
      <c r="J555" s="29" t="str">
        <f ca="1">IFERROR(__xludf.DUMMYFUNCTION("IF(F555 = H555,C555/FILTER('Base Stats'!$C$2:$C1000, LOWER('Base Stats'!$B$2:$B1000) = LOWER($A555)), """")"),"#N/A")</f>
        <v>#N/A</v>
      </c>
      <c r="K555" t="str">
        <f t="shared" ca="1" si="1"/>
        <v/>
      </c>
      <c r="L555" t="str">
        <f ca="1">IFERROR(__xludf.DUMMYFUNCTION("IF(AND(NOT(K555 = """"), G555 &gt;= 15),K555/FILTER('Base Stats'!$C$2:$C1000, LOWER('Base Stats'!$B$2:$B1000) = LOWER($A555)), """")"),"#N/A")</f>
        <v>#N/A</v>
      </c>
      <c r="M555" t="str">
        <f ca="1">IFERROR(__xludf.DUMMYFUNCTION("1.15 + 0.02 * FILTER('Base Stats'!$C$2:$C1000, LOWER('Base Stats'!$B$2:$B1000) = LOWER($A555))"),"1.15")</f>
        <v>1.15</v>
      </c>
      <c r="N555" t="s">
        <v>527</v>
      </c>
    </row>
    <row r="556" spans="1:14" ht="12.75" x14ac:dyDescent="0.2">
      <c r="A556">
        <f>'Form Responses (Pokemon Stats)'!B516</f>
        <v>0</v>
      </c>
      <c r="B556">
        <f>'Form Responses (Pokemon Stats)'!D516</f>
        <v>0</v>
      </c>
      <c r="C556">
        <f>'Form Responses (Pokemon Stats)'!C516</f>
        <v>0</v>
      </c>
      <c r="F556">
        <f>'Form Responses (Pokemon Stats)'!E516</f>
        <v>0</v>
      </c>
      <c r="G556" t="str">
        <f ca="1">IFERROR(__xludf.DUMMYFUNCTION("ROUND(B556/ FILTER('Pokemon CP/HP'!$M$2:$M1000, LOWER('Pokemon CP/HP'!$B$2:$B1000)=LOWER(A556)))"),"#DIV/0!")</f>
        <v>#DIV/0!</v>
      </c>
      <c r="H556" t="str">
        <f ca="1">IFERROR(__xludf.DUMMYFUNCTION("FILTER('Leveling Info'!$B$2:$B1000, 'Leveling Info'!$A$2:$A1000 =G556)"),"#N/A")</f>
        <v>#N/A</v>
      </c>
      <c r="I556" s="29" t="e">
        <f t="shared" ca="1" si="0"/>
        <v>#VALUE!</v>
      </c>
      <c r="J556" s="29" t="str">
        <f ca="1">IFERROR(__xludf.DUMMYFUNCTION("IF(F556 = H556,C556/FILTER('Base Stats'!$C$2:$C1000, LOWER('Base Stats'!$B$2:$B1000) = LOWER($A556)), """")"),"#N/A")</f>
        <v>#N/A</v>
      </c>
      <c r="K556" t="str">
        <f t="shared" ca="1" si="1"/>
        <v/>
      </c>
      <c r="L556" t="str">
        <f ca="1">IFERROR(__xludf.DUMMYFUNCTION("IF(AND(NOT(K556 = """"), G556 &gt;= 15),K556/FILTER('Base Stats'!$C$2:$C1000, LOWER('Base Stats'!$B$2:$B1000) = LOWER($A556)), """")"),"#N/A")</f>
        <v>#N/A</v>
      </c>
      <c r="M556" t="str">
        <f ca="1">IFERROR(__xludf.DUMMYFUNCTION("1.15 + 0.02 * FILTER('Base Stats'!$C$2:$C1000, LOWER('Base Stats'!$B$2:$B1000) = LOWER($A556))"),"1.15")</f>
        <v>1.15</v>
      </c>
      <c r="N556" t="s">
        <v>527</v>
      </c>
    </row>
    <row r="557" spans="1:14" ht="12.75" x14ac:dyDescent="0.2">
      <c r="A557">
        <f>'Form Responses (Pokemon Stats)'!B517</f>
        <v>0</v>
      </c>
      <c r="B557">
        <f>'Form Responses (Pokemon Stats)'!D517</f>
        <v>0</v>
      </c>
      <c r="C557">
        <f>'Form Responses (Pokemon Stats)'!C517</f>
        <v>0</v>
      </c>
      <c r="F557">
        <f>'Form Responses (Pokemon Stats)'!E517</f>
        <v>0</v>
      </c>
      <c r="G557" t="str">
        <f ca="1">IFERROR(__xludf.DUMMYFUNCTION("ROUND(B557/ FILTER('Pokemon CP/HP'!$M$2:$M1000, LOWER('Pokemon CP/HP'!$B$2:$B1000)=LOWER(A557)))"),"#DIV/0!")</f>
        <v>#DIV/0!</v>
      </c>
      <c r="H557" t="str">
        <f ca="1">IFERROR(__xludf.DUMMYFUNCTION("FILTER('Leveling Info'!$B$2:$B1000, 'Leveling Info'!$A$2:$A1000 =G557)"),"#N/A")</f>
        <v>#N/A</v>
      </c>
      <c r="I557" s="29" t="e">
        <f t="shared" ca="1" si="0"/>
        <v>#VALUE!</v>
      </c>
      <c r="J557" s="29" t="str">
        <f ca="1">IFERROR(__xludf.DUMMYFUNCTION("IF(F557 = H557,C557/FILTER('Base Stats'!$C$2:$C1000, LOWER('Base Stats'!$B$2:$B1000) = LOWER($A557)), """")"),"#N/A")</f>
        <v>#N/A</v>
      </c>
      <c r="K557" t="str">
        <f t="shared" ca="1" si="1"/>
        <v/>
      </c>
      <c r="L557" t="str">
        <f ca="1">IFERROR(__xludf.DUMMYFUNCTION("IF(AND(NOT(K557 = """"), G557 &gt;= 15),K557/FILTER('Base Stats'!$C$2:$C1000, LOWER('Base Stats'!$B$2:$B1000) = LOWER($A557)), """")"),"#N/A")</f>
        <v>#N/A</v>
      </c>
      <c r="M557" t="str">
        <f ca="1">IFERROR(__xludf.DUMMYFUNCTION("1.15 + 0.02 * FILTER('Base Stats'!$C$2:$C1000, LOWER('Base Stats'!$B$2:$B1000) = LOWER($A557))"),"1.15")</f>
        <v>1.15</v>
      </c>
      <c r="N557" t="s">
        <v>527</v>
      </c>
    </row>
    <row r="558" spans="1:14" ht="12.75" x14ac:dyDescent="0.2">
      <c r="A558">
        <f>'Form Responses (Pokemon Stats)'!B518</f>
        <v>0</v>
      </c>
      <c r="B558">
        <f>'Form Responses (Pokemon Stats)'!D518</f>
        <v>0</v>
      </c>
      <c r="C558">
        <f>'Form Responses (Pokemon Stats)'!C518</f>
        <v>0</v>
      </c>
      <c r="F558">
        <f>'Form Responses (Pokemon Stats)'!E518</f>
        <v>0</v>
      </c>
      <c r="G558" t="str">
        <f ca="1">IFERROR(__xludf.DUMMYFUNCTION("ROUND(B558/ FILTER('Pokemon CP/HP'!$M$2:$M1000, LOWER('Pokemon CP/HP'!$B$2:$B1000)=LOWER(A558)))"),"#DIV/0!")</f>
        <v>#DIV/0!</v>
      </c>
      <c r="H558" t="str">
        <f ca="1">IFERROR(__xludf.DUMMYFUNCTION("FILTER('Leveling Info'!$B$2:$B1000, 'Leveling Info'!$A$2:$A1000 =G558)"),"#N/A")</f>
        <v>#N/A</v>
      </c>
      <c r="I558" s="29" t="e">
        <f t="shared" ca="1" si="0"/>
        <v>#VALUE!</v>
      </c>
      <c r="J558" s="29" t="str">
        <f ca="1">IFERROR(__xludf.DUMMYFUNCTION("IF(F558 = H558,C558/FILTER('Base Stats'!$C$2:$C1000, LOWER('Base Stats'!$B$2:$B1000) = LOWER($A558)), """")"),"#N/A")</f>
        <v>#N/A</v>
      </c>
      <c r="K558" t="str">
        <f t="shared" ca="1" si="1"/>
        <v/>
      </c>
      <c r="L558" t="str">
        <f ca="1">IFERROR(__xludf.DUMMYFUNCTION("IF(AND(NOT(K558 = """"), G558 &gt;= 15),K558/FILTER('Base Stats'!$C$2:$C1000, LOWER('Base Stats'!$B$2:$B1000) = LOWER($A558)), """")"),"#N/A")</f>
        <v>#N/A</v>
      </c>
      <c r="M558" t="str">
        <f ca="1">IFERROR(__xludf.DUMMYFUNCTION("1.15 + 0.02 * FILTER('Base Stats'!$C$2:$C1000, LOWER('Base Stats'!$B$2:$B1000) = LOWER($A558))"),"1.15")</f>
        <v>1.15</v>
      </c>
      <c r="N558" t="s">
        <v>527</v>
      </c>
    </row>
    <row r="559" spans="1:14" ht="12.75" x14ac:dyDescent="0.2">
      <c r="A559">
        <f>'Form Responses (Pokemon Stats)'!B519</f>
        <v>0</v>
      </c>
      <c r="B559">
        <f>'Form Responses (Pokemon Stats)'!D519</f>
        <v>0</v>
      </c>
      <c r="C559">
        <f>'Form Responses (Pokemon Stats)'!C519</f>
        <v>0</v>
      </c>
      <c r="F559">
        <f>'Form Responses (Pokemon Stats)'!E519</f>
        <v>0</v>
      </c>
      <c r="G559" t="str">
        <f ca="1">IFERROR(__xludf.DUMMYFUNCTION("ROUND(B559/ FILTER('Pokemon CP/HP'!$M$2:$M1000, LOWER('Pokemon CP/HP'!$B$2:$B1000)=LOWER(A559)))"),"#DIV/0!")</f>
        <v>#DIV/0!</v>
      </c>
      <c r="H559" t="str">
        <f ca="1">IFERROR(__xludf.DUMMYFUNCTION("FILTER('Leveling Info'!$B$2:$B1000, 'Leveling Info'!$A$2:$A1000 =G559)"),"#N/A")</f>
        <v>#N/A</v>
      </c>
      <c r="I559" s="29" t="e">
        <f t="shared" ca="1" si="0"/>
        <v>#VALUE!</v>
      </c>
      <c r="J559" s="29" t="str">
        <f ca="1">IFERROR(__xludf.DUMMYFUNCTION("IF(F559 = H559,C559/FILTER('Base Stats'!$C$2:$C1000, LOWER('Base Stats'!$B$2:$B1000) = LOWER($A559)), """")"),"#N/A")</f>
        <v>#N/A</v>
      </c>
      <c r="K559" t="str">
        <f t="shared" ca="1" si="1"/>
        <v/>
      </c>
      <c r="L559" t="str">
        <f ca="1">IFERROR(__xludf.DUMMYFUNCTION("IF(AND(NOT(K559 = """"), G559 &gt;= 15),K559/FILTER('Base Stats'!$C$2:$C1000, LOWER('Base Stats'!$B$2:$B1000) = LOWER($A559)), """")"),"#N/A")</f>
        <v>#N/A</v>
      </c>
      <c r="M559" t="str">
        <f ca="1">IFERROR(__xludf.DUMMYFUNCTION("1.15 + 0.02 * FILTER('Base Stats'!$C$2:$C1000, LOWER('Base Stats'!$B$2:$B1000) = LOWER($A559))"),"1.15")</f>
        <v>1.15</v>
      </c>
      <c r="N559" t="s">
        <v>527</v>
      </c>
    </row>
    <row r="560" spans="1:14" ht="12.75" x14ac:dyDescent="0.2">
      <c r="A560">
        <f>'Form Responses (Pokemon Stats)'!B520</f>
        <v>0</v>
      </c>
      <c r="B560">
        <f>'Form Responses (Pokemon Stats)'!D520</f>
        <v>0</v>
      </c>
      <c r="C560">
        <f>'Form Responses (Pokemon Stats)'!C520</f>
        <v>0</v>
      </c>
      <c r="F560">
        <f>'Form Responses (Pokemon Stats)'!E520</f>
        <v>0</v>
      </c>
      <c r="G560" t="str">
        <f ca="1">IFERROR(__xludf.DUMMYFUNCTION("ROUND(B560/ FILTER('Pokemon CP/HP'!$M$2:$M1000, LOWER('Pokemon CP/HP'!$B$2:$B1000)=LOWER(A560)))"),"#DIV/0!")</f>
        <v>#DIV/0!</v>
      </c>
      <c r="H560" t="str">
        <f ca="1">IFERROR(__xludf.DUMMYFUNCTION("FILTER('Leveling Info'!$B$2:$B1000, 'Leveling Info'!$A$2:$A1000 =G560)"),"#N/A")</f>
        <v>#N/A</v>
      </c>
      <c r="I560" s="29" t="e">
        <f t="shared" ca="1" si="0"/>
        <v>#VALUE!</v>
      </c>
      <c r="J560" s="29" t="str">
        <f ca="1">IFERROR(__xludf.DUMMYFUNCTION("IF(F560 = H560,C560/FILTER('Base Stats'!$C$2:$C1000, LOWER('Base Stats'!$B$2:$B1000) = LOWER($A560)), """")"),"#N/A")</f>
        <v>#N/A</v>
      </c>
      <c r="K560" t="str">
        <f t="shared" ca="1" si="1"/>
        <v/>
      </c>
      <c r="L560" t="str">
        <f ca="1">IFERROR(__xludf.DUMMYFUNCTION("IF(AND(NOT(K560 = """"), G560 &gt;= 15),K560/FILTER('Base Stats'!$C$2:$C1000, LOWER('Base Stats'!$B$2:$B1000) = LOWER($A560)), """")"),"#N/A")</f>
        <v>#N/A</v>
      </c>
      <c r="M560" t="str">
        <f ca="1">IFERROR(__xludf.DUMMYFUNCTION("1.15 + 0.02 * FILTER('Base Stats'!$C$2:$C1000, LOWER('Base Stats'!$B$2:$B1000) = LOWER($A560))"),"1.15")</f>
        <v>1.15</v>
      </c>
      <c r="N560" t="s">
        <v>527</v>
      </c>
    </row>
    <row r="561" spans="1:14" ht="12.75" x14ac:dyDescent="0.2">
      <c r="A561">
        <f>'Form Responses (Pokemon Stats)'!B521</f>
        <v>0</v>
      </c>
      <c r="B561">
        <f>'Form Responses (Pokemon Stats)'!D521</f>
        <v>0</v>
      </c>
      <c r="C561">
        <f>'Form Responses (Pokemon Stats)'!C521</f>
        <v>0</v>
      </c>
      <c r="F561">
        <f>'Form Responses (Pokemon Stats)'!E521</f>
        <v>0</v>
      </c>
      <c r="G561" t="str">
        <f ca="1">IFERROR(__xludf.DUMMYFUNCTION("ROUND(B561/ FILTER('Pokemon CP/HP'!$M$2:$M1000, LOWER('Pokemon CP/HP'!$B$2:$B1000)=LOWER(A561)))"),"#DIV/0!")</f>
        <v>#DIV/0!</v>
      </c>
      <c r="H561" t="str">
        <f ca="1">IFERROR(__xludf.DUMMYFUNCTION("FILTER('Leveling Info'!$B$2:$B1000, 'Leveling Info'!$A$2:$A1000 =G561)"),"#N/A")</f>
        <v>#N/A</v>
      </c>
      <c r="I561" s="29" t="e">
        <f t="shared" ca="1" si="0"/>
        <v>#VALUE!</v>
      </c>
      <c r="J561" s="29" t="str">
        <f ca="1">IFERROR(__xludf.DUMMYFUNCTION("IF(F561 = H561,C561/FILTER('Base Stats'!$C$2:$C1000, LOWER('Base Stats'!$B$2:$B1000) = LOWER($A561)), """")"),"#N/A")</f>
        <v>#N/A</v>
      </c>
      <c r="K561" t="str">
        <f t="shared" ca="1" si="1"/>
        <v/>
      </c>
      <c r="L561" t="str">
        <f ca="1">IFERROR(__xludf.DUMMYFUNCTION("IF(AND(NOT(K561 = """"), G561 &gt;= 15),K561/FILTER('Base Stats'!$C$2:$C1000, LOWER('Base Stats'!$B$2:$B1000) = LOWER($A561)), """")"),"#N/A")</f>
        <v>#N/A</v>
      </c>
      <c r="M561" t="str">
        <f ca="1">IFERROR(__xludf.DUMMYFUNCTION("1.15 + 0.02 * FILTER('Base Stats'!$C$2:$C1000, LOWER('Base Stats'!$B$2:$B1000) = LOWER($A561))"),"1.15")</f>
        <v>1.15</v>
      </c>
      <c r="N561" t="s">
        <v>527</v>
      </c>
    </row>
    <row r="562" spans="1:14" ht="12.75" x14ac:dyDescent="0.2">
      <c r="A562">
        <f>'Form Responses (Pokemon Stats)'!B522</f>
        <v>0</v>
      </c>
      <c r="B562">
        <f>'Form Responses (Pokemon Stats)'!D522</f>
        <v>0</v>
      </c>
      <c r="C562">
        <f>'Form Responses (Pokemon Stats)'!C522</f>
        <v>0</v>
      </c>
      <c r="F562">
        <f>'Form Responses (Pokemon Stats)'!E522</f>
        <v>0</v>
      </c>
      <c r="G562" t="str">
        <f ca="1">IFERROR(__xludf.DUMMYFUNCTION("ROUND(B562/ FILTER('Pokemon CP/HP'!$M$2:$M1000, LOWER('Pokemon CP/HP'!$B$2:$B1000)=LOWER(A562)))"),"#DIV/0!")</f>
        <v>#DIV/0!</v>
      </c>
      <c r="H562" t="str">
        <f ca="1">IFERROR(__xludf.DUMMYFUNCTION("FILTER('Leveling Info'!$B$2:$B1000, 'Leveling Info'!$A$2:$A1000 =G562)"),"#N/A")</f>
        <v>#N/A</v>
      </c>
      <c r="I562" s="29" t="e">
        <f t="shared" ca="1" si="0"/>
        <v>#VALUE!</v>
      </c>
      <c r="J562" s="29" t="str">
        <f ca="1">IFERROR(__xludf.DUMMYFUNCTION("IF(F562 = H562,C562/FILTER('Base Stats'!$C$2:$C1000, LOWER('Base Stats'!$B$2:$B1000) = LOWER($A562)), """")"),"#N/A")</f>
        <v>#N/A</v>
      </c>
      <c r="K562" t="str">
        <f t="shared" ca="1" si="1"/>
        <v/>
      </c>
      <c r="L562" t="str">
        <f ca="1">IFERROR(__xludf.DUMMYFUNCTION("IF(AND(NOT(K562 = """"), G562 &gt;= 15),K562/FILTER('Base Stats'!$C$2:$C1000, LOWER('Base Stats'!$B$2:$B1000) = LOWER($A562)), """")"),"#N/A")</f>
        <v>#N/A</v>
      </c>
      <c r="M562" t="str">
        <f ca="1">IFERROR(__xludf.DUMMYFUNCTION("1.15 + 0.02 * FILTER('Base Stats'!$C$2:$C1000, LOWER('Base Stats'!$B$2:$B1000) = LOWER($A562))"),"1.15")</f>
        <v>1.15</v>
      </c>
      <c r="N562" t="s">
        <v>527</v>
      </c>
    </row>
    <row r="563" spans="1:14" ht="12.75" x14ac:dyDescent="0.2">
      <c r="A563">
        <f>'Form Responses (Pokemon Stats)'!B523</f>
        <v>0</v>
      </c>
      <c r="B563">
        <f>'Form Responses (Pokemon Stats)'!D523</f>
        <v>0</v>
      </c>
      <c r="C563">
        <f>'Form Responses (Pokemon Stats)'!C523</f>
        <v>0</v>
      </c>
      <c r="F563">
        <f>'Form Responses (Pokemon Stats)'!E523</f>
        <v>0</v>
      </c>
      <c r="G563" t="str">
        <f ca="1">IFERROR(__xludf.DUMMYFUNCTION("ROUND(B563/ FILTER('Pokemon CP/HP'!$M$2:$M1000, LOWER('Pokemon CP/HP'!$B$2:$B1000)=LOWER(A563)))"),"#DIV/0!")</f>
        <v>#DIV/0!</v>
      </c>
      <c r="H563" t="str">
        <f ca="1">IFERROR(__xludf.DUMMYFUNCTION("FILTER('Leveling Info'!$B$2:$B1000, 'Leveling Info'!$A$2:$A1000 =G563)"),"#N/A")</f>
        <v>#N/A</v>
      </c>
      <c r="I563" s="29" t="e">
        <f t="shared" ca="1" si="0"/>
        <v>#VALUE!</v>
      </c>
      <c r="J563" s="29" t="str">
        <f ca="1">IFERROR(__xludf.DUMMYFUNCTION("IF(F563 = H563,C563/FILTER('Base Stats'!$C$2:$C1000, LOWER('Base Stats'!$B$2:$B1000) = LOWER($A563)), """")"),"#N/A")</f>
        <v>#N/A</v>
      </c>
      <c r="K563" t="str">
        <f t="shared" ca="1" si="1"/>
        <v/>
      </c>
      <c r="L563" t="str">
        <f ca="1">IFERROR(__xludf.DUMMYFUNCTION("IF(AND(NOT(K563 = """"), G563 &gt;= 15),K563/FILTER('Base Stats'!$C$2:$C1000, LOWER('Base Stats'!$B$2:$B1000) = LOWER($A563)), """")"),"#N/A")</f>
        <v>#N/A</v>
      </c>
      <c r="M563" t="str">
        <f ca="1">IFERROR(__xludf.DUMMYFUNCTION("1.15 + 0.02 * FILTER('Base Stats'!$C$2:$C1000, LOWER('Base Stats'!$B$2:$B1000) = LOWER($A563))"),"1.15")</f>
        <v>1.15</v>
      </c>
      <c r="N563" t="s">
        <v>527</v>
      </c>
    </row>
    <row r="564" spans="1:14" ht="12.75" x14ac:dyDescent="0.2">
      <c r="A564">
        <f>'Form Responses (Pokemon Stats)'!B524</f>
        <v>0</v>
      </c>
      <c r="B564">
        <f>'Form Responses (Pokemon Stats)'!D524</f>
        <v>0</v>
      </c>
      <c r="C564">
        <f>'Form Responses (Pokemon Stats)'!C524</f>
        <v>0</v>
      </c>
      <c r="F564">
        <f>'Form Responses (Pokemon Stats)'!E524</f>
        <v>0</v>
      </c>
      <c r="G564" t="str">
        <f ca="1">IFERROR(__xludf.DUMMYFUNCTION("ROUND(B564/ FILTER('Pokemon CP/HP'!$M$2:$M1000, LOWER('Pokemon CP/HP'!$B$2:$B1000)=LOWER(A564)))"),"#DIV/0!")</f>
        <v>#DIV/0!</v>
      </c>
      <c r="H564" t="str">
        <f ca="1">IFERROR(__xludf.DUMMYFUNCTION("FILTER('Leveling Info'!$B$2:$B1000, 'Leveling Info'!$A$2:$A1000 =G564)"),"#N/A")</f>
        <v>#N/A</v>
      </c>
      <c r="I564" s="29" t="e">
        <f t="shared" ca="1" si="0"/>
        <v>#VALUE!</v>
      </c>
      <c r="J564" s="29" t="str">
        <f ca="1">IFERROR(__xludf.DUMMYFUNCTION("IF(F564 = H564,C564/FILTER('Base Stats'!$C$2:$C1000, LOWER('Base Stats'!$B$2:$B1000) = LOWER($A564)), """")"),"#N/A")</f>
        <v>#N/A</v>
      </c>
      <c r="K564" t="str">
        <f t="shared" ca="1" si="1"/>
        <v/>
      </c>
      <c r="L564" t="str">
        <f ca="1">IFERROR(__xludf.DUMMYFUNCTION("IF(AND(NOT(K564 = """"), G564 &gt;= 15),K564/FILTER('Base Stats'!$C$2:$C1000, LOWER('Base Stats'!$B$2:$B1000) = LOWER($A564)), """")"),"#N/A")</f>
        <v>#N/A</v>
      </c>
      <c r="M564" t="str">
        <f ca="1">IFERROR(__xludf.DUMMYFUNCTION("1.15 + 0.02 * FILTER('Base Stats'!$C$2:$C1000, LOWER('Base Stats'!$B$2:$B1000) = LOWER($A564))"),"1.15")</f>
        <v>1.15</v>
      </c>
      <c r="N564" t="s">
        <v>527</v>
      </c>
    </row>
    <row r="565" spans="1:14" ht="12.75" x14ac:dyDescent="0.2">
      <c r="A565">
        <f>'Form Responses (Pokemon Stats)'!B525</f>
        <v>0</v>
      </c>
      <c r="B565">
        <f>'Form Responses (Pokemon Stats)'!D525</f>
        <v>0</v>
      </c>
      <c r="C565">
        <f>'Form Responses (Pokemon Stats)'!C525</f>
        <v>0</v>
      </c>
      <c r="F565">
        <f>'Form Responses (Pokemon Stats)'!E525</f>
        <v>0</v>
      </c>
      <c r="G565" t="str">
        <f ca="1">IFERROR(__xludf.DUMMYFUNCTION("ROUND(B565/ FILTER('Pokemon CP/HP'!$M$2:$M1000, LOWER('Pokemon CP/HP'!$B$2:$B1000)=LOWER(A565)))"),"#DIV/0!")</f>
        <v>#DIV/0!</v>
      </c>
      <c r="H565" t="str">
        <f ca="1">IFERROR(__xludf.DUMMYFUNCTION("FILTER('Leveling Info'!$B$2:$B1000, 'Leveling Info'!$A$2:$A1000 =G565)"),"#N/A")</f>
        <v>#N/A</v>
      </c>
      <c r="I565" s="29" t="e">
        <f t="shared" ca="1" si="0"/>
        <v>#VALUE!</v>
      </c>
      <c r="J565" s="29" t="str">
        <f ca="1">IFERROR(__xludf.DUMMYFUNCTION("IF(F565 = H565,C565/FILTER('Base Stats'!$C$2:$C1000, LOWER('Base Stats'!$B$2:$B1000) = LOWER($A565)), """")"),"#N/A")</f>
        <v>#N/A</v>
      </c>
      <c r="K565" t="str">
        <f t="shared" ca="1" si="1"/>
        <v/>
      </c>
      <c r="L565" t="str">
        <f ca="1">IFERROR(__xludf.DUMMYFUNCTION("IF(AND(NOT(K565 = """"), G565 &gt;= 15),K565/FILTER('Base Stats'!$C$2:$C1000, LOWER('Base Stats'!$B$2:$B1000) = LOWER($A565)), """")"),"#N/A")</f>
        <v>#N/A</v>
      </c>
      <c r="M565" t="str">
        <f ca="1">IFERROR(__xludf.DUMMYFUNCTION("1.15 + 0.02 * FILTER('Base Stats'!$C$2:$C1000, LOWER('Base Stats'!$B$2:$B1000) = LOWER($A565))"),"1.15")</f>
        <v>1.15</v>
      </c>
      <c r="N565" t="s">
        <v>527</v>
      </c>
    </row>
    <row r="566" spans="1:14" ht="12.75" x14ac:dyDescent="0.2">
      <c r="A566">
        <f>'Form Responses (Pokemon Stats)'!B526</f>
        <v>0</v>
      </c>
      <c r="B566">
        <f>'Form Responses (Pokemon Stats)'!D526</f>
        <v>0</v>
      </c>
      <c r="C566">
        <f>'Form Responses (Pokemon Stats)'!C526</f>
        <v>0</v>
      </c>
      <c r="F566">
        <f>'Form Responses (Pokemon Stats)'!E526</f>
        <v>0</v>
      </c>
      <c r="G566" t="str">
        <f ca="1">IFERROR(__xludf.DUMMYFUNCTION("ROUND(B566/ FILTER('Pokemon CP/HP'!$M$2:$M1000, LOWER('Pokemon CP/HP'!$B$2:$B1000)=LOWER(A566)))"),"#DIV/0!")</f>
        <v>#DIV/0!</v>
      </c>
      <c r="H566" t="str">
        <f ca="1">IFERROR(__xludf.DUMMYFUNCTION("FILTER('Leveling Info'!$B$2:$B1000, 'Leveling Info'!$A$2:$A1000 =G566)"),"#N/A")</f>
        <v>#N/A</v>
      </c>
      <c r="I566" s="29" t="e">
        <f t="shared" ca="1" si="0"/>
        <v>#VALUE!</v>
      </c>
      <c r="J566" s="29" t="str">
        <f ca="1">IFERROR(__xludf.DUMMYFUNCTION("IF(F566 = H566,C566/FILTER('Base Stats'!$C$2:$C1000, LOWER('Base Stats'!$B$2:$B1000) = LOWER($A566)), """")"),"#N/A")</f>
        <v>#N/A</v>
      </c>
      <c r="K566" t="str">
        <f t="shared" ca="1" si="1"/>
        <v/>
      </c>
      <c r="L566" t="str">
        <f ca="1">IFERROR(__xludf.DUMMYFUNCTION("IF(AND(NOT(K566 = """"), G566 &gt;= 15),K566/FILTER('Base Stats'!$C$2:$C1000, LOWER('Base Stats'!$B$2:$B1000) = LOWER($A566)), """")"),"#N/A")</f>
        <v>#N/A</v>
      </c>
      <c r="M566" t="str">
        <f ca="1">IFERROR(__xludf.DUMMYFUNCTION("1.15 + 0.02 * FILTER('Base Stats'!$C$2:$C1000, LOWER('Base Stats'!$B$2:$B1000) = LOWER($A566))"),"1.15")</f>
        <v>1.15</v>
      </c>
      <c r="N566" t="s">
        <v>527</v>
      </c>
    </row>
    <row r="567" spans="1:14" ht="12.75" x14ac:dyDescent="0.2">
      <c r="A567">
        <f>'Form Responses (Pokemon Stats)'!B527</f>
        <v>0</v>
      </c>
      <c r="B567">
        <f>'Form Responses (Pokemon Stats)'!D527</f>
        <v>0</v>
      </c>
      <c r="C567">
        <f>'Form Responses (Pokemon Stats)'!C527</f>
        <v>0</v>
      </c>
      <c r="F567">
        <f>'Form Responses (Pokemon Stats)'!E527</f>
        <v>0</v>
      </c>
      <c r="G567" t="str">
        <f ca="1">IFERROR(__xludf.DUMMYFUNCTION("ROUND(B567/ FILTER('Pokemon CP/HP'!$M$2:$M1000, LOWER('Pokemon CP/HP'!$B$2:$B1000)=LOWER(A567)))"),"#DIV/0!")</f>
        <v>#DIV/0!</v>
      </c>
      <c r="H567" t="str">
        <f ca="1">IFERROR(__xludf.DUMMYFUNCTION("FILTER('Leveling Info'!$B$2:$B1000, 'Leveling Info'!$A$2:$A1000 =G567)"),"#N/A")</f>
        <v>#N/A</v>
      </c>
      <c r="I567" s="29" t="e">
        <f t="shared" ca="1" si="0"/>
        <v>#VALUE!</v>
      </c>
      <c r="J567" s="29" t="str">
        <f ca="1">IFERROR(__xludf.DUMMYFUNCTION("IF(F567 = H567,C567/FILTER('Base Stats'!$C$2:$C1000, LOWER('Base Stats'!$B$2:$B1000) = LOWER($A567)), """")"),"#N/A")</f>
        <v>#N/A</v>
      </c>
      <c r="K567" t="str">
        <f t="shared" ca="1" si="1"/>
        <v/>
      </c>
      <c r="L567" t="str">
        <f ca="1">IFERROR(__xludf.DUMMYFUNCTION("IF(AND(NOT(K567 = """"), G567 &gt;= 15),K567/FILTER('Base Stats'!$C$2:$C1000, LOWER('Base Stats'!$B$2:$B1000) = LOWER($A567)), """")"),"#N/A")</f>
        <v>#N/A</v>
      </c>
      <c r="M567" t="str">
        <f ca="1">IFERROR(__xludf.DUMMYFUNCTION("1.15 + 0.02 * FILTER('Base Stats'!$C$2:$C1000, LOWER('Base Stats'!$B$2:$B1000) = LOWER($A567))"),"1.15")</f>
        <v>1.15</v>
      </c>
      <c r="N567" t="s">
        <v>527</v>
      </c>
    </row>
    <row r="568" spans="1:14" ht="12.75" x14ac:dyDescent="0.2">
      <c r="A568">
        <f>'Form Responses (Pokemon Stats)'!B528</f>
        <v>0</v>
      </c>
      <c r="B568">
        <f>'Form Responses (Pokemon Stats)'!D528</f>
        <v>0</v>
      </c>
      <c r="C568">
        <f>'Form Responses (Pokemon Stats)'!C528</f>
        <v>0</v>
      </c>
      <c r="F568">
        <f>'Form Responses (Pokemon Stats)'!E528</f>
        <v>0</v>
      </c>
      <c r="G568" t="str">
        <f ca="1">IFERROR(__xludf.DUMMYFUNCTION("ROUND(B568/ FILTER('Pokemon CP/HP'!$M$2:$M1000, LOWER('Pokemon CP/HP'!$B$2:$B1000)=LOWER(A568)))"),"#DIV/0!")</f>
        <v>#DIV/0!</v>
      </c>
      <c r="H568" t="str">
        <f ca="1">IFERROR(__xludf.DUMMYFUNCTION("FILTER('Leveling Info'!$B$2:$B1000, 'Leveling Info'!$A$2:$A1000 =G568)"),"#N/A")</f>
        <v>#N/A</v>
      </c>
      <c r="I568" s="29" t="e">
        <f t="shared" ca="1" si="0"/>
        <v>#VALUE!</v>
      </c>
      <c r="J568" s="29" t="str">
        <f ca="1">IFERROR(__xludf.DUMMYFUNCTION("IF(F568 = H568,C568/FILTER('Base Stats'!$C$2:$C1000, LOWER('Base Stats'!$B$2:$B1000) = LOWER($A568)), """")"),"#N/A")</f>
        <v>#N/A</v>
      </c>
      <c r="K568" t="str">
        <f t="shared" ca="1" si="1"/>
        <v/>
      </c>
      <c r="L568" t="str">
        <f ca="1">IFERROR(__xludf.DUMMYFUNCTION("IF(AND(NOT(K568 = """"), G568 &gt;= 15),K568/FILTER('Base Stats'!$C$2:$C1000, LOWER('Base Stats'!$B$2:$B1000) = LOWER($A568)), """")"),"#N/A")</f>
        <v>#N/A</v>
      </c>
      <c r="M568" t="str">
        <f ca="1">IFERROR(__xludf.DUMMYFUNCTION("1.15 + 0.02 * FILTER('Base Stats'!$C$2:$C1000, LOWER('Base Stats'!$B$2:$B1000) = LOWER($A568))"),"1.15")</f>
        <v>1.15</v>
      </c>
      <c r="N568" t="s">
        <v>527</v>
      </c>
    </row>
    <row r="569" spans="1:14" ht="12.75" x14ac:dyDescent="0.2">
      <c r="A569">
        <f>'Form Responses (Pokemon Stats)'!B529</f>
        <v>0</v>
      </c>
      <c r="B569">
        <f>'Form Responses (Pokemon Stats)'!D529</f>
        <v>0</v>
      </c>
      <c r="C569">
        <f>'Form Responses (Pokemon Stats)'!C529</f>
        <v>0</v>
      </c>
      <c r="F569">
        <f>'Form Responses (Pokemon Stats)'!E529</f>
        <v>0</v>
      </c>
      <c r="G569" t="str">
        <f ca="1">IFERROR(__xludf.DUMMYFUNCTION("ROUND(B569/ FILTER('Pokemon CP/HP'!$M$2:$M1000, LOWER('Pokemon CP/HP'!$B$2:$B1000)=LOWER(A569)))"),"#DIV/0!")</f>
        <v>#DIV/0!</v>
      </c>
      <c r="H569" t="str">
        <f ca="1">IFERROR(__xludf.DUMMYFUNCTION("FILTER('Leveling Info'!$B$2:$B1000, 'Leveling Info'!$A$2:$A1000 =G569)"),"#N/A")</f>
        <v>#N/A</v>
      </c>
      <c r="I569" s="29" t="e">
        <f t="shared" ca="1" si="0"/>
        <v>#VALUE!</v>
      </c>
      <c r="J569" s="29" t="str">
        <f ca="1">IFERROR(__xludf.DUMMYFUNCTION("IF(F569 = H569,C569/FILTER('Base Stats'!$C$2:$C1000, LOWER('Base Stats'!$B$2:$B1000) = LOWER($A569)), """")"),"#N/A")</f>
        <v>#N/A</v>
      </c>
      <c r="K569" t="str">
        <f t="shared" ca="1" si="1"/>
        <v/>
      </c>
      <c r="L569" t="str">
        <f ca="1">IFERROR(__xludf.DUMMYFUNCTION("IF(AND(NOT(K569 = """"), G569 &gt;= 15),K569/FILTER('Base Stats'!$C$2:$C1000, LOWER('Base Stats'!$B$2:$B1000) = LOWER($A569)), """")"),"#N/A")</f>
        <v>#N/A</v>
      </c>
      <c r="M569" t="str">
        <f ca="1">IFERROR(__xludf.DUMMYFUNCTION("1.15 + 0.02 * FILTER('Base Stats'!$C$2:$C1000, LOWER('Base Stats'!$B$2:$B1000) = LOWER($A569))"),"1.15")</f>
        <v>1.15</v>
      </c>
      <c r="N569" t="s">
        <v>527</v>
      </c>
    </row>
    <row r="570" spans="1:14" ht="12.75" x14ac:dyDescent="0.2">
      <c r="A570">
        <f>'Form Responses (Pokemon Stats)'!B530</f>
        <v>0</v>
      </c>
      <c r="B570">
        <f>'Form Responses (Pokemon Stats)'!D530</f>
        <v>0</v>
      </c>
      <c r="C570">
        <f>'Form Responses (Pokemon Stats)'!C530</f>
        <v>0</v>
      </c>
      <c r="F570">
        <f>'Form Responses (Pokemon Stats)'!E530</f>
        <v>0</v>
      </c>
      <c r="G570" t="str">
        <f ca="1">IFERROR(__xludf.DUMMYFUNCTION("ROUND(B570/ FILTER('Pokemon CP/HP'!$M$2:$M1000, LOWER('Pokemon CP/HP'!$B$2:$B1000)=LOWER(A570)))"),"#DIV/0!")</f>
        <v>#DIV/0!</v>
      </c>
      <c r="H570" t="str">
        <f ca="1">IFERROR(__xludf.DUMMYFUNCTION("FILTER('Leveling Info'!$B$2:$B1000, 'Leveling Info'!$A$2:$A1000 =G570)"),"#N/A")</f>
        <v>#N/A</v>
      </c>
      <c r="I570" s="29" t="e">
        <f t="shared" ca="1" si="0"/>
        <v>#VALUE!</v>
      </c>
      <c r="J570" s="29" t="str">
        <f ca="1">IFERROR(__xludf.DUMMYFUNCTION("IF(F570 = H570,C570/FILTER('Base Stats'!$C$2:$C1000, LOWER('Base Stats'!$B$2:$B1000) = LOWER($A570)), """")"),"#N/A")</f>
        <v>#N/A</v>
      </c>
      <c r="K570" t="str">
        <f t="shared" ca="1" si="1"/>
        <v/>
      </c>
      <c r="L570" t="str">
        <f ca="1">IFERROR(__xludf.DUMMYFUNCTION("IF(AND(NOT(K570 = """"), G570 &gt;= 15),K570/FILTER('Base Stats'!$C$2:$C1000, LOWER('Base Stats'!$B$2:$B1000) = LOWER($A570)), """")"),"#N/A")</f>
        <v>#N/A</v>
      </c>
      <c r="M570" t="str">
        <f ca="1">IFERROR(__xludf.DUMMYFUNCTION("1.15 + 0.02 * FILTER('Base Stats'!$C$2:$C1000, LOWER('Base Stats'!$B$2:$B1000) = LOWER($A570))"),"1.15")</f>
        <v>1.15</v>
      </c>
      <c r="N570" t="s">
        <v>527</v>
      </c>
    </row>
    <row r="571" spans="1:14" ht="12.75" x14ac:dyDescent="0.2">
      <c r="A571">
        <f>'Form Responses (Pokemon Stats)'!B531</f>
        <v>0</v>
      </c>
      <c r="B571">
        <f>'Form Responses (Pokemon Stats)'!D531</f>
        <v>0</v>
      </c>
      <c r="C571">
        <f>'Form Responses (Pokemon Stats)'!C531</f>
        <v>0</v>
      </c>
      <c r="F571">
        <f>'Form Responses (Pokemon Stats)'!E531</f>
        <v>0</v>
      </c>
      <c r="G571" t="str">
        <f ca="1">IFERROR(__xludf.DUMMYFUNCTION("ROUND(B571/ FILTER('Pokemon CP/HP'!$M$2:$M1000, LOWER('Pokemon CP/HP'!$B$2:$B1000)=LOWER(A571)))"),"#DIV/0!")</f>
        <v>#DIV/0!</v>
      </c>
      <c r="H571" t="str">
        <f ca="1">IFERROR(__xludf.DUMMYFUNCTION("FILTER('Leveling Info'!$B$2:$B1000, 'Leveling Info'!$A$2:$A1000 =G571)"),"#N/A")</f>
        <v>#N/A</v>
      </c>
      <c r="I571" s="29" t="e">
        <f t="shared" ca="1" si="0"/>
        <v>#VALUE!</v>
      </c>
      <c r="J571" s="29" t="str">
        <f ca="1">IFERROR(__xludf.DUMMYFUNCTION("IF(F571 = H571,C571/FILTER('Base Stats'!$C$2:$C1000, LOWER('Base Stats'!$B$2:$B1000) = LOWER($A571)), """")"),"#N/A")</f>
        <v>#N/A</v>
      </c>
      <c r="K571" t="str">
        <f t="shared" ca="1" si="1"/>
        <v/>
      </c>
      <c r="L571" t="str">
        <f ca="1">IFERROR(__xludf.DUMMYFUNCTION("IF(AND(NOT(K571 = """"), G571 &gt;= 15),K571/FILTER('Base Stats'!$C$2:$C1000, LOWER('Base Stats'!$B$2:$B1000) = LOWER($A571)), """")"),"#N/A")</f>
        <v>#N/A</v>
      </c>
      <c r="M571" t="str">
        <f ca="1">IFERROR(__xludf.DUMMYFUNCTION("1.15 + 0.02 * FILTER('Base Stats'!$C$2:$C1000, LOWER('Base Stats'!$B$2:$B1000) = LOWER($A571))"),"1.15")</f>
        <v>1.15</v>
      </c>
      <c r="N571" t="s">
        <v>527</v>
      </c>
    </row>
    <row r="572" spans="1:14" ht="12.75" x14ac:dyDescent="0.2">
      <c r="A572">
        <f>'Form Responses (Pokemon Stats)'!B532</f>
        <v>0</v>
      </c>
      <c r="B572">
        <f>'Form Responses (Pokemon Stats)'!D532</f>
        <v>0</v>
      </c>
      <c r="C572">
        <f>'Form Responses (Pokemon Stats)'!C532</f>
        <v>0</v>
      </c>
      <c r="F572">
        <f>'Form Responses (Pokemon Stats)'!E532</f>
        <v>0</v>
      </c>
      <c r="G572" t="str">
        <f ca="1">IFERROR(__xludf.DUMMYFUNCTION("ROUND(B572/ FILTER('Pokemon CP/HP'!$M$2:$M1000, LOWER('Pokemon CP/HP'!$B$2:$B1000)=LOWER(A572)))"),"#DIV/0!")</f>
        <v>#DIV/0!</v>
      </c>
      <c r="H572" t="str">
        <f ca="1">IFERROR(__xludf.DUMMYFUNCTION("FILTER('Leveling Info'!$B$2:$B1000, 'Leveling Info'!$A$2:$A1000 =G572)"),"#N/A")</f>
        <v>#N/A</v>
      </c>
      <c r="I572" s="29" t="e">
        <f t="shared" ca="1" si="0"/>
        <v>#VALUE!</v>
      </c>
      <c r="J572" s="29" t="str">
        <f ca="1">IFERROR(__xludf.DUMMYFUNCTION("IF(F572 = H572,C572/FILTER('Base Stats'!$C$2:$C1000, LOWER('Base Stats'!$B$2:$B1000) = LOWER($A572)), """")"),"#N/A")</f>
        <v>#N/A</v>
      </c>
      <c r="K572" t="str">
        <f t="shared" ca="1" si="1"/>
        <v/>
      </c>
      <c r="L572" t="str">
        <f ca="1">IFERROR(__xludf.DUMMYFUNCTION("IF(AND(NOT(K572 = """"), G572 &gt;= 15),K572/FILTER('Base Stats'!$C$2:$C1000, LOWER('Base Stats'!$B$2:$B1000) = LOWER($A572)), """")"),"#N/A")</f>
        <v>#N/A</v>
      </c>
      <c r="M572" t="str">
        <f ca="1">IFERROR(__xludf.DUMMYFUNCTION("1.15 + 0.02 * FILTER('Base Stats'!$C$2:$C1000, LOWER('Base Stats'!$B$2:$B1000) = LOWER($A572))"),"1.15")</f>
        <v>1.15</v>
      </c>
      <c r="N572" t="s">
        <v>527</v>
      </c>
    </row>
    <row r="573" spans="1:14" ht="12.75" x14ac:dyDescent="0.2">
      <c r="A573">
        <f>'Form Responses (Pokemon Stats)'!B533</f>
        <v>0</v>
      </c>
      <c r="B573">
        <f>'Form Responses (Pokemon Stats)'!D533</f>
        <v>0</v>
      </c>
      <c r="C573">
        <f>'Form Responses (Pokemon Stats)'!C533</f>
        <v>0</v>
      </c>
      <c r="F573">
        <f>'Form Responses (Pokemon Stats)'!E533</f>
        <v>0</v>
      </c>
      <c r="G573" t="str">
        <f ca="1">IFERROR(__xludf.DUMMYFUNCTION("ROUND(B573/ FILTER('Pokemon CP/HP'!$M$2:$M1000, LOWER('Pokemon CP/HP'!$B$2:$B1000)=LOWER(A573)))"),"#DIV/0!")</f>
        <v>#DIV/0!</v>
      </c>
      <c r="H573" t="str">
        <f ca="1">IFERROR(__xludf.DUMMYFUNCTION("FILTER('Leveling Info'!$B$2:$B1000, 'Leveling Info'!$A$2:$A1000 =G573)"),"#N/A")</f>
        <v>#N/A</v>
      </c>
      <c r="I573" s="29" t="e">
        <f t="shared" ca="1" si="0"/>
        <v>#VALUE!</v>
      </c>
      <c r="J573" s="29" t="str">
        <f ca="1">IFERROR(__xludf.DUMMYFUNCTION("IF(F573 = H573,C573/FILTER('Base Stats'!$C$2:$C1000, LOWER('Base Stats'!$B$2:$B1000) = LOWER($A573)), """")"),"#N/A")</f>
        <v>#N/A</v>
      </c>
      <c r="K573" t="str">
        <f t="shared" ca="1" si="1"/>
        <v/>
      </c>
      <c r="L573" t="str">
        <f ca="1">IFERROR(__xludf.DUMMYFUNCTION("IF(AND(NOT(K573 = """"), G573 &gt;= 15),K573/FILTER('Base Stats'!$C$2:$C1000, LOWER('Base Stats'!$B$2:$B1000) = LOWER($A573)), """")"),"#N/A")</f>
        <v>#N/A</v>
      </c>
      <c r="M573" t="str">
        <f ca="1">IFERROR(__xludf.DUMMYFUNCTION("1.15 + 0.02 * FILTER('Base Stats'!$C$2:$C1000, LOWER('Base Stats'!$B$2:$B1000) = LOWER($A573))"),"1.15")</f>
        <v>1.15</v>
      </c>
      <c r="N573" t="s">
        <v>527</v>
      </c>
    </row>
    <row r="574" spans="1:14" ht="12.75" x14ac:dyDescent="0.2">
      <c r="A574">
        <f>'Form Responses (Pokemon Stats)'!B534</f>
        <v>0</v>
      </c>
      <c r="B574">
        <f>'Form Responses (Pokemon Stats)'!D534</f>
        <v>0</v>
      </c>
      <c r="C574">
        <f>'Form Responses (Pokemon Stats)'!C534</f>
        <v>0</v>
      </c>
      <c r="F574">
        <f>'Form Responses (Pokemon Stats)'!E534</f>
        <v>0</v>
      </c>
      <c r="G574" t="str">
        <f ca="1">IFERROR(__xludf.DUMMYFUNCTION("ROUND(B574/ FILTER('Pokemon CP/HP'!$M$2:$M1000, LOWER('Pokemon CP/HP'!$B$2:$B1000)=LOWER(A574)))"),"#DIV/0!")</f>
        <v>#DIV/0!</v>
      </c>
      <c r="H574" t="str">
        <f ca="1">IFERROR(__xludf.DUMMYFUNCTION("FILTER('Leveling Info'!$B$2:$B1000, 'Leveling Info'!$A$2:$A1000 =G574)"),"#N/A")</f>
        <v>#N/A</v>
      </c>
      <c r="I574" s="29" t="e">
        <f t="shared" ca="1" si="0"/>
        <v>#VALUE!</v>
      </c>
      <c r="J574" s="29" t="str">
        <f ca="1">IFERROR(__xludf.DUMMYFUNCTION("IF(F574 = H574,C574/FILTER('Base Stats'!$C$2:$C1000, LOWER('Base Stats'!$B$2:$B1000) = LOWER($A574)), """")"),"#N/A")</f>
        <v>#N/A</v>
      </c>
      <c r="K574" t="str">
        <f t="shared" ca="1" si="1"/>
        <v/>
      </c>
      <c r="L574" t="str">
        <f ca="1">IFERROR(__xludf.DUMMYFUNCTION("IF(AND(NOT(K574 = """"), G574 &gt;= 15),K574/FILTER('Base Stats'!$C$2:$C1000, LOWER('Base Stats'!$B$2:$B1000) = LOWER($A574)), """")"),"#N/A")</f>
        <v>#N/A</v>
      </c>
      <c r="M574" t="str">
        <f ca="1">IFERROR(__xludf.DUMMYFUNCTION("1.15 + 0.02 * FILTER('Base Stats'!$C$2:$C1000, LOWER('Base Stats'!$B$2:$B1000) = LOWER($A574))"),"1.15")</f>
        <v>1.15</v>
      </c>
      <c r="N574" t="s">
        <v>527</v>
      </c>
    </row>
    <row r="575" spans="1:14" ht="12.75" x14ac:dyDescent="0.2">
      <c r="A575">
        <f>'Form Responses (Pokemon Stats)'!B535</f>
        <v>0</v>
      </c>
      <c r="B575">
        <f>'Form Responses (Pokemon Stats)'!D535</f>
        <v>0</v>
      </c>
      <c r="C575">
        <f>'Form Responses (Pokemon Stats)'!C535</f>
        <v>0</v>
      </c>
      <c r="F575">
        <f>'Form Responses (Pokemon Stats)'!E535</f>
        <v>0</v>
      </c>
      <c r="G575" t="str">
        <f ca="1">IFERROR(__xludf.DUMMYFUNCTION("ROUND(B575/ FILTER('Pokemon CP/HP'!$M$2:$M1000, LOWER('Pokemon CP/HP'!$B$2:$B1000)=LOWER(A575)))"),"#DIV/0!")</f>
        <v>#DIV/0!</v>
      </c>
      <c r="H575" t="str">
        <f ca="1">IFERROR(__xludf.DUMMYFUNCTION("FILTER('Leveling Info'!$B$2:$B1000, 'Leveling Info'!$A$2:$A1000 =G575)"),"#N/A")</f>
        <v>#N/A</v>
      </c>
      <c r="I575" s="29" t="e">
        <f t="shared" ca="1" si="0"/>
        <v>#VALUE!</v>
      </c>
      <c r="J575" s="29" t="str">
        <f ca="1">IFERROR(__xludf.DUMMYFUNCTION("IF(F575 = H575,C575/FILTER('Base Stats'!$C$2:$C1000, LOWER('Base Stats'!$B$2:$B1000) = LOWER($A575)), """")"),"#N/A")</f>
        <v>#N/A</v>
      </c>
      <c r="K575" t="str">
        <f t="shared" ca="1" si="1"/>
        <v/>
      </c>
      <c r="L575" t="str">
        <f ca="1">IFERROR(__xludf.DUMMYFUNCTION("IF(AND(NOT(K575 = """"), G575 &gt;= 15),K575/FILTER('Base Stats'!$C$2:$C1000, LOWER('Base Stats'!$B$2:$B1000) = LOWER($A575)), """")"),"#N/A")</f>
        <v>#N/A</v>
      </c>
      <c r="M575" t="str">
        <f ca="1">IFERROR(__xludf.DUMMYFUNCTION("1.15 + 0.02 * FILTER('Base Stats'!$C$2:$C1000, LOWER('Base Stats'!$B$2:$B1000) = LOWER($A575))"),"1.15")</f>
        <v>1.15</v>
      </c>
      <c r="N575" t="s">
        <v>527</v>
      </c>
    </row>
    <row r="576" spans="1:14" ht="12.75" x14ac:dyDescent="0.2">
      <c r="A576">
        <f>'Form Responses (Pokemon Stats)'!B536</f>
        <v>0</v>
      </c>
      <c r="B576">
        <f>'Form Responses (Pokemon Stats)'!D536</f>
        <v>0</v>
      </c>
      <c r="C576">
        <f>'Form Responses (Pokemon Stats)'!C536</f>
        <v>0</v>
      </c>
      <c r="F576">
        <f>'Form Responses (Pokemon Stats)'!E536</f>
        <v>0</v>
      </c>
      <c r="G576" t="str">
        <f ca="1">IFERROR(__xludf.DUMMYFUNCTION("ROUND(B576/ FILTER('Pokemon CP/HP'!$M$2:$M1000, LOWER('Pokemon CP/HP'!$B$2:$B1000)=LOWER(A576)))"),"#DIV/0!")</f>
        <v>#DIV/0!</v>
      </c>
      <c r="H576" t="str">
        <f ca="1">IFERROR(__xludf.DUMMYFUNCTION("FILTER('Leveling Info'!$B$2:$B1000, 'Leveling Info'!$A$2:$A1000 =G576)"),"#N/A")</f>
        <v>#N/A</v>
      </c>
      <c r="I576" s="29" t="e">
        <f t="shared" ca="1" si="0"/>
        <v>#VALUE!</v>
      </c>
      <c r="J576" s="29" t="str">
        <f ca="1">IFERROR(__xludf.DUMMYFUNCTION("IF(F576 = H576,C576/FILTER('Base Stats'!$C$2:$C1000, LOWER('Base Stats'!$B$2:$B1000) = LOWER($A576)), """")"),"#N/A")</f>
        <v>#N/A</v>
      </c>
      <c r="K576" t="str">
        <f t="shared" ca="1" si="1"/>
        <v/>
      </c>
      <c r="L576" t="str">
        <f ca="1">IFERROR(__xludf.DUMMYFUNCTION("IF(AND(NOT(K576 = """"), G576 &gt;= 15),K576/FILTER('Base Stats'!$C$2:$C1000, LOWER('Base Stats'!$B$2:$B1000) = LOWER($A576)), """")"),"#N/A")</f>
        <v>#N/A</v>
      </c>
      <c r="M576" t="str">
        <f ca="1">IFERROR(__xludf.DUMMYFUNCTION("1.15 + 0.02 * FILTER('Base Stats'!$C$2:$C1000, LOWER('Base Stats'!$B$2:$B1000) = LOWER($A576))"),"1.15")</f>
        <v>1.15</v>
      </c>
      <c r="N576" t="s">
        <v>527</v>
      </c>
    </row>
    <row r="577" spans="1:14" ht="12.75" x14ac:dyDescent="0.2">
      <c r="A577">
        <f>'Form Responses (Pokemon Stats)'!B537</f>
        <v>0</v>
      </c>
      <c r="B577">
        <f>'Form Responses (Pokemon Stats)'!D537</f>
        <v>0</v>
      </c>
      <c r="C577">
        <f>'Form Responses (Pokemon Stats)'!C537</f>
        <v>0</v>
      </c>
      <c r="F577">
        <f>'Form Responses (Pokemon Stats)'!E537</f>
        <v>0</v>
      </c>
      <c r="G577" t="str">
        <f ca="1">IFERROR(__xludf.DUMMYFUNCTION("ROUND(B577/ FILTER('Pokemon CP/HP'!$M$2:$M1000, LOWER('Pokemon CP/HP'!$B$2:$B1000)=LOWER(A577)))"),"#DIV/0!")</f>
        <v>#DIV/0!</v>
      </c>
      <c r="H577" t="str">
        <f ca="1">IFERROR(__xludf.DUMMYFUNCTION("FILTER('Leveling Info'!$B$2:$B1000, 'Leveling Info'!$A$2:$A1000 =G577)"),"#N/A")</f>
        <v>#N/A</v>
      </c>
      <c r="I577" s="29" t="e">
        <f t="shared" ca="1" si="0"/>
        <v>#VALUE!</v>
      </c>
      <c r="J577" s="29" t="str">
        <f ca="1">IFERROR(__xludf.DUMMYFUNCTION("IF(F577 = H577,C577/FILTER('Base Stats'!$C$2:$C1000, LOWER('Base Stats'!$B$2:$B1000) = LOWER($A577)), """")"),"#N/A")</f>
        <v>#N/A</v>
      </c>
      <c r="K577" t="str">
        <f t="shared" ca="1" si="1"/>
        <v/>
      </c>
      <c r="L577" t="str">
        <f ca="1">IFERROR(__xludf.DUMMYFUNCTION("IF(AND(NOT(K577 = """"), G577 &gt;= 15),K577/FILTER('Base Stats'!$C$2:$C1000, LOWER('Base Stats'!$B$2:$B1000) = LOWER($A577)), """")"),"#N/A")</f>
        <v>#N/A</v>
      </c>
      <c r="M577" t="str">
        <f ca="1">IFERROR(__xludf.DUMMYFUNCTION("1.15 + 0.02 * FILTER('Base Stats'!$C$2:$C1000, LOWER('Base Stats'!$B$2:$B1000) = LOWER($A577))"),"1.15")</f>
        <v>1.15</v>
      </c>
      <c r="N577" t="s">
        <v>527</v>
      </c>
    </row>
    <row r="578" spans="1:14" ht="12.75" x14ac:dyDescent="0.2">
      <c r="A578">
        <f>'Form Responses (Pokemon Stats)'!B538</f>
        <v>0</v>
      </c>
      <c r="B578">
        <f>'Form Responses (Pokemon Stats)'!D538</f>
        <v>0</v>
      </c>
      <c r="C578">
        <f>'Form Responses (Pokemon Stats)'!C538</f>
        <v>0</v>
      </c>
      <c r="F578">
        <f>'Form Responses (Pokemon Stats)'!E538</f>
        <v>0</v>
      </c>
      <c r="G578" t="str">
        <f ca="1">IFERROR(__xludf.DUMMYFUNCTION("ROUND(B578/ FILTER('Pokemon CP/HP'!$M$2:$M1000, LOWER('Pokemon CP/HP'!$B$2:$B1000)=LOWER(A578)))"),"#DIV/0!")</f>
        <v>#DIV/0!</v>
      </c>
      <c r="H578" t="str">
        <f ca="1">IFERROR(__xludf.DUMMYFUNCTION("FILTER('Leveling Info'!$B$2:$B1000, 'Leveling Info'!$A$2:$A1000 =G578)"),"#N/A")</f>
        <v>#N/A</v>
      </c>
      <c r="I578" s="29" t="e">
        <f t="shared" ca="1" si="0"/>
        <v>#VALUE!</v>
      </c>
      <c r="J578" s="29" t="str">
        <f ca="1">IFERROR(__xludf.DUMMYFUNCTION("IF(F578 = H578,C578/FILTER('Base Stats'!$C$2:$C1000, LOWER('Base Stats'!$B$2:$B1000) = LOWER($A578)), """")"),"#N/A")</f>
        <v>#N/A</v>
      </c>
      <c r="K578" t="str">
        <f t="shared" ca="1" si="1"/>
        <v/>
      </c>
      <c r="L578" t="str">
        <f ca="1">IFERROR(__xludf.DUMMYFUNCTION("IF(AND(NOT(K578 = """"), G578 &gt;= 15),K578/FILTER('Base Stats'!$C$2:$C1000, LOWER('Base Stats'!$B$2:$B1000) = LOWER($A578)), """")"),"#N/A")</f>
        <v>#N/A</v>
      </c>
      <c r="M578" t="str">
        <f ca="1">IFERROR(__xludf.DUMMYFUNCTION("1.15 + 0.02 * FILTER('Base Stats'!$C$2:$C1000, LOWER('Base Stats'!$B$2:$B1000) = LOWER($A578))"),"1.15")</f>
        <v>1.15</v>
      </c>
      <c r="N578" t="s">
        <v>527</v>
      </c>
    </row>
    <row r="579" spans="1:14" ht="12.75" x14ac:dyDescent="0.2">
      <c r="A579">
        <f>'Form Responses (Pokemon Stats)'!B539</f>
        <v>0</v>
      </c>
      <c r="B579">
        <f>'Form Responses (Pokemon Stats)'!D539</f>
        <v>0</v>
      </c>
      <c r="C579">
        <f>'Form Responses (Pokemon Stats)'!C539</f>
        <v>0</v>
      </c>
      <c r="F579">
        <f>'Form Responses (Pokemon Stats)'!E539</f>
        <v>0</v>
      </c>
      <c r="G579" t="str">
        <f ca="1">IFERROR(__xludf.DUMMYFUNCTION("ROUND(B579/ FILTER('Pokemon CP/HP'!$M$2:$M1000, LOWER('Pokemon CP/HP'!$B$2:$B1000)=LOWER(A579)))"),"#DIV/0!")</f>
        <v>#DIV/0!</v>
      </c>
      <c r="H579" t="str">
        <f ca="1">IFERROR(__xludf.DUMMYFUNCTION("FILTER('Leveling Info'!$B$2:$B1000, 'Leveling Info'!$A$2:$A1000 =G579)"),"#N/A")</f>
        <v>#N/A</v>
      </c>
      <c r="I579" s="29" t="e">
        <f t="shared" ca="1" si="0"/>
        <v>#VALUE!</v>
      </c>
      <c r="J579" s="29" t="str">
        <f ca="1">IFERROR(__xludf.DUMMYFUNCTION("IF(F579 = H579,C579/FILTER('Base Stats'!$C$2:$C1000, LOWER('Base Stats'!$B$2:$B1000) = LOWER($A579)), """")"),"#N/A")</f>
        <v>#N/A</v>
      </c>
      <c r="K579" t="str">
        <f t="shared" ca="1" si="1"/>
        <v/>
      </c>
      <c r="L579" t="str">
        <f ca="1">IFERROR(__xludf.DUMMYFUNCTION("IF(AND(NOT(K579 = """"), G579 &gt;= 15),K579/FILTER('Base Stats'!$C$2:$C1000, LOWER('Base Stats'!$B$2:$B1000) = LOWER($A579)), """")"),"#N/A")</f>
        <v>#N/A</v>
      </c>
      <c r="M579" t="str">
        <f ca="1">IFERROR(__xludf.DUMMYFUNCTION("1.15 + 0.02 * FILTER('Base Stats'!$C$2:$C1000, LOWER('Base Stats'!$B$2:$B1000) = LOWER($A579))"),"1.15")</f>
        <v>1.15</v>
      </c>
      <c r="N579" t="s">
        <v>527</v>
      </c>
    </row>
    <row r="580" spans="1:14" ht="12.75" x14ac:dyDescent="0.2">
      <c r="A580">
        <f>'Form Responses (Pokemon Stats)'!B540</f>
        <v>0</v>
      </c>
      <c r="B580">
        <f>'Form Responses (Pokemon Stats)'!D540</f>
        <v>0</v>
      </c>
      <c r="C580">
        <f>'Form Responses (Pokemon Stats)'!C540</f>
        <v>0</v>
      </c>
      <c r="F580">
        <f>'Form Responses (Pokemon Stats)'!E540</f>
        <v>0</v>
      </c>
      <c r="G580" t="str">
        <f ca="1">IFERROR(__xludf.DUMMYFUNCTION("ROUND(B580/ FILTER('Pokemon CP/HP'!$M$2:$M1000, LOWER('Pokemon CP/HP'!$B$2:$B1000)=LOWER(A580)))"),"#DIV/0!")</f>
        <v>#DIV/0!</v>
      </c>
      <c r="H580" t="str">
        <f ca="1">IFERROR(__xludf.DUMMYFUNCTION("FILTER('Leveling Info'!$B$2:$B1000, 'Leveling Info'!$A$2:$A1000 =G580)"),"#N/A")</f>
        <v>#N/A</v>
      </c>
      <c r="I580" s="29" t="e">
        <f t="shared" ca="1" si="0"/>
        <v>#VALUE!</v>
      </c>
      <c r="J580" s="29" t="str">
        <f ca="1">IFERROR(__xludf.DUMMYFUNCTION("IF(F580 = H580,C580/FILTER('Base Stats'!$C$2:$C1000, LOWER('Base Stats'!$B$2:$B1000) = LOWER($A580)), """")"),"#N/A")</f>
        <v>#N/A</v>
      </c>
      <c r="K580" t="str">
        <f t="shared" ca="1" si="1"/>
        <v/>
      </c>
      <c r="L580" t="str">
        <f ca="1">IFERROR(__xludf.DUMMYFUNCTION("IF(AND(NOT(K580 = """"), G580 &gt;= 15),K580/FILTER('Base Stats'!$C$2:$C1000, LOWER('Base Stats'!$B$2:$B1000) = LOWER($A580)), """")"),"#N/A")</f>
        <v>#N/A</v>
      </c>
      <c r="M580" t="str">
        <f ca="1">IFERROR(__xludf.DUMMYFUNCTION("1.15 + 0.02 * FILTER('Base Stats'!$C$2:$C1000, LOWER('Base Stats'!$B$2:$B1000) = LOWER($A580))"),"1.15")</f>
        <v>1.15</v>
      </c>
      <c r="N580" t="s">
        <v>527</v>
      </c>
    </row>
    <row r="581" spans="1:14" ht="12.75" x14ac:dyDescent="0.2">
      <c r="A581">
        <f>'Form Responses (Pokemon Stats)'!B541</f>
        <v>0</v>
      </c>
      <c r="B581">
        <f>'Form Responses (Pokemon Stats)'!D541</f>
        <v>0</v>
      </c>
      <c r="C581">
        <f>'Form Responses (Pokemon Stats)'!C541</f>
        <v>0</v>
      </c>
      <c r="F581">
        <f>'Form Responses (Pokemon Stats)'!E541</f>
        <v>0</v>
      </c>
      <c r="G581" t="str">
        <f ca="1">IFERROR(__xludf.DUMMYFUNCTION("ROUND(B581/ FILTER('Pokemon CP/HP'!$M$2:$M1000, LOWER('Pokemon CP/HP'!$B$2:$B1000)=LOWER(A581)))"),"#DIV/0!")</f>
        <v>#DIV/0!</v>
      </c>
      <c r="H581" t="str">
        <f ca="1">IFERROR(__xludf.DUMMYFUNCTION("FILTER('Leveling Info'!$B$2:$B1000, 'Leveling Info'!$A$2:$A1000 =G581)"),"#N/A")</f>
        <v>#N/A</v>
      </c>
      <c r="I581" s="29" t="e">
        <f t="shared" ca="1" si="0"/>
        <v>#VALUE!</v>
      </c>
      <c r="J581" s="29" t="str">
        <f ca="1">IFERROR(__xludf.DUMMYFUNCTION("IF(F581 = H581,C581/FILTER('Base Stats'!$C$2:$C1000, LOWER('Base Stats'!$B$2:$B1000) = LOWER($A581)), """")"),"#N/A")</f>
        <v>#N/A</v>
      </c>
      <c r="K581" t="str">
        <f t="shared" ca="1" si="1"/>
        <v/>
      </c>
      <c r="L581" t="str">
        <f ca="1">IFERROR(__xludf.DUMMYFUNCTION("IF(AND(NOT(K581 = """"), G581 &gt;= 15),K581/FILTER('Base Stats'!$C$2:$C1000, LOWER('Base Stats'!$B$2:$B1000) = LOWER($A581)), """")"),"#N/A")</f>
        <v>#N/A</v>
      </c>
      <c r="M581" t="str">
        <f ca="1">IFERROR(__xludf.DUMMYFUNCTION("1.15 + 0.02 * FILTER('Base Stats'!$C$2:$C1000, LOWER('Base Stats'!$B$2:$B1000) = LOWER($A581))"),"1.15")</f>
        <v>1.15</v>
      </c>
      <c r="N581" t="s">
        <v>527</v>
      </c>
    </row>
    <row r="582" spans="1:14" ht="12.75" x14ac:dyDescent="0.2">
      <c r="A582">
        <f>'Form Responses (Pokemon Stats)'!B542</f>
        <v>0</v>
      </c>
      <c r="B582">
        <f>'Form Responses (Pokemon Stats)'!D542</f>
        <v>0</v>
      </c>
      <c r="C582">
        <f>'Form Responses (Pokemon Stats)'!C542</f>
        <v>0</v>
      </c>
      <c r="F582">
        <f>'Form Responses (Pokemon Stats)'!E542</f>
        <v>0</v>
      </c>
      <c r="G582" t="str">
        <f ca="1">IFERROR(__xludf.DUMMYFUNCTION("ROUND(B582/ FILTER('Pokemon CP/HP'!$M$2:$M1000, LOWER('Pokemon CP/HP'!$B$2:$B1000)=LOWER(A582)))"),"#DIV/0!")</f>
        <v>#DIV/0!</v>
      </c>
      <c r="H582" t="str">
        <f ca="1">IFERROR(__xludf.DUMMYFUNCTION("FILTER('Leveling Info'!$B$2:$B1000, 'Leveling Info'!$A$2:$A1000 =G582)"),"#N/A")</f>
        <v>#N/A</v>
      </c>
      <c r="I582" s="29" t="e">
        <f t="shared" ca="1" si="0"/>
        <v>#VALUE!</v>
      </c>
      <c r="J582" s="29" t="str">
        <f ca="1">IFERROR(__xludf.DUMMYFUNCTION("IF(F582 = H582,C582/FILTER('Base Stats'!$C$2:$C1000, LOWER('Base Stats'!$B$2:$B1000) = LOWER($A582)), """")"),"#N/A")</f>
        <v>#N/A</v>
      </c>
      <c r="K582" t="str">
        <f t="shared" ca="1" si="1"/>
        <v/>
      </c>
      <c r="L582" t="str">
        <f ca="1">IFERROR(__xludf.DUMMYFUNCTION("IF(AND(NOT(K582 = """"), G582 &gt;= 15),K582/FILTER('Base Stats'!$C$2:$C1000, LOWER('Base Stats'!$B$2:$B1000) = LOWER($A582)), """")"),"#N/A")</f>
        <v>#N/A</v>
      </c>
      <c r="M582" t="str">
        <f ca="1">IFERROR(__xludf.DUMMYFUNCTION("1.15 + 0.02 * FILTER('Base Stats'!$C$2:$C1000, LOWER('Base Stats'!$B$2:$B1000) = LOWER($A582))"),"1.15")</f>
        <v>1.15</v>
      </c>
      <c r="N582" t="s">
        <v>527</v>
      </c>
    </row>
    <row r="583" spans="1:14" ht="12.75" x14ac:dyDescent="0.2">
      <c r="A583">
        <f>'Form Responses (Pokemon Stats)'!B543</f>
        <v>0</v>
      </c>
      <c r="B583">
        <f>'Form Responses (Pokemon Stats)'!D543</f>
        <v>0</v>
      </c>
      <c r="C583">
        <f>'Form Responses (Pokemon Stats)'!C543</f>
        <v>0</v>
      </c>
      <c r="F583">
        <f>'Form Responses (Pokemon Stats)'!E543</f>
        <v>0</v>
      </c>
      <c r="G583" t="str">
        <f ca="1">IFERROR(__xludf.DUMMYFUNCTION("ROUND(B583/ FILTER('Pokemon CP/HP'!$M$2:$M1000, LOWER('Pokemon CP/HP'!$B$2:$B1000)=LOWER(A583)))"),"#DIV/0!")</f>
        <v>#DIV/0!</v>
      </c>
      <c r="H583" t="str">
        <f ca="1">IFERROR(__xludf.DUMMYFUNCTION("FILTER('Leveling Info'!$B$2:$B1000, 'Leveling Info'!$A$2:$A1000 =G583)"),"#N/A")</f>
        <v>#N/A</v>
      </c>
      <c r="I583" s="29" t="e">
        <f t="shared" ca="1" si="0"/>
        <v>#VALUE!</v>
      </c>
      <c r="J583" s="29" t="str">
        <f ca="1">IFERROR(__xludf.DUMMYFUNCTION("IF(F583 = H583,C583/FILTER('Base Stats'!$C$2:$C1000, LOWER('Base Stats'!$B$2:$B1000) = LOWER($A583)), """")"),"#N/A")</f>
        <v>#N/A</v>
      </c>
      <c r="K583" t="str">
        <f t="shared" ca="1" si="1"/>
        <v/>
      </c>
      <c r="L583" t="str">
        <f ca="1">IFERROR(__xludf.DUMMYFUNCTION("IF(AND(NOT(K583 = """"), G583 &gt;= 15),K583/FILTER('Base Stats'!$C$2:$C1000, LOWER('Base Stats'!$B$2:$B1000) = LOWER($A583)), """")"),"#N/A")</f>
        <v>#N/A</v>
      </c>
      <c r="M583" t="str">
        <f ca="1">IFERROR(__xludf.DUMMYFUNCTION("1.15 + 0.02 * FILTER('Base Stats'!$C$2:$C1000, LOWER('Base Stats'!$B$2:$B1000) = LOWER($A583))"),"1.15")</f>
        <v>1.15</v>
      </c>
      <c r="N583" t="s">
        <v>527</v>
      </c>
    </row>
    <row r="584" spans="1:14" ht="12.75" x14ac:dyDescent="0.2">
      <c r="A584">
        <f>'Form Responses (Pokemon Stats)'!B544</f>
        <v>0</v>
      </c>
      <c r="B584">
        <f>'Form Responses (Pokemon Stats)'!D544</f>
        <v>0</v>
      </c>
      <c r="C584">
        <f>'Form Responses (Pokemon Stats)'!C544</f>
        <v>0</v>
      </c>
      <c r="F584">
        <f>'Form Responses (Pokemon Stats)'!E544</f>
        <v>0</v>
      </c>
      <c r="G584" t="str">
        <f ca="1">IFERROR(__xludf.DUMMYFUNCTION("ROUND(B584/ FILTER('Pokemon CP/HP'!$M$2:$M1000, LOWER('Pokemon CP/HP'!$B$2:$B1000)=LOWER(A584)))"),"#DIV/0!")</f>
        <v>#DIV/0!</v>
      </c>
      <c r="H584" t="str">
        <f ca="1">IFERROR(__xludf.DUMMYFUNCTION("FILTER('Leveling Info'!$B$2:$B1000, 'Leveling Info'!$A$2:$A1000 =G584)"),"#N/A")</f>
        <v>#N/A</v>
      </c>
      <c r="I584" s="29" t="e">
        <f t="shared" ca="1" si="0"/>
        <v>#VALUE!</v>
      </c>
      <c r="J584" s="29" t="str">
        <f ca="1">IFERROR(__xludf.DUMMYFUNCTION("IF(F584 = H584,C584/FILTER('Base Stats'!$C$2:$C1000, LOWER('Base Stats'!$B$2:$B1000) = LOWER($A584)), """")"),"#N/A")</f>
        <v>#N/A</v>
      </c>
      <c r="K584" t="str">
        <f t="shared" ca="1" si="1"/>
        <v/>
      </c>
      <c r="L584" t="str">
        <f ca="1">IFERROR(__xludf.DUMMYFUNCTION("IF(AND(NOT(K584 = """"), G584 &gt;= 15),K584/FILTER('Base Stats'!$C$2:$C1000, LOWER('Base Stats'!$B$2:$B1000) = LOWER($A584)), """")"),"#N/A")</f>
        <v>#N/A</v>
      </c>
      <c r="M584" t="str">
        <f ca="1">IFERROR(__xludf.DUMMYFUNCTION("1.15 + 0.02 * FILTER('Base Stats'!$C$2:$C1000, LOWER('Base Stats'!$B$2:$B1000) = LOWER($A584))"),"1.15")</f>
        <v>1.15</v>
      </c>
      <c r="N584" t="s">
        <v>527</v>
      </c>
    </row>
    <row r="585" spans="1:14" ht="12.75" x14ac:dyDescent="0.2">
      <c r="A585">
        <f>'Form Responses (Pokemon Stats)'!B545</f>
        <v>0</v>
      </c>
      <c r="B585">
        <f>'Form Responses (Pokemon Stats)'!D545</f>
        <v>0</v>
      </c>
      <c r="C585">
        <f>'Form Responses (Pokemon Stats)'!C545</f>
        <v>0</v>
      </c>
      <c r="F585">
        <f>'Form Responses (Pokemon Stats)'!E545</f>
        <v>0</v>
      </c>
      <c r="G585" t="str">
        <f ca="1">IFERROR(__xludf.DUMMYFUNCTION("ROUND(B585/ FILTER('Pokemon CP/HP'!$M$2:$M1000, LOWER('Pokemon CP/HP'!$B$2:$B1000)=LOWER(A585)))"),"#DIV/0!")</f>
        <v>#DIV/0!</v>
      </c>
      <c r="H585" t="str">
        <f ca="1">IFERROR(__xludf.DUMMYFUNCTION("FILTER('Leveling Info'!$B$2:$B1000, 'Leveling Info'!$A$2:$A1000 =G585)"),"#N/A")</f>
        <v>#N/A</v>
      </c>
      <c r="I585" s="29" t="e">
        <f t="shared" ca="1" si="0"/>
        <v>#VALUE!</v>
      </c>
      <c r="J585" s="29" t="str">
        <f ca="1">IFERROR(__xludf.DUMMYFUNCTION("IF(F585 = H585,C585/FILTER('Base Stats'!$C$2:$C1000, LOWER('Base Stats'!$B$2:$B1000) = LOWER($A585)), """")"),"#N/A")</f>
        <v>#N/A</v>
      </c>
      <c r="K585" t="str">
        <f t="shared" ca="1" si="1"/>
        <v/>
      </c>
      <c r="L585" t="str">
        <f ca="1">IFERROR(__xludf.DUMMYFUNCTION("IF(AND(NOT(K585 = """"), G585 &gt;= 15),K585/FILTER('Base Stats'!$C$2:$C1000, LOWER('Base Stats'!$B$2:$B1000) = LOWER($A585)), """")"),"#N/A")</f>
        <v>#N/A</v>
      </c>
      <c r="M585" t="str">
        <f ca="1">IFERROR(__xludf.DUMMYFUNCTION("1.15 + 0.02 * FILTER('Base Stats'!$C$2:$C1000, LOWER('Base Stats'!$B$2:$B1000) = LOWER($A585))"),"1.15")</f>
        <v>1.15</v>
      </c>
      <c r="N585" t="s">
        <v>527</v>
      </c>
    </row>
    <row r="586" spans="1:14" ht="12.75" x14ac:dyDescent="0.2">
      <c r="A586">
        <f>'Form Responses (Pokemon Stats)'!B546</f>
        <v>0</v>
      </c>
      <c r="B586">
        <f>'Form Responses (Pokemon Stats)'!D546</f>
        <v>0</v>
      </c>
      <c r="C586">
        <f>'Form Responses (Pokemon Stats)'!C546</f>
        <v>0</v>
      </c>
      <c r="F586">
        <f>'Form Responses (Pokemon Stats)'!E546</f>
        <v>0</v>
      </c>
      <c r="G586" t="str">
        <f ca="1">IFERROR(__xludf.DUMMYFUNCTION("ROUND(B586/ FILTER('Pokemon CP/HP'!$M$2:$M1000, LOWER('Pokemon CP/HP'!$B$2:$B1000)=LOWER(A586)))"),"#DIV/0!")</f>
        <v>#DIV/0!</v>
      </c>
      <c r="H586" t="str">
        <f ca="1">IFERROR(__xludf.DUMMYFUNCTION("FILTER('Leveling Info'!$B$2:$B1000, 'Leveling Info'!$A$2:$A1000 =G586)"),"#N/A")</f>
        <v>#N/A</v>
      </c>
      <c r="I586" s="29" t="e">
        <f t="shared" ca="1" si="0"/>
        <v>#VALUE!</v>
      </c>
      <c r="J586" s="29" t="str">
        <f ca="1">IFERROR(__xludf.DUMMYFUNCTION("IF(F586 = H586,C586/FILTER('Base Stats'!$C$2:$C1000, LOWER('Base Stats'!$B$2:$B1000) = LOWER($A586)), """")"),"#N/A")</f>
        <v>#N/A</v>
      </c>
      <c r="K586" t="str">
        <f t="shared" ca="1" si="1"/>
        <v/>
      </c>
      <c r="L586" t="str">
        <f ca="1">IFERROR(__xludf.DUMMYFUNCTION("IF(AND(NOT(K586 = """"), G586 &gt;= 15),K586/FILTER('Base Stats'!$C$2:$C1000, LOWER('Base Stats'!$B$2:$B1000) = LOWER($A586)), """")"),"#N/A")</f>
        <v>#N/A</v>
      </c>
      <c r="M586" t="str">
        <f ca="1">IFERROR(__xludf.DUMMYFUNCTION("1.15 + 0.02 * FILTER('Base Stats'!$C$2:$C1000, LOWER('Base Stats'!$B$2:$B1000) = LOWER($A586))"),"1.15")</f>
        <v>1.15</v>
      </c>
      <c r="N586" t="s">
        <v>527</v>
      </c>
    </row>
    <row r="587" spans="1:14" ht="12.75" x14ac:dyDescent="0.2">
      <c r="A587">
        <f>'Form Responses (Pokemon Stats)'!B547</f>
        <v>0</v>
      </c>
      <c r="B587">
        <f>'Form Responses (Pokemon Stats)'!D547</f>
        <v>0</v>
      </c>
      <c r="C587">
        <f>'Form Responses (Pokemon Stats)'!C547</f>
        <v>0</v>
      </c>
      <c r="F587">
        <f>'Form Responses (Pokemon Stats)'!E547</f>
        <v>0</v>
      </c>
      <c r="G587" t="str">
        <f ca="1">IFERROR(__xludf.DUMMYFUNCTION("ROUND(B587/ FILTER('Pokemon CP/HP'!$M$2:$M1000, LOWER('Pokemon CP/HP'!$B$2:$B1000)=LOWER(A587)))"),"#DIV/0!")</f>
        <v>#DIV/0!</v>
      </c>
      <c r="H587" t="str">
        <f ca="1">IFERROR(__xludf.DUMMYFUNCTION("FILTER('Leveling Info'!$B$2:$B1000, 'Leveling Info'!$A$2:$A1000 =G587)"),"#N/A")</f>
        <v>#N/A</v>
      </c>
      <c r="I587" s="29" t="e">
        <f t="shared" ca="1" si="0"/>
        <v>#VALUE!</v>
      </c>
      <c r="J587" s="29" t="str">
        <f ca="1">IFERROR(__xludf.DUMMYFUNCTION("IF(F587 = H587,C587/FILTER('Base Stats'!$C$2:$C1000, LOWER('Base Stats'!$B$2:$B1000) = LOWER($A587)), """")"),"#N/A")</f>
        <v>#N/A</v>
      </c>
      <c r="K587" t="str">
        <f t="shared" ca="1" si="1"/>
        <v/>
      </c>
      <c r="L587" t="str">
        <f ca="1">IFERROR(__xludf.DUMMYFUNCTION("IF(AND(NOT(K587 = """"), G587 &gt;= 15),K587/FILTER('Base Stats'!$C$2:$C1000, LOWER('Base Stats'!$B$2:$B1000) = LOWER($A587)), """")"),"#N/A")</f>
        <v>#N/A</v>
      </c>
      <c r="M587" t="str">
        <f ca="1">IFERROR(__xludf.DUMMYFUNCTION("1.15 + 0.02 * FILTER('Base Stats'!$C$2:$C1000, LOWER('Base Stats'!$B$2:$B1000) = LOWER($A587))"),"1.15")</f>
        <v>1.15</v>
      </c>
      <c r="N587" t="s">
        <v>527</v>
      </c>
    </row>
    <row r="588" spans="1:14" ht="12.75" x14ac:dyDescent="0.2">
      <c r="A588">
        <f>'Form Responses (Pokemon Stats)'!B548</f>
        <v>0</v>
      </c>
      <c r="B588">
        <f>'Form Responses (Pokemon Stats)'!D548</f>
        <v>0</v>
      </c>
      <c r="C588">
        <f>'Form Responses (Pokemon Stats)'!C548</f>
        <v>0</v>
      </c>
      <c r="F588">
        <f>'Form Responses (Pokemon Stats)'!E548</f>
        <v>0</v>
      </c>
      <c r="G588" t="str">
        <f ca="1">IFERROR(__xludf.DUMMYFUNCTION("ROUND(B588/ FILTER('Pokemon CP/HP'!$M$2:$M1000, LOWER('Pokemon CP/HP'!$B$2:$B1000)=LOWER(A588)))"),"#DIV/0!")</f>
        <v>#DIV/0!</v>
      </c>
      <c r="H588" t="str">
        <f ca="1">IFERROR(__xludf.DUMMYFUNCTION("FILTER('Leveling Info'!$B$2:$B1000, 'Leveling Info'!$A$2:$A1000 =G588)"),"#N/A")</f>
        <v>#N/A</v>
      </c>
      <c r="I588" s="29" t="e">
        <f t="shared" ca="1" si="0"/>
        <v>#VALUE!</v>
      </c>
      <c r="J588" s="29" t="str">
        <f ca="1">IFERROR(__xludf.DUMMYFUNCTION("IF(F588 = H588,C588/FILTER('Base Stats'!$C$2:$C1000, LOWER('Base Stats'!$B$2:$B1000) = LOWER($A588)), """")"),"#N/A")</f>
        <v>#N/A</v>
      </c>
      <c r="K588" t="str">
        <f t="shared" ca="1" si="1"/>
        <v/>
      </c>
      <c r="L588" t="str">
        <f ca="1">IFERROR(__xludf.DUMMYFUNCTION("IF(AND(NOT(K588 = """"), G588 &gt;= 15),K588/FILTER('Base Stats'!$C$2:$C1000, LOWER('Base Stats'!$B$2:$B1000) = LOWER($A588)), """")"),"#N/A")</f>
        <v>#N/A</v>
      </c>
      <c r="M588" t="str">
        <f ca="1">IFERROR(__xludf.DUMMYFUNCTION("1.15 + 0.02 * FILTER('Base Stats'!$C$2:$C1000, LOWER('Base Stats'!$B$2:$B1000) = LOWER($A588))"),"1.15")</f>
        <v>1.15</v>
      </c>
      <c r="N588" t="s">
        <v>527</v>
      </c>
    </row>
    <row r="589" spans="1:14" ht="12.75" x14ac:dyDescent="0.2">
      <c r="A589">
        <f>'Form Responses (Pokemon Stats)'!B549</f>
        <v>0</v>
      </c>
      <c r="B589">
        <f>'Form Responses (Pokemon Stats)'!D549</f>
        <v>0</v>
      </c>
      <c r="C589">
        <f>'Form Responses (Pokemon Stats)'!C549</f>
        <v>0</v>
      </c>
      <c r="F589">
        <f>'Form Responses (Pokemon Stats)'!E549</f>
        <v>0</v>
      </c>
      <c r="G589" t="str">
        <f ca="1">IFERROR(__xludf.DUMMYFUNCTION("ROUND(B589/ FILTER('Pokemon CP/HP'!$M$2:$M1000, LOWER('Pokemon CP/HP'!$B$2:$B1000)=LOWER(A589)))"),"#DIV/0!")</f>
        <v>#DIV/0!</v>
      </c>
      <c r="H589" t="str">
        <f ca="1">IFERROR(__xludf.DUMMYFUNCTION("FILTER('Leveling Info'!$B$2:$B1000, 'Leveling Info'!$A$2:$A1000 =G589)"),"#N/A")</f>
        <v>#N/A</v>
      </c>
      <c r="I589" s="29" t="e">
        <f t="shared" ca="1" si="0"/>
        <v>#VALUE!</v>
      </c>
      <c r="J589" s="29" t="str">
        <f ca="1">IFERROR(__xludf.DUMMYFUNCTION("IF(F589 = H589,C589/FILTER('Base Stats'!$C$2:$C1000, LOWER('Base Stats'!$B$2:$B1000) = LOWER($A589)), """")"),"#N/A")</f>
        <v>#N/A</v>
      </c>
      <c r="K589" t="str">
        <f t="shared" ca="1" si="1"/>
        <v/>
      </c>
      <c r="L589" t="str">
        <f ca="1">IFERROR(__xludf.DUMMYFUNCTION("IF(AND(NOT(K589 = """"), G589 &gt;= 15),K589/FILTER('Base Stats'!$C$2:$C1000, LOWER('Base Stats'!$B$2:$B1000) = LOWER($A589)), """")"),"#N/A")</f>
        <v>#N/A</v>
      </c>
      <c r="M589" t="str">
        <f ca="1">IFERROR(__xludf.DUMMYFUNCTION("1.15 + 0.02 * FILTER('Base Stats'!$C$2:$C1000, LOWER('Base Stats'!$B$2:$B1000) = LOWER($A589))"),"1.15")</f>
        <v>1.15</v>
      </c>
      <c r="N589" t="s">
        <v>527</v>
      </c>
    </row>
    <row r="590" spans="1:14" ht="12.75" x14ac:dyDescent="0.2">
      <c r="A590">
        <f>'Form Responses (Pokemon Stats)'!B550</f>
        <v>0</v>
      </c>
      <c r="B590">
        <f>'Form Responses (Pokemon Stats)'!D550</f>
        <v>0</v>
      </c>
      <c r="C590">
        <f>'Form Responses (Pokemon Stats)'!C550</f>
        <v>0</v>
      </c>
      <c r="F590">
        <f>'Form Responses (Pokemon Stats)'!E550</f>
        <v>0</v>
      </c>
      <c r="G590" t="str">
        <f ca="1">IFERROR(__xludf.DUMMYFUNCTION("ROUND(B590/ FILTER('Pokemon CP/HP'!$M$2:$M1000, LOWER('Pokemon CP/HP'!$B$2:$B1000)=LOWER(A590)))"),"#DIV/0!")</f>
        <v>#DIV/0!</v>
      </c>
      <c r="H590" t="str">
        <f ca="1">IFERROR(__xludf.DUMMYFUNCTION("FILTER('Leveling Info'!$B$2:$B1000, 'Leveling Info'!$A$2:$A1000 =G590)"),"#N/A")</f>
        <v>#N/A</v>
      </c>
      <c r="I590" s="29" t="e">
        <f t="shared" ca="1" si="0"/>
        <v>#VALUE!</v>
      </c>
      <c r="J590" s="29" t="str">
        <f ca="1">IFERROR(__xludf.DUMMYFUNCTION("IF(F590 = H590,C590/FILTER('Base Stats'!$C$2:$C1000, LOWER('Base Stats'!$B$2:$B1000) = LOWER($A590)), """")"),"#N/A")</f>
        <v>#N/A</v>
      </c>
      <c r="K590" t="str">
        <f t="shared" ca="1" si="1"/>
        <v/>
      </c>
      <c r="L590" t="str">
        <f ca="1">IFERROR(__xludf.DUMMYFUNCTION("IF(AND(NOT(K590 = """"), G590 &gt;= 15),K590/FILTER('Base Stats'!$C$2:$C1000, LOWER('Base Stats'!$B$2:$B1000) = LOWER($A590)), """")"),"#N/A")</f>
        <v>#N/A</v>
      </c>
      <c r="M590" t="str">
        <f ca="1">IFERROR(__xludf.DUMMYFUNCTION("1.15 + 0.02 * FILTER('Base Stats'!$C$2:$C1000, LOWER('Base Stats'!$B$2:$B1000) = LOWER($A590))"),"1.15")</f>
        <v>1.15</v>
      </c>
      <c r="N590" t="s">
        <v>527</v>
      </c>
    </row>
    <row r="591" spans="1:14" ht="12.75" x14ac:dyDescent="0.2">
      <c r="A591">
        <f>'Form Responses (Pokemon Stats)'!B551</f>
        <v>0</v>
      </c>
      <c r="B591">
        <f>'Form Responses (Pokemon Stats)'!D551</f>
        <v>0</v>
      </c>
      <c r="C591">
        <f>'Form Responses (Pokemon Stats)'!C551</f>
        <v>0</v>
      </c>
      <c r="F591">
        <f>'Form Responses (Pokemon Stats)'!E551</f>
        <v>0</v>
      </c>
      <c r="G591" t="str">
        <f ca="1">IFERROR(__xludf.DUMMYFUNCTION("ROUND(B591/ FILTER('Pokemon CP/HP'!$M$2:$M1000, LOWER('Pokemon CP/HP'!$B$2:$B1000)=LOWER(A591)))"),"#DIV/0!")</f>
        <v>#DIV/0!</v>
      </c>
      <c r="H591" t="str">
        <f ca="1">IFERROR(__xludf.DUMMYFUNCTION("FILTER('Leveling Info'!$B$2:$B1000, 'Leveling Info'!$A$2:$A1000 =G591)"),"#N/A")</f>
        <v>#N/A</v>
      </c>
      <c r="I591" s="29" t="e">
        <f t="shared" ca="1" si="0"/>
        <v>#VALUE!</v>
      </c>
      <c r="J591" s="29" t="str">
        <f ca="1">IFERROR(__xludf.DUMMYFUNCTION("IF(F591 = H591,C591/FILTER('Base Stats'!$C$2:$C1000, LOWER('Base Stats'!$B$2:$B1000) = LOWER($A591)), """")"),"#N/A")</f>
        <v>#N/A</v>
      </c>
      <c r="K591" t="str">
        <f t="shared" ca="1" si="1"/>
        <v/>
      </c>
      <c r="L591" t="str">
        <f ca="1">IFERROR(__xludf.DUMMYFUNCTION("IF(AND(NOT(K591 = """"), G591 &gt;= 15),K591/FILTER('Base Stats'!$C$2:$C1000, LOWER('Base Stats'!$B$2:$B1000) = LOWER($A591)), """")"),"#N/A")</f>
        <v>#N/A</v>
      </c>
      <c r="M591" t="str">
        <f ca="1">IFERROR(__xludf.DUMMYFUNCTION("1.15 + 0.02 * FILTER('Base Stats'!$C$2:$C1000, LOWER('Base Stats'!$B$2:$B1000) = LOWER($A591))"),"1.15")</f>
        <v>1.15</v>
      </c>
      <c r="N591" t="s">
        <v>527</v>
      </c>
    </row>
    <row r="592" spans="1:14" ht="12.75" x14ac:dyDescent="0.2">
      <c r="A592">
        <f>'Form Responses (Pokemon Stats)'!B552</f>
        <v>0</v>
      </c>
      <c r="B592">
        <f>'Form Responses (Pokemon Stats)'!D552</f>
        <v>0</v>
      </c>
      <c r="C592">
        <f>'Form Responses (Pokemon Stats)'!C552</f>
        <v>0</v>
      </c>
      <c r="F592">
        <f>'Form Responses (Pokemon Stats)'!E552</f>
        <v>0</v>
      </c>
      <c r="G592" t="str">
        <f ca="1">IFERROR(__xludf.DUMMYFUNCTION("ROUND(B592/ FILTER('Pokemon CP/HP'!$M$2:$M1000, LOWER('Pokemon CP/HP'!$B$2:$B1000)=LOWER(A592)))"),"#DIV/0!")</f>
        <v>#DIV/0!</v>
      </c>
      <c r="H592" t="str">
        <f ca="1">IFERROR(__xludf.DUMMYFUNCTION("FILTER('Leveling Info'!$B$2:$B1000, 'Leveling Info'!$A$2:$A1000 =G592)"),"#N/A")</f>
        <v>#N/A</v>
      </c>
      <c r="I592" s="29" t="e">
        <f t="shared" ca="1" si="0"/>
        <v>#VALUE!</v>
      </c>
      <c r="J592" s="29" t="str">
        <f ca="1">IFERROR(__xludf.DUMMYFUNCTION("IF(F592 = H592,C592/FILTER('Base Stats'!$C$2:$C1000, LOWER('Base Stats'!$B$2:$B1000) = LOWER($A592)), """")"),"#N/A")</f>
        <v>#N/A</v>
      </c>
      <c r="K592" t="str">
        <f t="shared" ca="1" si="1"/>
        <v/>
      </c>
      <c r="L592" t="str">
        <f ca="1">IFERROR(__xludf.DUMMYFUNCTION("IF(AND(NOT(K592 = """"), G592 &gt;= 15),K592/FILTER('Base Stats'!$C$2:$C1000, LOWER('Base Stats'!$B$2:$B1000) = LOWER($A592)), """")"),"#N/A")</f>
        <v>#N/A</v>
      </c>
      <c r="M592" t="str">
        <f ca="1">IFERROR(__xludf.DUMMYFUNCTION("1.15 + 0.02 * FILTER('Base Stats'!$C$2:$C1000, LOWER('Base Stats'!$B$2:$B1000) = LOWER($A592))"),"1.15")</f>
        <v>1.15</v>
      </c>
      <c r="N592" t="s">
        <v>527</v>
      </c>
    </row>
    <row r="593" spans="1:14" ht="12.75" x14ac:dyDescent="0.2">
      <c r="A593">
        <f>'Form Responses (Pokemon Stats)'!B553</f>
        <v>0</v>
      </c>
      <c r="B593">
        <f>'Form Responses (Pokemon Stats)'!D553</f>
        <v>0</v>
      </c>
      <c r="C593">
        <f>'Form Responses (Pokemon Stats)'!C553</f>
        <v>0</v>
      </c>
      <c r="F593">
        <f>'Form Responses (Pokemon Stats)'!E553</f>
        <v>0</v>
      </c>
      <c r="G593" t="str">
        <f ca="1">IFERROR(__xludf.DUMMYFUNCTION("ROUND(B593/ FILTER('Pokemon CP/HP'!$M$2:$M1000, LOWER('Pokemon CP/HP'!$B$2:$B1000)=LOWER(A593)))"),"#DIV/0!")</f>
        <v>#DIV/0!</v>
      </c>
      <c r="H593" t="str">
        <f ca="1">IFERROR(__xludf.DUMMYFUNCTION("FILTER('Leveling Info'!$B$2:$B1000, 'Leveling Info'!$A$2:$A1000 =G593)"),"#N/A")</f>
        <v>#N/A</v>
      </c>
      <c r="I593" s="29" t="e">
        <f t="shared" ca="1" si="0"/>
        <v>#VALUE!</v>
      </c>
      <c r="J593" s="29" t="str">
        <f ca="1">IFERROR(__xludf.DUMMYFUNCTION("IF(F593 = H593,C593/FILTER('Base Stats'!$C$2:$C1000, LOWER('Base Stats'!$B$2:$B1000) = LOWER($A593)), """")"),"#N/A")</f>
        <v>#N/A</v>
      </c>
      <c r="K593" t="str">
        <f t="shared" ca="1" si="1"/>
        <v/>
      </c>
      <c r="L593" t="str">
        <f ca="1">IFERROR(__xludf.DUMMYFUNCTION("IF(AND(NOT(K593 = """"), G593 &gt;= 15),K593/FILTER('Base Stats'!$C$2:$C1000, LOWER('Base Stats'!$B$2:$B1000) = LOWER($A593)), """")"),"#N/A")</f>
        <v>#N/A</v>
      </c>
      <c r="M593" t="str">
        <f ca="1">IFERROR(__xludf.DUMMYFUNCTION("1.15 + 0.02 * FILTER('Base Stats'!$C$2:$C1000, LOWER('Base Stats'!$B$2:$B1000) = LOWER($A593))"),"1.15")</f>
        <v>1.15</v>
      </c>
      <c r="N593" t="s">
        <v>527</v>
      </c>
    </row>
    <row r="594" spans="1:14" ht="12.75" x14ac:dyDescent="0.2">
      <c r="A594">
        <f>'Form Responses (Pokemon Stats)'!B554</f>
        <v>0</v>
      </c>
      <c r="B594">
        <f>'Form Responses (Pokemon Stats)'!D554</f>
        <v>0</v>
      </c>
      <c r="C594">
        <f>'Form Responses (Pokemon Stats)'!C554</f>
        <v>0</v>
      </c>
      <c r="F594">
        <f>'Form Responses (Pokemon Stats)'!E554</f>
        <v>0</v>
      </c>
      <c r="G594" t="str">
        <f ca="1">IFERROR(__xludf.DUMMYFUNCTION("ROUND(B594/ FILTER('Pokemon CP/HP'!$M$2:$M1000, LOWER('Pokemon CP/HP'!$B$2:$B1000)=LOWER(A594)))"),"#DIV/0!")</f>
        <v>#DIV/0!</v>
      </c>
      <c r="H594" t="str">
        <f ca="1">IFERROR(__xludf.DUMMYFUNCTION("FILTER('Leveling Info'!$B$2:$B1000, 'Leveling Info'!$A$2:$A1000 =G594)"),"#N/A")</f>
        <v>#N/A</v>
      </c>
      <c r="I594" s="29" t="e">
        <f t="shared" ca="1" si="0"/>
        <v>#VALUE!</v>
      </c>
      <c r="J594" s="29" t="str">
        <f ca="1">IFERROR(__xludf.DUMMYFUNCTION("IF(F594 = H594,C594/FILTER('Base Stats'!$C$2:$C1000, LOWER('Base Stats'!$B$2:$B1000) = LOWER($A594)), """")"),"#N/A")</f>
        <v>#N/A</v>
      </c>
      <c r="K594" t="str">
        <f t="shared" ca="1" si="1"/>
        <v/>
      </c>
      <c r="L594" t="str">
        <f ca="1">IFERROR(__xludf.DUMMYFUNCTION("IF(AND(NOT(K594 = """"), G594 &gt;= 15),K594/FILTER('Base Stats'!$C$2:$C1000, LOWER('Base Stats'!$B$2:$B1000) = LOWER($A594)), """")"),"#N/A")</f>
        <v>#N/A</v>
      </c>
      <c r="M594" t="str">
        <f ca="1">IFERROR(__xludf.DUMMYFUNCTION("1.15 + 0.02 * FILTER('Base Stats'!$C$2:$C1000, LOWER('Base Stats'!$B$2:$B1000) = LOWER($A594))"),"1.15")</f>
        <v>1.15</v>
      </c>
      <c r="N594" t="s">
        <v>527</v>
      </c>
    </row>
    <row r="595" spans="1:14" ht="12.75" x14ac:dyDescent="0.2">
      <c r="A595">
        <f>'Form Responses (Pokemon Stats)'!B555</f>
        <v>0</v>
      </c>
      <c r="B595">
        <f>'Form Responses (Pokemon Stats)'!D555</f>
        <v>0</v>
      </c>
      <c r="C595">
        <f>'Form Responses (Pokemon Stats)'!C555</f>
        <v>0</v>
      </c>
      <c r="F595">
        <f>'Form Responses (Pokemon Stats)'!E555</f>
        <v>0</v>
      </c>
      <c r="G595" t="str">
        <f ca="1">IFERROR(__xludf.DUMMYFUNCTION("ROUND(B595/ FILTER('Pokemon CP/HP'!$M$2:$M1000, LOWER('Pokemon CP/HP'!$B$2:$B1000)=LOWER(A595)))"),"#DIV/0!")</f>
        <v>#DIV/0!</v>
      </c>
      <c r="H595" t="str">
        <f ca="1">IFERROR(__xludf.DUMMYFUNCTION("FILTER('Leveling Info'!$B$2:$B1000, 'Leveling Info'!$A$2:$A1000 =G595)"),"#N/A")</f>
        <v>#N/A</v>
      </c>
      <c r="I595" s="29" t="e">
        <f t="shared" ca="1" si="0"/>
        <v>#VALUE!</v>
      </c>
      <c r="J595" s="29" t="str">
        <f ca="1">IFERROR(__xludf.DUMMYFUNCTION("IF(F595 = H595,C595/FILTER('Base Stats'!$C$2:$C1000, LOWER('Base Stats'!$B$2:$B1000) = LOWER($A595)), """")"),"#N/A")</f>
        <v>#N/A</v>
      </c>
      <c r="K595" t="str">
        <f t="shared" ca="1" si="1"/>
        <v/>
      </c>
      <c r="L595" t="str">
        <f ca="1">IFERROR(__xludf.DUMMYFUNCTION("IF(AND(NOT(K595 = """"), G595 &gt;= 15),K595/FILTER('Base Stats'!$C$2:$C1000, LOWER('Base Stats'!$B$2:$B1000) = LOWER($A595)), """")"),"#N/A")</f>
        <v>#N/A</v>
      </c>
      <c r="M595" t="str">
        <f ca="1">IFERROR(__xludf.DUMMYFUNCTION("1.15 + 0.02 * FILTER('Base Stats'!$C$2:$C1000, LOWER('Base Stats'!$B$2:$B1000) = LOWER($A595))"),"1.15")</f>
        <v>1.15</v>
      </c>
      <c r="N595" t="s">
        <v>527</v>
      </c>
    </row>
    <row r="596" spans="1:14" ht="12.75" x14ac:dyDescent="0.2">
      <c r="A596">
        <f>'Form Responses (Pokemon Stats)'!B556</f>
        <v>0</v>
      </c>
      <c r="B596">
        <f>'Form Responses (Pokemon Stats)'!D556</f>
        <v>0</v>
      </c>
      <c r="C596">
        <f>'Form Responses (Pokemon Stats)'!C556</f>
        <v>0</v>
      </c>
      <c r="F596">
        <f>'Form Responses (Pokemon Stats)'!E556</f>
        <v>0</v>
      </c>
      <c r="G596" t="str">
        <f ca="1">IFERROR(__xludf.DUMMYFUNCTION("ROUND(B596/ FILTER('Pokemon CP/HP'!$M$2:$M1000, LOWER('Pokemon CP/HP'!$B$2:$B1000)=LOWER(A596)))"),"#DIV/0!")</f>
        <v>#DIV/0!</v>
      </c>
      <c r="H596" t="str">
        <f ca="1">IFERROR(__xludf.DUMMYFUNCTION("FILTER('Leveling Info'!$B$2:$B1000, 'Leveling Info'!$A$2:$A1000 =G596)"),"#N/A")</f>
        <v>#N/A</v>
      </c>
      <c r="I596" s="29" t="e">
        <f t="shared" ca="1" si="0"/>
        <v>#VALUE!</v>
      </c>
      <c r="J596" s="29" t="str">
        <f ca="1">IFERROR(__xludf.DUMMYFUNCTION("IF(F596 = H596,C596/FILTER('Base Stats'!$C$2:$C1000, LOWER('Base Stats'!$B$2:$B1000) = LOWER($A596)), """")"),"#N/A")</f>
        <v>#N/A</v>
      </c>
      <c r="K596" t="str">
        <f t="shared" ca="1" si="1"/>
        <v/>
      </c>
      <c r="L596" t="str">
        <f ca="1">IFERROR(__xludf.DUMMYFUNCTION("IF(AND(NOT(K596 = """"), G596 &gt;= 15),K596/FILTER('Base Stats'!$C$2:$C1000, LOWER('Base Stats'!$B$2:$B1000) = LOWER($A596)), """")"),"#N/A")</f>
        <v>#N/A</v>
      </c>
      <c r="M596" t="str">
        <f ca="1">IFERROR(__xludf.DUMMYFUNCTION("1.15 + 0.02 * FILTER('Base Stats'!$C$2:$C1000, LOWER('Base Stats'!$B$2:$B1000) = LOWER($A596))"),"1.15")</f>
        <v>1.15</v>
      </c>
      <c r="N596" t="s">
        <v>527</v>
      </c>
    </row>
    <row r="597" spans="1:14" ht="12.75" x14ac:dyDescent="0.2">
      <c r="A597">
        <f>'Form Responses (Pokemon Stats)'!B557</f>
        <v>0</v>
      </c>
      <c r="B597">
        <f>'Form Responses (Pokemon Stats)'!D557</f>
        <v>0</v>
      </c>
      <c r="C597">
        <f>'Form Responses (Pokemon Stats)'!C557</f>
        <v>0</v>
      </c>
      <c r="F597">
        <f>'Form Responses (Pokemon Stats)'!E557</f>
        <v>0</v>
      </c>
      <c r="G597" t="str">
        <f ca="1">IFERROR(__xludf.DUMMYFUNCTION("ROUND(B597/ FILTER('Pokemon CP/HP'!$M$2:$M1000, LOWER('Pokemon CP/HP'!$B$2:$B1000)=LOWER(A597)))"),"#DIV/0!")</f>
        <v>#DIV/0!</v>
      </c>
      <c r="H597" t="str">
        <f ca="1">IFERROR(__xludf.DUMMYFUNCTION("FILTER('Leveling Info'!$B$2:$B1000, 'Leveling Info'!$A$2:$A1000 =G597)"),"#N/A")</f>
        <v>#N/A</v>
      </c>
      <c r="I597" s="29" t="e">
        <f t="shared" ca="1" si="0"/>
        <v>#VALUE!</v>
      </c>
      <c r="J597" s="29" t="str">
        <f ca="1">IFERROR(__xludf.DUMMYFUNCTION("IF(F597 = H597,C597/FILTER('Base Stats'!$C$2:$C1000, LOWER('Base Stats'!$B$2:$B1000) = LOWER($A597)), """")"),"#N/A")</f>
        <v>#N/A</v>
      </c>
      <c r="K597" t="str">
        <f t="shared" ca="1" si="1"/>
        <v/>
      </c>
      <c r="L597" t="str">
        <f ca="1">IFERROR(__xludf.DUMMYFUNCTION("IF(AND(NOT(K597 = """"), G597 &gt;= 15),K597/FILTER('Base Stats'!$C$2:$C1000, LOWER('Base Stats'!$B$2:$B1000) = LOWER($A597)), """")"),"#N/A")</f>
        <v>#N/A</v>
      </c>
      <c r="M597" t="str">
        <f ca="1">IFERROR(__xludf.DUMMYFUNCTION("1.15 + 0.02 * FILTER('Base Stats'!$C$2:$C1000, LOWER('Base Stats'!$B$2:$B1000) = LOWER($A597))"),"1.15")</f>
        <v>1.15</v>
      </c>
      <c r="N597" t="s">
        <v>527</v>
      </c>
    </row>
    <row r="598" spans="1:14" ht="12.75" x14ac:dyDescent="0.2">
      <c r="A598">
        <f>'Form Responses (Pokemon Stats)'!B558</f>
        <v>0</v>
      </c>
      <c r="B598">
        <f>'Form Responses (Pokemon Stats)'!D558</f>
        <v>0</v>
      </c>
      <c r="C598">
        <f>'Form Responses (Pokemon Stats)'!C558</f>
        <v>0</v>
      </c>
      <c r="F598">
        <f>'Form Responses (Pokemon Stats)'!E558</f>
        <v>0</v>
      </c>
      <c r="G598" t="str">
        <f ca="1">IFERROR(__xludf.DUMMYFUNCTION("ROUND(B598/ FILTER('Pokemon CP/HP'!$M$2:$M1000, LOWER('Pokemon CP/HP'!$B$2:$B1000)=LOWER(A598)))"),"#DIV/0!")</f>
        <v>#DIV/0!</v>
      </c>
      <c r="H598" t="str">
        <f ca="1">IFERROR(__xludf.DUMMYFUNCTION("FILTER('Leveling Info'!$B$2:$B1000, 'Leveling Info'!$A$2:$A1000 =G598)"),"#N/A")</f>
        <v>#N/A</v>
      </c>
      <c r="I598" s="29" t="e">
        <f t="shared" ca="1" si="0"/>
        <v>#VALUE!</v>
      </c>
      <c r="J598" s="29" t="str">
        <f ca="1">IFERROR(__xludf.DUMMYFUNCTION("IF(F598 = H598,C598/FILTER('Base Stats'!$C$2:$C1000, LOWER('Base Stats'!$B$2:$B1000) = LOWER($A598)), """")"),"#N/A")</f>
        <v>#N/A</v>
      </c>
      <c r="K598" t="str">
        <f t="shared" ca="1" si="1"/>
        <v/>
      </c>
      <c r="L598" t="str">
        <f ca="1">IFERROR(__xludf.DUMMYFUNCTION("IF(AND(NOT(K598 = """"), G598 &gt;= 15),K598/FILTER('Base Stats'!$C$2:$C1000, LOWER('Base Stats'!$B$2:$B1000) = LOWER($A598)), """")"),"#N/A")</f>
        <v>#N/A</v>
      </c>
      <c r="M598" t="str">
        <f ca="1">IFERROR(__xludf.DUMMYFUNCTION("1.15 + 0.02 * FILTER('Base Stats'!$C$2:$C1000, LOWER('Base Stats'!$B$2:$B1000) = LOWER($A598))"),"1.15")</f>
        <v>1.15</v>
      </c>
      <c r="N598" t="s">
        <v>527</v>
      </c>
    </row>
    <row r="599" spans="1:14" ht="12.75" x14ac:dyDescent="0.2">
      <c r="A599">
        <f>'Form Responses (Pokemon Stats)'!B559</f>
        <v>0</v>
      </c>
      <c r="B599">
        <f>'Form Responses (Pokemon Stats)'!D559</f>
        <v>0</v>
      </c>
      <c r="C599">
        <f>'Form Responses (Pokemon Stats)'!C559</f>
        <v>0</v>
      </c>
      <c r="F599">
        <f>'Form Responses (Pokemon Stats)'!E559</f>
        <v>0</v>
      </c>
      <c r="G599" t="str">
        <f ca="1">IFERROR(__xludf.DUMMYFUNCTION("ROUND(B599/ FILTER('Pokemon CP/HP'!$M$2:$M1000, LOWER('Pokemon CP/HP'!$B$2:$B1000)=LOWER(A599)))"),"#DIV/0!")</f>
        <v>#DIV/0!</v>
      </c>
      <c r="H599" t="str">
        <f ca="1">IFERROR(__xludf.DUMMYFUNCTION("FILTER('Leveling Info'!$B$2:$B1000, 'Leveling Info'!$A$2:$A1000 =G599)"),"#N/A")</f>
        <v>#N/A</v>
      </c>
      <c r="I599" s="29" t="e">
        <f t="shared" ca="1" si="0"/>
        <v>#VALUE!</v>
      </c>
      <c r="J599" s="29" t="str">
        <f ca="1">IFERROR(__xludf.DUMMYFUNCTION("IF(F599 = H599,C599/FILTER('Base Stats'!$C$2:$C1000, LOWER('Base Stats'!$B$2:$B1000) = LOWER($A599)), """")"),"#N/A")</f>
        <v>#N/A</v>
      </c>
      <c r="K599" t="str">
        <f t="shared" ca="1" si="1"/>
        <v/>
      </c>
      <c r="L599" t="str">
        <f ca="1">IFERROR(__xludf.DUMMYFUNCTION("IF(AND(NOT(K599 = """"), G599 &gt;= 15),K599/FILTER('Base Stats'!$C$2:$C1000, LOWER('Base Stats'!$B$2:$B1000) = LOWER($A599)), """")"),"#N/A")</f>
        <v>#N/A</v>
      </c>
      <c r="M599" t="str">
        <f ca="1">IFERROR(__xludf.DUMMYFUNCTION("1.15 + 0.02 * FILTER('Base Stats'!$C$2:$C1000, LOWER('Base Stats'!$B$2:$B1000) = LOWER($A599))"),"1.15")</f>
        <v>1.15</v>
      </c>
      <c r="N599" t="s">
        <v>527</v>
      </c>
    </row>
    <row r="600" spans="1:14" ht="12.75" x14ac:dyDescent="0.2">
      <c r="A600">
        <f>'Form Responses (Pokemon Stats)'!B560</f>
        <v>0</v>
      </c>
      <c r="B600">
        <f>'Form Responses (Pokemon Stats)'!D560</f>
        <v>0</v>
      </c>
      <c r="C600">
        <f>'Form Responses (Pokemon Stats)'!C560</f>
        <v>0</v>
      </c>
      <c r="F600">
        <f>'Form Responses (Pokemon Stats)'!E560</f>
        <v>0</v>
      </c>
      <c r="G600" t="str">
        <f ca="1">IFERROR(__xludf.DUMMYFUNCTION("ROUND(B600/ FILTER('Pokemon CP/HP'!$M$2:$M1000, LOWER('Pokemon CP/HP'!$B$2:$B1000)=LOWER(A600)))"),"#DIV/0!")</f>
        <v>#DIV/0!</v>
      </c>
      <c r="H600" t="str">
        <f ca="1">IFERROR(__xludf.DUMMYFUNCTION("FILTER('Leveling Info'!$B$2:$B1000, 'Leveling Info'!$A$2:$A1000 =G600)"),"#N/A")</f>
        <v>#N/A</v>
      </c>
      <c r="I600" s="29" t="e">
        <f t="shared" ca="1" si="0"/>
        <v>#VALUE!</v>
      </c>
      <c r="J600" s="29" t="str">
        <f ca="1">IFERROR(__xludf.DUMMYFUNCTION("IF(F600 = H600,C600/FILTER('Base Stats'!$C$2:$C1000, LOWER('Base Stats'!$B$2:$B1000) = LOWER($A600)), """")"),"#N/A")</f>
        <v>#N/A</v>
      </c>
      <c r="K600" t="str">
        <f t="shared" ca="1" si="1"/>
        <v/>
      </c>
      <c r="L600" t="str">
        <f ca="1">IFERROR(__xludf.DUMMYFUNCTION("IF(AND(NOT(K600 = """"), G600 &gt;= 15),K600/FILTER('Base Stats'!$C$2:$C1000, LOWER('Base Stats'!$B$2:$B1000) = LOWER($A600)), """")"),"#N/A")</f>
        <v>#N/A</v>
      </c>
      <c r="M600" t="str">
        <f ca="1">IFERROR(__xludf.DUMMYFUNCTION("1.15 + 0.02 * FILTER('Base Stats'!$C$2:$C1000, LOWER('Base Stats'!$B$2:$B1000) = LOWER($A600))"),"1.15")</f>
        <v>1.15</v>
      </c>
      <c r="N600" t="s">
        <v>527</v>
      </c>
    </row>
    <row r="601" spans="1:14" ht="12.75" x14ac:dyDescent="0.2">
      <c r="A601">
        <f>'Form Responses (Pokemon Stats)'!B561</f>
        <v>0</v>
      </c>
      <c r="B601">
        <f>'Form Responses (Pokemon Stats)'!D561</f>
        <v>0</v>
      </c>
      <c r="C601">
        <f>'Form Responses (Pokemon Stats)'!C561</f>
        <v>0</v>
      </c>
      <c r="F601">
        <f>'Form Responses (Pokemon Stats)'!E561</f>
        <v>0</v>
      </c>
      <c r="G601" t="str">
        <f ca="1">IFERROR(__xludf.DUMMYFUNCTION("ROUND(B601/ FILTER('Pokemon CP/HP'!$M$2:$M1000, LOWER('Pokemon CP/HP'!$B$2:$B1000)=LOWER(A601)))"),"#DIV/0!")</f>
        <v>#DIV/0!</v>
      </c>
      <c r="H601" t="str">
        <f ca="1">IFERROR(__xludf.DUMMYFUNCTION("FILTER('Leveling Info'!$B$2:$B1000, 'Leveling Info'!$A$2:$A1000 =G601)"),"#N/A")</f>
        <v>#N/A</v>
      </c>
      <c r="I601" s="29" t="e">
        <f t="shared" ca="1" si="0"/>
        <v>#VALUE!</v>
      </c>
      <c r="J601" s="29" t="str">
        <f ca="1">IFERROR(__xludf.DUMMYFUNCTION("IF(F601 = H601,C601/FILTER('Base Stats'!$C$2:$C1000, LOWER('Base Stats'!$B$2:$B1000) = LOWER($A601)), """")"),"#N/A")</f>
        <v>#N/A</v>
      </c>
      <c r="K601" t="str">
        <f t="shared" ca="1" si="1"/>
        <v/>
      </c>
      <c r="L601" t="str">
        <f ca="1">IFERROR(__xludf.DUMMYFUNCTION("IF(AND(NOT(K601 = """"), G601 &gt;= 15),K601/FILTER('Base Stats'!$C$2:$C1000, LOWER('Base Stats'!$B$2:$B1000) = LOWER($A601)), """")"),"#N/A")</f>
        <v>#N/A</v>
      </c>
      <c r="M601" t="str">
        <f ca="1">IFERROR(__xludf.DUMMYFUNCTION("1.15 + 0.02 * FILTER('Base Stats'!$C$2:$C1000, LOWER('Base Stats'!$B$2:$B1000) = LOWER($A601))"),"1.15")</f>
        <v>1.15</v>
      </c>
      <c r="N601" t="s">
        <v>527</v>
      </c>
    </row>
    <row r="602" spans="1:14" ht="12.75" x14ac:dyDescent="0.2">
      <c r="A602">
        <f>'Form Responses (Pokemon Stats)'!B562</f>
        <v>0</v>
      </c>
      <c r="B602">
        <f>'Form Responses (Pokemon Stats)'!D562</f>
        <v>0</v>
      </c>
      <c r="C602">
        <f>'Form Responses (Pokemon Stats)'!C562</f>
        <v>0</v>
      </c>
      <c r="F602">
        <f>'Form Responses (Pokemon Stats)'!E562</f>
        <v>0</v>
      </c>
      <c r="G602" t="str">
        <f ca="1">IFERROR(__xludf.DUMMYFUNCTION("ROUND(B602/ FILTER('Pokemon CP/HP'!$M$2:$M1000, LOWER('Pokemon CP/HP'!$B$2:$B1000)=LOWER(A602)))"),"#DIV/0!")</f>
        <v>#DIV/0!</v>
      </c>
      <c r="H602" t="str">
        <f ca="1">IFERROR(__xludf.DUMMYFUNCTION("FILTER('Leveling Info'!$B$2:$B1000, 'Leveling Info'!$A$2:$A1000 =G602)"),"#N/A")</f>
        <v>#N/A</v>
      </c>
      <c r="I602" s="29" t="e">
        <f t="shared" ca="1" si="0"/>
        <v>#VALUE!</v>
      </c>
      <c r="J602" s="29" t="str">
        <f ca="1">IFERROR(__xludf.DUMMYFUNCTION("IF(F602 = H602,C602/FILTER('Base Stats'!$C$2:$C1000, LOWER('Base Stats'!$B$2:$B1000) = LOWER($A602)), """")"),"#N/A")</f>
        <v>#N/A</v>
      </c>
      <c r="K602" t="str">
        <f t="shared" ca="1" si="1"/>
        <v/>
      </c>
      <c r="L602" t="str">
        <f ca="1">IFERROR(__xludf.DUMMYFUNCTION("IF(AND(NOT(K602 = """"), G602 &gt;= 15),K602/FILTER('Base Stats'!$C$2:$C1000, LOWER('Base Stats'!$B$2:$B1000) = LOWER($A602)), """")"),"#N/A")</f>
        <v>#N/A</v>
      </c>
      <c r="M602" t="str">
        <f ca="1">IFERROR(__xludf.DUMMYFUNCTION("1.15 + 0.02 * FILTER('Base Stats'!$C$2:$C1000, LOWER('Base Stats'!$B$2:$B1000) = LOWER($A602))"),"1.15")</f>
        <v>1.15</v>
      </c>
      <c r="N602" t="s">
        <v>527</v>
      </c>
    </row>
    <row r="603" spans="1:14" ht="12.75" x14ac:dyDescent="0.2">
      <c r="A603">
        <f>'Form Responses (Pokemon Stats)'!B563</f>
        <v>0</v>
      </c>
      <c r="B603">
        <f>'Form Responses (Pokemon Stats)'!D563</f>
        <v>0</v>
      </c>
      <c r="C603">
        <f>'Form Responses (Pokemon Stats)'!C563</f>
        <v>0</v>
      </c>
      <c r="F603">
        <f>'Form Responses (Pokemon Stats)'!E563</f>
        <v>0</v>
      </c>
      <c r="G603" t="str">
        <f ca="1">IFERROR(__xludf.DUMMYFUNCTION("ROUND(B603/ FILTER('Pokemon CP/HP'!$M$2:$M1000, LOWER('Pokemon CP/HP'!$B$2:$B1000)=LOWER(A603)))"),"#DIV/0!")</f>
        <v>#DIV/0!</v>
      </c>
      <c r="H603" t="str">
        <f ca="1">IFERROR(__xludf.DUMMYFUNCTION("FILTER('Leveling Info'!$B$2:$B1000, 'Leveling Info'!$A$2:$A1000 =G603)"),"#N/A")</f>
        <v>#N/A</v>
      </c>
      <c r="I603" s="29" t="e">
        <f t="shared" ca="1" si="0"/>
        <v>#VALUE!</v>
      </c>
      <c r="J603" s="29" t="str">
        <f ca="1">IFERROR(__xludf.DUMMYFUNCTION("IF(F603 = H603,C603/FILTER('Base Stats'!$C$2:$C1000, LOWER('Base Stats'!$B$2:$B1000) = LOWER($A603)), """")"),"#N/A")</f>
        <v>#N/A</v>
      </c>
      <c r="K603" t="str">
        <f t="shared" ca="1" si="1"/>
        <v/>
      </c>
      <c r="L603" t="str">
        <f ca="1">IFERROR(__xludf.DUMMYFUNCTION("IF(AND(NOT(K603 = """"), G603 &gt;= 15),K603/FILTER('Base Stats'!$C$2:$C1000, LOWER('Base Stats'!$B$2:$B1000) = LOWER($A603)), """")"),"#N/A")</f>
        <v>#N/A</v>
      </c>
      <c r="M603" t="str">
        <f ca="1">IFERROR(__xludf.DUMMYFUNCTION("1.15 + 0.02 * FILTER('Base Stats'!$C$2:$C1000, LOWER('Base Stats'!$B$2:$B1000) = LOWER($A603))"),"1.15")</f>
        <v>1.15</v>
      </c>
      <c r="N603" t="s">
        <v>527</v>
      </c>
    </row>
    <row r="604" spans="1:14" ht="12.75" x14ac:dyDescent="0.2">
      <c r="A604">
        <f>'Form Responses (Pokemon Stats)'!B564</f>
        <v>0</v>
      </c>
      <c r="B604">
        <f>'Form Responses (Pokemon Stats)'!D564</f>
        <v>0</v>
      </c>
      <c r="C604">
        <f>'Form Responses (Pokemon Stats)'!C564</f>
        <v>0</v>
      </c>
      <c r="F604">
        <f>'Form Responses (Pokemon Stats)'!E564</f>
        <v>0</v>
      </c>
      <c r="G604" t="str">
        <f ca="1">IFERROR(__xludf.DUMMYFUNCTION("ROUND(B604/ FILTER('Pokemon CP/HP'!$M$2:$M1000, LOWER('Pokemon CP/HP'!$B$2:$B1000)=LOWER(A604)))"),"#DIV/0!")</f>
        <v>#DIV/0!</v>
      </c>
      <c r="H604" t="str">
        <f ca="1">IFERROR(__xludf.DUMMYFUNCTION("FILTER('Leveling Info'!$B$2:$B1000, 'Leveling Info'!$A$2:$A1000 =G604)"),"#N/A")</f>
        <v>#N/A</v>
      </c>
      <c r="I604" s="29" t="e">
        <f t="shared" ca="1" si="0"/>
        <v>#VALUE!</v>
      </c>
      <c r="J604" s="29" t="str">
        <f ca="1">IFERROR(__xludf.DUMMYFUNCTION("IF(F604 = H604,C604/FILTER('Base Stats'!$C$2:$C1000, LOWER('Base Stats'!$B$2:$B1000) = LOWER($A604)), """")"),"#N/A")</f>
        <v>#N/A</v>
      </c>
      <c r="K604" t="str">
        <f t="shared" ca="1" si="1"/>
        <v/>
      </c>
      <c r="L604" t="str">
        <f ca="1">IFERROR(__xludf.DUMMYFUNCTION("IF(AND(NOT(K604 = """"), G604 &gt;= 15),K604/FILTER('Base Stats'!$C$2:$C1000, LOWER('Base Stats'!$B$2:$B1000) = LOWER($A604)), """")"),"#N/A")</f>
        <v>#N/A</v>
      </c>
      <c r="M604" t="str">
        <f ca="1">IFERROR(__xludf.DUMMYFUNCTION("1.15 + 0.02 * FILTER('Base Stats'!$C$2:$C1000, LOWER('Base Stats'!$B$2:$B1000) = LOWER($A604))"),"1.15")</f>
        <v>1.15</v>
      </c>
      <c r="N604" t="s">
        <v>527</v>
      </c>
    </row>
    <row r="605" spans="1:14" ht="12.75" x14ac:dyDescent="0.2">
      <c r="A605">
        <f>'Form Responses (Pokemon Stats)'!B565</f>
        <v>0</v>
      </c>
      <c r="B605">
        <f>'Form Responses (Pokemon Stats)'!D565</f>
        <v>0</v>
      </c>
      <c r="C605">
        <f>'Form Responses (Pokemon Stats)'!C565</f>
        <v>0</v>
      </c>
      <c r="F605">
        <f>'Form Responses (Pokemon Stats)'!E565</f>
        <v>0</v>
      </c>
      <c r="G605" t="str">
        <f ca="1">IFERROR(__xludf.DUMMYFUNCTION("ROUND(B605/ FILTER('Pokemon CP/HP'!$M$2:$M1000, LOWER('Pokemon CP/HP'!$B$2:$B1000)=LOWER(A605)))"),"#DIV/0!")</f>
        <v>#DIV/0!</v>
      </c>
      <c r="H605" t="str">
        <f ca="1">IFERROR(__xludf.DUMMYFUNCTION("FILTER('Leveling Info'!$B$2:$B1000, 'Leveling Info'!$A$2:$A1000 =G605)"),"#N/A")</f>
        <v>#N/A</v>
      </c>
      <c r="I605" s="29" t="e">
        <f t="shared" ca="1" si="0"/>
        <v>#VALUE!</v>
      </c>
      <c r="J605" s="29" t="str">
        <f ca="1">IFERROR(__xludf.DUMMYFUNCTION("IF(F605 = H605,C605/FILTER('Base Stats'!$C$2:$C1000, LOWER('Base Stats'!$B$2:$B1000) = LOWER($A605)), """")"),"#N/A")</f>
        <v>#N/A</v>
      </c>
      <c r="K605" t="str">
        <f t="shared" ca="1" si="1"/>
        <v/>
      </c>
      <c r="L605" t="str">
        <f ca="1">IFERROR(__xludf.DUMMYFUNCTION("IF(AND(NOT(K605 = """"), G605 &gt;= 15),K605/FILTER('Base Stats'!$C$2:$C1000, LOWER('Base Stats'!$B$2:$B1000) = LOWER($A605)), """")"),"#N/A")</f>
        <v>#N/A</v>
      </c>
      <c r="M605" t="str">
        <f ca="1">IFERROR(__xludf.DUMMYFUNCTION("1.15 + 0.02 * FILTER('Base Stats'!$C$2:$C1000, LOWER('Base Stats'!$B$2:$B1000) = LOWER($A605))"),"1.15")</f>
        <v>1.15</v>
      </c>
      <c r="N605" t="s">
        <v>527</v>
      </c>
    </row>
    <row r="606" spans="1:14" ht="12.75" x14ac:dyDescent="0.2">
      <c r="A606">
        <f>'Form Responses (Pokemon Stats)'!B566</f>
        <v>0</v>
      </c>
      <c r="B606">
        <f>'Form Responses (Pokemon Stats)'!D566</f>
        <v>0</v>
      </c>
      <c r="C606">
        <f>'Form Responses (Pokemon Stats)'!C566</f>
        <v>0</v>
      </c>
      <c r="F606">
        <f>'Form Responses (Pokemon Stats)'!E566</f>
        <v>0</v>
      </c>
      <c r="G606" t="str">
        <f ca="1">IFERROR(__xludf.DUMMYFUNCTION("ROUND(B606/ FILTER('Pokemon CP/HP'!$M$2:$M1000, LOWER('Pokemon CP/HP'!$B$2:$B1000)=LOWER(A606)))"),"#DIV/0!")</f>
        <v>#DIV/0!</v>
      </c>
      <c r="H606" t="str">
        <f ca="1">IFERROR(__xludf.DUMMYFUNCTION("FILTER('Leveling Info'!$B$2:$B1000, 'Leveling Info'!$A$2:$A1000 =G606)"),"#N/A")</f>
        <v>#N/A</v>
      </c>
      <c r="I606" s="29" t="e">
        <f t="shared" ca="1" si="0"/>
        <v>#VALUE!</v>
      </c>
      <c r="J606" s="29" t="str">
        <f ca="1">IFERROR(__xludf.DUMMYFUNCTION("IF(F606 = H606,C606/FILTER('Base Stats'!$C$2:$C1000, LOWER('Base Stats'!$B$2:$B1000) = LOWER($A606)), """")"),"#N/A")</f>
        <v>#N/A</v>
      </c>
      <c r="K606" t="str">
        <f t="shared" ca="1" si="1"/>
        <v/>
      </c>
      <c r="L606" t="str">
        <f ca="1">IFERROR(__xludf.DUMMYFUNCTION("IF(AND(NOT(K606 = """"), G606 &gt;= 15),K606/FILTER('Base Stats'!$C$2:$C1000, LOWER('Base Stats'!$B$2:$B1000) = LOWER($A606)), """")"),"#N/A")</f>
        <v>#N/A</v>
      </c>
      <c r="M606" t="str">
        <f ca="1">IFERROR(__xludf.DUMMYFUNCTION("1.15 + 0.02 * FILTER('Base Stats'!$C$2:$C1000, LOWER('Base Stats'!$B$2:$B1000) = LOWER($A606))"),"1.15")</f>
        <v>1.15</v>
      </c>
      <c r="N606" t="s">
        <v>527</v>
      </c>
    </row>
    <row r="607" spans="1:14" ht="12.75" x14ac:dyDescent="0.2">
      <c r="A607">
        <f>'Form Responses (Pokemon Stats)'!B567</f>
        <v>0</v>
      </c>
      <c r="B607">
        <f>'Form Responses (Pokemon Stats)'!D567</f>
        <v>0</v>
      </c>
      <c r="C607">
        <f>'Form Responses (Pokemon Stats)'!C567</f>
        <v>0</v>
      </c>
      <c r="F607">
        <f>'Form Responses (Pokemon Stats)'!E567</f>
        <v>0</v>
      </c>
      <c r="G607" t="str">
        <f ca="1">IFERROR(__xludf.DUMMYFUNCTION("ROUND(B607/ FILTER('Pokemon CP/HP'!$M$2:$M1000, LOWER('Pokemon CP/HP'!$B$2:$B1000)=LOWER(A607)))"),"#DIV/0!")</f>
        <v>#DIV/0!</v>
      </c>
      <c r="H607" t="str">
        <f ca="1">IFERROR(__xludf.DUMMYFUNCTION("FILTER('Leveling Info'!$B$2:$B1000, 'Leveling Info'!$A$2:$A1000 =G607)"),"#N/A")</f>
        <v>#N/A</v>
      </c>
      <c r="I607" s="29" t="e">
        <f t="shared" ca="1" si="0"/>
        <v>#VALUE!</v>
      </c>
      <c r="J607" s="29" t="str">
        <f ca="1">IFERROR(__xludf.DUMMYFUNCTION("IF(F607 = H607,C607/FILTER('Base Stats'!$C$2:$C1000, LOWER('Base Stats'!$B$2:$B1000) = LOWER($A607)), """")"),"#N/A")</f>
        <v>#N/A</v>
      </c>
      <c r="K607" t="str">
        <f t="shared" ca="1" si="1"/>
        <v/>
      </c>
      <c r="L607" t="str">
        <f ca="1">IFERROR(__xludf.DUMMYFUNCTION("IF(AND(NOT(K607 = """"), G607 &gt;= 15),K607/FILTER('Base Stats'!$C$2:$C1000, LOWER('Base Stats'!$B$2:$B1000) = LOWER($A607)), """")"),"#N/A")</f>
        <v>#N/A</v>
      </c>
      <c r="M607" t="str">
        <f ca="1">IFERROR(__xludf.DUMMYFUNCTION("1.15 + 0.02 * FILTER('Base Stats'!$C$2:$C1000, LOWER('Base Stats'!$B$2:$B1000) = LOWER($A607))"),"1.15")</f>
        <v>1.15</v>
      </c>
      <c r="N607" t="s">
        <v>527</v>
      </c>
    </row>
    <row r="608" spans="1:14" ht="12.75" x14ac:dyDescent="0.2">
      <c r="A608">
        <f>'Form Responses (Pokemon Stats)'!B568</f>
        <v>0</v>
      </c>
      <c r="B608">
        <f>'Form Responses (Pokemon Stats)'!D568</f>
        <v>0</v>
      </c>
      <c r="C608">
        <f>'Form Responses (Pokemon Stats)'!C568</f>
        <v>0</v>
      </c>
      <c r="F608">
        <f>'Form Responses (Pokemon Stats)'!E568</f>
        <v>0</v>
      </c>
      <c r="G608" t="str">
        <f ca="1">IFERROR(__xludf.DUMMYFUNCTION("ROUND(B608/ FILTER('Pokemon CP/HP'!$M$2:$M1000, LOWER('Pokemon CP/HP'!$B$2:$B1000)=LOWER(A608)))"),"#DIV/0!")</f>
        <v>#DIV/0!</v>
      </c>
      <c r="H608" t="str">
        <f ca="1">IFERROR(__xludf.DUMMYFUNCTION("FILTER('Leveling Info'!$B$2:$B1000, 'Leveling Info'!$A$2:$A1000 =G608)"),"#N/A")</f>
        <v>#N/A</v>
      </c>
      <c r="I608" s="29" t="e">
        <f t="shared" ca="1" si="0"/>
        <v>#VALUE!</v>
      </c>
      <c r="J608" s="29" t="str">
        <f ca="1">IFERROR(__xludf.DUMMYFUNCTION("IF(F608 = H608,C608/FILTER('Base Stats'!$C$2:$C1000, LOWER('Base Stats'!$B$2:$B1000) = LOWER($A608)), """")"),"#N/A")</f>
        <v>#N/A</v>
      </c>
      <c r="K608" t="str">
        <f t="shared" ca="1" si="1"/>
        <v/>
      </c>
      <c r="L608" t="str">
        <f ca="1">IFERROR(__xludf.DUMMYFUNCTION("IF(AND(NOT(K608 = """"), G608 &gt;= 15),K608/FILTER('Base Stats'!$C$2:$C1000, LOWER('Base Stats'!$B$2:$B1000) = LOWER($A608)), """")"),"#N/A")</f>
        <v>#N/A</v>
      </c>
      <c r="M608" t="str">
        <f ca="1">IFERROR(__xludf.DUMMYFUNCTION("1.15 + 0.02 * FILTER('Base Stats'!$C$2:$C1000, LOWER('Base Stats'!$B$2:$B1000) = LOWER($A608))"),"1.15")</f>
        <v>1.15</v>
      </c>
      <c r="N608" t="s">
        <v>527</v>
      </c>
    </row>
    <row r="609" spans="1:14" ht="12.75" x14ac:dyDescent="0.2">
      <c r="A609">
        <f>'Form Responses (Pokemon Stats)'!B569</f>
        <v>0</v>
      </c>
      <c r="B609">
        <f>'Form Responses (Pokemon Stats)'!D569</f>
        <v>0</v>
      </c>
      <c r="C609">
        <f>'Form Responses (Pokemon Stats)'!C569</f>
        <v>0</v>
      </c>
      <c r="F609">
        <f>'Form Responses (Pokemon Stats)'!E569</f>
        <v>0</v>
      </c>
      <c r="G609" t="str">
        <f ca="1">IFERROR(__xludf.DUMMYFUNCTION("ROUND(B609/ FILTER('Pokemon CP/HP'!$M$2:$M1000, LOWER('Pokemon CP/HP'!$B$2:$B1000)=LOWER(A609)))"),"#DIV/0!")</f>
        <v>#DIV/0!</v>
      </c>
      <c r="H609" t="str">
        <f ca="1">IFERROR(__xludf.DUMMYFUNCTION("FILTER('Leveling Info'!$B$2:$B1000, 'Leveling Info'!$A$2:$A1000 =G609)"),"#N/A")</f>
        <v>#N/A</v>
      </c>
      <c r="I609" s="29" t="e">
        <f t="shared" ca="1" si="0"/>
        <v>#VALUE!</v>
      </c>
      <c r="J609" s="29" t="str">
        <f ca="1">IFERROR(__xludf.DUMMYFUNCTION("IF(F609 = H609,C609/FILTER('Base Stats'!$C$2:$C1000, LOWER('Base Stats'!$B$2:$B1000) = LOWER($A609)), """")"),"#N/A")</f>
        <v>#N/A</v>
      </c>
      <c r="K609" t="str">
        <f t="shared" ca="1" si="1"/>
        <v/>
      </c>
      <c r="L609" t="str">
        <f ca="1">IFERROR(__xludf.DUMMYFUNCTION("IF(AND(NOT(K609 = """"), G609 &gt;= 15),K609/FILTER('Base Stats'!$C$2:$C1000, LOWER('Base Stats'!$B$2:$B1000) = LOWER($A609)), """")"),"#N/A")</f>
        <v>#N/A</v>
      </c>
      <c r="M609" t="str">
        <f ca="1">IFERROR(__xludf.DUMMYFUNCTION("1.15 + 0.02 * FILTER('Base Stats'!$C$2:$C1000, LOWER('Base Stats'!$B$2:$B1000) = LOWER($A609))"),"1.15")</f>
        <v>1.15</v>
      </c>
      <c r="N609" t="s">
        <v>527</v>
      </c>
    </row>
    <row r="610" spans="1:14" ht="12.75" x14ac:dyDescent="0.2">
      <c r="A610">
        <f>'Form Responses (Pokemon Stats)'!B570</f>
        <v>0</v>
      </c>
      <c r="B610">
        <f>'Form Responses (Pokemon Stats)'!D570</f>
        <v>0</v>
      </c>
      <c r="C610">
        <f>'Form Responses (Pokemon Stats)'!C570</f>
        <v>0</v>
      </c>
      <c r="F610">
        <f>'Form Responses (Pokemon Stats)'!E570</f>
        <v>0</v>
      </c>
      <c r="G610" t="str">
        <f ca="1">IFERROR(__xludf.DUMMYFUNCTION("ROUND(B610/ FILTER('Pokemon CP/HP'!$M$2:$M1000, LOWER('Pokemon CP/HP'!$B$2:$B1000)=LOWER(A610)))"),"#DIV/0!")</f>
        <v>#DIV/0!</v>
      </c>
      <c r="H610" t="str">
        <f ca="1">IFERROR(__xludf.DUMMYFUNCTION("FILTER('Leveling Info'!$B$2:$B1000, 'Leveling Info'!$A$2:$A1000 =G610)"),"#N/A")</f>
        <v>#N/A</v>
      </c>
      <c r="I610" s="29" t="e">
        <f t="shared" ca="1" si="0"/>
        <v>#VALUE!</v>
      </c>
      <c r="J610" s="29" t="str">
        <f ca="1">IFERROR(__xludf.DUMMYFUNCTION("IF(F610 = H610,C610/FILTER('Base Stats'!$C$2:$C1000, LOWER('Base Stats'!$B$2:$B1000) = LOWER($A610)), """")"),"#N/A")</f>
        <v>#N/A</v>
      </c>
      <c r="K610" t="str">
        <f t="shared" ca="1" si="1"/>
        <v/>
      </c>
      <c r="L610" t="str">
        <f ca="1">IFERROR(__xludf.DUMMYFUNCTION("IF(AND(NOT(K610 = """"), G610 &gt;= 15),K610/FILTER('Base Stats'!$C$2:$C1000, LOWER('Base Stats'!$B$2:$B1000) = LOWER($A610)), """")"),"#N/A")</f>
        <v>#N/A</v>
      </c>
      <c r="M610" t="str">
        <f ca="1">IFERROR(__xludf.DUMMYFUNCTION("1.15 + 0.02 * FILTER('Base Stats'!$C$2:$C1000, LOWER('Base Stats'!$B$2:$B1000) = LOWER($A610))"),"1.15")</f>
        <v>1.15</v>
      </c>
      <c r="N610" t="s">
        <v>527</v>
      </c>
    </row>
    <row r="611" spans="1:14" ht="12.75" x14ac:dyDescent="0.2">
      <c r="A611">
        <f>'Form Responses (Pokemon Stats)'!B571</f>
        <v>0</v>
      </c>
      <c r="B611">
        <f>'Form Responses (Pokemon Stats)'!D571</f>
        <v>0</v>
      </c>
      <c r="C611">
        <f>'Form Responses (Pokemon Stats)'!C571</f>
        <v>0</v>
      </c>
      <c r="F611">
        <f>'Form Responses (Pokemon Stats)'!E571</f>
        <v>0</v>
      </c>
      <c r="G611" t="str">
        <f ca="1">IFERROR(__xludf.DUMMYFUNCTION("ROUND(B611/ FILTER('Pokemon CP/HP'!$M$2:$M1000, LOWER('Pokemon CP/HP'!$B$2:$B1000)=LOWER(A611)))"),"#DIV/0!")</f>
        <v>#DIV/0!</v>
      </c>
      <c r="H611" t="str">
        <f ca="1">IFERROR(__xludf.DUMMYFUNCTION("FILTER('Leveling Info'!$B$2:$B1000, 'Leveling Info'!$A$2:$A1000 =G611)"),"#N/A")</f>
        <v>#N/A</v>
      </c>
      <c r="I611" s="29" t="e">
        <f t="shared" ca="1" si="0"/>
        <v>#VALUE!</v>
      </c>
      <c r="J611" s="29" t="str">
        <f ca="1">IFERROR(__xludf.DUMMYFUNCTION("IF(F611 = H611,C611/FILTER('Base Stats'!$C$2:$C1000, LOWER('Base Stats'!$B$2:$B1000) = LOWER($A611)), """")"),"#N/A")</f>
        <v>#N/A</v>
      </c>
      <c r="K611" t="str">
        <f t="shared" ca="1" si="1"/>
        <v/>
      </c>
      <c r="L611" t="str">
        <f ca="1">IFERROR(__xludf.DUMMYFUNCTION("IF(AND(NOT(K611 = """"), G611 &gt;= 15),K611/FILTER('Base Stats'!$C$2:$C1000, LOWER('Base Stats'!$B$2:$B1000) = LOWER($A611)), """")"),"#N/A")</f>
        <v>#N/A</v>
      </c>
      <c r="M611" t="str">
        <f ca="1">IFERROR(__xludf.DUMMYFUNCTION("1.15 + 0.02 * FILTER('Base Stats'!$C$2:$C1000, LOWER('Base Stats'!$B$2:$B1000) = LOWER($A611))"),"1.15")</f>
        <v>1.15</v>
      </c>
      <c r="N611" t="s">
        <v>527</v>
      </c>
    </row>
    <row r="612" spans="1:14" ht="12.75" x14ac:dyDescent="0.2">
      <c r="A612">
        <f>'Form Responses (Pokemon Stats)'!B572</f>
        <v>0</v>
      </c>
      <c r="B612">
        <f>'Form Responses (Pokemon Stats)'!D572</f>
        <v>0</v>
      </c>
      <c r="C612">
        <f>'Form Responses (Pokemon Stats)'!C572</f>
        <v>0</v>
      </c>
      <c r="F612">
        <f>'Form Responses (Pokemon Stats)'!E572</f>
        <v>0</v>
      </c>
      <c r="G612" t="str">
        <f ca="1">IFERROR(__xludf.DUMMYFUNCTION("ROUND(B612/ FILTER('Pokemon CP/HP'!$M$2:$M1000, LOWER('Pokemon CP/HP'!$B$2:$B1000)=LOWER(A612)))"),"#DIV/0!")</f>
        <v>#DIV/0!</v>
      </c>
      <c r="H612" t="str">
        <f ca="1">IFERROR(__xludf.DUMMYFUNCTION("FILTER('Leveling Info'!$B$2:$B1000, 'Leveling Info'!$A$2:$A1000 =G612)"),"#N/A")</f>
        <v>#N/A</v>
      </c>
      <c r="I612" s="29" t="e">
        <f t="shared" ca="1" si="0"/>
        <v>#VALUE!</v>
      </c>
      <c r="J612" s="29" t="str">
        <f ca="1">IFERROR(__xludf.DUMMYFUNCTION("IF(F612 = H612,C612/FILTER('Base Stats'!$C$2:$C1000, LOWER('Base Stats'!$B$2:$B1000) = LOWER($A612)), """")"),"#N/A")</f>
        <v>#N/A</v>
      </c>
      <c r="K612" t="str">
        <f t="shared" ca="1" si="1"/>
        <v/>
      </c>
      <c r="L612" t="str">
        <f ca="1">IFERROR(__xludf.DUMMYFUNCTION("IF(AND(NOT(K612 = """"), G612 &gt;= 15),K612/FILTER('Base Stats'!$C$2:$C1000, LOWER('Base Stats'!$B$2:$B1000) = LOWER($A612)), """")"),"#N/A")</f>
        <v>#N/A</v>
      </c>
      <c r="M612" t="str">
        <f ca="1">IFERROR(__xludf.DUMMYFUNCTION("1.15 + 0.02 * FILTER('Base Stats'!$C$2:$C1000, LOWER('Base Stats'!$B$2:$B1000) = LOWER($A612))"),"1.15")</f>
        <v>1.15</v>
      </c>
      <c r="N612" t="s">
        <v>527</v>
      </c>
    </row>
    <row r="613" spans="1:14" ht="12.75" x14ac:dyDescent="0.2">
      <c r="A613">
        <f>'Form Responses (Pokemon Stats)'!B573</f>
        <v>0</v>
      </c>
      <c r="B613">
        <f>'Form Responses (Pokemon Stats)'!D573</f>
        <v>0</v>
      </c>
      <c r="C613">
        <f>'Form Responses (Pokemon Stats)'!C573</f>
        <v>0</v>
      </c>
      <c r="F613">
        <f>'Form Responses (Pokemon Stats)'!E573</f>
        <v>0</v>
      </c>
      <c r="G613" t="str">
        <f ca="1">IFERROR(__xludf.DUMMYFUNCTION("ROUND(B613/ FILTER('Pokemon CP/HP'!$M$2:$M1000, LOWER('Pokemon CP/HP'!$B$2:$B1000)=LOWER(A613)))"),"#DIV/0!")</f>
        <v>#DIV/0!</v>
      </c>
      <c r="H613" t="str">
        <f ca="1">IFERROR(__xludf.DUMMYFUNCTION("FILTER('Leveling Info'!$B$2:$B1000, 'Leveling Info'!$A$2:$A1000 =G613)"),"#N/A")</f>
        <v>#N/A</v>
      </c>
      <c r="I613" s="29" t="e">
        <f t="shared" ca="1" si="0"/>
        <v>#VALUE!</v>
      </c>
      <c r="J613" s="29" t="str">
        <f ca="1">IFERROR(__xludf.DUMMYFUNCTION("IF(F613 = H613,C613/FILTER('Base Stats'!$C$2:$C1000, LOWER('Base Stats'!$B$2:$B1000) = LOWER($A613)), """")"),"#N/A")</f>
        <v>#N/A</v>
      </c>
      <c r="K613" t="str">
        <f t="shared" ca="1" si="1"/>
        <v/>
      </c>
      <c r="L613" t="str">
        <f ca="1">IFERROR(__xludf.DUMMYFUNCTION("IF(AND(NOT(K613 = """"), G613 &gt;= 15),K613/FILTER('Base Stats'!$C$2:$C1000, LOWER('Base Stats'!$B$2:$B1000) = LOWER($A613)), """")"),"#N/A")</f>
        <v>#N/A</v>
      </c>
      <c r="M613" t="str">
        <f ca="1">IFERROR(__xludf.DUMMYFUNCTION("1.15 + 0.02 * FILTER('Base Stats'!$C$2:$C1000, LOWER('Base Stats'!$B$2:$B1000) = LOWER($A613))"),"1.15")</f>
        <v>1.15</v>
      </c>
      <c r="N613" t="s">
        <v>527</v>
      </c>
    </row>
    <row r="614" spans="1:14" ht="12.75" x14ac:dyDescent="0.2">
      <c r="A614">
        <f>'Form Responses (Pokemon Stats)'!B574</f>
        <v>0</v>
      </c>
      <c r="B614">
        <f>'Form Responses (Pokemon Stats)'!D574</f>
        <v>0</v>
      </c>
      <c r="C614">
        <f>'Form Responses (Pokemon Stats)'!C574</f>
        <v>0</v>
      </c>
      <c r="F614">
        <f>'Form Responses (Pokemon Stats)'!E574</f>
        <v>0</v>
      </c>
      <c r="G614" t="str">
        <f ca="1">IFERROR(__xludf.DUMMYFUNCTION("ROUND(B614/ FILTER('Pokemon CP/HP'!$M$2:$M1000, LOWER('Pokemon CP/HP'!$B$2:$B1000)=LOWER(A614)))"),"#DIV/0!")</f>
        <v>#DIV/0!</v>
      </c>
      <c r="H614" t="str">
        <f ca="1">IFERROR(__xludf.DUMMYFUNCTION("FILTER('Leveling Info'!$B$2:$B1000, 'Leveling Info'!$A$2:$A1000 =G614)"),"#N/A")</f>
        <v>#N/A</v>
      </c>
      <c r="I614" s="29" t="e">
        <f t="shared" ca="1" si="0"/>
        <v>#VALUE!</v>
      </c>
      <c r="J614" s="29" t="str">
        <f ca="1">IFERROR(__xludf.DUMMYFUNCTION("IF(F614 = H614,C614/FILTER('Base Stats'!$C$2:$C1000, LOWER('Base Stats'!$B$2:$B1000) = LOWER($A614)), """")"),"#N/A")</f>
        <v>#N/A</v>
      </c>
      <c r="K614" t="str">
        <f t="shared" ca="1" si="1"/>
        <v/>
      </c>
      <c r="L614" t="str">
        <f ca="1">IFERROR(__xludf.DUMMYFUNCTION("IF(AND(NOT(K614 = """"), G614 &gt;= 15),K614/FILTER('Base Stats'!$C$2:$C1000, LOWER('Base Stats'!$B$2:$B1000) = LOWER($A614)), """")"),"#N/A")</f>
        <v>#N/A</v>
      </c>
      <c r="M614" t="str">
        <f ca="1">IFERROR(__xludf.DUMMYFUNCTION("1.15 + 0.02 * FILTER('Base Stats'!$C$2:$C1000, LOWER('Base Stats'!$B$2:$B1000) = LOWER($A614))"),"1.15")</f>
        <v>1.15</v>
      </c>
      <c r="N614" t="s">
        <v>527</v>
      </c>
    </row>
    <row r="615" spans="1:14" ht="12.75" x14ac:dyDescent="0.2">
      <c r="A615">
        <f>'Form Responses (Pokemon Stats)'!B575</f>
        <v>0</v>
      </c>
      <c r="B615">
        <f>'Form Responses (Pokemon Stats)'!D575</f>
        <v>0</v>
      </c>
      <c r="C615">
        <f>'Form Responses (Pokemon Stats)'!C575</f>
        <v>0</v>
      </c>
      <c r="F615">
        <f>'Form Responses (Pokemon Stats)'!E575</f>
        <v>0</v>
      </c>
      <c r="G615" t="str">
        <f ca="1">IFERROR(__xludf.DUMMYFUNCTION("ROUND(B615/ FILTER('Pokemon CP/HP'!$M$2:$M1000, LOWER('Pokemon CP/HP'!$B$2:$B1000)=LOWER(A615)))"),"#DIV/0!")</f>
        <v>#DIV/0!</v>
      </c>
      <c r="H615" t="str">
        <f ca="1">IFERROR(__xludf.DUMMYFUNCTION("FILTER('Leveling Info'!$B$2:$B1000, 'Leveling Info'!$A$2:$A1000 =G615)"),"#N/A")</f>
        <v>#N/A</v>
      </c>
      <c r="I615" s="29" t="e">
        <f t="shared" ca="1" si="0"/>
        <v>#VALUE!</v>
      </c>
      <c r="J615" s="29" t="str">
        <f ca="1">IFERROR(__xludf.DUMMYFUNCTION("IF(F615 = H615,C615/FILTER('Base Stats'!$C$2:$C1000, LOWER('Base Stats'!$B$2:$B1000) = LOWER($A615)), """")"),"#N/A")</f>
        <v>#N/A</v>
      </c>
      <c r="K615" t="str">
        <f t="shared" ca="1" si="1"/>
        <v/>
      </c>
      <c r="L615" t="str">
        <f ca="1">IFERROR(__xludf.DUMMYFUNCTION("IF(AND(NOT(K615 = """"), G615 &gt;= 15),K615/FILTER('Base Stats'!$C$2:$C1000, LOWER('Base Stats'!$B$2:$B1000) = LOWER($A615)), """")"),"#N/A")</f>
        <v>#N/A</v>
      </c>
      <c r="M615" t="str">
        <f ca="1">IFERROR(__xludf.DUMMYFUNCTION("1.15 + 0.02 * FILTER('Base Stats'!$C$2:$C1000, LOWER('Base Stats'!$B$2:$B1000) = LOWER($A615))"),"1.15")</f>
        <v>1.15</v>
      </c>
      <c r="N615" t="s">
        <v>527</v>
      </c>
    </row>
    <row r="616" spans="1:14" ht="12.75" x14ac:dyDescent="0.2">
      <c r="A616">
        <f>'Form Responses (Pokemon Stats)'!B576</f>
        <v>0</v>
      </c>
      <c r="B616">
        <f>'Form Responses (Pokemon Stats)'!D576</f>
        <v>0</v>
      </c>
      <c r="C616">
        <f>'Form Responses (Pokemon Stats)'!C576</f>
        <v>0</v>
      </c>
      <c r="F616">
        <f>'Form Responses (Pokemon Stats)'!E576</f>
        <v>0</v>
      </c>
      <c r="G616" t="str">
        <f ca="1">IFERROR(__xludf.DUMMYFUNCTION("ROUND(B616/ FILTER('Pokemon CP/HP'!$M$2:$M1000, LOWER('Pokemon CP/HP'!$B$2:$B1000)=LOWER(A616)))"),"#DIV/0!")</f>
        <v>#DIV/0!</v>
      </c>
      <c r="H616" t="str">
        <f ca="1">IFERROR(__xludf.DUMMYFUNCTION("FILTER('Leveling Info'!$B$2:$B1000, 'Leveling Info'!$A$2:$A1000 =G616)"),"#N/A")</f>
        <v>#N/A</v>
      </c>
      <c r="I616" s="29" t="e">
        <f t="shared" ca="1" si="0"/>
        <v>#VALUE!</v>
      </c>
      <c r="J616" s="29" t="str">
        <f ca="1">IFERROR(__xludf.DUMMYFUNCTION("IF(F616 = H616,C616/FILTER('Base Stats'!$C$2:$C1000, LOWER('Base Stats'!$B$2:$B1000) = LOWER($A616)), """")"),"#N/A")</f>
        <v>#N/A</v>
      </c>
      <c r="K616" t="str">
        <f t="shared" ca="1" si="1"/>
        <v/>
      </c>
      <c r="L616" t="str">
        <f ca="1">IFERROR(__xludf.DUMMYFUNCTION("IF(AND(NOT(K616 = """"), G616 &gt;= 15),K616/FILTER('Base Stats'!$C$2:$C1000, LOWER('Base Stats'!$B$2:$B1000) = LOWER($A616)), """")"),"#N/A")</f>
        <v>#N/A</v>
      </c>
      <c r="M616" t="str">
        <f ca="1">IFERROR(__xludf.DUMMYFUNCTION("1.15 + 0.02 * FILTER('Base Stats'!$C$2:$C1000, LOWER('Base Stats'!$B$2:$B1000) = LOWER($A616))"),"1.15")</f>
        <v>1.15</v>
      </c>
      <c r="N616" t="s">
        <v>527</v>
      </c>
    </row>
    <row r="617" spans="1:14" ht="12.75" x14ac:dyDescent="0.2">
      <c r="A617">
        <f>'Form Responses (Pokemon Stats)'!B577</f>
        <v>0</v>
      </c>
      <c r="B617">
        <f>'Form Responses (Pokemon Stats)'!D577</f>
        <v>0</v>
      </c>
      <c r="C617">
        <f>'Form Responses (Pokemon Stats)'!C577</f>
        <v>0</v>
      </c>
      <c r="F617">
        <f>'Form Responses (Pokemon Stats)'!E577</f>
        <v>0</v>
      </c>
      <c r="G617" t="str">
        <f ca="1">IFERROR(__xludf.DUMMYFUNCTION("ROUND(B617/ FILTER('Pokemon CP/HP'!$M$2:$M1000, LOWER('Pokemon CP/HP'!$B$2:$B1000)=LOWER(A617)))"),"#DIV/0!")</f>
        <v>#DIV/0!</v>
      </c>
      <c r="H617" t="str">
        <f ca="1">IFERROR(__xludf.DUMMYFUNCTION("FILTER('Leveling Info'!$B$2:$B1000, 'Leveling Info'!$A$2:$A1000 =G617)"),"#N/A")</f>
        <v>#N/A</v>
      </c>
      <c r="I617" s="29" t="e">
        <f t="shared" ca="1" si="0"/>
        <v>#VALUE!</v>
      </c>
      <c r="J617" s="29" t="str">
        <f ca="1">IFERROR(__xludf.DUMMYFUNCTION("IF(F617 = H617,C617/FILTER('Base Stats'!$C$2:$C1000, LOWER('Base Stats'!$B$2:$B1000) = LOWER($A617)), """")"),"#N/A")</f>
        <v>#N/A</v>
      </c>
      <c r="K617" t="str">
        <f t="shared" ca="1" si="1"/>
        <v/>
      </c>
      <c r="L617" t="str">
        <f ca="1">IFERROR(__xludf.DUMMYFUNCTION("IF(AND(NOT(K617 = """"), G617 &gt;= 15),K617/FILTER('Base Stats'!$C$2:$C1000, LOWER('Base Stats'!$B$2:$B1000) = LOWER($A617)), """")"),"#N/A")</f>
        <v>#N/A</v>
      </c>
      <c r="M617" t="str">
        <f ca="1">IFERROR(__xludf.DUMMYFUNCTION("1.15 + 0.02 * FILTER('Base Stats'!$C$2:$C1000, LOWER('Base Stats'!$B$2:$B1000) = LOWER($A617))"),"1.15")</f>
        <v>1.15</v>
      </c>
      <c r="N617" t="s">
        <v>527</v>
      </c>
    </row>
    <row r="618" spans="1:14" ht="12.75" x14ac:dyDescent="0.2">
      <c r="A618">
        <f>'Form Responses (Pokemon Stats)'!B578</f>
        <v>0</v>
      </c>
      <c r="B618">
        <f>'Form Responses (Pokemon Stats)'!D578</f>
        <v>0</v>
      </c>
      <c r="C618">
        <f>'Form Responses (Pokemon Stats)'!C578</f>
        <v>0</v>
      </c>
      <c r="F618">
        <f>'Form Responses (Pokemon Stats)'!E578</f>
        <v>0</v>
      </c>
      <c r="G618" t="str">
        <f ca="1">IFERROR(__xludf.DUMMYFUNCTION("ROUND(B618/ FILTER('Pokemon CP/HP'!$M$2:$M1000, LOWER('Pokemon CP/HP'!$B$2:$B1000)=LOWER(A618)))"),"#DIV/0!")</f>
        <v>#DIV/0!</v>
      </c>
      <c r="H618" t="str">
        <f ca="1">IFERROR(__xludf.DUMMYFUNCTION("FILTER('Leveling Info'!$B$2:$B1000, 'Leveling Info'!$A$2:$A1000 =G618)"),"#N/A")</f>
        <v>#N/A</v>
      </c>
      <c r="I618" s="29" t="e">
        <f t="shared" ca="1" si="0"/>
        <v>#VALUE!</v>
      </c>
      <c r="J618" s="29" t="str">
        <f ca="1">IFERROR(__xludf.DUMMYFUNCTION("IF(F618 = H618,C618/FILTER('Base Stats'!$C$2:$C1000, LOWER('Base Stats'!$B$2:$B1000) = LOWER($A618)), """")"),"#N/A")</f>
        <v>#N/A</v>
      </c>
      <c r="K618" t="str">
        <f t="shared" ca="1" si="1"/>
        <v/>
      </c>
      <c r="L618" t="str">
        <f ca="1">IFERROR(__xludf.DUMMYFUNCTION("IF(AND(NOT(K618 = """"), G618 &gt;= 15),K618/FILTER('Base Stats'!$C$2:$C1000, LOWER('Base Stats'!$B$2:$B1000) = LOWER($A618)), """")"),"#N/A")</f>
        <v>#N/A</v>
      </c>
      <c r="M618" t="str">
        <f ca="1">IFERROR(__xludf.DUMMYFUNCTION("1.15 + 0.02 * FILTER('Base Stats'!$C$2:$C1000, LOWER('Base Stats'!$B$2:$B1000) = LOWER($A618))"),"1.15")</f>
        <v>1.15</v>
      </c>
      <c r="N618" t="s">
        <v>527</v>
      </c>
    </row>
    <row r="619" spans="1:14" ht="12.75" x14ac:dyDescent="0.2">
      <c r="A619">
        <f>'Form Responses (Pokemon Stats)'!B579</f>
        <v>0</v>
      </c>
      <c r="B619">
        <f>'Form Responses (Pokemon Stats)'!D579</f>
        <v>0</v>
      </c>
      <c r="C619">
        <f>'Form Responses (Pokemon Stats)'!C579</f>
        <v>0</v>
      </c>
      <c r="F619">
        <f>'Form Responses (Pokemon Stats)'!E579</f>
        <v>0</v>
      </c>
      <c r="G619" t="str">
        <f ca="1">IFERROR(__xludf.DUMMYFUNCTION("ROUND(B619/ FILTER('Pokemon CP/HP'!$M$2:$M1000, LOWER('Pokemon CP/HP'!$B$2:$B1000)=LOWER(A619)))"),"#DIV/0!")</f>
        <v>#DIV/0!</v>
      </c>
      <c r="H619" t="str">
        <f ca="1">IFERROR(__xludf.DUMMYFUNCTION("FILTER('Leveling Info'!$B$2:$B1000, 'Leveling Info'!$A$2:$A1000 =G619)"),"#N/A")</f>
        <v>#N/A</v>
      </c>
      <c r="I619" s="29" t="e">
        <f t="shared" ca="1" si="0"/>
        <v>#VALUE!</v>
      </c>
      <c r="J619" s="29" t="str">
        <f ca="1">IFERROR(__xludf.DUMMYFUNCTION("IF(F619 = H619,C619/FILTER('Base Stats'!$C$2:$C1000, LOWER('Base Stats'!$B$2:$B1000) = LOWER($A619)), """")"),"#N/A")</f>
        <v>#N/A</v>
      </c>
      <c r="K619" t="str">
        <f t="shared" ca="1" si="1"/>
        <v/>
      </c>
      <c r="L619" t="str">
        <f ca="1">IFERROR(__xludf.DUMMYFUNCTION("IF(AND(NOT(K619 = """"), G619 &gt;= 15),K619/FILTER('Base Stats'!$C$2:$C1000, LOWER('Base Stats'!$B$2:$B1000) = LOWER($A619)), """")"),"#N/A")</f>
        <v>#N/A</v>
      </c>
      <c r="M619" t="str">
        <f ca="1">IFERROR(__xludf.DUMMYFUNCTION("1.15 + 0.02 * FILTER('Base Stats'!$C$2:$C1000, LOWER('Base Stats'!$B$2:$B1000) = LOWER($A619))"),"1.15")</f>
        <v>1.15</v>
      </c>
      <c r="N619" t="s">
        <v>527</v>
      </c>
    </row>
    <row r="620" spans="1:14" ht="12.75" x14ac:dyDescent="0.2">
      <c r="A620">
        <f>'Form Responses (Pokemon Stats)'!B580</f>
        <v>0</v>
      </c>
      <c r="B620">
        <f>'Form Responses (Pokemon Stats)'!D580</f>
        <v>0</v>
      </c>
      <c r="C620">
        <f>'Form Responses (Pokemon Stats)'!C580</f>
        <v>0</v>
      </c>
      <c r="F620">
        <f>'Form Responses (Pokemon Stats)'!E580</f>
        <v>0</v>
      </c>
      <c r="G620" t="str">
        <f ca="1">IFERROR(__xludf.DUMMYFUNCTION("ROUND(B620/ FILTER('Pokemon CP/HP'!$M$2:$M1000, LOWER('Pokemon CP/HP'!$B$2:$B1000)=LOWER(A620)))"),"#DIV/0!")</f>
        <v>#DIV/0!</v>
      </c>
      <c r="H620" t="str">
        <f ca="1">IFERROR(__xludf.DUMMYFUNCTION("FILTER('Leveling Info'!$B$2:$B1000, 'Leveling Info'!$A$2:$A1000 =G620)"),"#N/A")</f>
        <v>#N/A</v>
      </c>
      <c r="I620" s="29" t="e">
        <f t="shared" ca="1" si="0"/>
        <v>#VALUE!</v>
      </c>
      <c r="J620" s="29" t="str">
        <f ca="1">IFERROR(__xludf.DUMMYFUNCTION("IF(F620 = H620,C620/FILTER('Base Stats'!$C$2:$C1000, LOWER('Base Stats'!$B$2:$B1000) = LOWER($A620)), """")"),"#N/A")</f>
        <v>#N/A</v>
      </c>
      <c r="K620" t="str">
        <f t="shared" ca="1" si="1"/>
        <v/>
      </c>
      <c r="L620" t="str">
        <f ca="1">IFERROR(__xludf.DUMMYFUNCTION("IF(AND(NOT(K620 = """"), G620 &gt;= 15),K620/FILTER('Base Stats'!$C$2:$C1000, LOWER('Base Stats'!$B$2:$B1000) = LOWER($A620)), """")"),"#N/A")</f>
        <v>#N/A</v>
      </c>
      <c r="M620" t="str">
        <f ca="1">IFERROR(__xludf.DUMMYFUNCTION("1.15 + 0.02 * FILTER('Base Stats'!$C$2:$C1000, LOWER('Base Stats'!$B$2:$B1000) = LOWER($A620))"),"1.15")</f>
        <v>1.15</v>
      </c>
      <c r="N620" t="s">
        <v>527</v>
      </c>
    </row>
    <row r="621" spans="1:14" ht="12.75" x14ac:dyDescent="0.2">
      <c r="A621">
        <f>'Form Responses (Pokemon Stats)'!B581</f>
        <v>0</v>
      </c>
      <c r="B621">
        <f>'Form Responses (Pokemon Stats)'!D581</f>
        <v>0</v>
      </c>
      <c r="C621">
        <f>'Form Responses (Pokemon Stats)'!C581</f>
        <v>0</v>
      </c>
      <c r="F621">
        <f>'Form Responses (Pokemon Stats)'!E581</f>
        <v>0</v>
      </c>
      <c r="G621" t="str">
        <f ca="1">IFERROR(__xludf.DUMMYFUNCTION("ROUND(B621/ FILTER('Pokemon CP/HP'!$M$2:$M1000, LOWER('Pokemon CP/HP'!$B$2:$B1000)=LOWER(A621)))"),"#DIV/0!")</f>
        <v>#DIV/0!</v>
      </c>
      <c r="H621" t="str">
        <f ca="1">IFERROR(__xludf.DUMMYFUNCTION("FILTER('Leveling Info'!$B$2:$B1000, 'Leveling Info'!$A$2:$A1000 =G621)"),"#N/A")</f>
        <v>#N/A</v>
      </c>
      <c r="I621" s="29" t="e">
        <f t="shared" ca="1" si="0"/>
        <v>#VALUE!</v>
      </c>
      <c r="J621" s="29" t="str">
        <f ca="1">IFERROR(__xludf.DUMMYFUNCTION("IF(F621 = H621,C621/FILTER('Base Stats'!$C$2:$C1000, LOWER('Base Stats'!$B$2:$B1000) = LOWER($A621)), """")"),"#N/A")</f>
        <v>#N/A</v>
      </c>
      <c r="K621" t="str">
        <f t="shared" ca="1" si="1"/>
        <v/>
      </c>
      <c r="L621" t="str">
        <f ca="1">IFERROR(__xludf.DUMMYFUNCTION("IF(AND(NOT(K621 = """"), G621 &gt;= 15),K621/FILTER('Base Stats'!$C$2:$C1000, LOWER('Base Stats'!$B$2:$B1000) = LOWER($A621)), """")"),"#N/A")</f>
        <v>#N/A</v>
      </c>
      <c r="M621" t="str">
        <f ca="1">IFERROR(__xludf.DUMMYFUNCTION("1.15 + 0.02 * FILTER('Base Stats'!$C$2:$C1000, LOWER('Base Stats'!$B$2:$B1000) = LOWER($A621))"),"1.15")</f>
        <v>1.15</v>
      </c>
      <c r="N621" t="s">
        <v>527</v>
      </c>
    </row>
    <row r="622" spans="1:14" ht="12.75" x14ac:dyDescent="0.2">
      <c r="A622">
        <f>'Form Responses (Pokemon Stats)'!B582</f>
        <v>0</v>
      </c>
      <c r="B622">
        <f>'Form Responses (Pokemon Stats)'!D582</f>
        <v>0</v>
      </c>
      <c r="C622">
        <f>'Form Responses (Pokemon Stats)'!C582</f>
        <v>0</v>
      </c>
      <c r="F622">
        <f>'Form Responses (Pokemon Stats)'!E582</f>
        <v>0</v>
      </c>
      <c r="G622" t="str">
        <f ca="1">IFERROR(__xludf.DUMMYFUNCTION("ROUND(B622/ FILTER('Pokemon CP/HP'!$M$2:$M1000, LOWER('Pokemon CP/HP'!$B$2:$B1000)=LOWER(A622)))"),"#DIV/0!")</f>
        <v>#DIV/0!</v>
      </c>
      <c r="H622" t="str">
        <f ca="1">IFERROR(__xludf.DUMMYFUNCTION("FILTER('Leveling Info'!$B$2:$B1000, 'Leveling Info'!$A$2:$A1000 =G622)"),"#N/A")</f>
        <v>#N/A</v>
      </c>
      <c r="I622" s="29" t="e">
        <f t="shared" ca="1" si="0"/>
        <v>#VALUE!</v>
      </c>
      <c r="J622" s="29" t="str">
        <f ca="1">IFERROR(__xludf.DUMMYFUNCTION("IF(F622 = H622,C622/FILTER('Base Stats'!$C$2:$C1000, LOWER('Base Stats'!$B$2:$B1000) = LOWER($A622)), """")"),"#N/A")</f>
        <v>#N/A</v>
      </c>
      <c r="K622" t="str">
        <f t="shared" ca="1" si="1"/>
        <v/>
      </c>
      <c r="L622" t="str">
        <f ca="1">IFERROR(__xludf.DUMMYFUNCTION("IF(AND(NOT(K622 = """"), G622 &gt;= 15),K622/FILTER('Base Stats'!$C$2:$C1000, LOWER('Base Stats'!$B$2:$B1000) = LOWER($A622)), """")"),"#N/A")</f>
        <v>#N/A</v>
      </c>
      <c r="M622" t="str">
        <f ca="1">IFERROR(__xludf.DUMMYFUNCTION("1.15 + 0.02 * FILTER('Base Stats'!$C$2:$C1000, LOWER('Base Stats'!$B$2:$B1000) = LOWER($A622))"),"1.15")</f>
        <v>1.15</v>
      </c>
      <c r="N622" t="s">
        <v>527</v>
      </c>
    </row>
    <row r="623" spans="1:14" ht="12.75" x14ac:dyDescent="0.2">
      <c r="A623">
        <f>'Form Responses (Pokemon Stats)'!B583</f>
        <v>0</v>
      </c>
      <c r="B623">
        <f>'Form Responses (Pokemon Stats)'!D583</f>
        <v>0</v>
      </c>
      <c r="C623">
        <f>'Form Responses (Pokemon Stats)'!C583</f>
        <v>0</v>
      </c>
      <c r="F623">
        <f>'Form Responses (Pokemon Stats)'!E583</f>
        <v>0</v>
      </c>
      <c r="G623" t="str">
        <f ca="1">IFERROR(__xludf.DUMMYFUNCTION("ROUND(B623/ FILTER('Pokemon CP/HP'!$M$2:$M1000, LOWER('Pokemon CP/HP'!$B$2:$B1000)=LOWER(A623)))"),"#DIV/0!")</f>
        <v>#DIV/0!</v>
      </c>
      <c r="H623" t="str">
        <f ca="1">IFERROR(__xludf.DUMMYFUNCTION("FILTER('Leveling Info'!$B$2:$B1000, 'Leveling Info'!$A$2:$A1000 =G623)"),"#N/A")</f>
        <v>#N/A</v>
      </c>
      <c r="I623" s="29" t="e">
        <f t="shared" ca="1" si="0"/>
        <v>#VALUE!</v>
      </c>
      <c r="J623" s="29" t="str">
        <f ca="1">IFERROR(__xludf.DUMMYFUNCTION("IF(F623 = H623,C623/FILTER('Base Stats'!$C$2:$C1000, LOWER('Base Stats'!$B$2:$B1000) = LOWER($A623)), """")"),"#N/A")</f>
        <v>#N/A</v>
      </c>
      <c r="K623" t="str">
        <f t="shared" ca="1" si="1"/>
        <v/>
      </c>
      <c r="L623" t="str">
        <f ca="1">IFERROR(__xludf.DUMMYFUNCTION("IF(AND(NOT(K623 = """"), G623 &gt;= 15),K623/FILTER('Base Stats'!$C$2:$C1000, LOWER('Base Stats'!$B$2:$B1000) = LOWER($A623)), """")"),"#N/A")</f>
        <v>#N/A</v>
      </c>
      <c r="M623" t="str">
        <f ca="1">IFERROR(__xludf.DUMMYFUNCTION("1.15 + 0.02 * FILTER('Base Stats'!$C$2:$C1000, LOWER('Base Stats'!$B$2:$B1000) = LOWER($A623))"),"1.15")</f>
        <v>1.15</v>
      </c>
      <c r="N623" t="s">
        <v>527</v>
      </c>
    </row>
    <row r="624" spans="1:14" ht="12.75" x14ac:dyDescent="0.2">
      <c r="A624">
        <f>'Form Responses (Pokemon Stats)'!B584</f>
        <v>0</v>
      </c>
      <c r="B624">
        <f>'Form Responses (Pokemon Stats)'!D584</f>
        <v>0</v>
      </c>
      <c r="C624">
        <f>'Form Responses (Pokemon Stats)'!C584</f>
        <v>0</v>
      </c>
      <c r="F624">
        <f>'Form Responses (Pokemon Stats)'!E584</f>
        <v>0</v>
      </c>
      <c r="G624" t="str">
        <f ca="1">IFERROR(__xludf.DUMMYFUNCTION("ROUND(B624/ FILTER('Pokemon CP/HP'!$M$2:$M1000, LOWER('Pokemon CP/HP'!$B$2:$B1000)=LOWER(A624)))"),"#DIV/0!")</f>
        <v>#DIV/0!</v>
      </c>
      <c r="H624" t="str">
        <f ca="1">IFERROR(__xludf.DUMMYFUNCTION("FILTER('Leveling Info'!$B$2:$B1000, 'Leveling Info'!$A$2:$A1000 =G624)"),"#N/A")</f>
        <v>#N/A</v>
      </c>
      <c r="I624" s="29" t="e">
        <f t="shared" ca="1" si="0"/>
        <v>#VALUE!</v>
      </c>
      <c r="J624" s="29" t="str">
        <f ca="1">IFERROR(__xludf.DUMMYFUNCTION("IF(F624 = H624,C624/FILTER('Base Stats'!$C$2:$C1000, LOWER('Base Stats'!$B$2:$B1000) = LOWER($A624)), """")"),"#N/A")</f>
        <v>#N/A</v>
      </c>
      <c r="K624" t="str">
        <f t="shared" ca="1" si="1"/>
        <v/>
      </c>
      <c r="L624" t="str">
        <f ca="1">IFERROR(__xludf.DUMMYFUNCTION("IF(AND(NOT(K624 = """"), G624 &gt;= 15),K624/FILTER('Base Stats'!$C$2:$C1000, LOWER('Base Stats'!$B$2:$B1000) = LOWER($A624)), """")"),"#N/A")</f>
        <v>#N/A</v>
      </c>
      <c r="M624" t="str">
        <f ca="1">IFERROR(__xludf.DUMMYFUNCTION("1.15 + 0.02 * FILTER('Base Stats'!$C$2:$C1000, LOWER('Base Stats'!$B$2:$B1000) = LOWER($A624))"),"1.15")</f>
        <v>1.15</v>
      </c>
      <c r="N624" t="s">
        <v>527</v>
      </c>
    </row>
    <row r="625" spans="1:14" ht="12.75" x14ac:dyDescent="0.2">
      <c r="A625">
        <f>'Form Responses (Pokemon Stats)'!B585</f>
        <v>0</v>
      </c>
      <c r="B625">
        <f>'Form Responses (Pokemon Stats)'!D585</f>
        <v>0</v>
      </c>
      <c r="C625">
        <f>'Form Responses (Pokemon Stats)'!C585</f>
        <v>0</v>
      </c>
      <c r="F625">
        <f>'Form Responses (Pokemon Stats)'!E585</f>
        <v>0</v>
      </c>
      <c r="G625" t="str">
        <f ca="1">IFERROR(__xludf.DUMMYFUNCTION("ROUND(B625/ FILTER('Pokemon CP/HP'!$M$2:$M1000, LOWER('Pokemon CP/HP'!$B$2:$B1000)=LOWER(A625)))"),"#DIV/0!")</f>
        <v>#DIV/0!</v>
      </c>
      <c r="H625" t="str">
        <f ca="1">IFERROR(__xludf.DUMMYFUNCTION("FILTER('Leveling Info'!$B$2:$B1000, 'Leveling Info'!$A$2:$A1000 =G625)"),"#N/A")</f>
        <v>#N/A</v>
      </c>
      <c r="I625" s="29" t="e">
        <f t="shared" ca="1" si="0"/>
        <v>#VALUE!</v>
      </c>
      <c r="J625" s="29" t="str">
        <f ca="1">IFERROR(__xludf.DUMMYFUNCTION("IF(F625 = H625,C625/FILTER('Base Stats'!$C$2:$C1000, LOWER('Base Stats'!$B$2:$B1000) = LOWER($A625)), """")"),"#N/A")</f>
        <v>#N/A</v>
      </c>
      <c r="K625" t="str">
        <f t="shared" ca="1" si="1"/>
        <v/>
      </c>
      <c r="L625" t="str">
        <f ca="1">IFERROR(__xludf.DUMMYFUNCTION("IF(AND(NOT(K625 = """"), G625 &gt;= 15),K625/FILTER('Base Stats'!$C$2:$C1000, LOWER('Base Stats'!$B$2:$B1000) = LOWER($A625)), """")"),"#N/A")</f>
        <v>#N/A</v>
      </c>
      <c r="M625" t="str">
        <f ca="1">IFERROR(__xludf.DUMMYFUNCTION("1.15 + 0.02 * FILTER('Base Stats'!$C$2:$C1000, LOWER('Base Stats'!$B$2:$B1000) = LOWER($A625))"),"1.15")</f>
        <v>1.15</v>
      </c>
      <c r="N625" t="s">
        <v>527</v>
      </c>
    </row>
    <row r="626" spans="1:14" ht="12.75" x14ac:dyDescent="0.2">
      <c r="A626">
        <f>'Form Responses (Pokemon Stats)'!B586</f>
        <v>0</v>
      </c>
      <c r="B626">
        <f>'Form Responses (Pokemon Stats)'!D586</f>
        <v>0</v>
      </c>
      <c r="C626">
        <f>'Form Responses (Pokemon Stats)'!C586</f>
        <v>0</v>
      </c>
      <c r="F626">
        <f>'Form Responses (Pokemon Stats)'!E586</f>
        <v>0</v>
      </c>
      <c r="G626" t="str">
        <f ca="1">IFERROR(__xludf.DUMMYFUNCTION("ROUND(B626/ FILTER('Pokemon CP/HP'!$M$2:$M1000, LOWER('Pokemon CP/HP'!$B$2:$B1000)=LOWER(A626)))"),"#DIV/0!")</f>
        <v>#DIV/0!</v>
      </c>
      <c r="H626" t="str">
        <f ca="1">IFERROR(__xludf.DUMMYFUNCTION("FILTER('Leveling Info'!$B$2:$B1000, 'Leveling Info'!$A$2:$A1000 =G626)"),"#N/A")</f>
        <v>#N/A</v>
      </c>
      <c r="I626" s="29" t="e">
        <f t="shared" ca="1" si="0"/>
        <v>#VALUE!</v>
      </c>
      <c r="J626" s="29" t="str">
        <f ca="1">IFERROR(__xludf.DUMMYFUNCTION("IF(F626 = H626,C626/FILTER('Base Stats'!$C$2:$C1000, LOWER('Base Stats'!$B$2:$B1000) = LOWER($A626)), """")"),"#N/A")</f>
        <v>#N/A</v>
      </c>
      <c r="K626" t="str">
        <f t="shared" ca="1" si="1"/>
        <v/>
      </c>
      <c r="L626" t="str">
        <f ca="1">IFERROR(__xludf.DUMMYFUNCTION("IF(AND(NOT(K626 = """"), G626 &gt;= 15),K626/FILTER('Base Stats'!$C$2:$C1000, LOWER('Base Stats'!$B$2:$B1000) = LOWER($A626)), """")"),"#N/A")</f>
        <v>#N/A</v>
      </c>
      <c r="M626" t="str">
        <f ca="1">IFERROR(__xludf.DUMMYFUNCTION("1.15 + 0.02 * FILTER('Base Stats'!$C$2:$C1000, LOWER('Base Stats'!$B$2:$B1000) = LOWER($A626))"),"1.15")</f>
        <v>1.15</v>
      </c>
      <c r="N626" t="s">
        <v>527</v>
      </c>
    </row>
    <row r="627" spans="1:14" ht="12.75" x14ac:dyDescent="0.2">
      <c r="A627">
        <f>'Form Responses (Pokemon Stats)'!B587</f>
        <v>0</v>
      </c>
      <c r="B627">
        <f>'Form Responses (Pokemon Stats)'!D587</f>
        <v>0</v>
      </c>
      <c r="C627">
        <f>'Form Responses (Pokemon Stats)'!C587</f>
        <v>0</v>
      </c>
      <c r="F627">
        <f>'Form Responses (Pokemon Stats)'!E587</f>
        <v>0</v>
      </c>
      <c r="G627" t="str">
        <f ca="1">IFERROR(__xludf.DUMMYFUNCTION("ROUND(B627/ FILTER('Pokemon CP/HP'!$M$2:$M1000, LOWER('Pokemon CP/HP'!$B$2:$B1000)=LOWER(A627)))"),"#DIV/0!")</f>
        <v>#DIV/0!</v>
      </c>
      <c r="H627" t="str">
        <f ca="1">IFERROR(__xludf.DUMMYFUNCTION("FILTER('Leveling Info'!$B$2:$B1000, 'Leveling Info'!$A$2:$A1000 =G627)"),"#N/A")</f>
        <v>#N/A</v>
      </c>
      <c r="I627" s="29" t="e">
        <f t="shared" ca="1" si="0"/>
        <v>#VALUE!</v>
      </c>
      <c r="J627" s="29" t="str">
        <f ca="1">IFERROR(__xludf.DUMMYFUNCTION("IF(F627 = H627,C627/FILTER('Base Stats'!$C$2:$C1000, LOWER('Base Stats'!$B$2:$B1000) = LOWER($A627)), """")"),"#N/A")</f>
        <v>#N/A</v>
      </c>
      <c r="K627" t="str">
        <f t="shared" ca="1" si="1"/>
        <v/>
      </c>
      <c r="L627" t="str">
        <f ca="1">IFERROR(__xludf.DUMMYFUNCTION("IF(AND(NOT(K627 = """"), G627 &gt;= 15),K627/FILTER('Base Stats'!$C$2:$C1000, LOWER('Base Stats'!$B$2:$B1000) = LOWER($A627)), """")"),"#N/A")</f>
        <v>#N/A</v>
      </c>
      <c r="M627" t="str">
        <f ca="1">IFERROR(__xludf.DUMMYFUNCTION("1.15 + 0.02 * FILTER('Base Stats'!$C$2:$C1000, LOWER('Base Stats'!$B$2:$B1000) = LOWER($A627))"),"1.15")</f>
        <v>1.15</v>
      </c>
      <c r="N627" t="s">
        <v>527</v>
      </c>
    </row>
    <row r="628" spans="1:14" ht="12.75" x14ac:dyDescent="0.2">
      <c r="A628">
        <f>'Form Responses (Pokemon Stats)'!B588</f>
        <v>0</v>
      </c>
      <c r="B628">
        <f>'Form Responses (Pokemon Stats)'!D588</f>
        <v>0</v>
      </c>
      <c r="C628">
        <f>'Form Responses (Pokemon Stats)'!C588</f>
        <v>0</v>
      </c>
      <c r="F628">
        <f>'Form Responses (Pokemon Stats)'!E588</f>
        <v>0</v>
      </c>
      <c r="G628" t="str">
        <f ca="1">IFERROR(__xludf.DUMMYFUNCTION("ROUND(B628/ FILTER('Pokemon CP/HP'!$M$2:$M1000, LOWER('Pokemon CP/HP'!$B$2:$B1000)=LOWER(A628)))"),"#DIV/0!")</f>
        <v>#DIV/0!</v>
      </c>
      <c r="H628" t="str">
        <f ca="1">IFERROR(__xludf.DUMMYFUNCTION("FILTER('Leveling Info'!$B$2:$B1000, 'Leveling Info'!$A$2:$A1000 =G628)"),"#N/A")</f>
        <v>#N/A</v>
      </c>
      <c r="I628" s="29" t="e">
        <f t="shared" ca="1" si="0"/>
        <v>#VALUE!</v>
      </c>
      <c r="J628" s="29" t="str">
        <f ca="1">IFERROR(__xludf.DUMMYFUNCTION("IF(F628 = H628,C628/FILTER('Base Stats'!$C$2:$C1000, LOWER('Base Stats'!$B$2:$B1000) = LOWER($A628)), """")"),"#N/A")</f>
        <v>#N/A</v>
      </c>
      <c r="K628" t="str">
        <f t="shared" ca="1" si="1"/>
        <v/>
      </c>
      <c r="L628" t="str">
        <f ca="1">IFERROR(__xludf.DUMMYFUNCTION("IF(AND(NOT(K628 = """"), G628 &gt;= 15),K628/FILTER('Base Stats'!$C$2:$C1000, LOWER('Base Stats'!$B$2:$B1000) = LOWER($A628)), """")"),"#N/A")</f>
        <v>#N/A</v>
      </c>
      <c r="M628" t="str">
        <f ca="1">IFERROR(__xludf.DUMMYFUNCTION("1.15 + 0.02 * FILTER('Base Stats'!$C$2:$C1000, LOWER('Base Stats'!$B$2:$B1000) = LOWER($A628))"),"1.15")</f>
        <v>1.15</v>
      </c>
      <c r="N628" t="s">
        <v>527</v>
      </c>
    </row>
    <row r="629" spans="1:14" ht="12.75" x14ac:dyDescent="0.2">
      <c r="A629">
        <f>'Form Responses (Pokemon Stats)'!B589</f>
        <v>0</v>
      </c>
      <c r="B629">
        <f>'Form Responses (Pokemon Stats)'!D589</f>
        <v>0</v>
      </c>
      <c r="C629">
        <f>'Form Responses (Pokemon Stats)'!C589</f>
        <v>0</v>
      </c>
      <c r="F629">
        <f>'Form Responses (Pokemon Stats)'!E589</f>
        <v>0</v>
      </c>
      <c r="G629" t="str">
        <f ca="1">IFERROR(__xludf.DUMMYFUNCTION("ROUND(B629/ FILTER('Pokemon CP/HP'!$M$2:$M1000, LOWER('Pokemon CP/HP'!$B$2:$B1000)=LOWER(A629)))"),"#DIV/0!")</f>
        <v>#DIV/0!</v>
      </c>
      <c r="H629" t="str">
        <f ca="1">IFERROR(__xludf.DUMMYFUNCTION("FILTER('Leveling Info'!$B$2:$B1000, 'Leveling Info'!$A$2:$A1000 =G629)"),"#N/A")</f>
        <v>#N/A</v>
      </c>
      <c r="I629" s="29" t="e">
        <f t="shared" ca="1" si="0"/>
        <v>#VALUE!</v>
      </c>
      <c r="J629" s="29" t="str">
        <f ca="1">IFERROR(__xludf.DUMMYFUNCTION("IF(F629 = H629,C629/FILTER('Base Stats'!$C$2:$C1000, LOWER('Base Stats'!$B$2:$B1000) = LOWER($A629)), """")"),"#N/A")</f>
        <v>#N/A</v>
      </c>
      <c r="K629" t="str">
        <f t="shared" ca="1" si="1"/>
        <v/>
      </c>
      <c r="L629" t="str">
        <f ca="1">IFERROR(__xludf.DUMMYFUNCTION("IF(AND(NOT(K629 = """"), G629 &gt;= 15),K629/FILTER('Base Stats'!$C$2:$C1000, LOWER('Base Stats'!$B$2:$B1000) = LOWER($A629)), """")"),"#N/A")</f>
        <v>#N/A</v>
      </c>
      <c r="M629" t="str">
        <f ca="1">IFERROR(__xludf.DUMMYFUNCTION("1.15 + 0.02 * FILTER('Base Stats'!$C$2:$C1000, LOWER('Base Stats'!$B$2:$B1000) = LOWER($A629))"),"1.15")</f>
        <v>1.15</v>
      </c>
      <c r="N629" t="s">
        <v>527</v>
      </c>
    </row>
    <row r="630" spans="1:14" ht="12.75" x14ac:dyDescent="0.2">
      <c r="A630">
        <f>'Form Responses (Pokemon Stats)'!B590</f>
        <v>0</v>
      </c>
      <c r="B630">
        <f>'Form Responses (Pokemon Stats)'!D590</f>
        <v>0</v>
      </c>
      <c r="C630">
        <f>'Form Responses (Pokemon Stats)'!C590</f>
        <v>0</v>
      </c>
      <c r="F630">
        <f>'Form Responses (Pokemon Stats)'!E590</f>
        <v>0</v>
      </c>
      <c r="G630" t="str">
        <f ca="1">IFERROR(__xludf.DUMMYFUNCTION("ROUND(B630/ FILTER('Pokemon CP/HP'!$M$2:$M1000, LOWER('Pokemon CP/HP'!$B$2:$B1000)=LOWER(A630)))"),"#DIV/0!")</f>
        <v>#DIV/0!</v>
      </c>
      <c r="H630" t="str">
        <f ca="1">IFERROR(__xludf.DUMMYFUNCTION("FILTER('Leveling Info'!$B$2:$B1000, 'Leveling Info'!$A$2:$A1000 =G630)"),"#N/A")</f>
        <v>#N/A</v>
      </c>
      <c r="I630" s="29" t="e">
        <f t="shared" ca="1" si="0"/>
        <v>#VALUE!</v>
      </c>
      <c r="J630" s="29" t="str">
        <f ca="1">IFERROR(__xludf.DUMMYFUNCTION("IF(F630 = H630,C630/FILTER('Base Stats'!$C$2:$C1000, LOWER('Base Stats'!$B$2:$B1000) = LOWER($A630)), """")"),"#N/A")</f>
        <v>#N/A</v>
      </c>
      <c r="K630" t="str">
        <f t="shared" ca="1" si="1"/>
        <v/>
      </c>
      <c r="L630" t="str">
        <f ca="1">IFERROR(__xludf.DUMMYFUNCTION("IF(AND(NOT(K630 = """"), G630 &gt;= 15),K630/FILTER('Base Stats'!$C$2:$C1000, LOWER('Base Stats'!$B$2:$B1000) = LOWER($A630)), """")"),"#N/A")</f>
        <v>#N/A</v>
      </c>
      <c r="M630" t="str">
        <f ca="1">IFERROR(__xludf.DUMMYFUNCTION("1.15 + 0.02 * FILTER('Base Stats'!$C$2:$C1000, LOWER('Base Stats'!$B$2:$B1000) = LOWER($A630))"),"1.15")</f>
        <v>1.15</v>
      </c>
      <c r="N630" t="s">
        <v>527</v>
      </c>
    </row>
    <row r="631" spans="1:14" ht="12.75" x14ac:dyDescent="0.2">
      <c r="A631">
        <f>'Form Responses (Pokemon Stats)'!B591</f>
        <v>0</v>
      </c>
      <c r="B631">
        <f>'Form Responses (Pokemon Stats)'!D591</f>
        <v>0</v>
      </c>
      <c r="C631">
        <f>'Form Responses (Pokemon Stats)'!C591</f>
        <v>0</v>
      </c>
      <c r="F631">
        <f>'Form Responses (Pokemon Stats)'!E591</f>
        <v>0</v>
      </c>
      <c r="G631" t="str">
        <f ca="1">IFERROR(__xludf.DUMMYFUNCTION("ROUND(B631/ FILTER('Pokemon CP/HP'!$M$2:$M1000, LOWER('Pokemon CP/HP'!$B$2:$B1000)=LOWER(A631)))"),"#DIV/0!")</f>
        <v>#DIV/0!</v>
      </c>
      <c r="H631" t="str">
        <f ca="1">IFERROR(__xludf.DUMMYFUNCTION("FILTER('Leveling Info'!$B$2:$B1000, 'Leveling Info'!$A$2:$A1000 =G631)"),"#N/A")</f>
        <v>#N/A</v>
      </c>
      <c r="I631" s="29" t="e">
        <f t="shared" ca="1" si="0"/>
        <v>#VALUE!</v>
      </c>
      <c r="J631" s="29" t="str">
        <f ca="1">IFERROR(__xludf.DUMMYFUNCTION("IF(F631 = H631,C631/FILTER('Base Stats'!$C$2:$C1000, LOWER('Base Stats'!$B$2:$B1000) = LOWER($A631)), """")"),"#N/A")</f>
        <v>#N/A</v>
      </c>
      <c r="K631" t="str">
        <f t="shared" ca="1" si="1"/>
        <v/>
      </c>
      <c r="L631" t="str">
        <f ca="1">IFERROR(__xludf.DUMMYFUNCTION("IF(AND(NOT(K631 = """"), G631 &gt;= 15),K631/FILTER('Base Stats'!$C$2:$C1000, LOWER('Base Stats'!$B$2:$B1000) = LOWER($A631)), """")"),"#N/A")</f>
        <v>#N/A</v>
      </c>
      <c r="M631" t="str">
        <f ca="1">IFERROR(__xludf.DUMMYFUNCTION("1.15 + 0.02 * FILTER('Base Stats'!$C$2:$C1000, LOWER('Base Stats'!$B$2:$B1000) = LOWER($A631))"),"1.15")</f>
        <v>1.15</v>
      </c>
      <c r="N631" t="s">
        <v>527</v>
      </c>
    </row>
    <row r="632" spans="1:14" ht="12.75" x14ac:dyDescent="0.2">
      <c r="A632">
        <f>'Form Responses (Pokemon Stats)'!B592</f>
        <v>0</v>
      </c>
      <c r="B632">
        <f>'Form Responses (Pokemon Stats)'!D592</f>
        <v>0</v>
      </c>
      <c r="C632">
        <f>'Form Responses (Pokemon Stats)'!C592</f>
        <v>0</v>
      </c>
      <c r="F632">
        <f>'Form Responses (Pokemon Stats)'!E592</f>
        <v>0</v>
      </c>
      <c r="G632" t="str">
        <f ca="1">IFERROR(__xludf.DUMMYFUNCTION("ROUND(B632/ FILTER('Pokemon CP/HP'!$M$2:$M1000, LOWER('Pokemon CP/HP'!$B$2:$B1000)=LOWER(A632)))"),"#DIV/0!")</f>
        <v>#DIV/0!</v>
      </c>
      <c r="H632" t="str">
        <f ca="1">IFERROR(__xludf.DUMMYFUNCTION("FILTER('Leveling Info'!$B$2:$B1000, 'Leveling Info'!$A$2:$A1000 =G632)"),"#N/A")</f>
        <v>#N/A</v>
      </c>
      <c r="I632" s="29" t="e">
        <f t="shared" ca="1" si="0"/>
        <v>#VALUE!</v>
      </c>
      <c r="J632" s="29" t="str">
        <f ca="1">IFERROR(__xludf.DUMMYFUNCTION("IF(F632 = H632,C632/FILTER('Base Stats'!$C$2:$C1000, LOWER('Base Stats'!$B$2:$B1000) = LOWER($A632)), """")"),"#N/A")</f>
        <v>#N/A</v>
      </c>
      <c r="K632" t="str">
        <f t="shared" ca="1" si="1"/>
        <v/>
      </c>
      <c r="L632" t="str">
        <f ca="1">IFERROR(__xludf.DUMMYFUNCTION("IF(AND(NOT(K632 = """"), G632 &gt;= 15),K632/FILTER('Base Stats'!$C$2:$C1000, LOWER('Base Stats'!$B$2:$B1000) = LOWER($A632)), """")"),"#N/A")</f>
        <v>#N/A</v>
      </c>
      <c r="M632" t="str">
        <f ca="1">IFERROR(__xludf.DUMMYFUNCTION("1.15 + 0.02 * FILTER('Base Stats'!$C$2:$C1000, LOWER('Base Stats'!$B$2:$B1000) = LOWER($A632))"),"1.15")</f>
        <v>1.15</v>
      </c>
      <c r="N632" t="s">
        <v>527</v>
      </c>
    </row>
    <row r="633" spans="1:14" ht="12.75" x14ac:dyDescent="0.2">
      <c r="A633">
        <f>'Form Responses (Pokemon Stats)'!B593</f>
        <v>0</v>
      </c>
      <c r="B633">
        <f>'Form Responses (Pokemon Stats)'!D593</f>
        <v>0</v>
      </c>
      <c r="C633">
        <f>'Form Responses (Pokemon Stats)'!C593</f>
        <v>0</v>
      </c>
      <c r="F633">
        <f>'Form Responses (Pokemon Stats)'!E593</f>
        <v>0</v>
      </c>
      <c r="G633" t="str">
        <f ca="1">IFERROR(__xludf.DUMMYFUNCTION("ROUND(B633/ FILTER('Pokemon CP/HP'!$M$2:$M1000, LOWER('Pokemon CP/HP'!$B$2:$B1000)=LOWER(A633)))"),"#DIV/0!")</f>
        <v>#DIV/0!</v>
      </c>
      <c r="H633" t="str">
        <f ca="1">IFERROR(__xludf.DUMMYFUNCTION("FILTER('Leveling Info'!$B$2:$B1000, 'Leveling Info'!$A$2:$A1000 =G633)"),"#N/A")</f>
        <v>#N/A</v>
      </c>
      <c r="I633" s="29" t="e">
        <f t="shared" ca="1" si="0"/>
        <v>#VALUE!</v>
      </c>
      <c r="J633" s="29" t="str">
        <f ca="1">IFERROR(__xludf.DUMMYFUNCTION("IF(F633 = H633,C633/FILTER('Base Stats'!$C$2:$C1000, LOWER('Base Stats'!$B$2:$B1000) = LOWER($A633)), """")"),"#N/A")</f>
        <v>#N/A</v>
      </c>
      <c r="K633" t="str">
        <f t="shared" ca="1" si="1"/>
        <v/>
      </c>
      <c r="L633" t="str">
        <f ca="1">IFERROR(__xludf.DUMMYFUNCTION("IF(AND(NOT(K633 = """"), G633 &gt;= 15),K633/FILTER('Base Stats'!$C$2:$C1000, LOWER('Base Stats'!$B$2:$B1000) = LOWER($A633)), """")"),"#N/A")</f>
        <v>#N/A</v>
      </c>
      <c r="M633" t="str">
        <f ca="1">IFERROR(__xludf.DUMMYFUNCTION("1.15 + 0.02 * FILTER('Base Stats'!$C$2:$C1000, LOWER('Base Stats'!$B$2:$B1000) = LOWER($A633))"),"1.15")</f>
        <v>1.15</v>
      </c>
      <c r="N633" t="s">
        <v>527</v>
      </c>
    </row>
    <row r="634" spans="1:14" ht="12.75" x14ac:dyDescent="0.2">
      <c r="A634">
        <f>'Form Responses (Pokemon Stats)'!B594</f>
        <v>0</v>
      </c>
      <c r="B634">
        <f>'Form Responses (Pokemon Stats)'!D594</f>
        <v>0</v>
      </c>
      <c r="C634">
        <f>'Form Responses (Pokemon Stats)'!C594</f>
        <v>0</v>
      </c>
      <c r="F634">
        <f>'Form Responses (Pokemon Stats)'!E594</f>
        <v>0</v>
      </c>
      <c r="G634" t="str">
        <f ca="1">IFERROR(__xludf.DUMMYFUNCTION("ROUND(B634/ FILTER('Pokemon CP/HP'!$M$2:$M1000, LOWER('Pokemon CP/HP'!$B$2:$B1000)=LOWER(A634)))"),"#DIV/0!")</f>
        <v>#DIV/0!</v>
      </c>
      <c r="H634" t="str">
        <f ca="1">IFERROR(__xludf.DUMMYFUNCTION("FILTER('Leveling Info'!$B$2:$B1000, 'Leveling Info'!$A$2:$A1000 =G634)"),"#N/A")</f>
        <v>#N/A</v>
      </c>
      <c r="I634" s="29" t="e">
        <f t="shared" ca="1" si="0"/>
        <v>#VALUE!</v>
      </c>
      <c r="J634" s="29" t="str">
        <f ca="1">IFERROR(__xludf.DUMMYFUNCTION("IF(F634 = H634,C634/FILTER('Base Stats'!$C$2:$C1000, LOWER('Base Stats'!$B$2:$B1000) = LOWER($A634)), """")"),"#N/A")</f>
        <v>#N/A</v>
      </c>
      <c r="K634" t="str">
        <f t="shared" ca="1" si="1"/>
        <v/>
      </c>
      <c r="L634" t="str">
        <f ca="1">IFERROR(__xludf.DUMMYFUNCTION("IF(AND(NOT(K634 = """"), G634 &gt;= 15),K634/FILTER('Base Stats'!$C$2:$C1000, LOWER('Base Stats'!$B$2:$B1000) = LOWER($A634)), """")"),"#N/A")</f>
        <v>#N/A</v>
      </c>
      <c r="M634" t="str">
        <f ca="1">IFERROR(__xludf.DUMMYFUNCTION("1.15 + 0.02 * FILTER('Base Stats'!$C$2:$C1000, LOWER('Base Stats'!$B$2:$B1000) = LOWER($A634))"),"1.15")</f>
        <v>1.15</v>
      </c>
      <c r="N634" t="s">
        <v>527</v>
      </c>
    </row>
    <row r="635" spans="1:14" ht="12.75" x14ac:dyDescent="0.2">
      <c r="A635">
        <f>'Form Responses (Pokemon Stats)'!B595</f>
        <v>0</v>
      </c>
      <c r="B635">
        <f>'Form Responses (Pokemon Stats)'!D595</f>
        <v>0</v>
      </c>
      <c r="C635">
        <f>'Form Responses (Pokemon Stats)'!C595</f>
        <v>0</v>
      </c>
      <c r="F635">
        <f>'Form Responses (Pokemon Stats)'!E595</f>
        <v>0</v>
      </c>
      <c r="G635" t="str">
        <f ca="1">IFERROR(__xludf.DUMMYFUNCTION("ROUND(B635/ FILTER('Pokemon CP/HP'!$M$2:$M1000, LOWER('Pokemon CP/HP'!$B$2:$B1000)=LOWER(A635)))"),"#DIV/0!")</f>
        <v>#DIV/0!</v>
      </c>
      <c r="H635" t="str">
        <f ca="1">IFERROR(__xludf.DUMMYFUNCTION("FILTER('Leveling Info'!$B$2:$B1000, 'Leveling Info'!$A$2:$A1000 =G635)"),"#N/A")</f>
        <v>#N/A</v>
      </c>
      <c r="I635" s="29" t="e">
        <f t="shared" ca="1" si="0"/>
        <v>#VALUE!</v>
      </c>
      <c r="J635" s="29" t="str">
        <f ca="1">IFERROR(__xludf.DUMMYFUNCTION("IF(F635 = H635,C635/FILTER('Base Stats'!$C$2:$C1000, LOWER('Base Stats'!$B$2:$B1000) = LOWER($A635)), """")"),"#N/A")</f>
        <v>#N/A</v>
      </c>
      <c r="K635" t="str">
        <f t="shared" ca="1" si="1"/>
        <v/>
      </c>
      <c r="L635" t="str">
        <f ca="1">IFERROR(__xludf.DUMMYFUNCTION("IF(AND(NOT(K635 = """"), G635 &gt;= 15),K635/FILTER('Base Stats'!$C$2:$C1000, LOWER('Base Stats'!$B$2:$B1000) = LOWER($A635)), """")"),"#N/A")</f>
        <v>#N/A</v>
      </c>
      <c r="M635" t="str">
        <f ca="1">IFERROR(__xludf.DUMMYFUNCTION("1.15 + 0.02 * FILTER('Base Stats'!$C$2:$C1000, LOWER('Base Stats'!$B$2:$B1000) = LOWER($A635))"),"1.15")</f>
        <v>1.15</v>
      </c>
      <c r="N635" t="s">
        <v>527</v>
      </c>
    </row>
    <row r="636" spans="1:14" ht="12.75" x14ac:dyDescent="0.2">
      <c r="A636">
        <f>'Form Responses (Pokemon Stats)'!B596</f>
        <v>0</v>
      </c>
      <c r="B636">
        <f>'Form Responses (Pokemon Stats)'!D596</f>
        <v>0</v>
      </c>
      <c r="C636">
        <f>'Form Responses (Pokemon Stats)'!C596</f>
        <v>0</v>
      </c>
      <c r="F636">
        <f>'Form Responses (Pokemon Stats)'!E596</f>
        <v>0</v>
      </c>
      <c r="G636" t="str">
        <f ca="1">IFERROR(__xludf.DUMMYFUNCTION("ROUND(B636/ FILTER('Pokemon CP/HP'!$M$2:$M1000, LOWER('Pokemon CP/HP'!$B$2:$B1000)=LOWER(A636)))"),"#DIV/0!")</f>
        <v>#DIV/0!</v>
      </c>
      <c r="H636" t="str">
        <f ca="1">IFERROR(__xludf.DUMMYFUNCTION("FILTER('Leveling Info'!$B$2:$B1000, 'Leveling Info'!$A$2:$A1000 =G636)"),"#N/A")</f>
        <v>#N/A</v>
      </c>
      <c r="I636" s="29" t="e">
        <f t="shared" ca="1" si="0"/>
        <v>#VALUE!</v>
      </c>
      <c r="J636" s="29" t="str">
        <f ca="1">IFERROR(__xludf.DUMMYFUNCTION("IF(F636 = H636,C636/FILTER('Base Stats'!$C$2:$C1000, LOWER('Base Stats'!$B$2:$B1000) = LOWER($A636)), """")"),"#N/A")</f>
        <v>#N/A</v>
      </c>
      <c r="K636" t="str">
        <f t="shared" ca="1" si="1"/>
        <v/>
      </c>
      <c r="L636" t="str">
        <f ca="1">IFERROR(__xludf.DUMMYFUNCTION("IF(AND(NOT(K636 = """"), G636 &gt;= 15),K636/FILTER('Base Stats'!$C$2:$C1000, LOWER('Base Stats'!$B$2:$B1000) = LOWER($A636)), """")"),"#N/A")</f>
        <v>#N/A</v>
      </c>
      <c r="M636" t="str">
        <f ca="1">IFERROR(__xludf.DUMMYFUNCTION("1.15 + 0.02 * FILTER('Base Stats'!$C$2:$C1000, LOWER('Base Stats'!$B$2:$B1000) = LOWER($A636))"),"1.15")</f>
        <v>1.15</v>
      </c>
      <c r="N636" t="s">
        <v>527</v>
      </c>
    </row>
    <row r="637" spans="1:14" ht="12.75" x14ac:dyDescent="0.2">
      <c r="A637">
        <f>'Form Responses (Pokemon Stats)'!B597</f>
        <v>0</v>
      </c>
      <c r="B637">
        <f>'Form Responses (Pokemon Stats)'!D597</f>
        <v>0</v>
      </c>
      <c r="C637">
        <f>'Form Responses (Pokemon Stats)'!C597</f>
        <v>0</v>
      </c>
      <c r="F637">
        <f>'Form Responses (Pokemon Stats)'!E597</f>
        <v>0</v>
      </c>
      <c r="G637" t="str">
        <f ca="1">IFERROR(__xludf.DUMMYFUNCTION("ROUND(B637/ FILTER('Pokemon CP/HP'!$M$2:$M1000, LOWER('Pokemon CP/HP'!$B$2:$B1000)=LOWER(A637)))"),"#DIV/0!")</f>
        <v>#DIV/0!</v>
      </c>
      <c r="H637" t="str">
        <f ca="1">IFERROR(__xludf.DUMMYFUNCTION("FILTER('Leveling Info'!$B$2:$B1000, 'Leveling Info'!$A$2:$A1000 =G637)"),"#N/A")</f>
        <v>#N/A</v>
      </c>
      <c r="I637" s="29" t="e">
        <f t="shared" ca="1" si="0"/>
        <v>#VALUE!</v>
      </c>
      <c r="J637" s="29" t="str">
        <f ca="1">IFERROR(__xludf.DUMMYFUNCTION("IF(F637 = H637,C637/FILTER('Base Stats'!$C$2:$C1000, LOWER('Base Stats'!$B$2:$B1000) = LOWER($A637)), """")"),"#N/A")</f>
        <v>#N/A</v>
      </c>
      <c r="K637" t="str">
        <f t="shared" ca="1" si="1"/>
        <v/>
      </c>
      <c r="L637" t="str">
        <f ca="1">IFERROR(__xludf.DUMMYFUNCTION("IF(AND(NOT(K637 = """"), G637 &gt;= 15),K637/FILTER('Base Stats'!$C$2:$C1000, LOWER('Base Stats'!$B$2:$B1000) = LOWER($A637)), """")"),"#N/A")</f>
        <v>#N/A</v>
      </c>
      <c r="M637" t="str">
        <f ca="1">IFERROR(__xludf.DUMMYFUNCTION("1.15 + 0.02 * FILTER('Base Stats'!$C$2:$C1000, LOWER('Base Stats'!$B$2:$B1000) = LOWER($A637))"),"1.15")</f>
        <v>1.15</v>
      </c>
      <c r="N637" t="s">
        <v>527</v>
      </c>
    </row>
    <row r="638" spans="1:14" ht="12.75" x14ac:dyDescent="0.2">
      <c r="A638">
        <f>'Form Responses (Pokemon Stats)'!B598</f>
        <v>0</v>
      </c>
      <c r="B638">
        <f>'Form Responses (Pokemon Stats)'!D598</f>
        <v>0</v>
      </c>
      <c r="C638">
        <f>'Form Responses (Pokemon Stats)'!C598</f>
        <v>0</v>
      </c>
      <c r="F638">
        <f>'Form Responses (Pokemon Stats)'!E598</f>
        <v>0</v>
      </c>
      <c r="G638" t="str">
        <f ca="1">IFERROR(__xludf.DUMMYFUNCTION("ROUND(B638/ FILTER('Pokemon CP/HP'!$M$2:$M1000, LOWER('Pokemon CP/HP'!$B$2:$B1000)=LOWER(A638)))"),"#DIV/0!")</f>
        <v>#DIV/0!</v>
      </c>
      <c r="H638" t="str">
        <f ca="1">IFERROR(__xludf.DUMMYFUNCTION("FILTER('Leveling Info'!$B$2:$B1000, 'Leveling Info'!$A$2:$A1000 =G638)"),"#N/A")</f>
        <v>#N/A</v>
      </c>
      <c r="I638" s="29" t="e">
        <f t="shared" ca="1" si="0"/>
        <v>#VALUE!</v>
      </c>
      <c r="J638" s="29" t="str">
        <f ca="1">IFERROR(__xludf.DUMMYFUNCTION("IF(F638 = H638,C638/FILTER('Base Stats'!$C$2:$C1000, LOWER('Base Stats'!$B$2:$B1000) = LOWER($A638)), """")"),"#N/A")</f>
        <v>#N/A</v>
      </c>
      <c r="K638" t="str">
        <f t="shared" ca="1" si="1"/>
        <v/>
      </c>
      <c r="L638" t="str">
        <f ca="1">IFERROR(__xludf.DUMMYFUNCTION("IF(AND(NOT(K638 = """"), G638 &gt;= 15),K638/FILTER('Base Stats'!$C$2:$C1000, LOWER('Base Stats'!$B$2:$B1000) = LOWER($A638)), """")"),"#N/A")</f>
        <v>#N/A</v>
      </c>
      <c r="M638" t="str">
        <f ca="1">IFERROR(__xludf.DUMMYFUNCTION("1.15 + 0.02 * FILTER('Base Stats'!$C$2:$C1000, LOWER('Base Stats'!$B$2:$B1000) = LOWER($A638))"),"1.15")</f>
        <v>1.15</v>
      </c>
      <c r="N638" t="s">
        <v>527</v>
      </c>
    </row>
    <row r="639" spans="1:14" ht="12.75" x14ac:dyDescent="0.2">
      <c r="A639">
        <f>'Form Responses (Pokemon Stats)'!B599</f>
        <v>0</v>
      </c>
      <c r="B639">
        <f>'Form Responses (Pokemon Stats)'!D599</f>
        <v>0</v>
      </c>
      <c r="C639">
        <f>'Form Responses (Pokemon Stats)'!C599</f>
        <v>0</v>
      </c>
      <c r="F639">
        <f>'Form Responses (Pokemon Stats)'!E599</f>
        <v>0</v>
      </c>
      <c r="G639" t="str">
        <f ca="1">IFERROR(__xludf.DUMMYFUNCTION("ROUND(B639/ FILTER('Pokemon CP/HP'!$M$2:$M1000, LOWER('Pokemon CP/HP'!$B$2:$B1000)=LOWER(A639)))"),"#DIV/0!")</f>
        <v>#DIV/0!</v>
      </c>
      <c r="H639" t="str">
        <f ca="1">IFERROR(__xludf.DUMMYFUNCTION("FILTER('Leveling Info'!$B$2:$B1000, 'Leveling Info'!$A$2:$A1000 =G639)"),"#N/A")</f>
        <v>#N/A</v>
      </c>
      <c r="I639" s="29" t="e">
        <f t="shared" ca="1" si="0"/>
        <v>#VALUE!</v>
      </c>
      <c r="J639" s="29" t="str">
        <f ca="1">IFERROR(__xludf.DUMMYFUNCTION("IF(F639 = H639,C639/FILTER('Base Stats'!$C$2:$C1000, LOWER('Base Stats'!$B$2:$B1000) = LOWER($A639)), """")"),"#N/A")</f>
        <v>#N/A</v>
      </c>
      <c r="K639" t="str">
        <f t="shared" ca="1" si="1"/>
        <v/>
      </c>
      <c r="L639" t="str">
        <f ca="1">IFERROR(__xludf.DUMMYFUNCTION("IF(AND(NOT(K639 = """"), G639 &gt;= 15),K639/FILTER('Base Stats'!$C$2:$C1000, LOWER('Base Stats'!$B$2:$B1000) = LOWER($A639)), """")"),"#N/A")</f>
        <v>#N/A</v>
      </c>
      <c r="M639" t="str">
        <f ca="1">IFERROR(__xludf.DUMMYFUNCTION("1.15 + 0.02 * FILTER('Base Stats'!$C$2:$C1000, LOWER('Base Stats'!$B$2:$B1000) = LOWER($A639))"),"1.15")</f>
        <v>1.15</v>
      </c>
      <c r="N639" t="s">
        <v>527</v>
      </c>
    </row>
    <row r="640" spans="1:14" ht="12.75" x14ac:dyDescent="0.2">
      <c r="A640">
        <f>'Form Responses (Pokemon Stats)'!B600</f>
        <v>0</v>
      </c>
      <c r="B640">
        <f>'Form Responses (Pokemon Stats)'!D600</f>
        <v>0</v>
      </c>
      <c r="C640">
        <f>'Form Responses (Pokemon Stats)'!C600</f>
        <v>0</v>
      </c>
      <c r="F640">
        <f>'Form Responses (Pokemon Stats)'!E600</f>
        <v>0</v>
      </c>
      <c r="G640" t="str">
        <f ca="1">IFERROR(__xludf.DUMMYFUNCTION("ROUND(B640/ FILTER('Pokemon CP/HP'!$M$2:$M1000, LOWER('Pokemon CP/HP'!$B$2:$B1000)=LOWER(A640)))"),"#DIV/0!")</f>
        <v>#DIV/0!</v>
      </c>
      <c r="H640" t="str">
        <f ca="1">IFERROR(__xludf.DUMMYFUNCTION("FILTER('Leveling Info'!$B$2:$B1000, 'Leveling Info'!$A$2:$A1000 =G640)"),"#N/A")</f>
        <v>#N/A</v>
      </c>
      <c r="I640" s="29" t="e">
        <f t="shared" ca="1" si="0"/>
        <v>#VALUE!</v>
      </c>
      <c r="J640" s="29" t="str">
        <f ca="1">IFERROR(__xludf.DUMMYFUNCTION("IF(F640 = H640,C640/FILTER('Base Stats'!$C$2:$C1000, LOWER('Base Stats'!$B$2:$B1000) = LOWER($A640)), """")"),"#N/A")</f>
        <v>#N/A</v>
      </c>
      <c r="K640" t="str">
        <f t="shared" ca="1" si="1"/>
        <v/>
      </c>
      <c r="L640" t="str">
        <f ca="1">IFERROR(__xludf.DUMMYFUNCTION("IF(AND(NOT(K640 = """"), G640 &gt;= 15),K640/FILTER('Base Stats'!$C$2:$C1000, LOWER('Base Stats'!$B$2:$B1000) = LOWER($A640)), """")"),"#N/A")</f>
        <v>#N/A</v>
      </c>
      <c r="M640" t="str">
        <f ca="1">IFERROR(__xludf.DUMMYFUNCTION("1.15 + 0.02 * FILTER('Base Stats'!$C$2:$C1000, LOWER('Base Stats'!$B$2:$B1000) = LOWER($A640))"),"1.15")</f>
        <v>1.15</v>
      </c>
      <c r="N640" t="s">
        <v>527</v>
      </c>
    </row>
    <row r="641" spans="1:14" ht="12.75" x14ac:dyDescent="0.2">
      <c r="A641">
        <f>'Form Responses (Pokemon Stats)'!B601</f>
        <v>0</v>
      </c>
      <c r="B641">
        <f>'Form Responses (Pokemon Stats)'!D601</f>
        <v>0</v>
      </c>
      <c r="C641">
        <f>'Form Responses (Pokemon Stats)'!C601</f>
        <v>0</v>
      </c>
      <c r="F641">
        <f>'Form Responses (Pokemon Stats)'!E601</f>
        <v>0</v>
      </c>
      <c r="G641" t="str">
        <f ca="1">IFERROR(__xludf.DUMMYFUNCTION("ROUND(B641/ FILTER('Pokemon CP/HP'!$M$2:$M1000, LOWER('Pokemon CP/HP'!$B$2:$B1000)=LOWER(A641)))"),"#DIV/0!")</f>
        <v>#DIV/0!</v>
      </c>
      <c r="H641" t="str">
        <f ca="1">IFERROR(__xludf.DUMMYFUNCTION("FILTER('Leveling Info'!$B$2:$B1000, 'Leveling Info'!$A$2:$A1000 =G641)"),"#N/A")</f>
        <v>#N/A</v>
      </c>
      <c r="I641" s="29" t="e">
        <f t="shared" ca="1" si="0"/>
        <v>#VALUE!</v>
      </c>
      <c r="J641" s="29" t="str">
        <f ca="1">IFERROR(__xludf.DUMMYFUNCTION("IF(F641 = H641,C641/FILTER('Base Stats'!$C$2:$C1000, LOWER('Base Stats'!$B$2:$B1000) = LOWER($A641)), """")"),"#N/A")</f>
        <v>#N/A</v>
      </c>
      <c r="K641" t="str">
        <f t="shared" ca="1" si="1"/>
        <v/>
      </c>
      <c r="L641" t="str">
        <f ca="1">IFERROR(__xludf.DUMMYFUNCTION("IF(AND(NOT(K641 = """"), G641 &gt;= 15),K641/FILTER('Base Stats'!$C$2:$C1000, LOWER('Base Stats'!$B$2:$B1000) = LOWER($A641)), """")"),"#N/A")</f>
        <v>#N/A</v>
      </c>
      <c r="M641" t="str">
        <f ca="1">IFERROR(__xludf.DUMMYFUNCTION("1.15 + 0.02 * FILTER('Base Stats'!$C$2:$C1000, LOWER('Base Stats'!$B$2:$B1000) = LOWER($A641))"),"1.15")</f>
        <v>1.15</v>
      </c>
      <c r="N641" t="s">
        <v>527</v>
      </c>
    </row>
    <row r="642" spans="1:14" ht="12.75" x14ac:dyDescent="0.2">
      <c r="A642">
        <f>'Form Responses (Pokemon Stats)'!B602</f>
        <v>0</v>
      </c>
      <c r="B642">
        <f>'Form Responses (Pokemon Stats)'!D602</f>
        <v>0</v>
      </c>
      <c r="C642">
        <f>'Form Responses (Pokemon Stats)'!C602</f>
        <v>0</v>
      </c>
      <c r="F642">
        <f>'Form Responses (Pokemon Stats)'!E602</f>
        <v>0</v>
      </c>
      <c r="G642" t="str">
        <f ca="1">IFERROR(__xludf.DUMMYFUNCTION("ROUND(B642/ FILTER('Pokemon CP/HP'!$M$2:$M1000, LOWER('Pokemon CP/HP'!$B$2:$B1000)=LOWER(A642)))"),"#DIV/0!")</f>
        <v>#DIV/0!</v>
      </c>
      <c r="H642" t="str">
        <f ca="1">IFERROR(__xludf.DUMMYFUNCTION("FILTER('Leveling Info'!$B$2:$B1000, 'Leveling Info'!$A$2:$A1000 =G642)"),"#N/A")</f>
        <v>#N/A</v>
      </c>
      <c r="I642" s="29" t="e">
        <f t="shared" ca="1" si="0"/>
        <v>#VALUE!</v>
      </c>
      <c r="J642" s="29" t="str">
        <f ca="1">IFERROR(__xludf.DUMMYFUNCTION("IF(F642 = H642,C642/FILTER('Base Stats'!$C$2:$C1000, LOWER('Base Stats'!$B$2:$B1000) = LOWER($A642)), """")"),"#N/A")</f>
        <v>#N/A</v>
      </c>
      <c r="K642" t="str">
        <f t="shared" ca="1" si="1"/>
        <v/>
      </c>
      <c r="L642" t="str">
        <f ca="1">IFERROR(__xludf.DUMMYFUNCTION("IF(AND(NOT(K642 = """"), G642 &gt;= 15),K642/FILTER('Base Stats'!$C$2:$C1000, LOWER('Base Stats'!$B$2:$B1000) = LOWER($A642)), """")"),"#N/A")</f>
        <v>#N/A</v>
      </c>
      <c r="M642" t="str">
        <f ca="1">IFERROR(__xludf.DUMMYFUNCTION("1.15 + 0.02 * FILTER('Base Stats'!$C$2:$C1000, LOWER('Base Stats'!$B$2:$B1000) = LOWER($A642))"),"1.15")</f>
        <v>1.15</v>
      </c>
      <c r="N642" t="s">
        <v>527</v>
      </c>
    </row>
    <row r="643" spans="1:14" ht="12.75" x14ac:dyDescent="0.2">
      <c r="A643">
        <f>'Form Responses (Pokemon Stats)'!B603</f>
        <v>0</v>
      </c>
      <c r="B643">
        <f>'Form Responses (Pokemon Stats)'!D603</f>
        <v>0</v>
      </c>
      <c r="C643">
        <f>'Form Responses (Pokemon Stats)'!C603</f>
        <v>0</v>
      </c>
      <c r="F643">
        <f>'Form Responses (Pokemon Stats)'!E603</f>
        <v>0</v>
      </c>
      <c r="G643" t="str">
        <f ca="1">IFERROR(__xludf.DUMMYFUNCTION("ROUND(B643/ FILTER('Pokemon CP/HP'!$M$2:$M1000, LOWER('Pokemon CP/HP'!$B$2:$B1000)=LOWER(A643)))"),"#DIV/0!")</f>
        <v>#DIV/0!</v>
      </c>
      <c r="H643" t="str">
        <f ca="1">IFERROR(__xludf.DUMMYFUNCTION("FILTER('Leveling Info'!$B$2:$B1000, 'Leveling Info'!$A$2:$A1000 =G643)"),"#N/A")</f>
        <v>#N/A</v>
      </c>
      <c r="I643" s="29" t="e">
        <f t="shared" ca="1" si="0"/>
        <v>#VALUE!</v>
      </c>
      <c r="J643" s="29" t="str">
        <f ca="1">IFERROR(__xludf.DUMMYFUNCTION("IF(F643 = H643,C643/FILTER('Base Stats'!$C$2:$C1000, LOWER('Base Stats'!$B$2:$B1000) = LOWER($A643)), """")"),"#N/A")</f>
        <v>#N/A</v>
      </c>
      <c r="K643" t="str">
        <f t="shared" ca="1" si="1"/>
        <v/>
      </c>
      <c r="L643" t="str">
        <f ca="1">IFERROR(__xludf.DUMMYFUNCTION("IF(AND(NOT(K643 = """"), G643 &gt;= 15),K643/FILTER('Base Stats'!$C$2:$C1000, LOWER('Base Stats'!$B$2:$B1000) = LOWER($A643)), """")"),"#N/A")</f>
        <v>#N/A</v>
      </c>
      <c r="M643" t="str">
        <f ca="1">IFERROR(__xludf.DUMMYFUNCTION("1.15 + 0.02 * FILTER('Base Stats'!$C$2:$C1000, LOWER('Base Stats'!$B$2:$B1000) = LOWER($A643))"),"1.15")</f>
        <v>1.15</v>
      </c>
      <c r="N643" t="s">
        <v>527</v>
      </c>
    </row>
    <row r="644" spans="1:14" ht="12.75" x14ac:dyDescent="0.2">
      <c r="A644">
        <f>'Form Responses (Pokemon Stats)'!B604</f>
        <v>0</v>
      </c>
      <c r="B644">
        <f>'Form Responses (Pokemon Stats)'!D604</f>
        <v>0</v>
      </c>
      <c r="C644">
        <f>'Form Responses (Pokemon Stats)'!C604</f>
        <v>0</v>
      </c>
      <c r="F644">
        <f>'Form Responses (Pokemon Stats)'!E604</f>
        <v>0</v>
      </c>
      <c r="G644" t="str">
        <f ca="1">IFERROR(__xludf.DUMMYFUNCTION("ROUND(B644/ FILTER('Pokemon CP/HP'!$M$2:$M1000, LOWER('Pokemon CP/HP'!$B$2:$B1000)=LOWER(A644)))"),"#DIV/0!")</f>
        <v>#DIV/0!</v>
      </c>
      <c r="H644" t="str">
        <f ca="1">IFERROR(__xludf.DUMMYFUNCTION("FILTER('Leveling Info'!$B$2:$B1000, 'Leveling Info'!$A$2:$A1000 =G644)"),"#N/A")</f>
        <v>#N/A</v>
      </c>
      <c r="I644" s="29" t="e">
        <f t="shared" ca="1" si="0"/>
        <v>#VALUE!</v>
      </c>
      <c r="J644" s="29" t="str">
        <f ca="1">IFERROR(__xludf.DUMMYFUNCTION("IF(F644 = H644,C644/FILTER('Base Stats'!$C$2:$C1000, LOWER('Base Stats'!$B$2:$B1000) = LOWER($A644)), """")"),"#N/A")</f>
        <v>#N/A</v>
      </c>
      <c r="K644" t="str">
        <f t="shared" ca="1" si="1"/>
        <v/>
      </c>
      <c r="L644" t="str">
        <f ca="1">IFERROR(__xludf.DUMMYFUNCTION("IF(AND(NOT(K644 = """"), G644 &gt;= 15),K644/FILTER('Base Stats'!$C$2:$C1000, LOWER('Base Stats'!$B$2:$B1000) = LOWER($A644)), """")"),"#N/A")</f>
        <v>#N/A</v>
      </c>
      <c r="M644" t="str">
        <f ca="1">IFERROR(__xludf.DUMMYFUNCTION("1.15 + 0.02 * FILTER('Base Stats'!$C$2:$C1000, LOWER('Base Stats'!$B$2:$B1000) = LOWER($A644))"),"1.15")</f>
        <v>1.15</v>
      </c>
      <c r="N644" t="s">
        <v>527</v>
      </c>
    </row>
    <row r="645" spans="1:14" ht="12.75" x14ac:dyDescent="0.2">
      <c r="A645">
        <f>'Form Responses (Pokemon Stats)'!B605</f>
        <v>0</v>
      </c>
      <c r="B645">
        <f>'Form Responses (Pokemon Stats)'!D605</f>
        <v>0</v>
      </c>
      <c r="C645">
        <f>'Form Responses (Pokemon Stats)'!C605</f>
        <v>0</v>
      </c>
      <c r="F645">
        <f>'Form Responses (Pokemon Stats)'!E605</f>
        <v>0</v>
      </c>
      <c r="G645" t="str">
        <f ca="1">IFERROR(__xludf.DUMMYFUNCTION("ROUND(B645/ FILTER('Pokemon CP/HP'!$M$2:$M1000, LOWER('Pokemon CP/HP'!$B$2:$B1000)=LOWER(A645)))"),"#DIV/0!")</f>
        <v>#DIV/0!</v>
      </c>
      <c r="H645" t="str">
        <f ca="1">IFERROR(__xludf.DUMMYFUNCTION("FILTER('Leveling Info'!$B$2:$B1000, 'Leveling Info'!$A$2:$A1000 =G645)"),"#N/A")</f>
        <v>#N/A</v>
      </c>
      <c r="I645" s="29" t="e">
        <f t="shared" ca="1" si="0"/>
        <v>#VALUE!</v>
      </c>
      <c r="J645" s="29" t="str">
        <f ca="1">IFERROR(__xludf.DUMMYFUNCTION("IF(F645 = H645,C645/FILTER('Base Stats'!$C$2:$C1000, LOWER('Base Stats'!$B$2:$B1000) = LOWER($A645)), """")"),"#N/A")</f>
        <v>#N/A</v>
      </c>
      <c r="K645" t="str">
        <f t="shared" ca="1" si="1"/>
        <v/>
      </c>
      <c r="L645" t="str">
        <f ca="1">IFERROR(__xludf.DUMMYFUNCTION("IF(AND(NOT(K645 = """"), G645 &gt;= 15),K645/FILTER('Base Stats'!$C$2:$C1000, LOWER('Base Stats'!$B$2:$B1000) = LOWER($A645)), """")"),"#N/A")</f>
        <v>#N/A</v>
      </c>
      <c r="M645" t="str">
        <f ca="1">IFERROR(__xludf.DUMMYFUNCTION("1.15 + 0.02 * FILTER('Base Stats'!$C$2:$C1000, LOWER('Base Stats'!$B$2:$B1000) = LOWER($A645))"),"1.15")</f>
        <v>1.15</v>
      </c>
      <c r="N645" t="s">
        <v>527</v>
      </c>
    </row>
    <row r="646" spans="1:14" ht="12.75" x14ac:dyDescent="0.2">
      <c r="A646">
        <f>'Form Responses (Pokemon Stats)'!B606</f>
        <v>0</v>
      </c>
      <c r="B646">
        <f>'Form Responses (Pokemon Stats)'!D606</f>
        <v>0</v>
      </c>
      <c r="C646">
        <f>'Form Responses (Pokemon Stats)'!C606</f>
        <v>0</v>
      </c>
      <c r="F646">
        <f>'Form Responses (Pokemon Stats)'!E606</f>
        <v>0</v>
      </c>
      <c r="G646" t="str">
        <f ca="1">IFERROR(__xludf.DUMMYFUNCTION("ROUND(B646/ FILTER('Pokemon CP/HP'!$M$2:$M1000, LOWER('Pokemon CP/HP'!$B$2:$B1000)=LOWER(A646)))"),"#DIV/0!")</f>
        <v>#DIV/0!</v>
      </c>
      <c r="H646" t="str">
        <f ca="1">IFERROR(__xludf.DUMMYFUNCTION("FILTER('Leveling Info'!$B$2:$B1000, 'Leveling Info'!$A$2:$A1000 =G646)"),"#N/A")</f>
        <v>#N/A</v>
      </c>
      <c r="I646" s="29" t="e">
        <f t="shared" ca="1" si="0"/>
        <v>#VALUE!</v>
      </c>
      <c r="J646" s="29" t="str">
        <f ca="1">IFERROR(__xludf.DUMMYFUNCTION("IF(F646 = H646,C646/FILTER('Base Stats'!$C$2:$C1000, LOWER('Base Stats'!$B$2:$B1000) = LOWER($A646)), """")"),"#N/A")</f>
        <v>#N/A</v>
      </c>
      <c r="K646" t="str">
        <f t="shared" ca="1" si="1"/>
        <v/>
      </c>
      <c r="L646" t="str">
        <f ca="1">IFERROR(__xludf.DUMMYFUNCTION("IF(AND(NOT(K646 = """"), G646 &gt;= 15),K646/FILTER('Base Stats'!$C$2:$C1000, LOWER('Base Stats'!$B$2:$B1000) = LOWER($A646)), """")"),"#N/A")</f>
        <v>#N/A</v>
      </c>
      <c r="M646" t="str">
        <f ca="1">IFERROR(__xludf.DUMMYFUNCTION("1.15 + 0.02 * FILTER('Base Stats'!$C$2:$C1000, LOWER('Base Stats'!$B$2:$B1000) = LOWER($A646))"),"1.15")</f>
        <v>1.15</v>
      </c>
      <c r="N646" t="s">
        <v>527</v>
      </c>
    </row>
    <row r="647" spans="1:14" ht="12.75" x14ac:dyDescent="0.2">
      <c r="A647">
        <f>'Form Responses (Pokemon Stats)'!B607</f>
        <v>0</v>
      </c>
      <c r="B647">
        <f>'Form Responses (Pokemon Stats)'!D607</f>
        <v>0</v>
      </c>
      <c r="C647">
        <f>'Form Responses (Pokemon Stats)'!C607</f>
        <v>0</v>
      </c>
      <c r="F647">
        <f>'Form Responses (Pokemon Stats)'!E607</f>
        <v>0</v>
      </c>
      <c r="G647" t="str">
        <f ca="1">IFERROR(__xludf.DUMMYFUNCTION("ROUND(B647/ FILTER('Pokemon CP/HP'!$M$2:$M1000, LOWER('Pokemon CP/HP'!$B$2:$B1000)=LOWER(A647)))"),"#DIV/0!")</f>
        <v>#DIV/0!</v>
      </c>
      <c r="H647" t="str">
        <f ca="1">IFERROR(__xludf.DUMMYFUNCTION("FILTER('Leveling Info'!$B$2:$B1000, 'Leveling Info'!$A$2:$A1000 =G647)"),"#N/A")</f>
        <v>#N/A</v>
      </c>
      <c r="I647" s="29" t="e">
        <f t="shared" ca="1" si="0"/>
        <v>#VALUE!</v>
      </c>
      <c r="J647" s="29" t="str">
        <f ca="1">IFERROR(__xludf.DUMMYFUNCTION("IF(F647 = H647,C647/FILTER('Base Stats'!$C$2:$C1000, LOWER('Base Stats'!$B$2:$B1000) = LOWER($A647)), """")"),"#N/A")</f>
        <v>#N/A</v>
      </c>
      <c r="K647" t="str">
        <f t="shared" ca="1" si="1"/>
        <v/>
      </c>
      <c r="L647" t="str">
        <f ca="1">IFERROR(__xludf.DUMMYFUNCTION("IF(AND(NOT(K647 = """"), G647 &gt;= 15),K647/FILTER('Base Stats'!$C$2:$C1000, LOWER('Base Stats'!$B$2:$B1000) = LOWER($A647)), """")"),"#N/A")</f>
        <v>#N/A</v>
      </c>
      <c r="M647" t="str">
        <f ca="1">IFERROR(__xludf.DUMMYFUNCTION("1.15 + 0.02 * FILTER('Base Stats'!$C$2:$C1000, LOWER('Base Stats'!$B$2:$B1000) = LOWER($A647))"),"1.15")</f>
        <v>1.15</v>
      </c>
      <c r="N647" t="s">
        <v>527</v>
      </c>
    </row>
    <row r="648" spans="1:14" ht="12.75" x14ac:dyDescent="0.2">
      <c r="A648">
        <f>'Form Responses (Pokemon Stats)'!B608</f>
        <v>0</v>
      </c>
      <c r="B648">
        <f>'Form Responses (Pokemon Stats)'!D608</f>
        <v>0</v>
      </c>
      <c r="C648">
        <f>'Form Responses (Pokemon Stats)'!C608</f>
        <v>0</v>
      </c>
      <c r="F648">
        <f>'Form Responses (Pokemon Stats)'!E608</f>
        <v>0</v>
      </c>
      <c r="G648" t="str">
        <f ca="1">IFERROR(__xludf.DUMMYFUNCTION("ROUND(B648/ FILTER('Pokemon CP/HP'!$M$2:$M1000, LOWER('Pokemon CP/HP'!$B$2:$B1000)=LOWER(A648)))"),"#DIV/0!")</f>
        <v>#DIV/0!</v>
      </c>
      <c r="H648" t="str">
        <f ca="1">IFERROR(__xludf.DUMMYFUNCTION("FILTER('Leveling Info'!$B$2:$B1000, 'Leveling Info'!$A$2:$A1000 =G648)"),"#N/A")</f>
        <v>#N/A</v>
      </c>
      <c r="I648" s="29" t="e">
        <f t="shared" ca="1" si="0"/>
        <v>#VALUE!</v>
      </c>
      <c r="J648" s="29" t="str">
        <f ca="1">IFERROR(__xludf.DUMMYFUNCTION("IF(F648 = H648,C648/FILTER('Base Stats'!$C$2:$C1000, LOWER('Base Stats'!$B$2:$B1000) = LOWER($A648)), """")"),"#N/A")</f>
        <v>#N/A</v>
      </c>
      <c r="K648" t="str">
        <f t="shared" ca="1" si="1"/>
        <v/>
      </c>
      <c r="L648" t="str">
        <f ca="1">IFERROR(__xludf.DUMMYFUNCTION("IF(AND(NOT(K648 = """"), G648 &gt;= 15),K648/FILTER('Base Stats'!$C$2:$C1000, LOWER('Base Stats'!$B$2:$B1000) = LOWER($A648)), """")"),"#N/A")</f>
        <v>#N/A</v>
      </c>
      <c r="M648" t="str">
        <f ca="1">IFERROR(__xludf.DUMMYFUNCTION("1.15 + 0.02 * FILTER('Base Stats'!$C$2:$C1000, LOWER('Base Stats'!$B$2:$B1000) = LOWER($A648))"),"1.15")</f>
        <v>1.15</v>
      </c>
      <c r="N648" t="s">
        <v>527</v>
      </c>
    </row>
    <row r="649" spans="1:14" ht="12.75" x14ac:dyDescent="0.2">
      <c r="A649">
        <f>'Form Responses (Pokemon Stats)'!B609</f>
        <v>0</v>
      </c>
      <c r="B649">
        <f>'Form Responses (Pokemon Stats)'!D609</f>
        <v>0</v>
      </c>
      <c r="C649">
        <f>'Form Responses (Pokemon Stats)'!C609</f>
        <v>0</v>
      </c>
      <c r="F649">
        <f>'Form Responses (Pokemon Stats)'!E609</f>
        <v>0</v>
      </c>
      <c r="G649" t="str">
        <f ca="1">IFERROR(__xludf.DUMMYFUNCTION("ROUND(B649/ FILTER('Pokemon CP/HP'!$M$2:$M1000, LOWER('Pokemon CP/HP'!$B$2:$B1000)=LOWER(A649)))"),"#DIV/0!")</f>
        <v>#DIV/0!</v>
      </c>
      <c r="H649" t="str">
        <f ca="1">IFERROR(__xludf.DUMMYFUNCTION("FILTER('Leveling Info'!$B$2:$B1000, 'Leveling Info'!$A$2:$A1000 =G649)"),"#N/A")</f>
        <v>#N/A</v>
      </c>
      <c r="I649" s="29" t="e">
        <f t="shared" ca="1" si="0"/>
        <v>#VALUE!</v>
      </c>
      <c r="J649" s="29" t="str">
        <f ca="1">IFERROR(__xludf.DUMMYFUNCTION("IF(F649 = H649,C649/FILTER('Base Stats'!$C$2:$C1000, LOWER('Base Stats'!$B$2:$B1000) = LOWER($A649)), """")"),"#N/A")</f>
        <v>#N/A</v>
      </c>
      <c r="K649" t="str">
        <f t="shared" ca="1" si="1"/>
        <v/>
      </c>
      <c r="L649" t="str">
        <f ca="1">IFERROR(__xludf.DUMMYFUNCTION("IF(AND(NOT(K649 = """"), G649 &gt;= 15),K649/FILTER('Base Stats'!$C$2:$C1000, LOWER('Base Stats'!$B$2:$B1000) = LOWER($A649)), """")"),"#N/A")</f>
        <v>#N/A</v>
      </c>
      <c r="M649" t="str">
        <f ca="1">IFERROR(__xludf.DUMMYFUNCTION("1.15 + 0.02 * FILTER('Base Stats'!$C$2:$C1000, LOWER('Base Stats'!$B$2:$B1000) = LOWER($A649))"),"1.15")</f>
        <v>1.15</v>
      </c>
      <c r="N649" t="s">
        <v>527</v>
      </c>
    </row>
    <row r="650" spans="1:14" ht="12.75" x14ac:dyDescent="0.2">
      <c r="A650">
        <f>'Form Responses (Pokemon Stats)'!B610</f>
        <v>0</v>
      </c>
      <c r="B650">
        <f>'Form Responses (Pokemon Stats)'!D610</f>
        <v>0</v>
      </c>
      <c r="C650">
        <f>'Form Responses (Pokemon Stats)'!C610</f>
        <v>0</v>
      </c>
      <c r="F650">
        <f>'Form Responses (Pokemon Stats)'!E610</f>
        <v>0</v>
      </c>
      <c r="G650" t="str">
        <f ca="1">IFERROR(__xludf.DUMMYFUNCTION("ROUND(B650/ FILTER('Pokemon CP/HP'!$M$2:$M1000, LOWER('Pokemon CP/HP'!$B$2:$B1000)=LOWER(A650)))"),"#DIV/0!")</f>
        <v>#DIV/0!</v>
      </c>
      <c r="H650" t="str">
        <f ca="1">IFERROR(__xludf.DUMMYFUNCTION("FILTER('Leveling Info'!$B$2:$B1000, 'Leveling Info'!$A$2:$A1000 =G650)"),"#N/A")</f>
        <v>#N/A</v>
      </c>
      <c r="I650" s="29" t="e">
        <f t="shared" ca="1" si="0"/>
        <v>#VALUE!</v>
      </c>
      <c r="J650" s="29" t="str">
        <f ca="1">IFERROR(__xludf.DUMMYFUNCTION("IF(F650 = H650,C650/FILTER('Base Stats'!$C$2:$C1000, LOWER('Base Stats'!$B$2:$B1000) = LOWER($A650)), """")"),"#N/A")</f>
        <v>#N/A</v>
      </c>
      <c r="K650" t="str">
        <f t="shared" ca="1" si="1"/>
        <v/>
      </c>
      <c r="L650" t="str">
        <f ca="1">IFERROR(__xludf.DUMMYFUNCTION("IF(AND(NOT(K650 = """"), G650 &gt;= 15),K650/FILTER('Base Stats'!$C$2:$C1000, LOWER('Base Stats'!$B$2:$B1000) = LOWER($A650)), """")"),"#N/A")</f>
        <v>#N/A</v>
      </c>
      <c r="M650" t="str">
        <f ca="1">IFERROR(__xludf.DUMMYFUNCTION("1.15 + 0.02 * FILTER('Base Stats'!$C$2:$C1000, LOWER('Base Stats'!$B$2:$B1000) = LOWER($A650))"),"1.15")</f>
        <v>1.15</v>
      </c>
      <c r="N650" t="s">
        <v>527</v>
      </c>
    </row>
    <row r="651" spans="1:14" ht="12.75" x14ac:dyDescent="0.2">
      <c r="A651">
        <f>'Form Responses (Pokemon Stats)'!B611</f>
        <v>0</v>
      </c>
      <c r="B651">
        <f>'Form Responses (Pokemon Stats)'!D611</f>
        <v>0</v>
      </c>
      <c r="C651">
        <f>'Form Responses (Pokemon Stats)'!C611</f>
        <v>0</v>
      </c>
      <c r="F651">
        <f>'Form Responses (Pokemon Stats)'!E611</f>
        <v>0</v>
      </c>
      <c r="G651" t="str">
        <f ca="1">IFERROR(__xludf.DUMMYFUNCTION("ROUND(B651/ FILTER('Pokemon CP/HP'!$M$2:$M1000, LOWER('Pokemon CP/HP'!$B$2:$B1000)=LOWER(A651)))"),"#DIV/0!")</f>
        <v>#DIV/0!</v>
      </c>
      <c r="H651" t="str">
        <f ca="1">IFERROR(__xludf.DUMMYFUNCTION("FILTER('Leveling Info'!$B$2:$B1000, 'Leveling Info'!$A$2:$A1000 =G651)"),"#N/A")</f>
        <v>#N/A</v>
      </c>
      <c r="I651" s="29" t="e">
        <f t="shared" ca="1" si="0"/>
        <v>#VALUE!</v>
      </c>
      <c r="J651" s="29" t="str">
        <f ca="1">IFERROR(__xludf.DUMMYFUNCTION("IF(F651 = H651,C651/FILTER('Base Stats'!$C$2:$C1000, LOWER('Base Stats'!$B$2:$B1000) = LOWER($A651)), """")"),"#N/A")</f>
        <v>#N/A</v>
      </c>
      <c r="K651" t="str">
        <f t="shared" ca="1" si="1"/>
        <v/>
      </c>
      <c r="L651" t="str">
        <f ca="1">IFERROR(__xludf.DUMMYFUNCTION("IF(AND(NOT(K651 = """"), G651 &gt;= 15),K651/FILTER('Base Stats'!$C$2:$C1000, LOWER('Base Stats'!$B$2:$B1000) = LOWER($A651)), """")"),"#N/A")</f>
        <v>#N/A</v>
      </c>
      <c r="M651" t="str">
        <f ca="1">IFERROR(__xludf.DUMMYFUNCTION("1.15 + 0.02 * FILTER('Base Stats'!$C$2:$C1000, LOWER('Base Stats'!$B$2:$B1000) = LOWER($A651))"),"1.15")</f>
        <v>1.15</v>
      </c>
      <c r="N651" t="s">
        <v>527</v>
      </c>
    </row>
    <row r="652" spans="1:14" ht="12.75" x14ac:dyDescent="0.2">
      <c r="A652">
        <f>'Form Responses (Pokemon Stats)'!B612</f>
        <v>0</v>
      </c>
      <c r="B652">
        <f>'Form Responses (Pokemon Stats)'!D612</f>
        <v>0</v>
      </c>
      <c r="C652">
        <f>'Form Responses (Pokemon Stats)'!C612</f>
        <v>0</v>
      </c>
      <c r="F652">
        <f>'Form Responses (Pokemon Stats)'!E612</f>
        <v>0</v>
      </c>
      <c r="G652" t="str">
        <f ca="1">IFERROR(__xludf.DUMMYFUNCTION("ROUND(B652/ FILTER('Pokemon CP/HP'!$M$2:$M1000, LOWER('Pokemon CP/HP'!$B$2:$B1000)=LOWER(A652)))"),"#DIV/0!")</f>
        <v>#DIV/0!</v>
      </c>
      <c r="H652" t="str">
        <f ca="1">IFERROR(__xludf.DUMMYFUNCTION("FILTER('Leveling Info'!$B$2:$B1000, 'Leveling Info'!$A$2:$A1000 =G652)"),"#N/A")</f>
        <v>#N/A</v>
      </c>
      <c r="I652" s="29" t="e">
        <f t="shared" ca="1" si="0"/>
        <v>#VALUE!</v>
      </c>
      <c r="J652" s="29" t="str">
        <f ca="1">IFERROR(__xludf.DUMMYFUNCTION("IF(F652 = H652,C652/FILTER('Base Stats'!$C$2:$C1000, LOWER('Base Stats'!$B$2:$B1000) = LOWER($A652)), """")"),"#N/A")</f>
        <v>#N/A</v>
      </c>
      <c r="K652" t="str">
        <f t="shared" ca="1" si="1"/>
        <v/>
      </c>
      <c r="L652" t="str">
        <f ca="1">IFERROR(__xludf.DUMMYFUNCTION("IF(AND(NOT(K652 = """"), G652 &gt;= 15),K652/FILTER('Base Stats'!$C$2:$C1000, LOWER('Base Stats'!$B$2:$B1000) = LOWER($A652)), """")"),"#N/A")</f>
        <v>#N/A</v>
      </c>
      <c r="M652" t="str">
        <f ca="1">IFERROR(__xludf.DUMMYFUNCTION("1.15 + 0.02 * FILTER('Base Stats'!$C$2:$C1000, LOWER('Base Stats'!$B$2:$B1000) = LOWER($A652))"),"1.15")</f>
        <v>1.15</v>
      </c>
      <c r="N652" t="s">
        <v>527</v>
      </c>
    </row>
    <row r="653" spans="1:14" ht="12.75" x14ac:dyDescent="0.2">
      <c r="A653">
        <f>'Form Responses (Pokemon Stats)'!B613</f>
        <v>0</v>
      </c>
      <c r="B653">
        <f>'Form Responses (Pokemon Stats)'!D613</f>
        <v>0</v>
      </c>
      <c r="C653">
        <f>'Form Responses (Pokemon Stats)'!C613</f>
        <v>0</v>
      </c>
      <c r="F653">
        <f>'Form Responses (Pokemon Stats)'!E613</f>
        <v>0</v>
      </c>
      <c r="G653" t="str">
        <f ca="1">IFERROR(__xludf.DUMMYFUNCTION("ROUND(B653/ FILTER('Pokemon CP/HP'!$M$2:$M1000, LOWER('Pokemon CP/HP'!$B$2:$B1000)=LOWER(A653)))"),"#DIV/0!")</f>
        <v>#DIV/0!</v>
      </c>
      <c r="H653" t="str">
        <f ca="1">IFERROR(__xludf.DUMMYFUNCTION("FILTER('Leveling Info'!$B$2:$B1000, 'Leveling Info'!$A$2:$A1000 =G653)"),"#N/A")</f>
        <v>#N/A</v>
      </c>
      <c r="I653" s="29" t="e">
        <f t="shared" ca="1" si="0"/>
        <v>#VALUE!</v>
      </c>
      <c r="J653" s="29" t="str">
        <f ca="1">IFERROR(__xludf.DUMMYFUNCTION("IF(F653 = H653,C653/FILTER('Base Stats'!$C$2:$C1000, LOWER('Base Stats'!$B$2:$B1000) = LOWER($A653)), """")"),"#N/A")</f>
        <v>#N/A</v>
      </c>
      <c r="K653" t="str">
        <f t="shared" ca="1" si="1"/>
        <v/>
      </c>
      <c r="L653" t="str">
        <f ca="1">IFERROR(__xludf.DUMMYFUNCTION("IF(AND(NOT(K653 = """"), G653 &gt;= 15),K653/FILTER('Base Stats'!$C$2:$C1000, LOWER('Base Stats'!$B$2:$B1000) = LOWER($A653)), """")"),"#N/A")</f>
        <v>#N/A</v>
      </c>
      <c r="M653" t="str">
        <f ca="1">IFERROR(__xludf.DUMMYFUNCTION("1.15 + 0.02 * FILTER('Base Stats'!$C$2:$C1000, LOWER('Base Stats'!$B$2:$B1000) = LOWER($A653))"),"1.15")</f>
        <v>1.15</v>
      </c>
      <c r="N653" t="s">
        <v>527</v>
      </c>
    </row>
    <row r="654" spans="1:14" ht="12.75" x14ac:dyDescent="0.2">
      <c r="A654">
        <f>'Form Responses (Pokemon Stats)'!B614</f>
        <v>0</v>
      </c>
      <c r="B654">
        <f>'Form Responses (Pokemon Stats)'!D614</f>
        <v>0</v>
      </c>
      <c r="C654">
        <f>'Form Responses (Pokemon Stats)'!C614</f>
        <v>0</v>
      </c>
      <c r="F654">
        <f>'Form Responses (Pokemon Stats)'!E614</f>
        <v>0</v>
      </c>
      <c r="G654" t="str">
        <f ca="1">IFERROR(__xludf.DUMMYFUNCTION("ROUND(B654/ FILTER('Pokemon CP/HP'!$M$2:$M1000, LOWER('Pokemon CP/HP'!$B$2:$B1000)=LOWER(A654)))"),"#DIV/0!")</f>
        <v>#DIV/0!</v>
      </c>
      <c r="H654" t="str">
        <f ca="1">IFERROR(__xludf.DUMMYFUNCTION("FILTER('Leveling Info'!$B$2:$B1000, 'Leveling Info'!$A$2:$A1000 =G654)"),"#N/A")</f>
        <v>#N/A</v>
      </c>
      <c r="I654" s="29" t="e">
        <f t="shared" ca="1" si="0"/>
        <v>#VALUE!</v>
      </c>
      <c r="J654" s="29" t="str">
        <f ca="1">IFERROR(__xludf.DUMMYFUNCTION("IF(F654 = H654,C654/FILTER('Base Stats'!$C$2:$C1000, LOWER('Base Stats'!$B$2:$B1000) = LOWER($A654)), """")"),"#N/A")</f>
        <v>#N/A</v>
      </c>
      <c r="K654" t="str">
        <f t="shared" ca="1" si="1"/>
        <v/>
      </c>
      <c r="L654" t="str">
        <f ca="1">IFERROR(__xludf.DUMMYFUNCTION("IF(AND(NOT(K654 = """"), G654 &gt;= 15),K654/FILTER('Base Stats'!$C$2:$C1000, LOWER('Base Stats'!$B$2:$B1000) = LOWER($A654)), """")"),"#N/A")</f>
        <v>#N/A</v>
      </c>
      <c r="M654" t="str">
        <f ca="1">IFERROR(__xludf.DUMMYFUNCTION("1.15 + 0.02 * FILTER('Base Stats'!$C$2:$C1000, LOWER('Base Stats'!$B$2:$B1000) = LOWER($A654))"),"1.15")</f>
        <v>1.15</v>
      </c>
      <c r="N654" t="s">
        <v>527</v>
      </c>
    </row>
    <row r="655" spans="1:14" ht="12.75" x14ac:dyDescent="0.2">
      <c r="A655">
        <f>'Form Responses (Pokemon Stats)'!B615</f>
        <v>0</v>
      </c>
      <c r="B655">
        <f>'Form Responses (Pokemon Stats)'!D615</f>
        <v>0</v>
      </c>
      <c r="C655">
        <f>'Form Responses (Pokemon Stats)'!C615</f>
        <v>0</v>
      </c>
      <c r="F655">
        <f>'Form Responses (Pokemon Stats)'!E615</f>
        <v>0</v>
      </c>
      <c r="G655" t="str">
        <f ca="1">IFERROR(__xludf.DUMMYFUNCTION("ROUND(B655/ FILTER('Pokemon CP/HP'!$M$2:$M1000, LOWER('Pokemon CP/HP'!$B$2:$B1000)=LOWER(A655)))"),"#DIV/0!")</f>
        <v>#DIV/0!</v>
      </c>
      <c r="H655" t="str">
        <f ca="1">IFERROR(__xludf.DUMMYFUNCTION("FILTER('Leveling Info'!$B$2:$B1000, 'Leveling Info'!$A$2:$A1000 =G655)"),"#N/A")</f>
        <v>#N/A</v>
      </c>
      <c r="I655" s="29" t="e">
        <f t="shared" ca="1" si="0"/>
        <v>#VALUE!</v>
      </c>
      <c r="J655" s="29" t="str">
        <f ca="1">IFERROR(__xludf.DUMMYFUNCTION("IF(F655 = H655,C655/FILTER('Base Stats'!$C$2:$C1000, LOWER('Base Stats'!$B$2:$B1000) = LOWER($A655)), """")"),"#N/A")</f>
        <v>#N/A</v>
      </c>
      <c r="K655" t="str">
        <f t="shared" ca="1" si="1"/>
        <v/>
      </c>
      <c r="L655" t="str">
        <f ca="1">IFERROR(__xludf.DUMMYFUNCTION("IF(AND(NOT(K655 = """"), G655 &gt;= 15),K655/FILTER('Base Stats'!$C$2:$C1000, LOWER('Base Stats'!$B$2:$B1000) = LOWER($A655)), """")"),"#N/A")</f>
        <v>#N/A</v>
      </c>
      <c r="M655" t="str">
        <f ca="1">IFERROR(__xludf.DUMMYFUNCTION("1.15 + 0.02 * FILTER('Base Stats'!$C$2:$C1000, LOWER('Base Stats'!$B$2:$B1000) = LOWER($A655))"),"1.15")</f>
        <v>1.15</v>
      </c>
      <c r="N655" t="s">
        <v>527</v>
      </c>
    </row>
    <row r="656" spans="1:14" ht="12.75" x14ac:dyDescent="0.2">
      <c r="A656">
        <f>'Form Responses (Pokemon Stats)'!B616</f>
        <v>0</v>
      </c>
      <c r="B656">
        <f>'Form Responses (Pokemon Stats)'!D616</f>
        <v>0</v>
      </c>
      <c r="C656">
        <f>'Form Responses (Pokemon Stats)'!C616</f>
        <v>0</v>
      </c>
      <c r="F656">
        <f>'Form Responses (Pokemon Stats)'!E616</f>
        <v>0</v>
      </c>
      <c r="G656" t="str">
        <f ca="1">IFERROR(__xludf.DUMMYFUNCTION("ROUND(B656/ FILTER('Pokemon CP/HP'!$M$2:$M1000, LOWER('Pokemon CP/HP'!$B$2:$B1000)=LOWER(A656)))"),"#DIV/0!")</f>
        <v>#DIV/0!</v>
      </c>
      <c r="H656" t="str">
        <f ca="1">IFERROR(__xludf.DUMMYFUNCTION("FILTER('Leveling Info'!$B$2:$B1000, 'Leveling Info'!$A$2:$A1000 =G656)"),"#N/A")</f>
        <v>#N/A</v>
      </c>
      <c r="I656" s="29" t="e">
        <f t="shared" ca="1" si="0"/>
        <v>#VALUE!</v>
      </c>
      <c r="J656" s="29" t="str">
        <f ca="1">IFERROR(__xludf.DUMMYFUNCTION("IF(F656 = H656,C656/FILTER('Base Stats'!$C$2:$C1000, LOWER('Base Stats'!$B$2:$B1000) = LOWER($A656)), """")"),"#N/A")</f>
        <v>#N/A</v>
      </c>
      <c r="K656" t="str">
        <f t="shared" ca="1" si="1"/>
        <v/>
      </c>
      <c r="L656" t="str">
        <f ca="1">IFERROR(__xludf.DUMMYFUNCTION("IF(AND(NOT(K656 = """"), G656 &gt;= 15),K656/FILTER('Base Stats'!$C$2:$C1000, LOWER('Base Stats'!$B$2:$B1000) = LOWER($A656)), """")"),"#N/A")</f>
        <v>#N/A</v>
      </c>
      <c r="M656" t="str">
        <f ca="1">IFERROR(__xludf.DUMMYFUNCTION("1.15 + 0.02 * FILTER('Base Stats'!$C$2:$C1000, LOWER('Base Stats'!$B$2:$B1000) = LOWER($A656))"),"1.15")</f>
        <v>1.15</v>
      </c>
      <c r="N656" t="s">
        <v>527</v>
      </c>
    </row>
    <row r="657" spans="1:14" ht="12.75" x14ac:dyDescent="0.2">
      <c r="A657">
        <f>'Form Responses (Pokemon Stats)'!B617</f>
        <v>0</v>
      </c>
      <c r="B657">
        <f>'Form Responses (Pokemon Stats)'!D617</f>
        <v>0</v>
      </c>
      <c r="C657">
        <f>'Form Responses (Pokemon Stats)'!C617</f>
        <v>0</v>
      </c>
      <c r="F657">
        <f>'Form Responses (Pokemon Stats)'!E617</f>
        <v>0</v>
      </c>
      <c r="G657" t="str">
        <f ca="1">IFERROR(__xludf.DUMMYFUNCTION("ROUND(B657/ FILTER('Pokemon CP/HP'!$M$2:$M1000, LOWER('Pokemon CP/HP'!$B$2:$B1000)=LOWER(A657)))"),"#DIV/0!")</f>
        <v>#DIV/0!</v>
      </c>
      <c r="H657" t="str">
        <f ca="1">IFERROR(__xludf.DUMMYFUNCTION("FILTER('Leveling Info'!$B$2:$B1000, 'Leveling Info'!$A$2:$A1000 =G657)"),"#N/A")</f>
        <v>#N/A</v>
      </c>
      <c r="I657" s="29" t="e">
        <f t="shared" ca="1" si="0"/>
        <v>#VALUE!</v>
      </c>
      <c r="J657" s="29" t="str">
        <f ca="1">IFERROR(__xludf.DUMMYFUNCTION("IF(F657 = H657,C657/FILTER('Base Stats'!$C$2:$C1000, LOWER('Base Stats'!$B$2:$B1000) = LOWER($A657)), """")"),"#N/A")</f>
        <v>#N/A</v>
      </c>
      <c r="K657" t="str">
        <f t="shared" ca="1" si="1"/>
        <v/>
      </c>
      <c r="L657" t="str">
        <f ca="1">IFERROR(__xludf.DUMMYFUNCTION("IF(AND(NOT(K657 = """"), G657 &gt;= 15),K657/FILTER('Base Stats'!$C$2:$C1000, LOWER('Base Stats'!$B$2:$B1000) = LOWER($A657)), """")"),"#N/A")</f>
        <v>#N/A</v>
      </c>
      <c r="M657" t="str">
        <f ca="1">IFERROR(__xludf.DUMMYFUNCTION("1.15 + 0.02 * FILTER('Base Stats'!$C$2:$C1000, LOWER('Base Stats'!$B$2:$B1000) = LOWER($A657))"),"1.15")</f>
        <v>1.15</v>
      </c>
      <c r="N657" t="s">
        <v>527</v>
      </c>
    </row>
    <row r="658" spans="1:14" ht="12.75" x14ac:dyDescent="0.2">
      <c r="A658">
        <f>'Form Responses (Pokemon Stats)'!B618</f>
        <v>0</v>
      </c>
      <c r="B658">
        <f>'Form Responses (Pokemon Stats)'!D618</f>
        <v>0</v>
      </c>
      <c r="C658">
        <f>'Form Responses (Pokemon Stats)'!C618</f>
        <v>0</v>
      </c>
      <c r="F658">
        <f>'Form Responses (Pokemon Stats)'!E618</f>
        <v>0</v>
      </c>
      <c r="G658" t="str">
        <f ca="1">IFERROR(__xludf.DUMMYFUNCTION("ROUND(B658/ FILTER('Pokemon CP/HP'!$M$2:$M1000, LOWER('Pokemon CP/HP'!$B$2:$B1000)=LOWER(A658)))"),"#DIV/0!")</f>
        <v>#DIV/0!</v>
      </c>
      <c r="H658" t="str">
        <f ca="1">IFERROR(__xludf.DUMMYFUNCTION("FILTER('Leveling Info'!$B$2:$B1000, 'Leveling Info'!$A$2:$A1000 =G658)"),"#N/A")</f>
        <v>#N/A</v>
      </c>
      <c r="I658" s="29" t="e">
        <f t="shared" ca="1" si="0"/>
        <v>#VALUE!</v>
      </c>
      <c r="J658" s="29" t="str">
        <f ca="1">IFERROR(__xludf.DUMMYFUNCTION("IF(F658 = H658,C658/FILTER('Base Stats'!$C$2:$C1000, LOWER('Base Stats'!$B$2:$B1000) = LOWER($A658)), """")"),"#N/A")</f>
        <v>#N/A</v>
      </c>
      <c r="K658" t="str">
        <f t="shared" ca="1" si="1"/>
        <v/>
      </c>
      <c r="L658" t="str">
        <f ca="1">IFERROR(__xludf.DUMMYFUNCTION("IF(AND(NOT(K658 = """"), G658 &gt;= 15),K658/FILTER('Base Stats'!$C$2:$C1000, LOWER('Base Stats'!$B$2:$B1000) = LOWER($A658)), """")"),"#N/A")</f>
        <v>#N/A</v>
      </c>
      <c r="M658" t="str">
        <f ca="1">IFERROR(__xludf.DUMMYFUNCTION("1.15 + 0.02 * FILTER('Base Stats'!$C$2:$C1000, LOWER('Base Stats'!$B$2:$B1000) = LOWER($A658))"),"1.15")</f>
        <v>1.15</v>
      </c>
      <c r="N658" t="s">
        <v>527</v>
      </c>
    </row>
    <row r="659" spans="1:14" ht="12.75" x14ac:dyDescent="0.2">
      <c r="A659">
        <f>'Form Responses (Pokemon Stats)'!B619</f>
        <v>0</v>
      </c>
      <c r="B659">
        <f>'Form Responses (Pokemon Stats)'!D619</f>
        <v>0</v>
      </c>
      <c r="C659">
        <f>'Form Responses (Pokemon Stats)'!C619</f>
        <v>0</v>
      </c>
      <c r="F659">
        <f>'Form Responses (Pokemon Stats)'!E619</f>
        <v>0</v>
      </c>
      <c r="G659" t="str">
        <f ca="1">IFERROR(__xludf.DUMMYFUNCTION("ROUND(B659/ FILTER('Pokemon CP/HP'!$M$2:$M1000, LOWER('Pokemon CP/HP'!$B$2:$B1000)=LOWER(A659)))"),"#DIV/0!")</f>
        <v>#DIV/0!</v>
      </c>
      <c r="H659" t="str">
        <f ca="1">IFERROR(__xludf.DUMMYFUNCTION("FILTER('Leveling Info'!$B$2:$B1000, 'Leveling Info'!$A$2:$A1000 =G659)"),"#N/A")</f>
        <v>#N/A</v>
      </c>
      <c r="I659" s="29" t="e">
        <f t="shared" ca="1" si="0"/>
        <v>#VALUE!</v>
      </c>
      <c r="J659" s="29" t="str">
        <f ca="1">IFERROR(__xludf.DUMMYFUNCTION("IF(F659 = H659,C659/FILTER('Base Stats'!$C$2:$C1000, LOWER('Base Stats'!$B$2:$B1000) = LOWER($A659)), """")"),"#N/A")</f>
        <v>#N/A</v>
      </c>
      <c r="K659" t="str">
        <f t="shared" ca="1" si="1"/>
        <v/>
      </c>
      <c r="L659" t="str">
        <f ca="1">IFERROR(__xludf.DUMMYFUNCTION("IF(AND(NOT(K659 = """"), G659 &gt;= 15),K659/FILTER('Base Stats'!$C$2:$C1000, LOWER('Base Stats'!$B$2:$B1000) = LOWER($A659)), """")"),"#N/A")</f>
        <v>#N/A</v>
      </c>
      <c r="M659" t="str">
        <f ca="1">IFERROR(__xludf.DUMMYFUNCTION("1.15 + 0.02 * FILTER('Base Stats'!$C$2:$C1000, LOWER('Base Stats'!$B$2:$B1000) = LOWER($A659))"),"1.15")</f>
        <v>1.15</v>
      </c>
      <c r="N659" t="s">
        <v>527</v>
      </c>
    </row>
    <row r="660" spans="1:14" ht="12.75" x14ac:dyDescent="0.2">
      <c r="A660">
        <f>'Form Responses (Pokemon Stats)'!B620</f>
        <v>0</v>
      </c>
      <c r="B660">
        <f>'Form Responses (Pokemon Stats)'!D620</f>
        <v>0</v>
      </c>
      <c r="C660">
        <f>'Form Responses (Pokemon Stats)'!C620</f>
        <v>0</v>
      </c>
      <c r="F660">
        <f>'Form Responses (Pokemon Stats)'!E620</f>
        <v>0</v>
      </c>
      <c r="G660" t="str">
        <f ca="1">IFERROR(__xludf.DUMMYFUNCTION("ROUND(B660/ FILTER('Pokemon CP/HP'!$M$2:$M1000, LOWER('Pokemon CP/HP'!$B$2:$B1000)=LOWER(A660)))"),"#DIV/0!")</f>
        <v>#DIV/0!</v>
      </c>
      <c r="H660" t="str">
        <f ca="1">IFERROR(__xludf.DUMMYFUNCTION("FILTER('Leveling Info'!$B$2:$B1000, 'Leveling Info'!$A$2:$A1000 =G660)"),"#N/A")</f>
        <v>#N/A</v>
      </c>
      <c r="I660" s="29" t="e">
        <f t="shared" ca="1" si="0"/>
        <v>#VALUE!</v>
      </c>
      <c r="J660" s="29" t="str">
        <f ca="1">IFERROR(__xludf.DUMMYFUNCTION("IF(F660 = H660,C660/FILTER('Base Stats'!$C$2:$C1000, LOWER('Base Stats'!$B$2:$B1000) = LOWER($A660)), """")"),"#N/A")</f>
        <v>#N/A</v>
      </c>
      <c r="K660" t="str">
        <f t="shared" ca="1" si="1"/>
        <v/>
      </c>
      <c r="L660" t="str">
        <f ca="1">IFERROR(__xludf.DUMMYFUNCTION("IF(AND(NOT(K660 = """"), G660 &gt;= 15),K660/FILTER('Base Stats'!$C$2:$C1000, LOWER('Base Stats'!$B$2:$B1000) = LOWER($A660)), """")"),"#N/A")</f>
        <v>#N/A</v>
      </c>
      <c r="M660" t="str">
        <f ca="1">IFERROR(__xludf.DUMMYFUNCTION("1.15 + 0.02 * FILTER('Base Stats'!$C$2:$C1000, LOWER('Base Stats'!$B$2:$B1000) = LOWER($A660))"),"1.15")</f>
        <v>1.15</v>
      </c>
      <c r="N660" t="s">
        <v>527</v>
      </c>
    </row>
    <row r="661" spans="1:14" ht="12.75" x14ac:dyDescent="0.2">
      <c r="A661">
        <f>'Form Responses (Pokemon Stats)'!B621</f>
        <v>0</v>
      </c>
      <c r="B661">
        <f>'Form Responses (Pokemon Stats)'!D621</f>
        <v>0</v>
      </c>
      <c r="C661">
        <f>'Form Responses (Pokemon Stats)'!C621</f>
        <v>0</v>
      </c>
      <c r="F661">
        <f>'Form Responses (Pokemon Stats)'!E621</f>
        <v>0</v>
      </c>
      <c r="G661" t="str">
        <f ca="1">IFERROR(__xludf.DUMMYFUNCTION("ROUND(B661/ FILTER('Pokemon CP/HP'!$M$2:$M1000, LOWER('Pokemon CP/HP'!$B$2:$B1000)=LOWER(A661)))"),"#DIV/0!")</f>
        <v>#DIV/0!</v>
      </c>
      <c r="H661" t="str">
        <f ca="1">IFERROR(__xludf.DUMMYFUNCTION("FILTER('Leveling Info'!$B$2:$B1000, 'Leveling Info'!$A$2:$A1000 =G661)"),"#N/A")</f>
        <v>#N/A</v>
      </c>
      <c r="I661" s="29" t="e">
        <f t="shared" ca="1" si="0"/>
        <v>#VALUE!</v>
      </c>
      <c r="J661" s="29" t="str">
        <f ca="1">IFERROR(__xludf.DUMMYFUNCTION("IF(F661 = H661,C661/FILTER('Base Stats'!$C$2:$C1000, LOWER('Base Stats'!$B$2:$B1000) = LOWER($A661)), """")"),"#N/A")</f>
        <v>#N/A</v>
      </c>
      <c r="K661" t="str">
        <f t="shared" ca="1" si="1"/>
        <v/>
      </c>
      <c r="L661" t="str">
        <f ca="1">IFERROR(__xludf.DUMMYFUNCTION("IF(AND(NOT(K661 = """"), G661 &gt;= 15),K661/FILTER('Base Stats'!$C$2:$C1000, LOWER('Base Stats'!$B$2:$B1000) = LOWER($A661)), """")"),"#N/A")</f>
        <v>#N/A</v>
      </c>
      <c r="M661" t="str">
        <f ca="1">IFERROR(__xludf.DUMMYFUNCTION("1.15 + 0.02 * FILTER('Base Stats'!$C$2:$C1000, LOWER('Base Stats'!$B$2:$B1000) = LOWER($A661))"),"1.15")</f>
        <v>1.15</v>
      </c>
      <c r="N661" t="s">
        <v>527</v>
      </c>
    </row>
    <row r="662" spans="1:14" ht="12.75" x14ac:dyDescent="0.2">
      <c r="A662">
        <f>'Form Responses (Pokemon Stats)'!B622</f>
        <v>0</v>
      </c>
      <c r="B662">
        <f>'Form Responses (Pokemon Stats)'!D622</f>
        <v>0</v>
      </c>
      <c r="C662">
        <f>'Form Responses (Pokemon Stats)'!C622</f>
        <v>0</v>
      </c>
      <c r="F662">
        <f>'Form Responses (Pokemon Stats)'!E622</f>
        <v>0</v>
      </c>
      <c r="G662" t="str">
        <f ca="1">IFERROR(__xludf.DUMMYFUNCTION("ROUND(B662/ FILTER('Pokemon CP/HP'!$M$2:$M1000, LOWER('Pokemon CP/HP'!$B$2:$B1000)=LOWER(A662)))"),"#DIV/0!")</f>
        <v>#DIV/0!</v>
      </c>
      <c r="H662" t="str">
        <f ca="1">IFERROR(__xludf.DUMMYFUNCTION("FILTER('Leveling Info'!$B$2:$B1000, 'Leveling Info'!$A$2:$A1000 =G662)"),"#N/A")</f>
        <v>#N/A</v>
      </c>
      <c r="I662" s="29" t="e">
        <f t="shared" ca="1" si="0"/>
        <v>#VALUE!</v>
      </c>
      <c r="J662" s="29" t="str">
        <f ca="1">IFERROR(__xludf.DUMMYFUNCTION("IF(F662 = H662,C662/FILTER('Base Stats'!$C$2:$C1000, LOWER('Base Stats'!$B$2:$B1000) = LOWER($A662)), """")"),"#N/A")</f>
        <v>#N/A</v>
      </c>
      <c r="K662" t="str">
        <f t="shared" ca="1" si="1"/>
        <v/>
      </c>
      <c r="L662" t="str">
        <f ca="1">IFERROR(__xludf.DUMMYFUNCTION("IF(AND(NOT(K662 = """"), G662 &gt;= 15),K662/FILTER('Base Stats'!$C$2:$C1000, LOWER('Base Stats'!$B$2:$B1000) = LOWER($A662)), """")"),"#N/A")</f>
        <v>#N/A</v>
      </c>
      <c r="M662" t="str">
        <f ca="1">IFERROR(__xludf.DUMMYFUNCTION("1.15 + 0.02 * FILTER('Base Stats'!$C$2:$C1000, LOWER('Base Stats'!$B$2:$B1000) = LOWER($A662))"),"1.15")</f>
        <v>1.15</v>
      </c>
      <c r="N662" t="s">
        <v>527</v>
      </c>
    </row>
    <row r="663" spans="1:14" ht="12.75" x14ac:dyDescent="0.2">
      <c r="A663">
        <f>'Form Responses (Pokemon Stats)'!B623</f>
        <v>0</v>
      </c>
      <c r="B663">
        <f>'Form Responses (Pokemon Stats)'!D623</f>
        <v>0</v>
      </c>
      <c r="C663">
        <f>'Form Responses (Pokemon Stats)'!C623</f>
        <v>0</v>
      </c>
      <c r="F663">
        <f>'Form Responses (Pokemon Stats)'!E623</f>
        <v>0</v>
      </c>
      <c r="G663" t="str">
        <f ca="1">IFERROR(__xludf.DUMMYFUNCTION("ROUND(B663/ FILTER('Pokemon CP/HP'!$M$2:$M1000, LOWER('Pokemon CP/HP'!$B$2:$B1000)=LOWER(A663)))"),"#DIV/0!")</f>
        <v>#DIV/0!</v>
      </c>
      <c r="H663" t="str">
        <f ca="1">IFERROR(__xludf.DUMMYFUNCTION("FILTER('Leveling Info'!$B$2:$B1000, 'Leveling Info'!$A$2:$A1000 =G663)"),"#N/A")</f>
        <v>#N/A</v>
      </c>
      <c r="I663" s="29" t="e">
        <f t="shared" ca="1" si="0"/>
        <v>#VALUE!</v>
      </c>
      <c r="J663" s="29" t="str">
        <f ca="1">IFERROR(__xludf.DUMMYFUNCTION("IF(F663 = H663,C663/FILTER('Base Stats'!$C$2:$C1000, LOWER('Base Stats'!$B$2:$B1000) = LOWER($A663)), """")"),"#N/A")</f>
        <v>#N/A</v>
      </c>
      <c r="K663" t="str">
        <f t="shared" ca="1" si="1"/>
        <v/>
      </c>
      <c r="L663" t="str">
        <f ca="1">IFERROR(__xludf.DUMMYFUNCTION("IF(AND(NOT(K663 = """"), G663 &gt;= 15),K663/FILTER('Base Stats'!$C$2:$C1000, LOWER('Base Stats'!$B$2:$B1000) = LOWER($A663)), """")"),"#N/A")</f>
        <v>#N/A</v>
      </c>
      <c r="M663" t="str">
        <f ca="1">IFERROR(__xludf.DUMMYFUNCTION("1.15 + 0.02 * FILTER('Base Stats'!$C$2:$C1000, LOWER('Base Stats'!$B$2:$B1000) = LOWER($A663))"),"1.15")</f>
        <v>1.15</v>
      </c>
      <c r="N663" t="s">
        <v>527</v>
      </c>
    </row>
    <row r="664" spans="1:14" ht="12.75" x14ac:dyDescent="0.2">
      <c r="A664">
        <f>'Form Responses (Pokemon Stats)'!B624</f>
        <v>0</v>
      </c>
      <c r="B664">
        <f>'Form Responses (Pokemon Stats)'!D624</f>
        <v>0</v>
      </c>
      <c r="C664">
        <f>'Form Responses (Pokemon Stats)'!C624</f>
        <v>0</v>
      </c>
      <c r="F664">
        <f>'Form Responses (Pokemon Stats)'!E624</f>
        <v>0</v>
      </c>
      <c r="G664" t="str">
        <f ca="1">IFERROR(__xludf.DUMMYFUNCTION("ROUND(B664/ FILTER('Pokemon CP/HP'!$M$2:$M1000, LOWER('Pokemon CP/HP'!$B$2:$B1000)=LOWER(A664)))"),"#DIV/0!")</f>
        <v>#DIV/0!</v>
      </c>
      <c r="H664" t="str">
        <f ca="1">IFERROR(__xludf.DUMMYFUNCTION("FILTER('Leveling Info'!$B$2:$B1000, 'Leveling Info'!$A$2:$A1000 =G664)"),"#N/A")</f>
        <v>#N/A</v>
      </c>
      <c r="I664" s="29" t="e">
        <f t="shared" ca="1" si="0"/>
        <v>#VALUE!</v>
      </c>
      <c r="J664" s="29" t="str">
        <f ca="1">IFERROR(__xludf.DUMMYFUNCTION("IF(F664 = H664,C664/FILTER('Base Stats'!$C$2:$C1000, LOWER('Base Stats'!$B$2:$B1000) = LOWER($A664)), """")"),"#N/A")</f>
        <v>#N/A</v>
      </c>
      <c r="K664" t="str">
        <f t="shared" ca="1" si="1"/>
        <v/>
      </c>
      <c r="L664" t="str">
        <f ca="1">IFERROR(__xludf.DUMMYFUNCTION("IF(AND(NOT(K664 = """"), G664 &gt;= 15),K664/FILTER('Base Stats'!$C$2:$C1000, LOWER('Base Stats'!$B$2:$B1000) = LOWER($A664)), """")"),"#N/A")</f>
        <v>#N/A</v>
      </c>
      <c r="M664" t="str">
        <f ca="1">IFERROR(__xludf.DUMMYFUNCTION("1.15 + 0.02 * FILTER('Base Stats'!$C$2:$C1000, LOWER('Base Stats'!$B$2:$B1000) = LOWER($A664))"),"1.15")</f>
        <v>1.15</v>
      </c>
      <c r="N664" t="s">
        <v>527</v>
      </c>
    </row>
    <row r="665" spans="1:14" ht="12.75" x14ac:dyDescent="0.2">
      <c r="A665">
        <f>'Form Responses (Pokemon Stats)'!B625</f>
        <v>0</v>
      </c>
      <c r="B665">
        <f>'Form Responses (Pokemon Stats)'!D625</f>
        <v>0</v>
      </c>
      <c r="C665">
        <f>'Form Responses (Pokemon Stats)'!C625</f>
        <v>0</v>
      </c>
      <c r="F665">
        <f>'Form Responses (Pokemon Stats)'!E625</f>
        <v>0</v>
      </c>
      <c r="G665" t="str">
        <f ca="1">IFERROR(__xludf.DUMMYFUNCTION("ROUND(B665/ FILTER('Pokemon CP/HP'!$M$2:$M1000, LOWER('Pokemon CP/HP'!$B$2:$B1000)=LOWER(A665)))"),"#DIV/0!")</f>
        <v>#DIV/0!</v>
      </c>
      <c r="H665" t="str">
        <f ca="1">IFERROR(__xludf.DUMMYFUNCTION("FILTER('Leveling Info'!$B$2:$B1000, 'Leveling Info'!$A$2:$A1000 =G665)"),"#N/A")</f>
        <v>#N/A</v>
      </c>
      <c r="I665" s="29" t="e">
        <f t="shared" ca="1" si="0"/>
        <v>#VALUE!</v>
      </c>
      <c r="J665" s="29" t="str">
        <f ca="1">IFERROR(__xludf.DUMMYFUNCTION("IF(F665 = H665,C665/FILTER('Base Stats'!$C$2:$C1000, LOWER('Base Stats'!$B$2:$B1000) = LOWER($A665)), """")"),"#N/A")</f>
        <v>#N/A</v>
      </c>
      <c r="K665" t="str">
        <f t="shared" ca="1" si="1"/>
        <v/>
      </c>
      <c r="L665" t="str">
        <f ca="1">IFERROR(__xludf.DUMMYFUNCTION("IF(AND(NOT(K665 = """"), G665 &gt;= 15),K665/FILTER('Base Stats'!$C$2:$C1000, LOWER('Base Stats'!$B$2:$B1000) = LOWER($A665)), """")"),"#N/A")</f>
        <v>#N/A</v>
      </c>
      <c r="M665" t="str">
        <f ca="1">IFERROR(__xludf.DUMMYFUNCTION("1.15 + 0.02 * FILTER('Base Stats'!$C$2:$C1000, LOWER('Base Stats'!$B$2:$B1000) = LOWER($A665))"),"1.15")</f>
        <v>1.15</v>
      </c>
      <c r="N665" t="s">
        <v>527</v>
      </c>
    </row>
    <row r="666" spans="1:14" ht="12.75" x14ac:dyDescent="0.2">
      <c r="A666">
        <f>'Form Responses (Pokemon Stats)'!B626</f>
        <v>0</v>
      </c>
      <c r="B666">
        <f>'Form Responses (Pokemon Stats)'!D626</f>
        <v>0</v>
      </c>
      <c r="C666">
        <f>'Form Responses (Pokemon Stats)'!C626</f>
        <v>0</v>
      </c>
      <c r="F666">
        <f>'Form Responses (Pokemon Stats)'!E626</f>
        <v>0</v>
      </c>
      <c r="G666" t="str">
        <f ca="1">IFERROR(__xludf.DUMMYFUNCTION("ROUND(B666/ FILTER('Pokemon CP/HP'!$M$2:$M1000, LOWER('Pokemon CP/HP'!$B$2:$B1000)=LOWER(A666)))"),"#DIV/0!")</f>
        <v>#DIV/0!</v>
      </c>
      <c r="H666" t="str">
        <f ca="1">IFERROR(__xludf.DUMMYFUNCTION("FILTER('Leveling Info'!$B$2:$B1000, 'Leveling Info'!$A$2:$A1000 =G666)"),"#N/A")</f>
        <v>#N/A</v>
      </c>
      <c r="I666" s="29" t="e">
        <f t="shared" ca="1" si="0"/>
        <v>#VALUE!</v>
      </c>
      <c r="J666" s="29" t="str">
        <f ca="1">IFERROR(__xludf.DUMMYFUNCTION("IF(F666 = H666,C666/FILTER('Base Stats'!$C$2:$C1000, LOWER('Base Stats'!$B$2:$B1000) = LOWER($A666)), """")"),"#N/A")</f>
        <v>#N/A</v>
      </c>
      <c r="K666" t="str">
        <f t="shared" ca="1" si="1"/>
        <v/>
      </c>
      <c r="L666" t="str">
        <f ca="1">IFERROR(__xludf.DUMMYFUNCTION("IF(AND(NOT(K666 = """"), G666 &gt;= 15),K666/FILTER('Base Stats'!$C$2:$C1000, LOWER('Base Stats'!$B$2:$B1000) = LOWER($A666)), """")"),"#N/A")</f>
        <v>#N/A</v>
      </c>
      <c r="M666" t="str">
        <f ca="1">IFERROR(__xludf.DUMMYFUNCTION("1.15 + 0.02 * FILTER('Base Stats'!$C$2:$C1000, LOWER('Base Stats'!$B$2:$B1000) = LOWER($A666))"),"1.15")</f>
        <v>1.15</v>
      </c>
      <c r="N666" t="s">
        <v>527</v>
      </c>
    </row>
    <row r="667" spans="1:14" ht="12.75" x14ac:dyDescent="0.2">
      <c r="A667">
        <f>'Form Responses (Pokemon Stats)'!B627</f>
        <v>0</v>
      </c>
      <c r="B667">
        <f>'Form Responses (Pokemon Stats)'!D627</f>
        <v>0</v>
      </c>
      <c r="C667">
        <f>'Form Responses (Pokemon Stats)'!C627</f>
        <v>0</v>
      </c>
      <c r="F667">
        <f>'Form Responses (Pokemon Stats)'!E627</f>
        <v>0</v>
      </c>
      <c r="G667" t="str">
        <f ca="1">IFERROR(__xludf.DUMMYFUNCTION("ROUND(B667/ FILTER('Pokemon CP/HP'!$M$2:$M1000, LOWER('Pokemon CP/HP'!$B$2:$B1000)=LOWER(A667)))"),"#DIV/0!")</f>
        <v>#DIV/0!</v>
      </c>
      <c r="H667" t="str">
        <f ca="1">IFERROR(__xludf.DUMMYFUNCTION("FILTER('Leveling Info'!$B$2:$B1000, 'Leveling Info'!$A$2:$A1000 =G667)"),"#N/A")</f>
        <v>#N/A</v>
      </c>
      <c r="I667" s="29" t="e">
        <f t="shared" ca="1" si="0"/>
        <v>#VALUE!</v>
      </c>
      <c r="J667" s="29" t="str">
        <f ca="1">IFERROR(__xludf.DUMMYFUNCTION("IF(F667 = H667,C667/FILTER('Base Stats'!$C$2:$C1000, LOWER('Base Stats'!$B$2:$B1000) = LOWER($A667)), """")"),"#N/A")</f>
        <v>#N/A</v>
      </c>
      <c r="K667" t="str">
        <f t="shared" ca="1" si="1"/>
        <v/>
      </c>
      <c r="L667" t="str">
        <f ca="1">IFERROR(__xludf.DUMMYFUNCTION("IF(AND(NOT(K667 = """"), G667 &gt;= 15),K667/FILTER('Base Stats'!$C$2:$C1000, LOWER('Base Stats'!$B$2:$B1000) = LOWER($A667)), """")"),"#N/A")</f>
        <v>#N/A</v>
      </c>
      <c r="M667" t="str">
        <f ca="1">IFERROR(__xludf.DUMMYFUNCTION("1.15 + 0.02 * FILTER('Base Stats'!$C$2:$C1000, LOWER('Base Stats'!$B$2:$B1000) = LOWER($A667))"),"1.15")</f>
        <v>1.15</v>
      </c>
      <c r="N667" t="s">
        <v>527</v>
      </c>
    </row>
    <row r="668" spans="1:14" ht="12.75" x14ac:dyDescent="0.2">
      <c r="A668">
        <f>'Form Responses (Pokemon Stats)'!B628</f>
        <v>0</v>
      </c>
      <c r="B668">
        <f>'Form Responses (Pokemon Stats)'!D628</f>
        <v>0</v>
      </c>
      <c r="C668">
        <f>'Form Responses (Pokemon Stats)'!C628</f>
        <v>0</v>
      </c>
      <c r="F668">
        <f>'Form Responses (Pokemon Stats)'!E628</f>
        <v>0</v>
      </c>
      <c r="G668" t="str">
        <f ca="1">IFERROR(__xludf.DUMMYFUNCTION("ROUND(B668/ FILTER('Pokemon CP/HP'!$M$2:$M1000, LOWER('Pokemon CP/HP'!$B$2:$B1000)=LOWER(A668)))"),"#DIV/0!")</f>
        <v>#DIV/0!</v>
      </c>
      <c r="H668" t="str">
        <f ca="1">IFERROR(__xludf.DUMMYFUNCTION("FILTER('Leveling Info'!$B$2:$B1000, 'Leveling Info'!$A$2:$A1000 =G668)"),"#N/A")</f>
        <v>#N/A</v>
      </c>
      <c r="I668" s="29" t="e">
        <f t="shared" ca="1" si="0"/>
        <v>#VALUE!</v>
      </c>
      <c r="J668" s="29" t="str">
        <f ca="1">IFERROR(__xludf.DUMMYFUNCTION("IF(F668 = H668,C668/FILTER('Base Stats'!$C$2:$C1000, LOWER('Base Stats'!$B$2:$B1000) = LOWER($A668)), """")"),"#N/A")</f>
        <v>#N/A</v>
      </c>
      <c r="K668" t="str">
        <f t="shared" ca="1" si="1"/>
        <v/>
      </c>
      <c r="L668" t="str">
        <f ca="1">IFERROR(__xludf.DUMMYFUNCTION("IF(AND(NOT(K668 = """"), G668 &gt;= 15),K668/FILTER('Base Stats'!$C$2:$C1000, LOWER('Base Stats'!$B$2:$B1000) = LOWER($A668)), """")"),"#N/A")</f>
        <v>#N/A</v>
      </c>
      <c r="M668" t="str">
        <f ca="1">IFERROR(__xludf.DUMMYFUNCTION("1.15 + 0.02 * FILTER('Base Stats'!$C$2:$C1000, LOWER('Base Stats'!$B$2:$B1000) = LOWER($A668))"),"1.15")</f>
        <v>1.15</v>
      </c>
      <c r="N668" t="s">
        <v>527</v>
      </c>
    </row>
    <row r="669" spans="1:14" ht="12.75" x14ac:dyDescent="0.2">
      <c r="A669">
        <f>'Form Responses (Pokemon Stats)'!B629</f>
        <v>0</v>
      </c>
      <c r="B669">
        <f>'Form Responses (Pokemon Stats)'!D629</f>
        <v>0</v>
      </c>
      <c r="C669">
        <f>'Form Responses (Pokemon Stats)'!C629</f>
        <v>0</v>
      </c>
      <c r="F669">
        <f>'Form Responses (Pokemon Stats)'!E629</f>
        <v>0</v>
      </c>
      <c r="G669" t="str">
        <f ca="1">IFERROR(__xludf.DUMMYFUNCTION("ROUND(B669/ FILTER('Pokemon CP/HP'!$M$2:$M1000, LOWER('Pokemon CP/HP'!$B$2:$B1000)=LOWER(A669)))"),"#DIV/0!")</f>
        <v>#DIV/0!</v>
      </c>
      <c r="H669" t="str">
        <f ca="1">IFERROR(__xludf.DUMMYFUNCTION("FILTER('Leveling Info'!$B$2:$B1000, 'Leveling Info'!$A$2:$A1000 =G669)"),"#N/A")</f>
        <v>#N/A</v>
      </c>
      <c r="I669" s="29" t="e">
        <f t="shared" ca="1" si="0"/>
        <v>#VALUE!</v>
      </c>
      <c r="J669" s="29" t="str">
        <f ca="1">IFERROR(__xludf.DUMMYFUNCTION("IF(F669 = H669,C669/FILTER('Base Stats'!$C$2:$C1000, LOWER('Base Stats'!$B$2:$B1000) = LOWER($A669)), """")"),"#N/A")</f>
        <v>#N/A</v>
      </c>
      <c r="K669" t="str">
        <f t="shared" ca="1" si="1"/>
        <v/>
      </c>
      <c r="L669" t="str">
        <f ca="1">IFERROR(__xludf.DUMMYFUNCTION("IF(AND(NOT(K669 = """"), G669 &gt;= 15),K669/FILTER('Base Stats'!$C$2:$C1000, LOWER('Base Stats'!$B$2:$B1000) = LOWER($A669)), """")"),"#N/A")</f>
        <v>#N/A</v>
      </c>
      <c r="M669" t="str">
        <f ca="1">IFERROR(__xludf.DUMMYFUNCTION("1.15 + 0.02 * FILTER('Base Stats'!$C$2:$C1000, LOWER('Base Stats'!$B$2:$B1000) = LOWER($A669))"),"1.15")</f>
        <v>1.15</v>
      </c>
      <c r="N669" t="s">
        <v>527</v>
      </c>
    </row>
    <row r="670" spans="1:14" ht="12.75" x14ac:dyDescent="0.2">
      <c r="A670">
        <f>'Form Responses (Pokemon Stats)'!B630</f>
        <v>0</v>
      </c>
      <c r="B670">
        <f>'Form Responses (Pokemon Stats)'!D630</f>
        <v>0</v>
      </c>
      <c r="C670">
        <f>'Form Responses (Pokemon Stats)'!C630</f>
        <v>0</v>
      </c>
      <c r="F670">
        <f>'Form Responses (Pokemon Stats)'!E630</f>
        <v>0</v>
      </c>
      <c r="G670" t="str">
        <f ca="1">IFERROR(__xludf.DUMMYFUNCTION("ROUND(B670/ FILTER('Pokemon CP/HP'!$M$2:$M1000, LOWER('Pokemon CP/HP'!$B$2:$B1000)=LOWER(A670)))"),"#DIV/0!")</f>
        <v>#DIV/0!</v>
      </c>
      <c r="H670" t="str">
        <f ca="1">IFERROR(__xludf.DUMMYFUNCTION("FILTER('Leveling Info'!$B$2:$B1000, 'Leveling Info'!$A$2:$A1000 =G670)"),"#N/A")</f>
        <v>#N/A</v>
      </c>
      <c r="I670" s="29" t="e">
        <f t="shared" ca="1" si="0"/>
        <v>#VALUE!</v>
      </c>
      <c r="J670" s="29" t="str">
        <f ca="1">IFERROR(__xludf.DUMMYFUNCTION("IF(F670 = H670,C670/FILTER('Base Stats'!$C$2:$C1000, LOWER('Base Stats'!$B$2:$B1000) = LOWER($A670)), """")"),"#N/A")</f>
        <v>#N/A</v>
      </c>
      <c r="K670" t="str">
        <f t="shared" ca="1" si="1"/>
        <v/>
      </c>
      <c r="L670" t="str">
        <f ca="1">IFERROR(__xludf.DUMMYFUNCTION("IF(AND(NOT(K670 = """"), G670 &gt;= 15),K670/FILTER('Base Stats'!$C$2:$C1000, LOWER('Base Stats'!$B$2:$B1000) = LOWER($A670)), """")"),"#N/A")</f>
        <v>#N/A</v>
      </c>
      <c r="M670" t="str">
        <f ca="1">IFERROR(__xludf.DUMMYFUNCTION("1.15 + 0.02 * FILTER('Base Stats'!$C$2:$C1000, LOWER('Base Stats'!$B$2:$B1000) = LOWER($A670))"),"1.15")</f>
        <v>1.15</v>
      </c>
      <c r="N670" t="s">
        <v>527</v>
      </c>
    </row>
    <row r="671" spans="1:14" ht="12.75" x14ac:dyDescent="0.2">
      <c r="A671">
        <f>'Form Responses (Pokemon Stats)'!B631</f>
        <v>0</v>
      </c>
      <c r="B671">
        <f>'Form Responses (Pokemon Stats)'!D631</f>
        <v>0</v>
      </c>
      <c r="C671">
        <f>'Form Responses (Pokemon Stats)'!C631</f>
        <v>0</v>
      </c>
      <c r="F671">
        <f>'Form Responses (Pokemon Stats)'!E631</f>
        <v>0</v>
      </c>
      <c r="G671" t="str">
        <f ca="1">IFERROR(__xludf.DUMMYFUNCTION("ROUND(B671/ FILTER('Pokemon CP/HP'!$M$2:$M1000, LOWER('Pokemon CP/HP'!$B$2:$B1000)=LOWER(A671)))"),"#DIV/0!")</f>
        <v>#DIV/0!</v>
      </c>
      <c r="H671" t="str">
        <f ca="1">IFERROR(__xludf.DUMMYFUNCTION("FILTER('Leveling Info'!$B$2:$B1000, 'Leveling Info'!$A$2:$A1000 =G671)"),"#N/A")</f>
        <v>#N/A</v>
      </c>
      <c r="I671" s="29" t="e">
        <f t="shared" ca="1" si="0"/>
        <v>#VALUE!</v>
      </c>
      <c r="J671" s="29" t="str">
        <f ca="1">IFERROR(__xludf.DUMMYFUNCTION("IF(F671 = H671,C671/FILTER('Base Stats'!$C$2:$C1000, LOWER('Base Stats'!$B$2:$B1000) = LOWER($A671)), """")"),"#N/A")</f>
        <v>#N/A</v>
      </c>
      <c r="K671" t="str">
        <f t="shared" ca="1" si="1"/>
        <v/>
      </c>
      <c r="L671" t="str">
        <f ca="1">IFERROR(__xludf.DUMMYFUNCTION("IF(AND(NOT(K671 = """"), G671 &gt;= 15),K671/FILTER('Base Stats'!$C$2:$C1000, LOWER('Base Stats'!$B$2:$B1000) = LOWER($A671)), """")"),"#N/A")</f>
        <v>#N/A</v>
      </c>
      <c r="M671" t="str">
        <f ca="1">IFERROR(__xludf.DUMMYFUNCTION("1.15 + 0.02 * FILTER('Base Stats'!$C$2:$C1000, LOWER('Base Stats'!$B$2:$B1000) = LOWER($A671))"),"1.15")</f>
        <v>1.15</v>
      </c>
      <c r="N671" t="s">
        <v>527</v>
      </c>
    </row>
    <row r="672" spans="1:14" ht="12.75" x14ac:dyDescent="0.2">
      <c r="A672">
        <f>'Form Responses (Pokemon Stats)'!B632</f>
        <v>0</v>
      </c>
      <c r="B672">
        <f>'Form Responses (Pokemon Stats)'!D632</f>
        <v>0</v>
      </c>
      <c r="C672">
        <f>'Form Responses (Pokemon Stats)'!C632</f>
        <v>0</v>
      </c>
      <c r="F672">
        <f>'Form Responses (Pokemon Stats)'!E632</f>
        <v>0</v>
      </c>
      <c r="G672" t="str">
        <f ca="1">IFERROR(__xludf.DUMMYFUNCTION("ROUND(B672/ FILTER('Pokemon CP/HP'!$M$2:$M1000, LOWER('Pokemon CP/HP'!$B$2:$B1000)=LOWER(A672)))"),"#DIV/0!")</f>
        <v>#DIV/0!</v>
      </c>
      <c r="H672" t="str">
        <f ca="1">IFERROR(__xludf.DUMMYFUNCTION("FILTER('Leveling Info'!$B$2:$B1000, 'Leveling Info'!$A$2:$A1000 =G672)"),"#N/A")</f>
        <v>#N/A</v>
      </c>
      <c r="I672" s="29" t="e">
        <f t="shared" ca="1" si="0"/>
        <v>#VALUE!</v>
      </c>
      <c r="J672" s="29" t="str">
        <f ca="1">IFERROR(__xludf.DUMMYFUNCTION("IF(F672 = H672,C672/FILTER('Base Stats'!$C$2:$C1000, LOWER('Base Stats'!$B$2:$B1000) = LOWER($A672)), """")"),"#N/A")</f>
        <v>#N/A</v>
      </c>
      <c r="K672" t="str">
        <f t="shared" ca="1" si="1"/>
        <v/>
      </c>
      <c r="L672" t="str">
        <f ca="1">IFERROR(__xludf.DUMMYFUNCTION("IF(AND(NOT(K672 = """"), G672 &gt;= 15),K672/FILTER('Base Stats'!$C$2:$C1000, LOWER('Base Stats'!$B$2:$B1000) = LOWER($A672)), """")"),"#N/A")</f>
        <v>#N/A</v>
      </c>
      <c r="M672" t="str">
        <f ca="1">IFERROR(__xludf.DUMMYFUNCTION("1.15 + 0.02 * FILTER('Base Stats'!$C$2:$C1000, LOWER('Base Stats'!$B$2:$B1000) = LOWER($A672))"),"1.15")</f>
        <v>1.15</v>
      </c>
      <c r="N672" t="s">
        <v>527</v>
      </c>
    </row>
    <row r="673" spans="1:14" ht="12.75" x14ac:dyDescent="0.2">
      <c r="A673">
        <f>'Form Responses (Pokemon Stats)'!B633</f>
        <v>0</v>
      </c>
      <c r="B673">
        <f>'Form Responses (Pokemon Stats)'!D633</f>
        <v>0</v>
      </c>
      <c r="C673">
        <f>'Form Responses (Pokemon Stats)'!C633</f>
        <v>0</v>
      </c>
      <c r="F673">
        <f>'Form Responses (Pokemon Stats)'!E633</f>
        <v>0</v>
      </c>
      <c r="G673" t="str">
        <f ca="1">IFERROR(__xludf.DUMMYFUNCTION("ROUND(B673/ FILTER('Pokemon CP/HP'!$M$2:$M1000, LOWER('Pokemon CP/HP'!$B$2:$B1000)=LOWER(A673)))"),"#DIV/0!")</f>
        <v>#DIV/0!</v>
      </c>
      <c r="H673" t="str">
        <f ca="1">IFERROR(__xludf.DUMMYFUNCTION("FILTER('Leveling Info'!$B$2:$B1000, 'Leveling Info'!$A$2:$A1000 =G673)"),"#N/A")</f>
        <v>#N/A</v>
      </c>
      <c r="I673" s="29" t="e">
        <f t="shared" ca="1" si="0"/>
        <v>#VALUE!</v>
      </c>
      <c r="J673" s="29" t="str">
        <f ca="1">IFERROR(__xludf.DUMMYFUNCTION("IF(F673 = H673,C673/FILTER('Base Stats'!$C$2:$C1000, LOWER('Base Stats'!$B$2:$B1000) = LOWER($A673)), """")"),"#N/A")</f>
        <v>#N/A</v>
      </c>
      <c r="K673" t="str">
        <f t="shared" ca="1" si="1"/>
        <v/>
      </c>
      <c r="L673" t="str">
        <f ca="1">IFERROR(__xludf.DUMMYFUNCTION("IF(AND(NOT(K673 = """"), G673 &gt;= 15),K673/FILTER('Base Stats'!$C$2:$C1000, LOWER('Base Stats'!$B$2:$B1000) = LOWER($A673)), """")"),"#N/A")</f>
        <v>#N/A</v>
      </c>
      <c r="M673" t="str">
        <f ca="1">IFERROR(__xludf.DUMMYFUNCTION("1.15 + 0.02 * FILTER('Base Stats'!$C$2:$C1000, LOWER('Base Stats'!$B$2:$B1000) = LOWER($A673))"),"1.15")</f>
        <v>1.15</v>
      </c>
      <c r="N673" t="s">
        <v>527</v>
      </c>
    </row>
    <row r="674" spans="1:14" ht="12.75" x14ac:dyDescent="0.2">
      <c r="A674">
        <f>'Form Responses (Pokemon Stats)'!B634</f>
        <v>0</v>
      </c>
      <c r="B674">
        <f>'Form Responses (Pokemon Stats)'!D634</f>
        <v>0</v>
      </c>
      <c r="C674">
        <f>'Form Responses (Pokemon Stats)'!C634</f>
        <v>0</v>
      </c>
      <c r="F674">
        <f>'Form Responses (Pokemon Stats)'!E634</f>
        <v>0</v>
      </c>
      <c r="G674" t="str">
        <f ca="1">IFERROR(__xludf.DUMMYFUNCTION("ROUND(B674/ FILTER('Pokemon CP/HP'!$M$2:$M1000, LOWER('Pokemon CP/HP'!$B$2:$B1000)=LOWER(A674)))"),"#DIV/0!")</f>
        <v>#DIV/0!</v>
      </c>
      <c r="H674" t="str">
        <f ca="1">IFERROR(__xludf.DUMMYFUNCTION("FILTER('Leveling Info'!$B$2:$B1000, 'Leveling Info'!$A$2:$A1000 =G674)"),"#N/A")</f>
        <v>#N/A</v>
      </c>
      <c r="I674" s="29" t="e">
        <f t="shared" ca="1" si="0"/>
        <v>#VALUE!</v>
      </c>
      <c r="J674" s="29" t="str">
        <f ca="1">IFERROR(__xludf.DUMMYFUNCTION("IF(F674 = H674,C674/FILTER('Base Stats'!$C$2:$C1000, LOWER('Base Stats'!$B$2:$B1000) = LOWER($A674)), """")"),"#N/A")</f>
        <v>#N/A</v>
      </c>
      <c r="K674" t="str">
        <f t="shared" ca="1" si="1"/>
        <v/>
      </c>
      <c r="L674" t="str">
        <f ca="1">IFERROR(__xludf.DUMMYFUNCTION("IF(AND(NOT(K674 = """"), G674 &gt;= 15),K674/FILTER('Base Stats'!$C$2:$C1000, LOWER('Base Stats'!$B$2:$B1000) = LOWER($A674)), """")"),"#N/A")</f>
        <v>#N/A</v>
      </c>
      <c r="M674" t="str">
        <f ca="1">IFERROR(__xludf.DUMMYFUNCTION("1.15 + 0.02 * FILTER('Base Stats'!$C$2:$C1000, LOWER('Base Stats'!$B$2:$B1000) = LOWER($A674))"),"1.15")</f>
        <v>1.15</v>
      </c>
      <c r="N674" t="s">
        <v>527</v>
      </c>
    </row>
    <row r="675" spans="1:14" ht="12.75" x14ac:dyDescent="0.2">
      <c r="A675">
        <f>'Form Responses (Pokemon Stats)'!B635</f>
        <v>0</v>
      </c>
      <c r="B675">
        <f>'Form Responses (Pokemon Stats)'!D635</f>
        <v>0</v>
      </c>
      <c r="C675">
        <f>'Form Responses (Pokemon Stats)'!C635</f>
        <v>0</v>
      </c>
      <c r="F675">
        <f>'Form Responses (Pokemon Stats)'!E635</f>
        <v>0</v>
      </c>
      <c r="G675" t="str">
        <f ca="1">IFERROR(__xludf.DUMMYFUNCTION("ROUND(B675/ FILTER('Pokemon CP/HP'!$M$2:$M1000, LOWER('Pokemon CP/HP'!$B$2:$B1000)=LOWER(A675)))"),"#DIV/0!")</f>
        <v>#DIV/0!</v>
      </c>
      <c r="H675" t="str">
        <f ca="1">IFERROR(__xludf.DUMMYFUNCTION("FILTER('Leveling Info'!$B$2:$B1000, 'Leveling Info'!$A$2:$A1000 =G675)"),"#N/A")</f>
        <v>#N/A</v>
      </c>
      <c r="I675" s="29" t="e">
        <f t="shared" ca="1" si="0"/>
        <v>#VALUE!</v>
      </c>
      <c r="J675" s="29" t="str">
        <f ca="1">IFERROR(__xludf.DUMMYFUNCTION("IF(F675 = H675,C675/FILTER('Base Stats'!$C$2:$C1000, LOWER('Base Stats'!$B$2:$B1000) = LOWER($A675)), """")"),"#N/A")</f>
        <v>#N/A</v>
      </c>
      <c r="K675" t="str">
        <f t="shared" ca="1" si="1"/>
        <v/>
      </c>
      <c r="L675" t="str">
        <f ca="1">IFERROR(__xludf.DUMMYFUNCTION("IF(AND(NOT(K675 = """"), G675 &gt;= 15),K675/FILTER('Base Stats'!$C$2:$C1000, LOWER('Base Stats'!$B$2:$B1000) = LOWER($A675)), """")"),"#N/A")</f>
        <v>#N/A</v>
      </c>
      <c r="M675" t="str">
        <f ca="1">IFERROR(__xludf.DUMMYFUNCTION("1.15 + 0.02 * FILTER('Base Stats'!$C$2:$C1000, LOWER('Base Stats'!$B$2:$B1000) = LOWER($A675))"),"1.15")</f>
        <v>1.15</v>
      </c>
      <c r="N675" t="s">
        <v>527</v>
      </c>
    </row>
    <row r="676" spans="1:14" ht="12.75" x14ac:dyDescent="0.2">
      <c r="A676">
        <f>'Form Responses (Pokemon Stats)'!B636</f>
        <v>0</v>
      </c>
      <c r="B676">
        <f>'Form Responses (Pokemon Stats)'!D636</f>
        <v>0</v>
      </c>
      <c r="C676">
        <f>'Form Responses (Pokemon Stats)'!C636</f>
        <v>0</v>
      </c>
      <c r="F676">
        <f>'Form Responses (Pokemon Stats)'!E636</f>
        <v>0</v>
      </c>
      <c r="G676" t="str">
        <f ca="1">IFERROR(__xludf.DUMMYFUNCTION("ROUND(B676/ FILTER('Pokemon CP/HP'!$M$2:$M1000, LOWER('Pokemon CP/HP'!$B$2:$B1000)=LOWER(A676)))"),"#DIV/0!")</f>
        <v>#DIV/0!</v>
      </c>
      <c r="H676" t="str">
        <f ca="1">IFERROR(__xludf.DUMMYFUNCTION("FILTER('Leveling Info'!$B$2:$B1000, 'Leveling Info'!$A$2:$A1000 =G676)"),"#N/A")</f>
        <v>#N/A</v>
      </c>
      <c r="I676" s="29" t="e">
        <f t="shared" ca="1" si="0"/>
        <v>#VALUE!</v>
      </c>
      <c r="J676" s="29" t="str">
        <f ca="1">IFERROR(__xludf.DUMMYFUNCTION("IF(F676 = H676,C676/FILTER('Base Stats'!$C$2:$C1000, LOWER('Base Stats'!$B$2:$B1000) = LOWER($A676)), """")"),"#N/A")</f>
        <v>#N/A</v>
      </c>
      <c r="K676" t="str">
        <f t="shared" ca="1" si="1"/>
        <v/>
      </c>
      <c r="L676" t="str">
        <f ca="1">IFERROR(__xludf.DUMMYFUNCTION("IF(AND(NOT(K676 = """"), G676 &gt;= 15),K676/FILTER('Base Stats'!$C$2:$C1000, LOWER('Base Stats'!$B$2:$B1000) = LOWER($A676)), """")"),"#N/A")</f>
        <v>#N/A</v>
      </c>
      <c r="M676" t="str">
        <f ca="1">IFERROR(__xludf.DUMMYFUNCTION("1.15 + 0.02 * FILTER('Base Stats'!$C$2:$C1000, LOWER('Base Stats'!$B$2:$B1000) = LOWER($A676))"),"1.15")</f>
        <v>1.15</v>
      </c>
      <c r="N676" t="s">
        <v>527</v>
      </c>
    </row>
    <row r="677" spans="1:14" ht="12.75" x14ac:dyDescent="0.2">
      <c r="A677">
        <f>'Form Responses (Pokemon Stats)'!B637</f>
        <v>0</v>
      </c>
      <c r="B677">
        <f>'Form Responses (Pokemon Stats)'!D637</f>
        <v>0</v>
      </c>
      <c r="C677">
        <f>'Form Responses (Pokemon Stats)'!C637</f>
        <v>0</v>
      </c>
      <c r="F677">
        <f>'Form Responses (Pokemon Stats)'!E637</f>
        <v>0</v>
      </c>
      <c r="G677" t="str">
        <f ca="1">IFERROR(__xludf.DUMMYFUNCTION("ROUND(B677/ FILTER('Pokemon CP/HP'!$M$2:$M1000, LOWER('Pokemon CP/HP'!$B$2:$B1000)=LOWER(A677)))"),"#DIV/0!")</f>
        <v>#DIV/0!</v>
      </c>
      <c r="H677" t="str">
        <f ca="1">IFERROR(__xludf.DUMMYFUNCTION("FILTER('Leveling Info'!$B$2:$B1000, 'Leveling Info'!$A$2:$A1000 =G677)"),"#N/A")</f>
        <v>#N/A</v>
      </c>
      <c r="I677" s="29" t="e">
        <f t="shared" ca="1" si="0"/>
        <v>#VALUE!</v>
      </c>
      <c r="J677" s="29" t="str">
        <f ca="1">IFERROR(__xludf.DUMMYFUNCTION("IF(F677 = H677,C677/FILTER('Base Stats'!$C$2:$C1000, LOWER('Base Stats'!$B$2:$B1000) = LOWER($A677)), """")"),"#N/A")</f>
        <v>#N/A</v>
      </c>
      <c r="K677" t="str">
        <f t="shared" ca="1" si="1"/>
        <v/>
      </c>
      <c r="L677" t="str">
        <f ca="1">IFERROR(__xludf.DUMMYFUNCTION("IF(AND(NOT(K677 = """"), G677 &gt;= 15),K677/FILTER('Base Stats'!$C$2:$C1000, LOWER('Base Stats'!$B$2:$B1000) = LOWER($A677)), """")"),"#N/A")</f>
        <v>#N/A</v>
      </c>
      <c r="M677" t="str">
        <f ca="1">IFERROR(__xludf.DUMMYFUNCTION("1.15 + 0.02 * FILTER('Base Stats'!$C$2:$C1000, LOWER('Base Stats'!$B$2:$B1000) = LOWER($A677))"),"1.15")</f>
        <v>1.15</v>
      </c>
      <c r="N677" t="s">
        <v>527</v>
      </c>
    </row>
    <row r="678" spans="1:14" ht="12.75" x14ac:dyDescent="0.2">
      <c r="A678">
        <f>'Form Responses (Pokemon Stats)'!B638</f>
        <v>0</v>
      </c>
      <c r="B678">
        <f>'Form Responses (Pokemon Stats)'!D638</f>
        <v>0</v>
      </c>
      <c r="C678">
        <f>'Form Responses (Pokemon Stats)'!C638</f>
        <v>0</v>
      </c>
      <c r="F678">
        <f>'Form Responses (Pokemon Stats)'!E638</f>
        <v>0</v>
      </c>
      <c r="G678" t="str">
        <f ca="1">IFERROR(__xludf.DUMMYFUNCTION("ROUND(B678/ FILTER('Pokemon CP/HP'!$M$2:$M1000, LOWER('Pokemon CP/HP'!$B$2:$B1000)=LOWER(A678)))"),"#DIV/0!")</f>
        <v>#DIV/0!</v>
      </c>
      <c r="H678" t="str">
        <f ca="1">IFERROR(__xludf.DUMMYFUNCTION("FILTER('Leveling Info'!$B$2:$B1000, 'Leveling Info'!$A$2:$A1000 =G678)"),"#N/A")</f>
        <v>#N/A</v>
      </c>
      <c r="I678" s="29" t="e">
        <f t="shared" ca="1" si="0"/>
        <v>#VALUE!</v>
      </c>
      <c r="J678" s="29" t="str">
        <f ca="1">IFERROR(__xludf.DUMMYFUNCTION("IF(F678 = H678,C678/FILTER('Base Stats'!$C$2:$C1000, LOWER('Base Stats'!$B$2:$B1000) = LOWER($A678)), """")"),"#N/A")</f>
        <v>#N/A</v>
      </c>
      <c r="K678" t="str">
        <f t="shared" ca="1" si="1"/>
        <v/>
      </c>
      <c r="L678" t="str">
        <f ca="1">IFERROR(__xludf.DUMMYFUNCTION("IF(AND(NOT(K678 = """"), G678 &gt;= 15),K678/FILTER('Base Stats'!$C$2:$C1000, LOWER('Base Stats'!$B$2:$B1000) = LOWER($A678)), """")"),"#N/A")</f>
        <v>#N/A</v>
      </c>
      <c r="M678" t="str">
        <f ca="1">IFERROR(__xludf.DUMMYFUNCTION("1.15 + 0.02 * FILTER('Base Stats'!$C$2:$C1000, LOWER('Base Stats'!$B$2:$B1000) = LOWER($A678))"),"1.15")</f>
        <v>1.15</v>
      </c>
      <c r="N678" t="s">
        <v>527</v>
      </c>
    </row>
    <row r="679" spans="1:14" ht="12.75" x14ac:dyDescent="0.2">
      <c r="A679">
        <f>'Form Responses (Pokemon Stats)'!B639</f>
        <v>0</v>
      </c>
      <c r="B679">
        <f>'Form Responses (Pokemon Stats)'!D639</f>
        <v>0</v>
      </c>
      <c r="C679">
        <f>'Form Responses (Pokemon Stats)'!C639</f>
        <v>0</v>
      </c>
      <c r="F679">
        <f>'Form Responses (Pokemon Stats)'!E639</f>
        <v>0</v>
      </c>
      <c r="G679" t="str">
        <f ca="1">IFERROR(__xludf.DUMMYFUNCTION("ROUND(B679/ FILTER('Pokemon CP/HP'!$M$2:$M1000, LOWER('Pokemon CP/HP'!$B$2:$B1000)=LOWER(A679)))"),"#DIV/0!")</f>
        <v>#DIV/0!</v>
      </c>
      <c r="H679" t="str">
        <f ca="1">IFERROR(__xludf.DUMMYFUNCTION("FILTER('Leveling Info'!$B$2:$B1000, 'Leveling Info'!$A$2:$A1000 =G679)"),"#N/A")</f>
        <v>#N/A</v>
      </c>
      <c r="I679" s="29" t="e">
        <f t="shared" ca="1" si="0"/>
        <v>#VALUE!</v>
      </c>
      <c r="J679" s="29" t="str">
        <f ca="1">IFERROR(__xludf.DUMMYFUNCTION("IF(F679 = H679,C679/FILTER('Base Stats'!$C$2:$C1000, LOWER('Base Stats'!$B$2:$B1000) = LOWER($A679)), """")"),"#N/A")</f>
        <v>#N/A</v>
      </c>
      <c r="K679" t="str">
        <f t="shared" ca="1" si="1"/>
        <v/>
      </c>
      <c r="L679" t="str">
        <f ca="1">IFERROR(__xludf.DUMMYFUNCTION("IF(AND(NOT(K679 = """"), G679 &gt;= 15),K679/FILTER('Base Stats'!$C$2:$C1000, LOWER('Base Stats'!$B$2:$B1000) = LOWER($A679)), """")"),"#N/A")</f>
        <v>#N/A</v>
      </c>
      <c r="M679" t="str">
        <f ca="1">IFERROR(__xludf.DUMMYFUNCTION("1.15 + 0.02 * FILTER('Base Stats'!$C$2:$C1000, LOWER('Base Stats'!$B$2:$B1000) = LOWER($A679))"),"1.15")</f>
        <v>1.15</v>
      </c>
      <c r="N679" t="s">
        <v>527</v>
      </c>
    </row>
    <row r="680" spans="1:14" ht="12.75" x14ac:dyDescent="0.2">
      <c r="A680">
        <f>'Form Responses (Pokemon Stats)'!B640</f>
        <v>0</v>
      </c>
      <c r="B680">
        <f>'Form Responses (Pokemon Stats)'!D640</f>
        <v>0</v>
      </c>
      <c r="C680">
        <f>'Form Responses (Pokemon Stats)'!C640</f>
        <v>0</v>
      </c>
      <c r="F680">
        <f>'Form Responses (Pokemon Stats)'!E640</f>
        <v>0</v>
      </c>
      <c r="G680" t="str">
        <f ca="1">IFERROR(__xludf.DUMMYFUNCTION("ROUND(B680/ FILTER('Pokemon CP/HP'!$M$2:$M1000, LOWER('Pokemon CP/HP'!$B$2:$B1000)=LOWER(A680)))"),"#DIV/0!")</f>
        <v>#DIV/0!</v>
      </c>
      <c r="H680" t="str">
        <f ca="1">IFERROR(__xludf.DUMMYFUNCTION("FILTER('Leveling Info'!$B$2:$B1000, 'Leveling Info'!$A$2:$A1000 =G680)"),"#N/A")</f>
        <v>#N/A</v>
      </c>
      <c r="I680" s="29" t="e">
        <f t="shared" ca="1" si="0"/>
        <v>#VALUE!</v>
      </c>
      <c r="J680" s="29" t="str">
        <f ca="1">IFERROR(__xludf.DUMMYFUNCTION("IF(F680 = H680,C680/FILTER('Base Stats'!$C$2:$C1000, LOWER('Base Stats'!$B$2:$B1000) = LOWER($A680)), """")"),"#N/A")</f>
        <v>#N/A</v>
      </c>
      <c r="K680" t="str">
        <f t="shared" ca="1" si="1"/>
        <v/>
      </c>
      <c r="L680" t="str">
        <f ca="1">IFERROR(__xludf.DUMMYFUNCTION("IF(AND(NOT(K680 = """"), G680 &gt;= 15),K680/FILTER('Base Stats'!$C$2:$C1000, LOWER('Base Stats'!$B$2:$B1000) = LOWER($A680)), """")"),"#N/A")</f>
        <v>#N/A</v>
      </c>
      <c r="M680" t="str">
        <f ca="1">IFERROR(__xludf.DUMMYFUNCTION("1.15 + 0.02 * FILTER('Base Stats'!$C$2:$C1000, LOWER('Base Stats'!$B$2:$B1000) = LOWER($A680))"),"1.15")</f>
        <v>1.15</v>
      </c>
      <c r="N680" t="s">
        <v>527</v>
      </c>
    </row>
    <row r="681" spans="1:14" ht="12.75" x14ac:dyDescent="0.2">
      <c r="A681">
        <f>'Form Responses (Pokemon Stats)'!B641</f>
        <v>0</v>
      </c>
      <c r="B681">
        <f>'Form Responses (Pokemon Stats)'!D641</f>
        <v>0</v>
      </c>
      <c r="C681">
        <f>'Form Responses (Pokemon Stats)'!C641</f>
        <v>0</v>
      </c>
      <c r="F681">
        <f>'Form Responses (Pokemon Stats)'!E641</f>
        <v>0</v>
      </c>
      <c r="G681" t="str">
        <f ca="1">IFERROR(__xludf.DUMMYFUNCTION("ROUND(B681/ FILTER('Pokemon CP/HP'!$M$2:$M1000, LOWER('Pokemon CP/HP'!$B$2:$B1000)=LOWER(A681)))"),"#DIV/0!")</f>
        <v>#DIV/0!</v>
      </c>
      <c r="H681" t="str">
        <f ca="1">IFERROR(__xludf.DUMMYFUNCTION("FILTER('Leveling Info'!$B$2:$B1000, 'Leveling Info'!$A$2:$A1000 =G681)"),"#N/A")</f>
        <v>#N/A</v>
      </c>
      <c r="I681" s="29" t="e">
        <f t="shared" ca="1" si="0"/>
        <v>#VALUE!</v>
      </c>
      <c r="J681" s="29" t="str">
        <f ca="1">IFERROR(__xludf.DUMMYFUNCTION("IF(F681 = H681,C681/FILTER('Base Stats'!$C$2:$C1000, LOWER('Base Stats'!$B$2:$B1000) = LOWER($A681)), """")"),"#N/A")</f>
        <v>#N/A</v>
      </c>
      <c r="K681" t="str">
        <f t="shared" ca="1" si="1"/>
        <v/>
      </c>
      <c r="L681" t="str">
        <f ca="1">IFERROR(__xludf.DUMMYFUNCTION("IF(AND(NOT(K681 = """"), G681 &gt;= 15),K681/FILTER('Base Stats'!$C$2:$C1000, LOWER('Base Stats'!$B$2:$B1000) = LOWER($A681)), """")"),"#N/A")</f>
        <v>#N/A</v>
      </c>
      <c r="M681" t="str">
        <f ca="1">IFERROR(__xludf.DUMMYFUNCTION("1.15 + 0.02 * FILTER('Base Stats'!$C$2:$C1000, LOWER('Base Stats'!$B$2:$B1000) = LOWER($A681))"),"1.15")</f>
        <v>1.15</v>
      </c>
      <c r="N681" t="s">
        <v>527</v>
      </c>
    </row>
    <row r="682" spans="1:14" ht="12.75" x14ac:dyDescent="0.2">
      <c r="A682">
        <f>'Form Responses (Pokemon Stats)'!B642</f>
        <v>0</v>
      </c>
      <c r="B682">
        <f>'Form Responses (Pokemon Stats)'!D642</f>
        <v>0</v>
      </c>
      <c r="C682">
        <f>'Form Responses (Pokemon Stats)'!C642</f>
        <v>0</v>
      </c>
      <c r="F682">
        <f>'Form Responses (Pokemon Stats)'!E642</f>
        <v>0</v>
      </c>
      <c r="G682" t="str">
        <f ca="1">IFERROR(__xludf.DUMMYFUNCTION("ROUND(B682/ FILTER('Pokemon CP/HP'!$M$2:$M1000, LOWER('Pokemon CP/HP'!$B$2:$B1000)=LOWER(A682)))"),"#DIV/0!")</f>
        <v>#DIV/0!</v>
      </c>
      <c r="H682" t="str">
        <f ca="1">IFERROR(__xludf.DUMMYFUNCTION("FILTER('Leveling Info'!$B$2:$B1000, 'Leveling Info'!$A$2:$A1000 =G682)"),"#N/A")</f>
        <v>#N/A</v>
      </c>
      <c r="I682" s="29" t="e">
        <f t="shared" ca="1" si="0"/>
        <v>#VALUE!</v>
      </c>
      <c r="J682" s="29" t="str">
        <f ca="1">IFERROR(__xludf.DUMMYFUNCTION("IF(F682 = H682,C682/FILTER('Base Stats'!$C$2:$C1000, LOWER('Base Stats'!$B$2:$B1000) = LOWER($A682)), """")"),"#N/A")</f>
        <v>#N/A</v>
      </c>
      <c r="K682" t="str">
        <f t="shared" ca="1" si="1"/>
        <v/>
      </c>
      <c r="L682" t="str">
        <f ca="1">IFERROR(__xludf.DUMMYFUNCTION("IF(AND(NOT(K682 = """"), G682 &gt;= 15),K682/FILTER('Base Stats'!$C$2:$C1000, LOWER('Base Stats'!$B$2:$B1000) = LOWER($A682)), """")"),"#N/A")</f>
        <v>#N/A</v>
      </c>
      <c r="M682" t="str">
        <f ca="1">IFERROR(__xludf.DUMMYFUNCTION("1.15 + 0.02 * FILTER('Base Stats'!$C$2:$C1000, LOWER('Base Stats'!$B$2:$B1000) = LOWER($A682))"),"1.15")</f>
        <v>1.15</v>
      </c>
      <c r="N682" t="s">
        <v>527</v>
      </c>
    </row>
    <row r="683" spans="1:14" ht="12.75" x14ac:dyDescent="0.2">
      <c r="A683">
        <f>'Form Responses (Pokemon Stats)'!B643</f>
        <v>0</v>
      </c>
      <c r="B683">
        <f>'Form Responses (Pokemon Stats)'!D643</f>
        <v>0</v>
      </c>
      <c r="C683">
        <f>'Form Responses (Pokemon Stats)'!C643</f>
        <v>0</v>
      </c>
      <c r="F683">
        <f>'Form Responses (Pokemon Stats)'!E643</f>
        <v>0</v>
      </c>
      <c r="G683" t="str">
        <f ca="1">IFERROR(__xludf.DUMMYFUNCTION("ROUND(B683/ FILTER('Pokemon CP/HP'!$M$2:$M1000, LOWER('Pokemon CP/HP'!$B$2:$B1000)=LOWER(A683)))"),"#DIV/0!")</f>
        <v>#DIV/0!</v>
      </c>
      <c r="H683" t="str">
        <f ca="1">IFERROR(__xludf.DUMMYFUNCTION("FILTER('Leveling Info'!$B$2:$B1000, 'Leveling Info'!$A$2:$A1000 =G683)"),"#N/A")</f>
        <v>#N/A</v>
      </c>
      <c r="I683" s="29" t="e">
        <f t="shared" ca="1" si="0"/>
        <v>#VALUE!</v>
      </c>
      <c r="J683" s="29" t="str">
        <f ca="1">IFERROR(__xludf.DUMMYFUNCTION("IF(F683 = H683,C683/FILTER('Base Stats'!$C$2:$C1000, LOWER('Base Stats'!$B$2:$B1000) = LOWER($A683)), """")"),"#N/A")</f>
        <v>#N/A</v>
      </c>
      <c r="K683" t="str">
        <f t="shared" ca="1" si="1"/>
        <v/>
      </c>
      <c r="L683" t="str">
        <f ca="1">IFERROR(__xludf.DUMMYFUNCTION("IF(AND(NOT(K683 = """"), G683 &gt;= 15),K683/FILTER('Base Stats'!$C$2:$C1000, LOWER('Base Stats'!$B$2:$B1000) = LOWER($A683)), """")"),"#N/A")</f>
        <v>#N/A</v>
      </c>
      <c r="M683" t="str">
        <f ca="1">IFERROR(__xludf.DUMMYFUNCTION("1.15 + 0.02 * FILTER('Base Stats'!$C$2:$C1000, LOWER('Base Stats'!$B$2:$B1000) = LOWER($A683))"),"1.15")</f>
        <v>1.15</v>
      </c>
      <c r="N683" t="s">
        <v>527</v>
      </c>
    </row>
    <row r="684" spans="1:14" ht="12.75" x14ac:dyDescent="0.2">
      <c r="A684">
        <f>'Form Responses (Pokemon Stats)'!B644</f>
        <v>0</v>
      </c>
      <c r="B684">
        <f>'Form Responses (Pokemon Stats)'!D644</f>
        <v>0</v>
      </c>
      <c r="C684">
        <f>'Form Responses (Pokemon Stats)'!C644</f>
        <v>0</v>
      </c>
      <c r="F684">
        <f>'Form Responses (Pokemon Stats)'!E644</f>
        <v>0</v>
      </c>
      <c r="G684" t="str">
        <f ca="1">IFERROR(__xludf.DUMMYFUNCTION("ROUND(B684/ FILTER('Pokemon CP/HP'!$M$2:$M1000, LOWER('Pokemon CP/HP'!$B$2:$B1000)=LOWER(A684)))"),"#DIV/0!")</f>
        <v>#DIV/0!</v>
      </c>
      <c r="H684" t="str">
        <f ca="1">IFERROR(__xludf.DUMMYFUNCTION("FILTER('Leveling Info'!$B$2:$B1000, 'Leveling Info'!$A$2:$A1000 =G684)"),"#N/A")</f>
        <v>#N/A</v>
      </c>
      <c r="I684" s="29" t="e">
        <f t="shared" ca="1" si="0"/>
        <v>#VALUE!</v>
      </c>
      <c r="J684" s="29" t="str">
        <f ca="1">IFERROR(__xludf.DUMMYFUNCTION("IF(F684 = H684,C684/FILTER('Base Stats'!$C$2:$C1000, LOWER('Base Stats'!$B$2:$B1000) = LOWER($A684)), """")"),"#N/A")</f>
        <v>#N/A</v>
      </c>
      <c r="K684" t="str">
        <f t="shared" ca="1" si="1"/>
        <v/>
      </c>
      <c r="L684" t="str">
        <f ca="1">IFERROR(__xludf.DUMMYFUNCTION("IF(AND(NOT(K684 = """"), G684 &gt;= 15),K684/FILTER('Base Stats'!$C$2:$C1000, LOWER('Base Stats'!$B$2:$B1000) = LOWER($A684)), """")"),"#N/A")</f>
        <v>#N/A</v>
      </c>
      <c r="M684" t="str">
        <f ca="1">IFERROR(__xludf.DUMMYFUNCTION("1.15 + 0.02 * FILTER('Base Stats'!$C$2:$C1000, LOWER('Base Stats'!$B$2:$B1000) = LOWER($A684))"),"1.15")</f>
        <v>1.15</v>
      </c>
      <c r="N684" t="s">
        <v>527</v>
      </c>
    </row>
    <row r="685" spans="1:14" ht="12.75" x14ac:dyDescent="0.2">
      <c r="A685">
        <f>'Form Responses (Pokemon Stats)'!B645</f>
        <v>0</v>
      </c>
      <c r="B685">
        <f>'Form Responses (Pokemon Stats)'!D645</f>
        <v>0</v>
      </c>
      <c r="C685">
        <f>'Form Responses (Pokemon Stats)'!C645</f>
        <v>0</v>
      </c>
      <c r="F685">
        <f>'Form Responses (Pokemon Stats)'!E645</f>
        <v>0</v>
      </c>
      <c r="G685" t="str">
        <f ca="1">IFERROR(__xludf.DUMMYFUNCTION("ROUND(B685/ FILTER('Pokemon CP/HP'!$M$2:$M1000, LOWER('Pokemon CP/HP'!$B$2:$B1000)=LOWER(A685)))"),"#DIV/0!")</f>
        <v>#DIV/0!</v>
      </c>
      <c r="H685" t="str">
        <f ca="1">IFERROR(__xludf.DUMMYFUNCTION("FILTER('Leveling Info'!$B$2:$B1000, 'Leveling Info'!$A$2:$A1000 =G685)"),"#N/A")</f>
        <v>#N/A</v>
      </c>
      <c r="I685" s="29" t="e">
        <f t="shared" ca="1" si="0"/>
        <v>#VALUE!</v>
      </c>
      <c r="J685" s="29" t="str">
        <f ca="1">IFERROR(__xludf.DUMMYFUNCTION("IF(F685 = H685,C685/FILTER('Base Stats'!$C$2:$C1000, LOWER('Base Stats'!$B$2:$B1000) = LOWER($A685)), """")"),"#N/A")</f>
        <v>#N/A</v>
      </c>
      <c r="K685" t="str">
        <f t="shared" ca="1" si="1"/>
        <v/>
      </c>
      <c r="L685" t="str">
        <f ca="1">IFERROR(__xludf.DUMMYFUNCTION("IF(AND(NOT(K685 = """"), G685 &gt;= 15),K685/FILTER('Base Stats'!$C$2:$C1000, LOWER('Base Stats'!$B$2:$B1000) = LOWER($A685)), """")"),"#N/A")</f>
        <v>#N/A</v>
      </c>
      <c r="M685" t="str">
        <f ca="1">IFERROR(__xludf.DUMMYFUNCTION("1.15 + 0.02 * FILTER('Base Stats'!$C$2:$C1000, LOWER('Base Stats'!$B$2:$B1000) = LOWER($A685))"),"1.15")</f>
        <v>1.15</v>
      </c>
      <c r="N685" t="s">
        <v>527</v>
      </c>
    </row>
    <row r="686" spans="1:14" ht="12.75" x14ac:dyDescent="0.2">
      <c r="A686">
        <f>'Form Responses (Pokemon Stats)'!B646</f>
        <v>0</v>
      </c>
      <c r="B686">
        <f>'Form Responses (Pokemon Stats)'!D646</f>
        <v>0</v>
      </c>
      <c r="C686">
        <f>'Form Responses (Pokemon Stats)'!C646</f>
        <v>0</v>
      </c>
      <c r="F686">
        <f>'Form Responses (Pokemon Stats)'!E646</f>
        <v>0</v>
      </c>
      <c r="G686" t="str">
        <f ca="1">IFERROR(__xludf.DUMMYFUNCTION("ROUND(B686/ FILTER('Pokemon CP/HP'!$M$2:$M1000, LOWER('Pokemon CP/HP'!$B$2:$B1000)=LOWER(A686)))"),"#DIV/0!")</f>
        <v>#DIV/0!</v>
      </c>
      <c r="H686" t="str">
        <f ca="1">IFERROR(__xludf.DUMMYFUNCTION("FILTER('Leveling Info'!$B$2:$B1000, 'Leveling Info'!$A$2:$A1000 =G686)"),"#N/A")</f>
        <v>#N/A</v>
      </c>
      <c r="I686" s="29" t="e">
        <f t="shared" ca="1" si="0"/>
        <v>#VALUE!</v>
      </c>
      <c r="J686" s="29" t="str">
        <f ca="1">IFERROR(__xludf.DUMMYFUNCTION("IF(F686 = H686,C686/FILTER('Base Stats'!$C$2:$C1000, LOWER('Base Stats'!$B$2:$B1000) = LOWER($A686)), """")"),"#N/A")</f>
        <v>#N/A</v>
      </c>
      <c r="K686" t="str">
        <f t="shared" ca="1" si="1"/>
        <v/>
      </c>
      <c r="L686" t="str">
        <f ca="1">IFERROR(__xludf.DUMMYFUNCTION("IF(AND(NOT(K686 = """"), G686 &gt;= 15),K686/FILTER('Base Stats'!$C$2:$C1000, LOWER('Base Stats'!$B$2:$B1000) = LOWER($A686)), """")"),"#N/A")</f>
        <v>#N/A</v>
      </c>
      <c r="M686" t="str">
        <f ca="1">IFERROR(__xludf.DUMMYFUNCTION("1.15 + 0.02 * FILTER('Base Stats'!$C$2:$C1000, LOWER('Base Stats'!$B$2:$B1000) = LOWER($A686))"),"1.15")</f>
        <v>1.15</v>
      </c>
      <c r="N686" t="s">
        <v>527</v>
      </c>
    </row>
    <row r="687" spans="1:14" ht="12.75" x14ac:dyDescent="0.2">
      <c r="A687">
        <f>'Form Responses (Pokemon Stats)'!B647</f>
        <v>0</v>
      </c>
      <c r="B687">
        <f>'Form Responses (Pokemon Stats)'!D647</f>
        <v>0</v>
      </c>
      <c r="C687">
        <f>'Form Responses (Pokemon Stats)'!C647</f>
        <v>0</v>
      </c>
      <c r="F687">
        <f>'Form Responses (Pokemon Stats)'!E647</f>
        <v>0</v>
      </c>
      <c r="G687" t="str">
        <f ca="1">IFERROR(__xludf.DUMMYFUNCTION("ROUND(B687/ FILTER('Pokemon CP/HP'!$M$2:$M1000, LOWER('Pokemon CP/HP'!$B$2:$B1000)=LOWER(A687)))"),"#DIV/0!")</f>
        <v>#DIV/0!</v>
      </c>
      <c r="H687" t="str">
        <f ca="1">IFERROR(__xludf.DUMMYFUNCTION("FILTER('Leveling Info'!$B$2:$B1000, 'Leveling Info'!$A$2:$A1000 =G687)"),"#N/A")</f>
        <v>#N/A</v>
      </c>
      <c r="I687" s="29" t="e">
        <f t="shared" ca="1" si="0"/>
        <v>#VALUE!</v>
      </c>
      <c r="J687" s="29" t="str">
        <f ca="1">IFERROR(__xludf.DUMMYFUNCTION("IF(F687 = H687,C687/FILTER('Base Stats'!$C$2:$C1000, LOWER('Base Stats'!$B$2:$B1000) = LOWER($A687)), """")"),"#N/A")</f>
        <v>#N/A</v>
      </c>
      <c r="K687" t="str">
        <f t="shared" ca="1" si="1"/>
        <v/>
      </c>
      <c r="L687" t="str">
        <f ca="1">IFERROR(__xludf.DUMMYFUNCTION("IF(AND(NOT(K687 = """"), G687 &gt;= 15),K687/FILTER('Base Stats'!$C$2:$C1000, LOWER('Base Stats'!$B$2:$B1000) = LOWER($A687)), """")"),"#N/A")</f>
        <v>#N/A</v>
      </c>
      <c r="M687" t="str">
        <f ca="1">IFERROR(__xludf.DUMMYFUNCTION("1.15 + 0.02 * FILTER('Base Stats'!$C$2:$C1000, LOWER('Base Stats'!$B$2:$B1000) = LOWER($A687))"),"1.15")</f>
        <v>1.15</v>
      </c>
      <c r="N687" t="s">
        <v>527</v>
      </c>
    </row>
    <row r="688" spans="1:14" ht="12.75" x14ac:dyDescent="0.2">
      <c r="A688">
        <f>'Form Responses (Pokemon Stats)'!B648</f>
        <v>0</v>
      </c>
      <c r="B688">
        <f>'Form Responses (Pokemon Stats)'!D648</f>
        <v>0</v>
      </c>
      <c r="C688">
        <f>'Form Responses (Pokemon Stats)'!C648</f>
        <v>0</v>
      </c>
      <c r="F688">
        <f>'Form Responses (Pokemon Stats)'!E648</f>
        <v>0</v>
      </c>
      <c r="G688" t="str">
        <f ca="1">IFERROR(__xludf.DUMMYFUNCTION("ROUND(B688/ FILTER('Pokemon CP/HP'!$M$2:$M1000, LOWER('Pokemon CP/HP'!$B$2:$B1000)=LOWER(A688)))"),"#DIV/0!")</f>
        <v>#DIV/0!</v>
      </c>
      <c r="H688" t="str">
        <f ca="1">IFERROR(__xludf.DUMMYFUNCTION("FILTER('Leveling Info'!$B$2:$B1000, 'Leveling Info'!$A$2:$A1000 =G688)"),"#N/A")</f>
        <v>#N/A</v>
      </c>
      <c r="I688" s="29" t="e">
        <f t="shared" ca="1" si="0"/>
        <v>#VALUE!</v>
      </c>
      <c r="J688" s="29" t="str">
        <f ca="1">IFERROR(__xludf.DUMMYFUNCTION("IF(F688 = H688,C688/FILTER('Base Stats'!$C$2:$C1000, LOWER('Base Stats'!$B$2:$B1000) = LOWER($A688)), """")"),"#N/A")</f>
        <v>#N/A</v>
      </c>
      <c r="K688" t="str">
        <f t="shared" ca="1" si="1"/>
        <v/>
      </c>
      <c r="L688" t="str">
        <f ca="1">IFERROR(__xludf.DUMMYFUNCTION("IF(AND(NOT(K688 = """"), G688 &gt;= 15),K688/FILTER('Base Stats'!$C$2:$C1000, LOWER('Base Stats'!$B$2:$B1000) = LOWER($A688)), """")"),"#N/A")</f>
        <v>#N/A</v>
      </c>
      <c r="M688" t="str">
        <f ca="1">IFERROR(__xludf.DUMMYFUNCTION("1.15 + 0.02 * FILTER('Base Stats'!$C$2:$C1000, LOWER('Base Stats'!$B$2:$B1000) = LOWER($A688))"),"1.15")</f>
        <v>1.15</v>
      </c>
      <c r="N688" t="s">
        <v>527</v>
      </c>
    </row>
    <row r="689" spans="1:14" ht="12.75" x14ac:dyDescent="0.2">
      <c r="A689">
        <f>'Form Responses (Pokemon Stats)'!B649</f>
        <v>0</v>
      </c>
      <c r="B689">
        <f>'Form Responses (Pokemon Stats)'!D649</f>
        <v>0</v>
      </c>
      <c r="C689">
        <f>'Form Responses (Pokemon Stats)'!C649</f>
        <v>0</v>
      </c>
      <c r="F689">
        <f>'Form Responses (Pokemon Stats)'!E649</f>
        <v>0</v>
      </c>
      <c r="G689" t="str">
        <f ca="1">IFERROR(__xludf.DUMMYFUNCTION("ROUND(B689/ FILTER('Pokemon CP/HP'!$M$2:$M1000, LOWER('Pokemon CP/HP'!$B$2:$B1000)=LOWER(A689)))"),"#DIV/0!")</f>
        <v>#DIV/0!</v>
      </c>
      <c r="H689" t="str">
        <f ca="1">IFERROR(__xludf.DUMMYFUNCTION("FILTER('Leveling Info'!$B$2:$B1000, 'Leveling Info'!$A$2:$A1000 =G689)"),"#N/A")</f>
        <v>#N/A</v>
      </c>
      <c r="I689" s="29" t="e">
        <f t="shared" ca="1" si="0"/>
        <v>#VALUE!</v>
      </c>
      <c r="J689" s="29" t="str">
        <f ca="1">IFERROR(__xludf.DUMMYFUNCTION("IF(F689 = H689,C689/FILTER('Base Stats'!$C$2:$C1000, LOWER('Base Stats'!$B$2:$B1000) = LOWER($A689)), """")"),"#N/A")</f>
        <v>#N/A</v>
      </c>
      <c r="K689" t="str">
        <f t="shared" ca="1" si="1"/>
        <v/>
      </c>
      <c r="L689" t="str">
        <f ca="1">IFERROR(__xludf.DUMMYFUNCTION("IF(AND(NOT(K689 = """"), G689 &gt;= 15),K689/FILTER('Base Stats'!$C$2:$C1000, LOWER('Base Stats'!$B$2:$B1000) = LOWER($A689)), """")"),"#N/A")</f>
        <v>#N/A</v>
      </c>
      <c r="M689" t="str">
        <f ca="1">IFERROR(__xludf.DUMMYFUNCTION("1.15 + 0.02 * FILTER('Base Stats'!$C$2:$C1000, LOWER('Base Stats'!$B$2:$B1000) = LOWER($A689))"),"1.15")</f>
        <v>1.15</v>
      </c>
      <c r="N689" t="s">
        <v>527</v>
      </c>
    </row>
    <row r="690" spans="1:14" ht="12.75" x14ac:dyDescent="0.2">
      <c r="A690">
        <f>'Form Responses (Pokemon Stats)'!B650</f>
        <v>0</v>
      </c>
      <c r="B690">
        <f>'Form Responses (Pokemon Stats)'!D650</f>
        <v>0</v>
      </c>
      <c r="C690">
        <f>'Form Responses (Pokemon Stats)'!C650</f>
        <v>0</v>
      </c>
      <c r="F690">
        <f>'Form Responses (Pokemon Stats)'!E650</f>
        <v>0</v>
      </c>
      <c r="G690" t="str">
        <f ca="1">IFERROR(__xludf.DUMMYFUNCTION("ROUND(B690/ FILTER('Pokemon CP/HP'!$M$2:$M1000, LOWER('Pokemon CP/HP'!$B$2:$B1000)=LOWER(A690)))"),"#DIV/0!")</f>
        <v>#DIV/0!</v>
      </c>
      <c r="H690" t="str">
        <f ca="1">IFERROR(__xludf.DUMMYFUNCTION("FILTER('Leveling Info'!$B$2:$B1000, 'Leveling Info'!$A$2:$A1000 =G690)"),"#N/A")</f>
        <v>#N/A</v>
      </c>
      <c r="I690" s="29" t="e">
        <f t="shared" ca="1" si="0"/>
        <v>#VALUE!</v>
      </c>
      <c r="J690" s="29" t="str">
        <f ca="1">IFERROR(__xludf.DUMMYFUNCTION("IF(F690 = H690,C690/FILTER('Base Stats'!$C$2:$C1000, LOWER('Base Stats'!$B$2:$B1000) = LOWER($A690)), """")"),"#N/A")</f>
        <v>#N/A</v>
      </c>
      <c r="K690" t="str">
        <f t="shared" ca="1" si="1"/>
        <v/>
      </c>
      <c r="L690" t="str">
        <f ca="1">IFERROR(__xludf.DUMMYFUNCTION("IF(AND(NOT(K690 = """"), G690 &gt;= 15),K690/FILTER('Base Stats'!$C$2:$C1000, LOWER('Base Stats'!$B$2:$B1000) = LOWER($A690)), """")"),"#N/A")</f>
        <v>#N/A</v>
      </c>
      <c r="M690" t="str">
        <f ca="1">IFERROR(__xludf.DUMMYFUNCTION("1.15 + 0.02 * FILTER('Base Stats'!$C$2:$C1000, LOWER('Base Stats'!$B$2:$B1000) = LOWER($A690))"),"1.15")</f>
        <v>1.15</v>
      </c>
      <c r="N690" t="s">
        <v>527</v>
      </c>
    </row>
    <row r="691" spans="1:14" ht="12.75" x14ac:dyDescent="0.2">
      <c r="A691">
        <f>'Form Responses (Pokemon Stats)'!B651</f>
        <v>0</v>
      </c>
      <c r="B691">
        <f>'Form Responses (Pokemon Stats)'!D651</f>
        <v>0</v>
      </c>
      <c r="C691">
        <f>'Form Responses (Pokemon Stats)'!C651</f>
        <v>0</v>
      </c>
      <c r="F691">
        <f>'Form Responses (Pokemon Stats)'!E651</f>
        <v>0</v>
      </c>
      <c r="G691" t="str">
        <f ca="1">IFERROR(__xludf.DUMMYFUNCTION("ROUND(B691/ FILTER('Pokemon CP/HP'!$M$2:$M1000, LOWER('Pokemon CP/HP'!$B$2:$B1000)=LOWER(A691)))"),"#DIV/0!")</f>
        <v>#DIV/0!</v>
      </c>
      <c r="H691" t="str">
        <f ca="1">IFERROR(__xludf.DUMMYFUNCTION("FILTER('Leveling Info'!$B$2:$B1000, 'Leveling Info'!$A$2:$A1000 =G691)"),"#N/A")</f>
        <v>#N/A</v>
      </c>
      <c r="I691" s="29" t="e">
        <f t="shared" ca="1" si="0"/>
        <v>#VALUE!</v>
      </c>
      <c r="J691" s="29" t="str">
        <f ca="1">IFERROR(__xludf.DUMMYFUNCTION("IF(F691 = H691,C691/FILTER('Base Stats'!$C$2:$C1000, LOWER('Base Stats'!$B$2:$B1000) = LOWER($A691)), """")"),"#N/A")</f>
        <v>#N/A</v>
      </c>
      <c r="K691" t="str">
        <f t="shared" ca="1" si="1"/>
        <v/>
      </c>
      <c r="L691" t="str">
        <f ca="1">IFERROR(__xludf.DUMMYFUNCTION("IF(AND(NOT(K691 = """"), G691 &gt;= 15),K691/FILTER('Base Stats'!$C$2:$C1000, LOWER('Base Stats'!$B$2:$B1000) = LOWER($A691)), """")"),"#N/A")</f>
        <v>#N/A</v>
      </c>
      <c r="M691" t="str">
        <f ca="1">IFERROR(__xludf.DUMMYFUNCTION("1.15 + 0.02 * FILTER('Base Stats'!$C$2:$C1000, LOWER('Base Stats'!$B$2:$B1000) = LOWER($A691))"),"1.15")</f>
        <v>1.15</v>
      </c>
      <c r="N691" t="s">
        <v>527</v>
      </c>
    </row>
    <row r="692" spans="1:14" ht="12.75" x14ac:dyDescent="0.2">
      <c r="A692">
        <f>'Form Responses (Pokemon Stats)'!B652</f>
        <v>0</v>
      </c>
      <c r="B692">
        <f>'Form Responses (Pokemon Stats)'!D652</f>
        <v>0</v>
      </c>
      <c r="C692">
        <f>'Form Responses (Pokemon Stats)'!C652</f>
        <v>0</v>
      </c>
      <c r="F692">
        <f>'Form Responses (Pokemon Stats)'!E652</f>
        <v>0</v>
      </c>
      <c r="G692" t="str">
        <f ca="1">IFERROR(__xludf.DUMMYFUNCTION("ROUND(B692/ FILTER('Pokemon CP/HP'!$M$2:$M1000, LOWER('Pokemon CP/HP'!$B$2:$B1000)=LOWER(A692)))"),"#DIV/0!")</f>
        <v>#DIV/0!</v>
      </c>
      <c r="H692" t="str">
        <f ca="1">IFERROR(__xludf.DUMMYFUNCTION("FILTER('Leveling Info'!$B$2:$B1000, 'Leveling Info'!$A$2:$A1000 =G692)"),"#N/A")</f>
        <v>#N/A</v>
      </c>
      <c r="I692" s="29" t="e">
        <f t="shared" ca="1" si="0"/>
        <v>#VALUE!</v>
      </c>
      <c r="J692" s="29" t="str">
        <f ca="1">IFERROR(__xludf.DUMMYFUNCTION("IF(F692 = H692,C692/FILTER('Base Stats'!$C$2:$C1000, LOWER('Base Stats'!$B$2:$B1000) = LOWER($A692)), """")"),"#N/A")</f>
        <v>#N/A</v>
      </c>
      <c r="K692" t="str">
        <f t="shared" ca="1" si="1"/>
        <v/>
      </c>
      <c r="L692" t="str">
        <f ca="1">IFERROR(__xludf.DUMMYFUNCTION("IF(AND(NOT(K692 = """"), G692 &gt;= 15),K692/FILTER('Base Stats'!$C$2:$C1000, LOWER('Base Stats'!$B$2:$B1000) = LOWER($A692)), """")"),"#N/A")</f>
        <v>#N/A</v>
      </c>
      <c r="M692" t="str">
        <f ca="1">IFERROR(__xludf.DUMMYFUNCTION("1.15 + 0.02 * FILTER('Base Stats'!$C$2:$C1000, LOWER('Base Stats'!$B$2:$B1000) = LOWER($A692))"),"1.15")</f>
        <v>1.15</v>
      </c>
      <c r="N692" t="s">
        <v>527</v>
      </c>
    </row>
    <row r="693" spans="1:14" ht="12.75" x14ac:dyDescent="0.2">
      <c r="A693">
        <f>'Form Responses (Pokemon Stats)'!B653</f>
        <v>0</v>
      </c>
      <c r="B693">
        <f>'Form Responses (Pokemon Stats)'!D653</f>
        <v>0</v>
      </c>
      <c r="C693">
        <f>'Form Responses (Pokemon Stats)'!C653</f>
        <v>0</v>
      </c>
      <c r="F693">
        <f>'Form Responses (Pokemon Stats)'!E653</f>
        <v>0</v>
      </c>
      <c r="G693" t="str">
        <f ca="1">IFERROR(__xludf.DUMMYFUNCTION("ROUND(B693/ FILTER('Pokemon CP/HP'!$M$2:$M1000, LOWER('Pokemon CP/HP'!$B$2:$B1000)=LOWER(A693)))"),"#DIV/0!")</f>
        <v>#DIV/0!</v>
      </c>
      <c r="H693" t="str">
        <f ca="1">IFERROR(__xludf.DUMMYFUNCTION("FILTER('Leveling Info'!$B$2:$B1000, 'Leveling Info'!$A$2:$A1000 =G693)"),"#N/A")</f>
        <v>#N/A</v>
      </c>
      <c r="I693" s="29" t="e">
        <f t="shared" ca="1" si="0"/>
        <v>#VALUE!</v>
      </c>
      <c r="J693" s="29" t="str">
        <f ca="1">IFERROR(__xludf.DUMMYFUNCTION("IF(F693 = H693,C693/FILTER('Base Stats'!$C$2:$C1000, LOWER('Base Stats'!$B$2:$B1000) = LOWER($A693)), """")"),"#N/A")</f>
        <v>#N/A</v>
      </c>
      <c r="K693" t="str">
        <f t="shared" ca="1" si="1"/>
        <v/>
      </c>
      <c r="L693" t="str">
        <f ca="1">IFERROR(__xludf.DUMMYFUNCTION("IF(AND(NOT(K693 = """"), G693 &gt;= 15),K693/FILTER('Base Stats'!$C$2:$C1000, LOWER('Base Stats'!$B$2:$B1000) = LOWER($A693)), """")"),"#N/A")</f>
        <v>#N/A</v>
      </c>
      <c r="M693" t="str">
        <f ca="1">IFERROR(__xludf.DUMMYFUNCTION("1.15 + 0.02 * FILTER('Base Stats'!$C$2:$C1000, LOWER('Base Stats'!$B$2:$B1000) = LOWER($A693))"),"1.15")</f>
        <v>1.15</v>
      </c>
      <c r="N693" t="s">
        <v>527</v>
      </c>
    </row>
    <row r="694" spans="1:14" ht="12.75" x14ac:dyDescent="0.2">
      <c r="A694">
        <f>'Form Responses (Pokemon Stats)'!B654</f>
        <v>0</v>
      </c>
      <c r="B694">
        <f>'Form Responses (Pokemon Stats)'!D654</f>
        <v>0</v>
      </c>
      <c r="C694">
        <f>'Form Responses (Pokemon Stats)'!C654</f>
        <v>0</v>
      </c>
      <c r="F694">
        <f>'Form Responses (Pokemon Stats)'!E654</f>
        <v>0</v>
      </c>
      <c r="G694" t="str">
        <f ca="1">IFERROR(__xludf.DUMMYFUNCTION("ROUND(B694/ FILTER('Pokemon CP/HP'!$M$2:$M1000, LOWER('Pokemon CP/HP'!$B$2:$B1000)=LOWER(A694)))"),"#DIV/0!")</f>
        <v>#DIV/0!</v>
      </c>
      <c r="H694" t="str">
        <f ca="1">IFERROR(__xludf.DUMMYFUNCTION("FILTER('Leveling Info'!$B$2:$B1000, 'Leveling Info'!$A$2:$A1000 =G694)"),"#N/A")</f>
        <v>#N/A</v>
      </c>
      <c r="I694" s="29" t="e">
        <f t="shared" ca="1" si="0"/>
        <v>#VALUE!</v>
      </c>
      <c r="J694" s="29" t="str">
        <f ca="1">IFERROR(__xludf.DUMMYFUNCTION("IF(F694 = H694,C694/FILTER('Base Stats'!$C$2:$C1000, LOWER('Base Stats'!$B$2:$B1000) = LOWER($A694)), """")"),"#N/A")</f>
        <v>#N/A</v>
      </c>
      <c r="K694" t="str">
        <f t="shared" ca="1" si="1"/>
        <v/>
      </c>
      <c r="L694" t="str">
        <f ca="1">IFERROR(__xludf.DUMMYFUNCTION("IF(AND(NOT(K694 = """"), G694 &gt;= 15),K694/FILTER('Base Stats'!$C$2:$C1000, LOWER('Base Stats'!$B$2:$B1000) = LOWER($A694)), """")"),"#N/A")</f>
        <v>#N/A</v>
      </c>
      <c r="M694" t="str">
        <f ca="1">IFERROR(__xludf.DUMMYFUNCTION("1.15 + 0.02 * FILTER('Base Stats'!$C$2:$C1000, LOWER('Base Stats'!$B$2:$B1000) = LOWER($A694))"),"1.15")</f>
        <v>1.15</v>
      </c>
      <c r="N694" t="s">
        <v>527</v>
      </c>
    </row>
    <row r="695" spans="1:14" ht="12.75" x14ac:dyDescent="0.2">
      <c r="A695">
        <f>'Form Responses (Pokemon Stats)'!B655</f>
        <v>0</v>
      </c>
      <c r="B695">
        <f>'Form Responses (Pokemon Stats)'!D655</f>
        <v>0</v>
      </c>
      <c r="C695">
        <f>'Form Responses (Pokemon Stats)'!C655</f>
        <v>0</v>
      </c>
      <c r="F695">
        <f>'Form Responses (Pokemon Stats)'!E655</f>
        <v>0</v>
      </c>
      <c r="G695" t="str">
        <f ca="1">IFERROR(__xludf.DUMMYFUNCTION("ROUND(B695/ FILTER('Pokemon CP/HP'!$M$2:$M1000, LOWER('Pokemon CP/HP'!$B$2:$B1000)=LOWER(A695)))"),"#DIV/0!")</f>
        <v>#DIV/0!</v>
      </c>
      <c r="H695" t="str">
        <f ca="1">IFERROR(__xludf.DUMMYFUNCTION("FILTER('Leveling Info'!$B$2:$B1000, 'Leveling Info'!$A$2:$A1000 =G695)"),"#N/A")</f>
        <v>#N/A</v>
      </c>
      <c r="I695" s="29" t="e">
        <f t="shared" ca="1" si="0"/>
        <v>#VALUE!</v>
      </c>
      <c r="J695" s="29" t="str">
        <f ca="1">IFERROR(__xludf.DUMMYFUNCTION("IF(F695 = H695,C695/FILTER('Base Stats'!$C$2:$C1000, LOWER('Base Stats'!$B$2:$B1000) = LOWER($A695)), """")"),"#N/A")</f>
        <v>#N/A</v>
      </c>
      <c r="K695" t="str">
        <f t="shared" ca="1" si="1"/>
        <v/>
      </c>
      <c r="L695" t="str">
        <f ca="1">IFERROR(__xludf.DUMMYFUNCTION("IF(AND(NOT(K695 = """"), G695 &gt;= 15),K695/FILTER('Base Stats'!$C$2:$C1000, LOWER('Base Stats'!$B$2:$B1000) = LOWER($A695)), """")"),"#N/A")</f>
        <v>#N/A</v>
      </c>
      <c r="M695" t="str">
        <f ca="1">IFERROR(__xludf.DUMMYFUNCTION("1.15 + 0.02 * FILTER('Base Stats'!$C$2:$C1000, LOWER('Base Stats'!$B$2:$B1000) = LOWER($A695))"),"1.15")</f>
        <v>1.15</v>
      </c>
      <c r="N695" t="s">
        <v>527</v>
      </c>
    </row>
    <row r="696" spans="1:14" ht="12.75" x14ac:dyDescent="0.2">
      <c r="A696">
        <f>'Form Responses (Pokemon Stats)'!B656</f>
        <v>0</v>
      </c>
      <c r="B696">
        <f>'Form Responses (Pokemon Stats)'!D656</f>
        <v>0</v>
      </c>
      <c r="C696">
        <f>'Form Responses (Pokemon Stats)'!C656</f>
        <v>0</v>
      </c>
      <c r="F696">
        <f>'Form Responses (Pokemon Stats)'!E656</f>
        <v>0</v>
      </c>
      <c r="G696" t="str">
        <f ca="1">IFERROR(__xludf.DUMMYFUNCTION("ROUND(B696/ FILTER('Pokemon CP/HP'!$M$2:$M1000, LOWER('Pokemon CP/HP'!$B$2:$B1000)=LOWER(A696)))"),"#DIV/0!")</f>
        <v>#DIV/0!</v>
      </c>
      <c r="H696" t="str">
        <f ca="1">IFERROR(__xludf.DUMMYFUNCTION("FILTER('Leveling Info'!$B$2:$B1000, 'Leveling Info'!$A$2:$A1000 =G696)"),"#N/A")</f>
        <v>#N/A</v>
      </c>
      <c r="I696" s="29" t="e">
        <f t="shared" ca="1" si="0"/>
        <v>#VALUE!</v>
      </c>
      <c r="J696" s="29" t="str">
        <f ca="1">IFERROR(__xludf.DUMMYFUNCTION("IF(F696 = H696,C696/FILTER('Base Stats'!$C$2:$C1000, LOWER('Base Stats'!$B$2:$B1000) = LOWER($A696)), """")"),"#N/A")</f>
        <v>#N/A</v>
      </c>
      <c r="K696" t="str">
        <f t="shared" ca="1" si="1"/>
        <v/>
      </c>
      <c r="L696" t="str">
        <f ca="1">IFERROR(__xludf.DUMMYFUNCTION("IF(AND(NOT(K696 = """"), G696 &gt;= 15),K696/FILTER('Base Stats'!$C$2:$C1000, LOWER('Base Stats'!$B$2:$B1000) = LOWER($A696)), """")"),"#N/A")</f>
        <v>#N/A</v>
      </c>
      <c r="M696" t="str">
        <f ca="1">IFERROR(__xludf.DUMMYFUNCTION("1.15 + 0.02 * FILTER('Base Stats'!$C$2:$C1000, LOWER('Base Stats'!$B$2:$B1000) = LOWER($A696))"),"1.15")</f>
        <v>1.15</v>
      </c>
      <c r="N696" t="s">
        <v>527</v>
      </c>
    </row>
    <row r="697" spans="1:14" ht="12.75" x14ac:dyDescent="0.2">
      <c r="A697">
        <f>'Form Responses (Pokemon Stats)'!B657</f>
        <v>0</v>
      </c>
      <c r="B697">
        <f>'Form Responses (Pokemon Stats)'!D657</f>
        <v>0</v>
      </c>
      <c r="C697">
        <f>'Form Responses (Pokemon Stats)'!C657</f>
        <v>0</v>
      </c>
      <c r="F697">
        <f>'Form Responses (Pokemon Stats)'!E657</f>
        <v>0</v>
      </c>
      <c r="G697" t="str">
        <f ca="1">IFERROR(__xludf.DUMMYFUNCTION("ROUND(B697/ FILTER('Pokemon CP/HP'!$M$2:$M1000, LOWER('Pokemon CP/HP'!$B$2:$B1000)=LOWER(A697)))"),"#DIV/0!")</f>
        <v>#DIV/0!</v>
      </c>
      <c r="H697" t="str">
        <f ca="1">IFERROR(__xludf.DUMMYFUNCTION("FILTER('Leveling Info'!$B$2:$B1000, 'Leveling Info'!$A$2:$A1000 =G697)"),"#N/A")</f>
        <v>#N/A</v>
      </c>
      <c r="I697" s="29" t="e">
        <f t="shared" ca="1" si="0"/>
        <v>#VALUE!</v>
      </c>
      <c r="J697" s="29" t="str">
        <f ca="1">IFERROR(__xludf.DUMMYFUNCTION("IF(F697 = H697,C697/FILTER('Base Stats'!$C$2:$C1000, LOWER('Base Stats'!$B$2:$B1000) = LOWER($A697)), """")"),"#N/A")</f>
        <v>#N/A</v>
      </c>
      <c r="K697" t="str">
        <f t="shared" ca="1" si="1"/>
        <v/>
      </c>
      <c r="L697" t="str">
        <f ca="1">IFERROR(__xludf.DUMMYFUNCTION("IF(AND(NOT(K697 = """"), G697 &gt;= 15),K697/FILTER('Base Stats'!$C$2:$C1000, LOWER('Base Stats'!$B$2:$B1000) = LOWER($A697)), """")"),"#N/A")</f>
        <v>#N/A</v>
      </c>
      <c r="M697" t="str">
        <f ca="1">IFERROR(__xludf.DUMMYFUNCTION("1.15 + 0.02 * FILTER('Base Stats'!$C$2:$C1000, LOWER('Base Stats'!$B$2:$B1000) = LOWER($A697))"),"1.15")</f>
        <v>1.15</v>
      </c>
      <c r="N697" t="s">
        <v>527</v>
      </c>
    </row>
    <row r="698" spans="1:14" ht="12.75" x14ac:dyDescent="0.2">
      <c r="A698">
        <f>'Form Responses (Pokemon Stats)'!B658</f>
        <v>0</v>
      </c>
      <c r="B698">
        <f>'Form Responses (Pokemon Stats)'!D658</f>
        <v>0</v>
      </c>
      <c r="C698">
        <f>'Form Responses (Pokemon Stats)'!C658</f>
        <v>0</v>
      </c>
      <c r="F698">
        <f>'Form Responses (Pokemon Stats)'!E658</f>
        <v>0</v>
      </c>
      <c r="G698" t="str">
        <f ca="1">IFERROR(__xludf.DUMMYFUNCTION("ROUND(B698/ FILTER('Pokemon CP/HP'!$M$2:$M1000, LOWER('Pokemon CP/HP'!$B$2:$B1000)=LOWER(A698)))"),"#DIV/0!")</f>
        <v>#DIV/0!</v>
      </c>
      <c r="H698" t="str">
        <f ca="1">IFERROR(__xludf.DUMMYFUNCTION("FILTER('Leveling Info'!$B$2:$B1000, 'Leveling Info'!$A$2:$A1000 =G698)"),"#N/A")</f>
        <v>#N/A</v>
      </c>
      <c r="I698" s="29" t="e">
        <f t="shared" ca="1" si="0"/>
        <v>#VALUE!</v>
      </c>
      <c r="J698" s="29" t="str">
        <f ca="1">IFERROR(__xludf.DUMMYFUNCTION("IF(F698 = H698,C698/FILTER('Base Stats'!$C$2:$C1000, LOWER('Base Stats'!$B$2:$B1000) = LOWER($A698)), """")"),"#N/A")</f>
        <v>#N/A</v>
      </c>
      <c r="K698" t="str">
        <f t="shared" ca="1" si="1"/>
        <v/>
      </c>
      <c r="L698" t="str">
        <f ca="1">IFERROR(__xludf.DUMMYFUNCTION("IF(AND(NOT(K698 = """"), G698 &gt;= 15),K698/FILTER('Base Stats'!$C$2:$C1000, LOWER('Base Stats'!$B$2:$B1000) = LOWER($A698)), """")"),"#N/A")</f>
        <v>#N/A</v>
      </c>
      <c r="M698" t="str">
        <f ca="1">IFERROR(__xludf.DUMMYFUNCTION("1.15 + 0.02 * FILTER('Base Stats'!$C$2:$C1000, LOWER('Base Stats'!$B$2:$B1000) = LOWER($A698))"),"1.15")</f>
        <v>1.15</v>
      </c>
      <c r="N698" t="s">
        <v>527</v>
      </c>
    </row>
    <row r="699" spans="1:14" ht="12.75" x14ac:dyDescent="0.2">
      <c r="A699">
        <f>'Form Responses (Pokemon Stats)'!B659</f>
        <v>0</v>
      </c>
      <c r="B699">
        <f>'Form Responses (Pokemon Stats)'!D659</f>
        <v>0</v>
      </c>
      <c r="C699">
        <f>'Form Responses (Pokemon Stats)'!C659</f>
        <v>0</v>
      </c>
      <c r="F699">
        <f>'Form Responses (Pokemon Stats)'!E659</f>
        <v>0</v>
      </c>
      <c r="G699" t="str">
        <f ca="1">IFERROR(__xludf.DUMMYFUNCTION("ROUND(B699/ FILTER('Pokemon CP/HP'!$M$2:$M1000, LOWER('Pokemon CP/HP'!$B$2:$B1000)=LOWER(A699)))"),"#DIV/0!")</f>
        <v>#DIV/0!</v>
      </c>
      <c r="H699" t="str">
        <f ca="1">IFERROR(__xludf.DUMMYFUNCTION("FILTER('Leveling Info'!$B$2:$B1000, 'Leveling Info'!$A$2:$A1000 =G699)"),"#N/A")</f>
        <v>#N/A</v>
      </c>
      <c r="I699" s="29" t="e">
        <f t="shared" ca="1" si="0"/>
        <v>#VALUE!</v>
      </c>
      <c r="J699" s="29" t="str">
        <f ca="1">IFERROR(__xludf.DUMMYFUNCTION("IF(F699 = H699,C699/FILTER('Base Stats'!$C$2:$C1000, LOWER('Base Stats'!$B$2:$B1000) = LOWER($A699)), """")"),"#N/A")</f>
        <v>#N/A</v>
      </c>
      <c r="K699" t="str">
        <f t="shared" ca="1" si="1"/>
        <v/>
      </c>
      <c r="L699" t="str">
        <f ca="1">IFERROR(__xludf.DUMMYFUNCTION("IF(AND(NOT(K699 = """"), G699 &gt;= 15),K699/FILTER('Base Stats'!$C$2:$C1000, LOWER('Base Stats'!$B$2:$B1000) = LOWER($A699)), """")"),"#N/A")</f>
        <v>#N/A</v>
      </c>
      <c r="M699" t="str">
        <f ca="1">IFERROR(__xludf.DUMMYFUNCTION("1.15 + 0.02 * FILTER('Base Stats'!$C$2:$C1000, LOWER('Base Stats'!$B$2:$B1000) = LOWER($A699))"),"1.15")</f>
        <v>1.15</v>
      </c>
      <c r="N699" t="s">
        <v>527</v>
      </c>
    </row>
    <row r="700" spans="1:14" ht="12.75" x14ac:dyDescent="0.2">
      <c r="A700">
        <f>'Form Responses (Pokemon Stats)'!B660</f>
        <v>0</v>
      </c>
      <c r="B700">
        <f>'Form Responses (Pokemon Stats)'!D660</f>
        <v>0</v>
      </c>
      <c r="C700">
        <f>'Form Responses (Pokemon Stats)'!C660</f>
        <v>0</v>
      </c>
      <c r="F700">
        <f>'Form Responses (Pokemon Stats)'!E660</f>
        <v>0</v>
      </c>
      <c r="G700" t="str">
        <f ca="1">IFERROR(__xludf.DUMMYFUNCTION("ROUND(B700/ FILTER('Pokemon CP/HP'!$M$2:$M1000, LOWER('Pokemon CP/HP'!$B$2:$B1000)=LOWER(A700)))"),"#DIV/0!")</f>
        <v>#DIV/0!</v>
      </c>
      <c r="H700" t="str">
        <f ca="1">IFERROR(__xludf.DUMMYFUNCTION("FILTER('Leveling Info'!$B$2:$B1000, 'Leveling Info'!$A$2:$A1000 =G700)"),"#N/A")</f>
        <v>#N/A</v>
      </c>
      <c r="I700" s="29" t="e">
        <f t="shared" ca="1" si="0"/>
        <v>#VALUE!</v>
      </c>
      <c r="J700" s="29" t="str">
        <f ca="1">IFERROR(__xludf.DUMMYFUNCTION("IF(F700 = H700,C700/FILTER('Base Stats'!$C$2:$C1000, LOWER('Base Stats'!$B$2:$B1000) = LOWER($A700)), """")"),"#N/A")</f>
        <v>#N/A</v>
      </c>
      <c r="K700" t="str">
        <f t="shared" ca="1" si="1"/>
        <v/>
      </c>
      <c r="L700" t="str">
        <f ca="1">IFERROR(__xludf.DUMMYFUNCTION("IF(AND(NOT(K700 = """"), G700 &gt;= 15),K700/FILTER('Base Stats'!$C$2:$C1000, LOWER('Base Stats'!$B$2:$B1000) = LOWER($A700)), """")"),"#N/A")</f>
        <v>#N/A</v>
      </c>
      <c r="M700" t="str">
        <f ca="1">IFERROR(__xludf.DUMMYFUNCTION("1.15 + 0.02 * FILTER('Base Stats'!$C$2:$C1000, LOWER('Base Stats'!$B$2:$B1000) = LOWER($A700))"),"1.15")</f>
        <v>1.15</v>
      </c>
      <c r="N700" t="s">
        <v>527</v>
      </c>
    </row>
    <row r="701" spans="1:14" ht="12.75" x14ac:dyDescent="0.2">
      <c r="A701">
        <f>'Form Responses (Pokemon Stats)'!B661</f>
        <v>0</v>
      </c>
      <c r="B701">
        <f>'Form Responses (Pokemon Stats)'!D661</f>
        <v>0</v>
      </c>
      <c r="C701">
        <f>'Form Responses (Pokemon Stats)'!C661</f>
        <v>0</v>
      </c>
      <c r="F701">
        <f>'Form Responses (Pokemon Stats)'!E661</f>
        <v>0</v>
      </c>
      <c r="G701" t="str">
        <f ca="1">IFERROR(__xludf.DUMMYFUNCTION("ROUND(B701/ FILTER('Pokemon CP/HP'!$M$2:$M1000, LOWER('Pokemon CP/HP'!$B$2:$B1000)=LOWER(A701)))"),"#DIV/0!")</f>
        <v>#DIV/0!</v>
      </c>
      <c r="H701" t="str">
        <f ca="1">IFERROR(__xludf.DUMMYFUNCTION("FILTER('Leveling Info'!$B$2:$B1000, 'Leveling Info'!$A$2:$A1000 =G701)"),"#N/A")</f>
        <v>#N/A</v>
      </c>
      <c r="I701" s="29" t="e">
        <f t="shared" ca="1" si="0"/>
        <v>#VALUE!</v>
      </c>
      <c r="J701" s="29" t="str">
        <f ca="1">IFERROR(__xludf.DUMMYFUNCTION("IF(F701 = H701,C701/FILTER('Base Stats'!$C$2:$C1000, LOWER('Base Stats'!$B$2:$B1000) = LOWER($A701)), """")"),"#N/A")</f>
        <v>#N/A</v>
      </c>
      <c r="K701" t="str">
        <f t="shared" ca="1" si="1"/>
        <v/>
      </c>
      <c r="L701" t="str">
        <f ca="1">IFERROR(__xludf.DUMMYFUNCTION("IF(AND(NOT(K701 = """"), G701 &gt;= 15),K701/FILTER('Base Stats'!$C$2:$C1000, LOWER('Base Stats'!$B$2:$B1000) = LOWER($A701)), """")"),"#N/A")</f>
        <v>#N/A</v>
      </c>
      <c r="M701" t="str">
        <f ca="1">IFERROR(__xludf.DUMMYFUNCTION("1.15 + 0.02 * FILTER('Base Stats'!$C$2:$C1000, LOWER('Base Stats'!$B$2:$B1000) = LOWER($A701))"),"1.15")</f>
        <v>1.15</v>
      </c>
      <c r="N701" t="s">
        <v>527</v>
      </c>
    </row>
    <row r="702" spans="1:14" ht="12.75" x14ac:dyDescent="0.2">
      <c r="A702">
        <f>'Form Responses (Pokemon Stats)'!B662</f>
        <v>0</v>
      </c>
      <c r="B702">
        <f>'Form Responses (Pokemon Stats)'!D662</f>
        <v>0</v>
      </c>
      <c r="C702">
        <f>'Form Responses (Pokemon Stats)'!C662</f>
        <v>0</v>
      </c>
      <c r="F702">
        <f>'Form Responses (Pokemon Stats)'!E662</f>
        <v>0</v>
      </c>
      <c r="G702" t="str">
        <f ca="1">IFERROR(__xludf.DUMMYFUNCTION("ROUND(B702/ FILTER('Pokemon CP/HP'!$M$2:$M1000, LOWER('Pokemon CP/HP'!$B$2:$B1000)=LOWER(A702)))"),"#DIV/0!")</f>
        <v>#DIV/0!</v>
      </c>
      <c r="H702" t="str">
        <f ca="1">IFERROR(__xludf.DUMMYFUNCTION("FILTER('Leveling Info'!$B$2:$B1000, 'Leveling Info'!$A$2:$A1000 =G702)"),"#N/A")</f>
        <v>#N/A</v>
      </c>
      <c r="I702" s="29" t="e">
        <f t="shared" ca="1" si="0"/>
        <v>#VALUE!</v>
      </c>
      <c r="J702" s="29" t="str">
        <f ca="1">IFERROR(__xludf.DUMMYFUNCTION("IF(F702 = H702,C702/FILTER('Base Stats'!$C$2:$C1000, LOWER('Base Stats'!$B$2:$B1000) = LOWER($A702)), """")"),"#N/A")</f>
        <v>#N/A</v>
      </c>
      <c r="K702" t="str">
        <f t="shared" ca="1" si="1"/>
        <v/>
      </c>
      <c r="L702" t="str">
        <f ca="1">IFERROR(__xludf.DUMMYFUNCTION("IF(AND(NOT(K702 = """"), G702 &gt;= 15),K702/FILTER('Base Stats'!$C$2:$C1000, LOWER('Base Stats'!$B$2:$B1000) = LOWER($A702)), """")"),"#N/A")</f>
        <v>#N/A</v>
      </c>
      <c r="M702" t="str">
        <f ca="1">IFERROR(__xludf.DUMMYFUNCTION("1.15 + 0.02 * FILTER('Base Stats'!$C$2:$C1000, LOWER('Base Stats'!$B$2:$B1000) = LOWER($A702))"),"1.15")</f>
        <v>1.15</v>
      </c>
      <c r="N702" t="s">
        <v>527</v>
      </c>
    </row>
    <row r="703" spans="1:14" ht="12.75" x14ac:dyDescent="0.2">
      <c r="A703">
        <f>'Form Responses (Pokemon Stats)'!B663</f>
        <v>0</v>
      </c>
      <c r="B703">
        <f>'Form Responses (Pokemon Stats)'!D663</f>
        <v>0</v>
      </c>
      <c r="C703">
        <f>'Form Responses (Pokemon Stats)'!C663</f>
        <v>0</v>
      </c>
      <c r="F703">
        <f>'Form Responses (Pokemon Stats)'!E663</f>
        <v>0</v>
      </c>
      <c r="G703" t="str">
        <f ca="1">IFERROR(__xludf.DUMMYFUNCTION("ROUND(B703/ FILTER('Pokemon CP/HP'!$M$2:$M1000, LOWER('Pokemon CP/HP'!$B$2:$B1000)=LOWER(A703)))"),"#DIV/0!")</f>
        <v>#DIV/0!</v>
      </c>
      <c r="H703" t="str">
        <f ca="1">IFERROR(__xludf.DUMMYFUNCTION("FILTER('Leveling Info'!$B$2:$B1000, 'Leveling Info'!$A$2:$A1000 =G703)"),"#N/A")</f>
        <v>#N/A</v>
      </c>
      <c r="I703" s="29" t="e">
        <f t="shared" ca="1" si="0"/>
        <v>#VALUE!</v>
      </c>
      <c r="J703" s="29" t="str">
        <f ca="1">IFERROR(__xludf.DUMMYFUNCTION("IF(F703 = H703,C703/FILTER('Base Stats'!$C$2:$C1000, LOWER('Base Stats'!$B$2:$B1000) = LOWER($A703)), """")"),"#N/A")</f>
        <v>#N/A</v>
      </c>
      <c r="K703" t="str">
        <f t="shared" ca="1" si="1"/>
        <v/>
      </c>
      <c r="L703" t="str">
        <f ca="1">IFERROR(__xludf.DUMMYFUNCTION("IF(AND(NOT(K703 = """"), G703 &gt;= 15),K703/FILTER('Base Stats'!$C$2:$C1000, LOWER('Base Stats'!$B$2:$B1000) = LOWER($A703)), """")"),"#N/A")</f>
        <v>#N/A</v>
      </c>
      <c r="M703" t="str">
        <f ca="1">IFERROR(__xludf.DUMMYFUNCTION("1.15 + 0.02 * FILTER('Base Stats'!$C$2:$C1000, LOWER('Base Stats'!$B$2:$B1000) = LOWER($A703))"),"1.15")</f>
        <v>1.15</v>
      </c>
      <c r="N703" t="s">
        <v>527</v>
      </c>
    </row>
    <row r="704" spans="1:14" ht="12.75" x14ac:dyDescent="0.2">
      <c r="A704">
        <f>'Form Responses (Pokemon Stats)'!B664</f>
        <v>0</v>
      </c>
      <c r="B704">
        <f>'Form Responses (Pokemon Stats)'!D664</f>
        <v>0</v>
      </c>
      <c r="C704">
        <f>'Form Responses (Pokemon Stats)'!C664</f>
        <v>0</v>
      </c>
      <c r="F704">
        <f>'Form Responses (Pokemon Stats)'!E664</f>
        <v>0</v>
      </c>
      <c r="G704" t="str">
        <f ca="1">IFERROR(__xludf.DUMMYFUNCTION("ROUND(B704/ FILTER('Pokemon CP/HP'!$M$2:$M1000, LOWER('Pokemon CP/HP'!$B$2:$B1000)=LOWER(A704)))"),"#DIV/0!")</f>
        <v>#DIV/0!</v>
      </c>
      <c r="H704" t="str">
        <f ca="1">IFERROR(__xludf.DUMMYFUNCTION("FILTER('Leveling Info'!$B$2:$B1000, 'Leveling Info'!$A$2:$A1000 =G704)"),"#N/A")</f>
        <v>#N/A</v>
      </c>
      <c r="I704" s="29" t="e">
        <f t="shared" ca="1" si="0"/>
        <v>#VALUE!</v>
      </c>
      <c r="J704" s="29" t="str">
        <f ca="1">IFERROR(__xludf.DUMMYFUNCTION("IF(F704 = H704,C704/FILTER('Base Stats'!$C$2:$C1000, LOWER('Base Stats'!$B$2:$B1000) = LOWER($A704)), """")"),"#N/A")</f>
        <v>#N/A</v>
      </c>
      <c r="K704" t="str">
        <f t="shared" ca="1" si="1"/>
        <v/>
      </c>
      <c r="L704" t="str">
        <f ca="1">IFERROR(__xludf.DUMMYFUNCTION("IF(AND(NOT(K704 = """"), G704 &gt;= 15),K704/FILTER('Base Stats'!$C$2:$C1000, LOWER('Base Stats'!$B$2:$B1000) = LOWER($A704)), """")"),"#N/A")</f>
        <v>#N/A</v>
      </c>
      <c r="M704" t="str">
        <f ca="1">IFERROR(__xludf.DUMMYFUNCTION("1.15 + 0.02 * FILTER('Base Stats'!$C$2:$C1000, LOWER('Base Stats'!$B$2:$B1000) = LOWER($A704))"),"1.15")</f>
        <v>1.15</v>
      </c>
      <c r="N704" t="s">
        <v>527</v>
      </c>
    </row>
    <row r="705" spans="1:14" ht="12.75" x14ac:dyDescent="0.2">
      <c r="A705">
        <f>'Form Responses (Pokemon Stats)'!B665</f>
        <v>0</v>
      </c>
      <c r="B705">
        <f>'Form Responses (Pokemon Stats)'!D665</f>
        <v>0</v>
      </c>
      <c r="C705">
        <f>'Form Responses (Pokemon Stats)'!C665</f>
        <v>0</v>
      </c>
      <c r="F705">
        <f>'Form Responses (Pokemon Stats)'!E665</f>
        <v>0</v>
      </c>
      <c r="G705" t="str">
        <f ca="1">IFERROR(__xludf.DUMMYFUNCTION("ROUND(B705/ FILTER('Pokemon CP/HP'!$M$2:$M1000, LOWER('Pokemon CP/HP'!$B$2:$B1000)=LOWER(A705)))"),"#DIV/0!")</f>
        <v>#DIV/0!</v>
      </c>
      <c r="H705" t="str">
        <f ca="1">IFERROR(__xludf.DUMMYFUNCTION("FILTER('Leveling Info'!$B$2:$B1000, 'Leveling Info'!$A$2:$A1000 =G705)"),"#N/A")</f>
        <v>#N/A</v>
      </c>
      <c r="I705" s="29" t="e">
        <f t="shared" ca="1" si="0"/>
        <v>#VALUE!</v>
      </c>
      <c r="J705" s="29" t="str">
        <f ca="1">IFERROR(__xludf.DUMMYFUNCTION("IF(F705 = H705,C705/FILTER('Base Stats'!$C$2:$C1000, LOWER('Base Stats'!$B$2:$B1000) = LOWER($A705)), """")"),"#N/A")</f>
        <v>#N/A</v>
      </c>
      <c r="K705" t="str">
        <f t="shared" ca="1" si="1"/>
        <v/>
      </c>
      <c r="L705" t="str">
        <f ca="1">IFERROR(__xludf.DUMMYFUNCTION("IF(AND(NOT(K705 = """"), G705 &gt;= 15),K705/FILTER('Base Stats'!$C$2:$C1000, LOWER('Base Stats'!$B$2:$B1000) = LOWER($A705)), """")"),"#N/A")</f>
        <v>#N/A</v>
      </c>
      <c r="M705" t="str">
        <f ca="1">IFERROR(__xludf.DUMMYFUNCTION("1.15 + 0.02 * FILTER('Base Stats'!$C$2:$C1000, LOWER('Base Stats'!$B$2:$B1000) = LOWER($A705))"),"1.15")</f>
        <v>1.15</v>
      </c>
      <c r="N705" t="s">
        <v>527</v>
      </c>
    </row>
    <row r="706" spans="1:14" ht="12.75" x14ac:dyDescent="0.2">
      <c r="A706">
        <f>'Form Responses (Pokemon Stats)'!B666</f>
        <v>0</v>
      </c>
      <c r="B706">
        <f>'Form Responses (Pokemon Stats)'!D666</f>
        <v>0</v>
      </c>
      <c r="C706">
        <f>'Form Responses (Pokemon Stats)'!C666</f>
        <v>0</v>
      </c>
      <c r="F706">
        <f>'Form Responses (Pokemon Stats)'!E666</f>
        <v>0</v>
      </c>
      <c r="G706" t="str">
        <f ca="1">IFERROR(__xludf.DUMMYFUNCTION("ROUND(B706/ FILTER('Pokemon CP/HP'!$M$2:$M1000, LOWER('Pokemon CP/HP'!$B$2:$B1000)=LOWER(A706)))"),"#DIV/0!")</f>
        <v>#DIV/0!</v>
      </c>
      <c r="H706" t="str">
        <f ca="1">IFERROR(__xludf.DUMMYFUNCTION("FILTER('Leveling Info'!$B$2:$B1000, 'Leveling Info'!$A$2:$A1000 =G706)"),"#N/A")</f>
        <v>#N/A</v>
      </c>
      <c r="I706" s="29" t="e">
        <f t="shared" ca="1" si="0"/>
        <v>#VALUE!</v>
      </c>
      <c r="J706" s="29" t="str">
        <f ca="1">IFERROR(__xludf.DUMMYFUNCTION("IF(F706 = H706,C706/FILTER('Base Stats'!$C$2:$C1000, LOWER('Base Stats'!$B$2:$B1000) = LOWER($A706)), """")"),"#N/A")</f>
        <v>#N/A</v>
      </c>
      <c r="K706" t="str">
        <f t="shared" ca="1" si="1"/>
        <v/>
      </c>
      <c r="L706" t="str">
        <f ca="1">IFERROR(__xludf.DUMMYFUNCTION("IF(AND(NOT(K706 = """"), G706 &gt;= 15),K706/FILTER('Base Stats'!$C$2:$C1000, LOWER('Base Stats'!$B$2:$B1000) = LOWER($A706)), """")"),"#N/A")</f>
        <v>#N/A</v>
      </c>
      <c r="M706" t="str">
        <f ca="1">IFERROR(__xludf.DUMMYFUNCTION("1.15 + 0.02 * FILTER('Base Stats'!$C$2:$C1000, LOWER('Base Stats'!$B$2:$B1000) = LOWER($A706))"),"1.15")</f>
        <v>1.15</v>
      </c>
      <c r="N706" t="s">
        <v>527</v>
      </c>
    </row>
    <row r="707" spans="1:14" ht="12.75" x14ac:dyDescent="0.2">
      <c r="A707">
        <f>'Form Responses (Pokemon Stats)'!B667</f>
        <v>0</v>
      </c>
      <c r="B707">
        <f>'Form Responses (Pokemon Stats)'!D667</f>
        <v>0</v>
      </c>
      <c r="C707">
        <f>'Form Responses (Pokemon Stats)'!C667</f>
        <v>0</v>
      </c>
      <c r="F707">
        <f>'Form Responses (Pokemon Stats)'!E667</f>
        <v>0</v>
      </c>
      <c r="G707" t="str">
        <f ca="1">IFERROR(__xludf.DUMMYFUNCTION("ROUND(B707/ FILTER('Pokemon CP/HP'!$M$2:$M1000, LOWER('Pokemon CP/HP'!$B$2:$B1000)=LOWER(A707)))"),"#DIV/0!")</f>
        <v>#DIV/0!</v>
      </c>
      <c r="H707" t="str">
        <f ca="1">IFERROR(__xludf.DUMMYFUNCTION("FILTER('Leveling Info'!$B$2:$B1000, 'Leveling Info'!$A$2:$A1000 =G707)"),"#N/A")</f>
        <v>#N/A</v>
      </c>
      <c r="I707" s="29" t="e">
        <f t="shared" ca="1" si="0"/>
        <v>#VALUE!</v>
      </c>
      <c r="J707" s="29" t="str">
        <f ca="1">IFERROR(__xludf.DUMMYFUNCTION("IF(F707 = H707,C707/FILTER('Base Stats'!$C$2:$C1000, LOWER('Base Stats'!$B$2:$B1000) = LOWER($A707)), """")"),"#N/A")</f>
        <v>#N/A</v>
      </c>
      <c r="K707" t="str">
        <f t="shared" ca="1" si="1"/>
        <v/>
      </c>
      <c r="L707" t="str">
        <f ca="1">IFERROR(__xludf.DUMMYFUNCTION("IF(AND(NOT(K707 = """"), G707 &gt;= 15),K707/FILTER('Base Stats'!$C$2:$C1000, LOWER('Base Stats'!$B$2:$B1000) = LOWER($A707)), """")"),"#N/A")</f>
        <v>#N/A</v>
      </c>
      <c r="M707" t="str">
        <f ca="1">IFERROR(__xludf.DUMMYFUNCTION("1.15 + 0.02 * FILTER('Base Stats'!$C$2:$C1000, LOWER('Base Stats'!$B$2:$B1000) = LOWER($A707))"),"1.15")</f>
        <v>1.15</v>
      </c>
      <c r="N707" t="s">
        <v>527</v>
      </c>
    </row>
    <row r="708" spans="1:14" ht="12.75" x14ac:dyDescent="0.2">
      <c r="A708">
        <f>'Form Responses (Pokemon Stats)'!B668</f>
        <v>0</v>
      </c>
      <c r="B708">
        <f>'Form Responses (Pokemon Stats)'!D668</f>
        <v>0</v>
      </c>
      <c r="C708">
        <f>'Form Responses (Pokemon Stats)'!C668</f>
        <v>0</v>
      </c>
      <c r="F708">
        <f>'Form Responses (Pokemon Stats)'!E668</f>
        <v>0</v>
      </c>
      <c r="G708" t="str">
        <f ca="1">IFERROR(__xludf.DUMMYFUNCTION("ROUND(B708/ FILTER('Pokemon CP/HP'!$M$2:$M1000, LOWER('Pokemon CP/HP'!$B$2:$B1000)=LOWER(A708)))"),"#DIV/0!")</f>
        <v>#DIV/0!</v>
      </c>
      <c r="H708" t="str">
        <f ca="1">IFERROR(__xludf.DUMMYFUNCTION("FILTER('Leveling Info'!$B$2:$B1000, 'Leveling Info'!$A$2:$A1000 =G708)"),"#N/A")</f>
        <v>#N/A</v>
      </c>
      <c r="I708" s="29" t="e">
        <f t="shared" ca="1" si="0"/>
        <v>#VALUE!</v>
      </c>
      <c r="J708" s="29" t="str">
        <f ca="1">IFERROR(__xludf.DUMMYFUNCTION("IF(F708 = H708,C708/FILTER('Base Stats'!$C$2:$C1000, LOWER('Base Stats'!$B$2:$B1000) = LOWER($A708)), """")"),"#N/A")</f>
        <v>#N/A</v>
      </c>
      <c r="K708" t="str">
        <f t="shared" ca="1" si="1"/>
        <v/>
      </c>
      <c r="L708" t="str">
        <f ca="1">IFERROR(__xludf.DUMMYFUNCTION("IF(AND(NOT(K708 = """"), G708 &gt;= 15),K708/FILTER('Base Stats'!$C$2:$C1000, LOWER('Base Stats'!$B$2:$B1000) = LOWER($A708)), """")"),"#N/A")</f>
        <v>#N/A</v>
      </c>
      <c r="M708" t="str">
        <f ca="1">IFERROR(__xludf.DUMMYFUNCTION("1.15 + 0.02 * FILTER('Base Stats'!$C$2:$C1000, LOWER('Base Stats'!$B$2:$B1000) = LOWER($A708))"),"1.15")</f>
        <v>1.15</v>
      </c>
      <c r="N708" t="s">
        <v>527</v>
      </c>
    </row>
    <row r="709" spans="1:14" ht="12.75" x14ac:dyDescent="0.2">
      <c r="A709">
        <f>'Form Responses (Pokemon Stats)'!B669</f>
        <v>0</v>
      </c>
      <c r="B709">
        <f>'Form Responses (Pokemon Stats)'!D669</f>
        <v>0</v>
      </c>
      <c r="C709">
        <f>'Form Responses (Pokemon Stats)'!C669</f>
        <v>0</v>
      </c>
      <c r="F709">
        <f>'Form Responses (Pokemon Stats)'!E669</f>
        <v>0</v>
      </c>
      <c r="G709" t="str">
        <f ca="1">IFERROR(__xludf.DUMMYFUNCTION("ROUND(B709/ FILTER('Pokemon CP/HP'!$M$2:$M1000, LOWER('Pokemon CP/HP'!$B$2:$B1000)=LOWER(A709)))"),"#DIV/0!")</f>
        <v>#DIV/0!</v>
      </c>
      <c r="H709" t="str">
        <f ca="1">IFERROR(__xludf.DUMMYFUNCTION("FILTER('Leveling Info'!$B$2:$B1000, 'Leveling Info'!$A$2:$A1000 =G709)"),"#N/A")</f>
        <v>#N/A</v>
      </c>
      <c r="I709" s="29" t="e">
        <f t="shared" ca="1" si="0"/>
        <v>#VALUE!</v>
      </c>
      <c r="J709" s="29" t="str">
        <f ca="1">IFERROR(__xludf.DUMMYFUNCTION("IF(F709 = H709,C709/FILTER('Base Stats'!$C$2:$C1000, LOWER('Base Stats'!$B$2:$B1000) = LOWER($A709)), """")"),"#N/A")</f>
        <v>#N/A</v>
      </c>
      <c r="K709" t="str">
        <f t="shared" ca="1" si="1"/>
        <v/>
      </c>
      <c r="L709" t="str">
        <f ca="1">IFERROR(__xludf.DUMMYFUNCTION("IF(AND(NOT(K709 = """"), G709 &gt;= 15),K709/FILTER('Base Stats'!$C$2:$C1000, LOWER('Base Stats'!$B$2:$B1000) = LOWER($A709)), """")"),"#N/A")</f>
        <v>#N/A</v>
      </c>
      <c r="M709" t="str">
        <f ca="1">IFERROR(__xludf.DUMMYFUNCTION("1.15 + 0.02 * FILTER('Base Stats'!$C$2:$C1000, LOWER('Base Stats'!$B$2:$B1000) = LOWER($A709))"),"1.15")</f>
        <v>1.15</v>
      </c>
      <c r="N709" t="s">
        <v>527</v>
      </c>
    </row>
    <row r="710" spans="1:14" ht="12.75" x14ac:dyDescent="0.2">
      <c r="A710">
        <f>'Form Responses (Pokemon Stats)'!B670</f>
        <v>0</v>
      </c>
      <c r="B710">
        <f>'Form Responses (Pokemon Stats)'!D670</f>
        <v>0</v>
      </c>
      <c r="C710">
        <f>'Form Responses (Pokemon Stats)'!C670</f>
        <v>0</v>
      </c>
      <c r="F710">
        <f>'Form Responses (Pokemon Stats)'!E670</f>
        <v>0</v>
      </c>
      <c r="G710" t="str">
        <f ca="1">IFERROR(__xludf.DUMMYFUNCTION("ROUND(B710/ FILTER('Pokemon CP/HP'!$M$2:$M1000, LOWER('Pokemon CP/HP'!$B$2:$B1000)=LOWER(A710)))"),"#DIV/0!")</f>
        <v>#DIV/0!</v>
      </c>
      <c r="H710" t="str">
        <f ca="1">IFERROR(__xludf.DUMMYFUNCTION("FILTER('Leveling Info'!$B$2:$B1000, 'Leveling Info'!$A$2:$A1000 =G710)"),"#N/A")</f>
        <v>#N/A</v>
      </c>
      <c r="I710" s="29" t="e">
        <f t="shared" ca="1" si="0"/>
        <v>#VALUE!</v>
      </c>
      <c r="J710" s="29" t="str">
        <f ca="1">IFERROR(__xludf.DUMMYFUNCTION("IF(F710 = H710,C710/FILTER('Base Stats'!$C$2:$C1000, LOWER('Base Stats'!$B$2:$B1000) = LOWER($A710)), """")"),"#N/A")</f>
        <v>#N/A</v>
      </c>
      <c r="K710" t="str">
        <f t="shared" ca="1" si="1"/>
        <v/>
      </c>
      <c r="L710" t="str">
        <f ca="1">IFERROR(__xludf.DUMMYFUNCTION("IF(AND(NOT(K710 = """"), G710 &gt;= 15),K710/FILTER('Base Stats'!$C$2:$C1000, LOWER('Base Stats'!$B$2:$B1000) = LOWER($A710)), """")"),"#N/A")</f>
        <v>#N/A</v>
      </c>
      <c r="M710" t="str">
        <f ca="1">IFERROR(__xludf.DUMMYFUNCTION("1.15 + 0.02 * FILTER('Base Stats'!$C$2:$C1000, LOWER('Base Stats'!$B$2:$B1000) = LOWER($A710))"),"1.15")</f>
        <v>1.15</v>
      </c>
      <c r="N710" t="s">
        <v>527</v>
      </c>
    </row>
    <row r="711" spans="1:14" ht="12.75" x14ac:dyDescent="0.2">
      <c r="A711">
        <f>'Form Responses (Pokemon Stats)'!B671</f>
        <v>0</v>
      </c>
      <c r="B711">
        <f>'Form Responses (Pokemon Stats)'!D671</f>
        <v>0</v>
      </c>
      <c r="C711">
        <f>'Form Responses (Pokemon Stats)'!C671</f>
        <v>0</v>
      </c>
      <c r="F711">
        <f>'Form Responses (Pokemon Stats)'!E671</f>
        <v>0</v>
      </c>
      <c r="G711" t="str">
        <f ca="1">IFERROR(__xludf.DUMMYFUNCTION("ROUND(B711/ FILTER('Pokemon CP/HP'!$M$2:$M1000, LOWER('Pokemon CP/HP'!$B$2:$B1000)=LOWER(A711)))"),"#DIV/0!")</f>
        <v>#DIV/0!</v>
      </c>
      <c r="H711" t="str">
        <f ca="1">IFERROR(__xludf.DUMMYFUNCTION("FILTER('Leveling Info'!$B$2:$B1000, 'Leveling Info'!$A$2:$A1000 =G711)"),"#N/A")</f>
        <v>#N/A</v>
      </c>
      <c r="I711" s="29" t="e">
        <f t="shared" ca="1" si="0"/>
        <v>#VALUE!</v>
      </c>
      <c r="J711" s="29" t="str">
        <f ca="1">IFERROR(__xludf.DUMMYFUNCTION("IF(F711 = H711,C711/FILTER('Base Stats'!$C$2:$C1000, LOWER('Base Stats'!$B$2:$B1000) = LOWER($A711)), """")"),"#N/A")</f>
        <v>#N/A</v>
      </c>
      <c r="K711" t="str">
        <f t="shared" ca="1" si="1"/>
        <v/>
      </c>
      <c r="L711" t="str">
        <f ca="1">IFERROR(__xludf.DUMMYFUNCTION("IF(AND(NOT(K711 = """"), G711 &gt;= 15),K711/FILTER('Base Stats'!$C$2:$C1000, LOWER('Base Stats'!$B$2:$B1000) = LOWER($A711)), """")"),"#N/A")</f>
        <v>#N/A</v>
      </c>
      <c r="M711" t="str">
        <f ca="1">IFERROR(__xludf.DUMMYFUNCTION("1.15 + 0.02 * FILTER('Base Stats'!$C$2:$C1000, LOWER('Base Stats'!$B$2:$B1000) = LOWER($A711))"),"1.15")</f>
        <v>1.15</v>
      </c>
      <c r="N711" t="s">
        <v>527</v>
      </c>
    </row>
    <row r="712" spans="1:14" ht="12.75" x14ac:dyDescent="0.2">
      <c r="A712">
        <f>'Form Responses (Pokemon Stats)'!B672</f>
        <v>0</v>
      </c>
      <c r="B712">
        <f>'Form Responses (Pokemon Stats)'!D672</f>
        <v>0</v>
      </c>
      <c r="C712">
        <f>'Form Responses (Pokemon Stats)'!C672</f>
        <v>0</v>
      </c>
      <c r="F712">
        <f>'Form Responses (Pokemon Stats)'!E672</f>
        <v>0</v>
      </c>
      <c r="G712" t="str">
        <f ca="1">IFERROR(__xludf.DUMMYFUNCTION("ROUND(B712/ FILTER('Pokemon CP/HP'!$M$2:$M1000, LOWER('Pokemon CP/HP'!$B$2:$B1000)=LOWER(A712)))"),"#DIV/0!")</f>
        <v>#DIV/0!</v>
      </c>
      <c r="H712" t="str">
        <f ca="1">IFERROR(__xludf.DUMMYFUNCTION("FILTER('Leveling Info'!$B$2:$B1000, 'Leveling Info'!$A$2:$A1000 =G712)"),"#N/A")</f>
        <v>#N/A</v>
      </c>
      <c r="I712" s="29" t="e">
        <f t="shared" ca="1" si="0"/>
        <v>#VALUE!</v>
      </c>
      <c r="J712" s="29" t="str">
        <f ca="1">IFERROR(__xludf.DUMMYFUNCTION("IF(F712 = H712,C712/FILTER('Base Stats'!$C$2:$C1000, LOWER('Base Stats'!$B$2:$B1000) = LOWER($A712)), """")"),"#N/A")</f>
        <v>#N/A</v>
      </c>
      <c r="K712" t="str">
        <f t="shared" ca="1" si="1"/>
        <v/>
      </c>
      <c r="L712" t="str">
        <f ca="1">IFERROR(__xludf.DUMMYFUNCTION("IF(AND(NOT(K712 = """"), G712 &gt;= 15),K712/FILTER('Base Stats'!$C$2:$C1000, LOWER('Base Stats'!$B$2:$B1000) = LOWER($A712)), """")"),"#N/A")</f>
        <v>#N/A</v>
      </c>
      <c r="M712" t="str">
        <f ca="1">IFERROR(__xludf.DUMMYFUNCTION("1.15 + 0.02 * FILTER('Base Stats'!$C$2:$C1000, LOWER('Base Stats'!$B$2:$B1000) = LOWER($A712))"),"1.15")</f>
        <v>1.15</v>
      </c>
      <c r="N712" t="s">
        <v>527</v>
      </c>
    </row>
    <row r="713" spans="1:14" ht="12.75" x14ac:dyDescent="0.2">
      <c r="A713">
        <f>'Form Responses (Pokemon Stats)'!B673</f>
        <v>0</v>
      </c>
      <c r="B713">
        <f>'Form Responses (Pokemon Stats)'!D673</f>
        <v>0</v>
      </c>
      <c r="C713">
        <f>'Form Responses (Pokemon Stats)'!C673</f>
        <v>0</v>
      </c>
      <c r="F713">
        <f>'Form Responses (Pokemon Stats)'!E673</f>
        <v>0</v>
      </c>
      <c r="G713" t="str">
        <f ca="1">IFERROR(__xludf.DUMMYFUNCTION("ROUND(B713/ FILTER('Pokemon CP/HP'!$M$2:$M1000, LOWER('Pokemon CP/HP'!$B$2:$B1000)=LOWER(A713)))"),"#DIV/0!")</f>
        <v>#DIV/0!</v>
      </c>
      <c r="H713" t="str">
        <f ca="1">IFERROR(__xludf.DUMMYFUNCTION("FILTER('Leveling Info'!$B$2:$B1000, 'Leveling Info'!$A$2:$A1000 =G713)"),"#N/A")</f>
        <v>#N/A</v>
      </c>
      <c r="I713" s="29" t="e">
        <f t="shared" ca="1" si="0"/>
        <v>#VALUE!</v>
      </c>
      <c r="J713" s="29" t="str">
        <f ca="1">IFERROR(__xludf.DUMMYFUNCTION("IF(F713 = H713,C713/FILTER('Base Stats'!$C$2:$C1000, LOWER('Base Stats'!$B$2:$B1000) = LOWER($A713)), """")"),"#N/A")</f>
        <v>#N/A</v>
      </c>
      <c r="K713" t="str">
        <f t="shared" ca="1" si="1"/>
        <v/>
      </c>
      <c r="L713" t="str">
        <f ca="1">IFERROR(__xludf.DUMMYFUNCTION("IF(AND(NOT(K713 = """"), G713 &gt;= 15),K713/FILTER('Base Stats'!$C$2:$C1000, LOWER('Base Stats'!$B$2:$B1000) = LOWER($A713)), """")"),"#N/A")</f>
        <v>#N/A</v>
      </c>
      <c r="M713" t="str">
        <f ca="1">IFERROR(__xludf.DUMMYFUNCTION("1.15 + 0.02 * FILTER('Base Stats'!$C$2:$C1000, LOWER('Base Stats'!$B$2:$B1000) = LOWER($A713))"),"1.15")</f>
        <v>1.15</v>
      </c>
      <c r="N713" t="s">
        <v>527</v>
      </c>
    </row>
    <row r="714" spans="1:14" ht="12.75" x14ac:dyDescent="0.2">
      <c r="A714">
        <f>'Form Responses (Pokemon Stats)'!B674</f>
        <v>0</v>
      </c>
      <c r="B714">
        <f>'Form Responses (Pokemon Stats)'!D674</f>
        <v>0</v>
      </c>
      <c r="C714">
        <f>'Form Responses (Pokemon Stats)'!C674</f>
        <v>0</v>
      </c>
      <c r="F714">
        <f>'Form Responses (Pokemon Stats)'!E674</f>
        <v>0</v>
      </c>
      <c r="G714" t="str">
        <f ca="1">IFERROR(__xludf.DUMMYFUNCTION("ROUND(B714/ FILTER('Pokemon CP/HP'!$M$2:$M1000, LOWER('Pokemon CP/HP'!$B$2:$B1000)=LOWER(A714)))"),"#DIV/0!")</f>
        <v>#DIV/0!</v>
      </c>
      <c r="H714" t="str">
        <f ca="1">IFERROR(__xludf.DUMMYFUNCTION("FILTER('Leveling Info'!$B$2:$B1000, 'Leveling Info'!$A$2:$A1000 =G714)"),"#N/A")</f>
        <v>#N/A</v>
      </c>
      <c r="I714" s="29" t="e">
        <f t="shared" ca="1" si="0"/>
        <v>#VALUE!</v>
      </c>
      <c r="J714" s="29" t="str">
        <f ca="1">IFERROR(__xludf.DUMMYFUNCTION("IF(F714 = H714,C714/FILTER('Base Stats'!$C$2:$C1000, LOWER('Base Stats'!$B$2:$B1000) = LOWER($A714)), """")"),"#N/A")</f>
        <v>#N/A</v>
      </c>
      <c r="K714" t="str">
        <f t="shared" ca="1" si="1"/>
        <v/>
      </c>
      <c r="L714" t="str">
        <f ca="1">IFERROR(__xludf.DUMMYFUNCTION("IF(AND(NOT(K714 = """"), G714 &gt;= 15),K714/FILTER('Base Stats'!$C$2:$C1000, LOWER('Base Stats'!$B$2:$B1000) = LOWER($A714)), """")"),"#N/A")</f>
        <v>#N/A</v>
      </c>
      <c r="M714" t="str">
        <f ca="1">IFERROR(__xludf.DUMMYFUNCTION("1.15 + 0.02 * FILTER('Base Stats'!$C$2:$C1000, LOWER('Base Stats'!$B$2:$B1000) = LOWER($A714))"),"1.15")</f>
        <v>1.15</v>
      </c>
      <c r="N714" t="s">
        <v>527</v>
      </c>
    </row>
    <row r="715" spans="1:14" ht="12.75" x14ac:dyDescent="0.2">
      <c r="A715">
        <f>'Form Responses (Pokemon Stats)'!B675</f>
        <v>0</v>
      </c>
      <c r="B715">
        <f>'Form Responses (Pokemon Stats)'!D675</f>
        <v>0</v>
      </c>
      <c r="C715">
        <f>'Form Responses (Pokemon Stats)'!C675</f>
        <v>0</v>
      </c>
      <c r="F715">
        <f>'Form Responses (Pokemon Stats)'!E675</f>
        <v>0</v>
      </c>
      <c r="G715" t="str">
        <f ca="1">IFERROR(__xludf.DUMMYFUNCTION("ROUND(B715/ FILTER('Pokemon CP/HP'!$M$2:$M1000, LOWER('Pokemon CP/HP'!$B$2:$B1000)=LOWER(A715)))"),"#DIV/0!")</f>
        <v>#DIV/0!</v>
      </c>
      <c r="H715" t="str">
        <f ca="1">IFERROR(__xludf.DUMMYFUNCTION("FILTER('Leveling Info'!$B$2:$B1000, 'Leveling Info'!$A$2:$A1000 =G715)"),"#N/A")</f>
        <v>#N/A</v>
      </c>
      <c r="I715" s="29" t="e">
        <f t="shared" ca="1" si="0"/>
        <v>#VALUE!</v>
      </c>
      <c r="J715" s="29" t="str">
        <f ca="1">IFERROR(__xludf.DUMMYFUNCTION("IF(F715 = H715,C715/FILTER('Base Stats'!$C$2:$C1000, LOWER('Base Stats'!$B$2:$B1000) = LOWER($A715)), """")"),"#N/A")</f>
        <v>#N/A</v>
      </c>
      <c r="K715" t="str">
        <f t="shared" ca="1" si="1"/>
        <v/>
      </c>
      <c r="L715" t="str">
        <f ca="1">IFERROR(__xludf.DUMMYFUNCTION("IF(AND(NOT(K715 = """"), G715 &gt;= 15),K715/FILTER('Base Stats'!$C$2:$C1000, LOWER('Base Stats'!$B$2:$B1000) = LOWER($A715)), """")"),"#N/A")</f>
        <v>#N/A</v>
      </c>
      <c r="M715" t="str">
        <f ca="1">IFERROR(__xludf.DUMMYFUNCTION("1.15 + 0.02 * FILTER('Base Stats'!$C$2:$C1000, LOWER('Base Stats'!$B$2:$B1000) = LOWER($A715))"),"1.15")</f>
        <v>1.15</v>
      </c>
      <c r="N715" t="s">
        <v>527</v>
      </c>
    </row>
    <row r="716" spans="1:14" ht="12.75" x14ac:dyDescent="0.2">
      <c r="A716">
        <f>'Form Responses (Pokemon Stats)'!B676</f>
        <v>0</v>
      </c>
      <c r="B716">
        <f>'Form Responses (Pokemon Stats)'!D676</f>
        <v>0</v>
      </c>
      <c r="C716">
        <f>'Form Responses (Pokemon Stats)'!C676</f>
        <v>0</v>
      </c>
      <c r="F716">
        <f>'Form Responses (Pokemon Stats)'!E676</f>
        <v>0</v>
      </c>
      <c r="G716" t="str">
        <f ca="1">IFERROR(__xludf.DUMMYFUNCTION("ROUND(B716/ FILTER('Pokemon CP/HP'!$M$2:$M1000, LOWER('Pokemon CP/HP'!$B$2:$B1000)=LOWER(A716)))"),"#DIV/0!")</f>
        <v>#DIV/0!</v>
      </c>
      <c r="H716" t="str">
        <f ca="1">IFERROR(__xludf.DUMMYFUNCTION("FILTER('Leveling Info'!$B$2:$B1000, 'Leveling Info'!$A$2:$A1000 =G716)"),"#N/A")</f>
        <v>#N/A</v>
      </c>
      <c r="I716" s="29" t="e">
        <f t="shared" ca="1" si="0"/>
        <v>#VALUE!</v>
      </c>
      <c r="J716" s="29" t="str">
        <f ca="1">IFERROR(__xludf.DUMMYFUNCTION("IF(F716 = H716,C716/FILTER('Base Stats'!$C$2:$C1000, LOWER('Base Stats'!$B$2:$B1000) = LOWER($A716)), """")"),"#N/A")</f>
        <v>#N/A</v>
      </c>
      <c r="K716" t="str">
        <f t="shared" ca="1" si="1"/>
        <v/>
      </c>
      <c r="L716" t="str">
        <f ca="1">IFERROR(__xludf.DUMMYFUNCTION("IF(AND(NOT(K716 = """"), G716 &gt;= 15),K716/FILTER('Base Stats'!$C$2:$C1000, LOWER('Base Stats'!$B$2:$B1000) = LOWER($A716)), """")"),"#N/A")</f>
        <v>#N/A</v>
      </c>
      <c r="M716" t="str">
        <f ca="1">IFERROR(__xludf.DUMMYFUNCTION("1.15 + 0.02 * FILTER('Base Stats'!$C$2:$C1000, LOWER('Base Stats'!$B$2:$B1000) = LOWER($A716))"),"1.15")</f>
        <v>1.15</v>
      </c>
      <c r="N716" t="s">
        <v>527</v>
      </c>
    </row>
    <row r="717" spans="1:14" ht="12.75" x14ac:dyDescent="0.2">
      <c r="A717">
        <f>'Form Responses (Pokemon Stats)'!B677</f>
        <v>0</v>
      </c>
      <c r="B717">
        <f>'Form Responses (Pokemon Stats)'!D677</f>
        <v>0</v>
      </c>
      <c r="C717">
        <f>'Form Responses (Pokemon Stats)'!C677</f>
        <v>0</v>
      </c>
      <c r="F717">
        <f>'Form Responses (Pokemon Stats)'!E677</f>
        <v>0</v>
      </c>
      <c r="G717" t="str">
        <f ca="1">IFERROR(__xludf.DUMMYFUNCTION("ROUND(B717/ FILTER('Pokemon CP/HP'!$M$2:$M1000, LOWER('Pokemon CP/HP'!$B$2:$B1000)=LOWER(A717)))"),"#DIV/0!")</f>
        <v>#DIV/0!</v>
      </c>
      <c r="H717" t="str">
        <f ca="1">IFERROR(__xludf.DUMMYFUNCTION("FILTER('Leveling Info'!$B$2:$B1000, 'Leveling Info'!$A$2:$A1000 =G717)"),"#N/A")</f>
        <v>#N/A</v>
      </c>
      <c r="I717" s="29" t="e">
        <f t="shared" ca="1" si="0"/>
        <v>#VALUE!</v>
      </c>
      <c r="J717" s="29" t="str">
        <f ca="1">IFERROR(__xludf.DUMMYFUNCTION("IF(F717 = H717,C717/FILTER('Base Stats'!$C$2:$C1000, LOWER('Base Stats'!$B$2:$B1000) = LOWER($A717)), """")"),"#N/A")</f>
        <v>#N/A</v>
      </c>
      <c r="K717" t="str">
        <f t="shared" ca="1" si="1"/>
        <v/>
      </c>
      <c r="L717" t="str">
        <f ca="1">IFERROR(__xludf.DUMMYFUNCTION("IF(AND(NOT(K717 = """"), G717 &gt;= 15),K717/FILTER('Base Stats'!$C$2:$C1000, LOWER('Base Stats'!$B$2:$B1000) = LOWER($A717)), """")"),"#N/A")</f>
        <v>#N/A</v>
      </c>
      <c r="M717" t="str">
        <f ca="1">IFERROR(__xludf.DUMMYFUNCTION("1.15 + 0.02 * FILTER('Base Stats'!$C$2:$C1000, LOWER('Base Stats'!$B$2:$B1000) = LOWER($A717))"),"1.15")</f>
        <v>1.15</v>
      </c>
      <c r="N717" t="s">
        <v>527</v>
      </c>
    </row>
    <row r="718" spans="1:14" ht="12.75" x14ac:dyDescent="0.2">
      <c r="A718">
        <f>'Form Responses (Pokemon Stats)'!B678</f>
        <v>0</v>
      </c>
      <c r="B718">
        <f>'Form Responses (Pokemon Stats)'!D678</f>
        <v>0</v>
      </c>
      <c r="C718">
        <f>'Form Responses (Pokemon Stats)'!C678</f>
        <v>0</v>
      </c>
      <c r="F718">
        <f>'Form Responses (Pokemon Stats)'!E678</f>
        <v>0</v>
      </c>
      <c r="G718" t="str">
        <f ca="1">IFERROR(__xludf.DUMMYFUNCTION("ROUND(B718/ FILTER('Pokemon CP/HP'!$M$2:$M1000, LOWER('Pokemon CP/HP'!$B$2:$B1000)=LOWER(A718)))"),"#DIV/0!")</f>
        <v>#DIV/0!</v>
      </c>
      <c r="H718" t="str">
        <f ca="1">IFERROR(__xludf.DUMMYFUNCTION("FILTER('Leveling Info'!$B$2:$B1000, 'Leveling Info'!$A$2:$A1000 =G718)"),"#N/A")</f>
        <v>#N/A</v>
      </c>
      <c r="I718" s="29" t="e">
        <f t="shared" ca="1" si="0"/>
        <v>#VALUE!</v>
      </c>
      <c r="J718" s="29" t="str">
        <f ca="1">IFERROR(__xludf.DUMMYFUNCTION("IF(F718 = H718,C718/FILTER('Base Stats'!$C$2:$C1000, LOWER('Base Stats'!$B$2:$B1000) = LOWER($A718)), """")"),"#N/A")</f>
        <v>#N/A</v>
      </c>
      <c r="K718" t="str">
        <f t="shared" ca="1" si="1"/>
        <v/>
      </c>
      <c r="L718" t="str">
        <f ca="1">IFERROR(__xludf.DUMMYFUNCTION("IF(AND(NOT(K718 = """"), G718 &gt;= 15),K718/FILTER('Base Stats'!$C$2:$C1000, LOWER('Base Stats'!$B$2:$B1000) = LOWER($A718)), """")"),"#N/A")</f>
        <v>#N/A</v>
      </c>
      <c r="M718" t="str">
        <f ca="1">IFERROR(__xludf.DUMMYFUNCTION("1.15 + 0.02 * FILTER('Base Stats'!$C$2:$C1000, LOWER('Base Stats'!$B$2:$B1000) = LOWER($A718))"),"1.15")</f>
        <v>1.15</v>
      </c>
      <c r="N718" t="s">
        <v>527</v>
      </c>
    </row>
    <row r="719" spans="1:14" ht="12.75" x14ac:dyDescent="0.2">
      <c r="A719">
        <f>'Form Responses (Pokemon Stats)'!B679</f>
        <v>0</v>
      </c>
      <c r="B719">
        <f>'Form Responses (Pokemon Stats)'!D679</f>
        <v>0</v>
      </c>
      <c r="C719">
        <f>'Form Responses (Pokemon Stats)'!C679</f>
        <v>0</v>
      </c>
      <c r="F719">
        <f>'Form Responses (Pokemon Stats)'!E679</f>
        <v>0</v>
      </c>
      <c r="G719" t="str">
        <f ca="1">IFERROR(__xludf.DUMMYFUNCTION("ROUND(B719/ FILTER('Pokemon CP/HP'!$M$2:$M1000, LOWER('Pokemon CP/HP'!$B$2:$B1000)=LOWER(A719)))"),"#DIV/0!")</f>
        <v>#DIV/0!</v>
      </c>
      <c r="H719" t="str">
        <f ca="1">IFERROR(__xludf.DUMMYFUNCTION("FILTER('Leveling Info'!$B$2:$B1000, 'Leveling Info'!$A$2:$A1000 =G719)"),"#N/A")</f>
        <v>#N/A</v>
      </c>
      <c r="I719" s="29" t="e">
        <f t="shared" ca="1" si="0"/>
        <v>#VALUE!</v>
      </c>
      <c r="J719" s="29" t="str">
        <f ca="1">IFERROR(__xludf.DUMMYFUNCTION("IF(F719 = H719,C719/FILTER('Base Stats'!$C$2:$C1000, LOWER('Base Stats'!$B$2:$B1000) = LOWER($A719)), """")"),"#N/A")</f>
        <v>#N/A</v>
      </c>
      <c r="K719" t="str">
        <f t="shared" ca="1" si="1"/>
        <v/>
      </c>
      <c r="L719" t="str">
        <f ca="1">IFERROR(__xludf.DUMMYFUNCTION("IF(AND(NOT(K719 = """"), G719 &gt;= 15),K719/FILTER('Base Stats'!$C$2:$C1000, LOWER('Base Stats'!$B$2:$B1000) = LOWER($A719)), """")"),"#N/A")</f>
        <v>#N/A</v>
      </c>
      <c r="M719" t="str">
        <f ca="1">IFERROR(__xludf.DUMMYFUNCTION("1.15 + 0.02 * FILTER('Base Stats'!$C$2:$C1000, LOWER('Base Stats'!$B$2:$B1000) = LOWER($A719))"),"1.15")</f>
        <v>1.15</v>
      </c>
      <c r="N719" t="s">
        <v>527</v>
      </c>
    </row>
    <row r="720" spans="1:14" ht="12.75" x14ac:dyDescent="0.2">
      <c r="A720">
        <f>'Form Responses (Pokemon Stats)'!B680</f>
        <v>0</v>
      </c>
      <c r="B720">
        <f>'Form Responses (Pokemon Stats)'!D680</f>
        <v>0</v>
      </c>
      <c r="C720">
        <f>'Form Responses (Pokemon Stats)'!C680</f>
        <v>0</v>
      </c>
      <c r="F720">
        <f>'Form Responses (Pokemon Stats)'!E680</f>
        <v>0</v>
      </c>
      <c r="G720" t="str">
        <f ca="1">IFERROR(__xludf.DUMMYFUNCTION("ROUND(B720/ FILTER('Pokemon CP/HP'!$M$2:$M1000, LOWER('Pokemon CP/HP'!$B$2:$B1000)=LOWER(A720)))"),"#DIV/0!")</f>
        <v>#DIV/0!</v>
      </c>
      <c r="H720" t="str">
        <f ca="1">IFERROR(__xludf.DUMMYFUNCTION("FILTER('Leveling Info'!$B$2:$B1000, 'Leveling Info'!$A$2:$A1000 =G720)"),"#N/A")</f>
        <v>#N/A</v>
      </c>
      <c r="I720" s="29" t="e">
        <f t="shared" ca="1" si="0"/>
        <v>#VALUE!</v>
      </c>
      <c r="J720" s="29" t="str">
        <f ca="1">IFERROR(__xludf.DUMMYFUNCTION("IF(F720 = H720,C720/FILTER('Base Stats'!$C$2:$C1000, LOWER('Base Stats'!$B$2:$B1000) = LOWER($A720)), """")"),"#N/A")</f>
        <v>#N/A</v>
      </c>
      <c r="K720" t="str">
        <f t="shared" ca="1" si="1"/>
        <v/>
      </c>
      <c r="L720" t="str">
        <f ca="1">IFERROR(__xludf.DUMMYFUNCTION("IF(AND(NOT(K720 = """"), G720 &gt;= 15),K720/FILTER('Base Stats'!$C$2:$C1000, LOWER('Base Stats'!$B$2:$B1000) = LOWER($A720)), """")"),"#N/A")</f>
        <v>#N/A</v>
      </c>
      <c r="M720" t="str">
        <f ca="1">IFERROR(__xludf.DUMMYFUNCTION("1.15 + 0.02 * FILTER('Base Stats'!$C$2:$C1000, LOWER('Base Stats'!$B$2:$B1000) = LOWER($A720))"),"1.15")</f>
        <v>1.15</v>
      </c>
      <c r="N720" t="s">
        <v>527</v>
      </c>
    </row>
    <row r="721" spans="1:14" ht="12.75" x14ac:dyDescent="0.2">
      <c r="A721">
        <f>'Form Responses (Pokemon Stats)'!B681</f>
        <v>0</v>
      </c>
      <c r="B721">
        <f>'Form Responses (Pokemon Stats)'!D681</f>
        <v>0</v>
      </c>
      <c r="C721">
        <f>'Form Responses (Pokemon Stats)'!C681</f>
        <v>0</v>
      </c>
      <c r="F721">
        <f>'Form Responses (Pokemon Stats)'!E681</f>
        <v>0</v>
      </c>
      <c r="G721" t="str">
        <f ca="1">IFERROR(__xludf.DUMMYFUNCTION("ROUND(B721/ FILTER('Pokemon CP/HP'!$M$2:$M1000, LOWER('Pokemon CP/HP'!$B$2:$B1000)=LOWER(A721)))"),"#DIV/0!")</f>
        <v>#DIV/0!</v>
      </c>
      <c r="H721" t="str">
        <f ca="1">IFERROR(__xludf.DUMMYFUNCTION("FILTER('Leveling Info'!$B$2:$B1000, 'Leveling Info'!$A$2:$A1000 =G721)"),"#N/A")</f>
        <v>#N/A</v>
      </c>
      <c r="I721" s="29" t="e">
        <f t="shared" ca="1" si="0"/>
        <v>#VALUE!</v>
      </c>
      <c r="J721" s="29" t="str">
        <f ca="1">IFERROR(__xludf.DUMMYFUNCTION("IF(F721 = H721,C721/FILTER('Base Stats'!$C$2:$C1000, LOWER('Base Stats'!$B$2:$B1000) = LOWER($A721)), """")"),"#N/A")</f>
        <v>#N/A</v>
      </c>
      <c r="K721" t="str">
        <f t="shared" ca="1" si="1"/>
        <v/>
      </c>
      <c r="L721" t="str">
        <f ca="1">IFERROR(__xludf.DUMMYFUNCTION("IF(AND(NOT(K721 = """"), G721 &gt;= 15),K721/FILTER('Base Stats'!$C$2:$C1000, LOWER('Base Stats'!$B$2:$B1000) = LOWER($A721)), """")"),"#N/A")</f>
        <v>#N/A</v>
      </c>
      <c r="M721" t="str">
        <f ca="1">IFERROR(__xludf.DUMMYFUNCTION("1.15 + 0.02 * FILTER('Base Stats'!$C$2:$C1000, LOWER('Base Stats'!$B$2:$B1000) = LOWER($A721))"),"1.15")</f>
        <v>1.15</v>
      </c>
      <c r="N721" t="s">
        <v>527</v>
      </c>
    </row>
    <row r="722" spans="1:14" ht="12.75" x14ac:dyDescent="0.2">
      <c r="A722">
        <f>'Form Responses (Pokemon Stats)'!B682</f>
        <v>0</v>
      </c>
      <c r="B722">
        <f>'Form Responses (Pokemon Stats)'!D682</f>
        <v>0</v>
      </c>
      <c r="C722">
        <f>'Form Responses (Pokemon Stats)'!C682</f>
        <v>0</v>
      </c>
      <c r="F722">
        <f>'Form Responses (Pokemon Stats)'!E682</f>
        <v>0</v>
      </c>
      <c r="G722" t="str">
        <f ca="1">IFERROR(__xludf.DUMMYFUNCTION("ROUND(B722/ FILTER('Pokemon CP/HP'!$M$2:$M1000, LOWER('Pokemon CP/HP'!$B$2:$B1000)=LOWER(A722)))"),"#DIV/0!")</f>
        <v>#DIV/0!</v>
      </c>
      <c r="H722" t="str">
        <f ca="1">IFERROR(__xludf.DUMMYFUNCTION("FILTER('Leveling Info'!$B$2:$B1000, 'Leveling Info'!$A$2:$A1000 =G722)"),"#N/A")</f>
        <v>#N/A</v>
      </c>
      <c r="I722" s="29" t="e">
        <f t="shared" ca="1" si="0"/>
        <v>#VALUE!</v>
      </c>
      <c r="J722" s="29" t="str">
        <f ca="1">IFERROR(__xludf.DUMMYFUNCTION("IF(F722 = H722,C722/FILTER('Base Stats'!$C$2:$C1000, LOWER('Base Stats'!$B$2:$B1000) = LOWER($A722)), """")"),"#N/A")</f>
        <v>#N/A</v>
      </c>
      <c r="K722" t="str">
        <f t="shared" ca="1" si="1"/>
        <v/>
      </c>
      <c r="L722" t="str">
        <f ca="1">IFERROR(__xludf.DUMMYFUNCTION("IF(AND(NOT(K722 = """"), G722 &gt;= 15),K722/FILTER('Base Stats'!$C$2:$C1000, LOWER('Base Stats'!$B$2:$B1000) = LOWER($A722)), """")"),"#N/A")</f>
        <v>#N/A</v>
      </c>
      <c r="M722" t="str">
        <f ca="1">IFERROR(__xludf.DUMMYFUNCTION("1.15 + 0.02 * FILTER('Base Stats'!$C$2:$C1000, LOWER('Base Stats'!$B$2:$B1000) = LOWER($A722))"),"1.15")</f>
        <v>1.15</v>
      </c>
      <c r="N722" t="s">
        <v>527</v>
      </c>
    </row>
    <row r="723" spans="1:14" ht="12.75" x14ac:dyDescent="0.2">
      <c r="A723">
        <f>'Form Responses (Pokemon Stats)'!B683</f>
        <v>0</v>
      </c>
      <c r="B723">
        <f>'Form Responses (Pokemon Stats)'!D683</f>
        <v>0</v>
      </c>
      <c r="C723">
        <f>'Form Responses (Pokemon Stats)'!C683</f>
        <v>0</v>
      </c>
      <c r="F723">
        <f>'Form Responses (Pokemon Stats)'!E683</f>
        <v>0</v>
      </c>
      <c r="G723" t="str">
        <f ca="1">IFERROR(__xludf.DUMMYFUNCTION("ROUND(B723/ FILTER('Pokemon CP/HP'!$M$2:$M1000, LOWER('Pokemon CP/HP'!$B$2:$B1000)=LOWER(A723)))"),"#DIV/0!")</f>
        <v>#DIV/0!</v>
      </c>
      <c r="H723" t="str">
        <f ca="1">IFERROR(__xludf.DUMMYFUNCTION("FILTER('Leveling Info'!$B$2:$B1000, 'Leveling Info'!$A$2:$A1000 =G723)"),"#N/A")</f>
        <v>#N/A</v>
      </c>
      <c r="I723" s="29" t="e">
        <f t="shared" ca="1" si="0"/>
        <v>#VALUE!</v>
      </c>
      <c r="J723" s="29" t="str">
        <f ca="1">IFERROR(__xludf.DUMMYFUNCTION("IF(F723 = H723,C723/FILTER('Base Stats'!$C$2:$C1000, LOWER('Base Stats'!$B$2:$B1000) = LOWER($A723)), """")"),"#N/A")</f>
        <v>#N/A</v>
      </c>
      <c r="K723" t="str">
        <f t="shared" ca="1" si="1"/>
        <v/>
      </c>
      <c r="L723" t="str">
        <f ca="1">IFERROR(__xludf.DUMMYFUNCTION("IF(AND(NOT(K723 = """"), G723 &gt;= 15),K723/FILTER('Base Stats'!$C$2:$C1000, LOWER('Base Stats'!$B$2:$B1000) = LOWER($A723)), """")"),"#N/A")</f>
        <v>#N/A</v>
      </c>
      <c r="M723" t="str">
        <f ca="1">IFERROR(__xludf.DUMMYFUNCTION("1.15 + 0.02 * FILTER('Base Stats'!$C$2:$C1000, LOWER('Base Stats'!$B$2:$B1000) = LOWER($A723))"),"1.15")</f>
        <v>1.15</v>
      </c>
      <c r="N723" t="s">
        <v>527</v>
      </c>
    </row>
    <row r="724" spans="1:14" ht="12.75" x14ac:dyDescent="0.2">
      <c r="A724">
        <f>'Form Responses (Pokemon Stats)'!B684</f>
        <v>0</v>
      </c>
      <c r="B724">
        <f>'Form Responses (Pokemon Stats)'!D684</f>
        <v>0</v>
      </c>
      <c r="C724">
        <f>'Form Responses (Pokemon Stats)'!C684</f>
        <v>0</v>
      </c>
      <c r="F724">
        <f>'Form Responses (Pokemon Stats)'!E684</f>
        <v>0</v>
      </c>
      <c r="G724" t="str">
        <f ca="1">IFERROR(__xludf.DUMMYFUNCTION("ROUND(B724/ FILTER('Pokemon CP/HP'!$M$2:$M1000, LOWER('Pokemon CP/HP'!$B$2:$B1000)=LOWER(A724)))"),"#DIV/0!")</f>
        <v>#DIV/0!</v>
      </c>
      <c r="H724" t="str">
        <f ca="1">IFERROR(__xludf.DUMMYFUNCTION("FILTER('Leveling Info'!$B$2:$B1000, 'Leveling Info'!$A$2:$A1000 =G724)"),"#N/A")</f>
        <v>#N/A</v>
      </c>
      <c r="I724" s="29" t="e">
        <f t="shared" ca="1" si="0"/>
        <v>#VALUE!</v>
      </c>
      <c r="J724" s="29" t="str">
        <f ca="1">IFERROR(__xludf.DUMMYFUNCTION("IF(F724 = H724,C724/FILTER('Base Stats'!$C$2:$C1000, LOWER('Base Stats'!$B$2:$B1000) = LOWER($A724)), """")"),"#N/A")</f>
        <v>#N/A</v>
      </c>
      <c r="K724" t="str">
        <f t="shared" ca="1" si="1"/>
        <v/>
      </c>
      <c r="L724" t="str">
        <f ca="1">IFERROR(__xludf.DUMMYFUNCTION("IF(AND(NOT(K724 = """"), G724 &gt;= 15),K724/FILTER('Base Stats'!$C$2:$C1000, LOWER('Base Stats'!$B$2:$B1000) = LOWER($A724)), """")"),"#N/A")</f>
        <v>#N/A</v>
      </c>
      <c r="M724" t="str">
        <f ca="1">IFERROR(__xludf.DUMMYFUNCTION("1.15 + 0.02 * FILTER('Base Stats'!$C$2:$C1000, LOWER('Base Stats'!$B$2:$B1000) = LOWER($A724))"),"1.15")</f>
        <v>1.15</v>
      </c>
      <c r="N724" t="s">
        <v>527</v>
      </c>
    </row>
    <row r="725" spans="1:14" ht="12.75" x14ac:dyDescent="0.2">
      <c r="A725">
        <f>'Form Responses (Pokemon Stats)'!B685</f>
        <v>0</v>
      </c>
      <c r="B725">
        <f>'Form Responses (Pokemon Stats)'!D685</f>
        <v>0</v>
      </c>
      <c r="C725">
        <f>'Form Responses (Pokemon Stats)'!C685</f>
        <v>0</v>
      </c>
      <c r="F725">
        <f>'Form Responses (Pokemon Stats)'!E685</f>
        <v>0</v>
      </c>
      <c r="G725" t="str">
        <f ca="1">IFERROR(__xludf.DUMMYFUNCTION("ROUND(B725/ FILTER('Pokemon CP/HP'!$M$2:$M1000, LOWER('Pokemon CP/HP'!$B$2:$B1000)=LOWER(A725)))"),"#DIV/0!")</f>
        <v>#DIV/0!</v>
      </c>
      <c r="H725" t="str">
        <f ca="1">IFERROR(__xludf.DUMMYFUNCTION("FILTER('Leveling Info'!$B$2:$B1000, 'Leveling Info'!$A$2:$A1000 =G725)"),"#N/A")</f>
        <v>#N/A</v>
      </c>
      <c r="I725" s="29" t="e">
        <f t="shared" ca="1" si="0"/>
        <v>#VALUE!</v>
      </c>
      <c r="J725" s="29" t="str">
        <f ca="1">IFERROR(__xludf.DUMMYFUNCTION("IF(F725 = H725,C725/FILTER('Base Stats'!$C$2:$C1000, LOWER('Base Stats'!$B$2:$B1000) = LOWER($A725)), """")"),"#N/A")</f>
        <v>#N/A</v>
      </c>
      <c r="K725" t="str">
        <f t="shared" ca="1" si="1"/>
        <v/>
      </c>
      <c r="L725" t="str">
        <f ca="1">IFERROR(__xludf.DUMMYFUNCTION("IF(AND(NOT(K725 = """"), G725 &gt;= 15),K725/FILTER('Base Stats'!$C$2:$C1000, LOWER('Base Stats'!$B$2:$B1000) = LOWER($A725)), """")"),"#N/A")</f>
        <v>#N/A</v>
      </c>
      <c r="M725" t="str">
        <f ca="1">IFERROR(__xludf.DUMMYFUNCTION("1.15 + 0.02 * FILTER('Base Stats'!$C$2:$C1000, LOWER('Base Stats'!$B$2:$B1000) = LOWER($A725))"),"1.15")</f>
        <v>1.15</v>
      </c>
      <c r="N725" t="s">
        <v>527</v>
      </c>
    </row>
    <row r="726" spans="1:14" ht="12.75" x14ac:dyDescent="0.2">
      <c r="A726">
        <f>'Form Responses (Pokemon Stats)'!B686</f>
        <v>0</v>
      </c>
      <c r="B726">
        <f>'Form Responses (Pokemon Stats)'!D686</f>
        <v>0</v>
      </c>
      <c r="C726">
        <f>'Form Responses (Pokemon Stats)'!C686</f>
        <v>0</v>
      </c>
      <c r="F726">
        <f>'Form Responses (Pokemon Stats)'!E686</f>
        <v>0</v>
      </c>
      <c r="G726" t="str">
        <f ca="1">IFERROR(__xludf.DUMMYFUNCTION("ROUND(B726/ FILTER('Pokemon CP/HP'!$M$2:$M1000, LOWER('Pokemon CP/HP'!$B$2:$B1000)=LOWER(A726)))"),"#DIV/0!")</f>
        <v>#DIV/0!</v>
      </c>
      <c r="H726" t="str">
        <f ca="1">IFERROR(__xludf.DUMMYFUNCTION("FILTER('Leveling Info'!$B$2:$B1000, 'Leveling Info'!$A$2:$A1000 =G726)"),"#N/A")</f>
        <v>#N/A</v>
      </c>
      <c r="I726" s="29" t="e">
        <f t="shared" ca="1" si="0"/>
        <v>#VALUE!</v>
      </c>
      <c r="J726" s="29" t="str">
        <f ca="1">IFERROR(__xludf.DUMMYFUNCTION("IF(F726 = H726,C726/FILTER('Base Stats'!$C$2:$C1000, LOWER('Base Stats'!$B$2:$B1000) = LOWER($A726)), """")"),"#N/A")</f>
        <v>#N/A</v>
      </c>
      <c r="K726" t="str">
        <f t="shared" ca="1" si="1"/>
        <v/>
      </c>
      <c r="L726" t="str">
        <f ca="1">IFERROR(__xludf.DUMMYFUNCTION("IF(AND(NOT(K726 = """"), G726 &gt;= 15),K726/FILTER('Base Stats'!$C$2:$C1000, LOWER('Base Stats'!$B$2:$B1000) = LOWER($A726)), """")"),"#N/A")</f>
        <v>#N/A</v>
      </c>
      <c r="M726" t="str">
        <f ca="1">IFERROR(__xludf.DUMMYFUNCTION("1.15 + 0.02 * FILTER('Base Stats'!$C$2:$C1000, LOWER('Base Stats'!$B$2:$B1000) = LOWER($A726))"),"1.15")</f>
        <v>1.15</v>
      </c>
      <c r="N726" t="s">
        <v>527</v>
      </c>
    </row>
    <row r="727" spans="1:14" ht="12.75" x14ac:dyDescent="0.2">
      <c r="A727">
        <f>'Form Responses (Pokemon Stats)'!B687</f>
        <v>0</v>
      </c>
      <c r="B727">
        <f>'Form Responses (Pokemon Stats)'!D687</f>
        <v>0</v>
      </c>
      <c r="C727">
        <f>'Form Responses (Pokemon Stats)'!C687</f>
        <v>0</v>
      </c>
      <c r="F727">
        <f>'Form Responses (Pokemon Stats)'!E687</f>
        <v>0</v>
      </c>
      <c r="G727" t="str">
        <f ca="1">IFERROR(__xludf.DUMMYFUNCTION("ROUND(B727/ FILTER('Pokemon CP/HP'!$M$2:$M1000, LOWER('Pokemon CP/HP'!$B$2:$B1000)=LOWER(A727)))"),"#DIV/0!")</f>
        <v>#DIV/0!</v>
      </c>
      <c r="H727" t="str">
        <f ca="1">IFERROR(__xludf.DUMMYFUNCTION("FILTER('Leveling Info'!$B$2:$B1000, 'Leveling Info'!$A$2:$A1000 =G727)"),"#N/A")</f>
        <v>#N/A</v>
      </c>
      <c r="I727" s="29" t="e">
        <f t="shared" ca="1" si="0"/>
        <v>#VALUE!</v>
      </c>
      <c r="J727" s="29" t="str">
        <f ca="1">IFERROR(__xludf.DUMMYFUNCTION("IF(F727 = H727,C727/FILTER('Base Stats'!$C$2:$C1000, LOWER('Base Stats'!$B$2:$B1000) = LOWER($A727)), """")"),"#N/A")</f>
        <v>#N/A</v>
      </c>
      <c r="K727" t="str">
        <f t="shared" ca="1" si="1"/>
        <v/>
      </c>
      <c r="L727" t="str">
        <f ca="1">IFERROR(__xludf.DUMMYFUNCTION("IF(AND(NOT(K727 = """"), G727 &gt;= 15),K727/FILTER('Base Stats'!$C$2:$C1000, LOWER('Base Stats'!$B$2:$B1000) = LOWER($A727)), """")"),"#N/A")</f>
        <v>#N/A</v>
      </c>
      <c r="M727" t="str">
        <f ca="1">IFERROR(__xludf.DUMMYFUNCTION("1.15 + 0.02 * FILTER('Base Stats'!$C$2:$C1000, LOWER('Base Stats'!$B$2:$B1000) = LOWER($A727))"),"1.15")</f>
        <v>1.15</v>
      </c>
      <c r="N727" t="s">
        <v>527</v>
      </c>
    </row>
    <row r="728" spans="1:14" ht="12.75" x14ac:dyDescent="0.2">
      <c r="A728">
        <f>'Form Responses (Pokemon Stats)'!B688</f>
        <v>0</v>
      </c>
      <c r="B728">
        <f>'Form Responses (Pokemon Stats)'!D688</f>
        <v>0</v>
      </c>
      <c r="C728">
        <f>'Form Responses (Pokemon Stats)'!C688</f>
        <v>0</v>
      </c>
      <c r="F728">
        <f>'Form Responses (Pokemon Stats)'!E688</f>
        <v>0</v>
      </c>
      <c r="G728" t="str">
        <f ca="1">IFERROR(__xludf.DUMMYFUNCTION("ROUND(B728/ FILTER('Pokemon CP/HP'!$M$2:$M1000, LOWER('Pokemon CP/HP'!$B$2:$B1000)=LOWER(A728)))"),"#DIV/0!")</f>
        <v>#DIV/0!</v>
      </c>
      <c r="H728" t="str">
        <f ca="1">IFERROR(__xludf.DUMMYFUNCTION("FILTER('Leveling Info'!$B$2:$B1000, 'Leveling Info'!$A$2:$A1000 =G728)"),"#N/A")</f>
        <v>#N/A</v>
      </c>
      <c r="I728" s="29" t="e">
        <f t="shared" ca="1" si="0"/>
        <v>#VALUE!</v>
      </c>
      <c r="J728" s="29" t="str">
        <f ca="1">IFERROR(__xludf.DUMMYFUNCTION("IF(F728 = H728,C728/FILTER('Base Stats'!$C$2:$C1000, LOWER('Base Stats'!$B$2:$B1000) = LOWER($A728)), """")"),"#N/A")</f>
        <v>#N/A</v>
      </c>
      <c r="K728" t="str">
        <f t="shared" ca="1" si="1"/>
        <v/>
      </c>
      <c r="L728" t="str">
        <f ca="1">IFERROR(__xludf.DUMMYFUNCTION("IF(AND(NOT(K728 = """"), G728 &gt;= 15),K728/FILTER('Base Stats'!$C$2:$C1000, LOWER('Base Stats'!$B$2:$B1000) = LOWER($A728)), """")"),"#N/A")</f>
        <v>#N/A</v>
      </c>
      <c r="M728" t="str">
        <f ca="1">IFERROR(__xludf.DUMMYFUNCTION("1.15 + 0.02 * FILTER('Base Stats'!$C$2:$C1000, LOWER('Base Stats'!$B$2:$B1000) = LOWER($A728))"),"1.15")</f>
        <v>1.15</v>
      </c>
      <c r="N728" t="s">
        <v>527</v>
      </c>
    </row>
    <row r="729" spans="1:14" ht="12.75" x14ac:dyDescent="0.2">
      <c r="A729">
        <f>'Form Responses (Pokemon Stats)'!B689</f>
        <v>0</v>
      </c>
      <c r="B729">
        <f>'Form Responses (Pokemon Stats)'!D689</f>
        <v>0</v>
      </c>
      <c r="C729">
        <f>'Form Responses (Pokemon Stats)'!C689</f>
        <v>0</v>
      </c>
      <c r="F729">
        <f>'Form Responses (Pokemon Stats)'!E689</f>
        <v>0</v>
      </c>
      <c r="G729" t="str">
        <f ca="1">IFERROR(__xludf.DUMMYFUNCTION("ROUND(B729/ FILTER('Pokemon CP/HP'!$M$2:$M1000, LOWER('Pokemon CP/HP'!$B$2:$B1000)=LOWER(A729)))"),"#DIV/0!")</f>
        <v>#DIV/0!</v>
      </c>
      <c r="H729" t="str">
        <f ca="1">IFERROR(__xludf.DUMMYFUNCTION("FILTER('Leveling Info'!$B$2:$B1000, 'Leveling Info'!$A$2:$A1000 =G729)"),"#N/A")</f>
        <v>#N/A</v>
      </c>
      <c r="I729" s="29" t="e">
        <f t="shared" ca="1" si="0"/>
        <v>#VALUE!</v>
      </c>
      <c r="J729" s="29" t="str">
        <f ca="1">IFERROR(__xludf.DUMMYFUNCTION("IF(F729 = H729,C729/FILTER('Base Stats'!$C$2:$C1000, LOWER('Base Stats'!$B$2:$B1000) = LOWER($A729)), """")"),"#N/A")</f>
        <v>#N/A</v>
      </c>
      <c r="K729" t="str">
        <f t="shared" ca="1" si="1"/>
        <v/>
      </c>
      <c r="L729" t="str">
        <f ca="1">IFERROR(__xludf.DUMMYFUNCTION("IF(AND(NOT(K729 = """"), G729 &gt;= 15),K729/FILTER('Base Stats'!$C$2:$C1000, LOWER('Base Stats'!$B$2:$B1000) = LOWER($A729)), """")"),"#N/A")</f>
        <v>#N/A</v>
      </c>
      <c r="M729" t="str">
        <f ca="1">IFERROR(__xludf.DUMMYFUNCTION("1.15 + 0.02 * FILTER('Base Stats'!$C$2:$C1000, LOWER('Base Stats'!$B$2:$B1000) = LOWER($A729))"),"1.15")</f>
        <v>1.15</v>
      </c>
      <c r="N729" t="s">
        <v>527</v>
      </c>
    </row>
    <row r="730" spans="1:14" ht="12.75" x14ac:dyDescent="0.2">
      <c r="A730">
        <f>'Form Responses (Pokemon Stats)'!B690</f>
        <v>0</v>
      </c>
      <c r="B730">
        <f>'Form Responses (Pokemon Stats)'!D690</f>
        <v>0</v>
      </c>
      <c r="C730">
        <f>'Form Responses (Pokemon Stats)'!C690</f>
        <v>0</v>
      </c>
      <c r="F730">
        <f>'Form Responses (Pokemon Stats)'!E690</f>
        <v>0</v>
      </c>
      <c r="G730" t="str">
        <f ca="1">IFERROR(__xludf.DUMMYFUNCTION("ROUND(B730/ FILTER('Pokemon CP/HP'!$M$2:$M1000, LOWER('Pokemon CP/HP'!$B$2:$B1000)=LOWER(A730)))"),"#DIV/0!")</f>
        <v>#DIV/0!</v>
      </c>
      <c r="H730" t="str">
        <f ca="1">IFERROR(__xludf.DUMMYFUNCTION("FILTER('Leveling Info'!$B$2:$B1000, 'Leveling Info'!$A$2:$A1000 =G730)"),"#N/A")</f>
        <v>#N/A</v>
      </c>
      <c r="I730" s="29" t="e">
        <f t="shared" ca="1" si="0"/>
        <v>#VALUE!</v>
      </c>
      <c r="J730" s="29" t="str">
        <f ca="1">IFERROR(__xludf.DUMMYFUNCTION("IF(F730 = H730,C730/FILTER('Base Stats'!$C$2:$C1000, LOWER('Base Stats'!$B$2:$B1000) = LOWER($A730)), """")"),"#N/A")</f>
        <v>#N/A</v>
      </c>
      <c r="K730" t="str">
        <f t="shared" ca="1" si="1"/>
        <v/>
      </c>
      <c r="L730" t="str">
        <f ca="1">IFERROR(__xludf.DUMMYFUNCTION("IF(AND(NOT(K730 = """"), G730 &gt;= 15),K730/FILTER('Base Stats'!$C$2:$C1000, LOWER('Base Stats'!$B$2:$B1000) = LOWER($A730)), """")"),"#N/A")</f>
        <v>#N/A</v>
      </c>
      <c r="M730" t="str">
        <f ca="1">IFERROR(__xludf.DUMMYFUNCTION("1.15 + 0.02 * FILTER('Base Stats'!$C$2:$C1000, LOWER('Base Stats'!$B$2:$B1000) = LOWER($A730))"),"1.15")</f>
        <v>1.15</v>
      </c>
      <c r="N730" t="s">
        <v>527</v>
      </c>
    </row>
    <row r="731" spans="1:14" ht="12.75" x14ac:dyDescent="0.2">
      <c r="A731">
        <f>'Form Responses (Pokemon Stats)'!B691</f>
        <v>0</v>
      </c>
      <c r="B731">
        <f>'Form Responses (Pokemon Stats)'!D691</f>
        <v>0</v>
      </c>
      <c r="C731">
        <f>'Form Responses (Pokemon Stats)'!C691</f>
        <v>0</v>
      </c>
      <c r="F731">
        <f>'Form Responses (Pokemon Stats)'!E691</f>
        <v>0</v>
      </c>
      <c r="G731" t="str">
        <f ca="1">IFERROR(__xludf.DUMMYFUNCTION("ROUND(B731/ FILTER('Pokemon CP/HP'!$M$2:$M1000, LOWER('Pokemon CP/HP'!$B$2:$B1000)=LOWER(A731)))"),"#DIV/0!")</f>
        <v>#DIV/0!</v>
      </c>
      <c r="H731" t="str">
        <f ca="1">IFERROR(__xludf.DUMMYFUNCTION("FILTER('Leveling Info'!$B$2:$B1000, 'Leveling Info'!$A$2:$A1000 =G731)"),"#N/A")</f>
        <v>#N/A</v>
      </c>
      <c r="I731" s="29" t="e">
        <f t="shared" ca="1" si="0"/>
        <v>#VALUE!</v>
      </c>
      <c r="J731" s="29" t="str">
        <f ca="1">IFERROR(__xludf.DUMMYFUNCTION("IF(F731 = H731,C731/FILTER('Base Stats'!$C$2:$C1000, LOWER('Base Stats'!$B$2:$B1000) = LOWER($A731)), """")"),"#N/A")</f>
        <v>#N/A</v>
      </c>
      <c r="K731" t="str">
        <f t="shared" ca="1" si="1"/>
        <v/>
      </c>
      <c r="L731" t="str">
        <f ca="1">IFERROR(__xludf.DUMMYFUNCTION("IF(AND(NOT(K731 = """"), G731 &gt;= 15),K731/FILTER('Base Stats'!$C$2:$C1000, LOWER('Base Stats'!$B$2:$B1000) = LOWER($A731)), """")"),"#N/A")</f>
        <v>#N/A</v>
      </c>
      <c r="M731" t="str">
        <f ca="1">IFERROR(__xludf.DUMMYFUNCTION("1.15 + 0.02 * FILTER('Base Stats'!$C$2:$C1000, LOWER('Base Stats'!$B$2:$B1000) = LOWER($A731))"),"1.15")</f>
        <v>1.15</v>
      </c>
      <c r="N731" t="s">
        <v>527</v>
      </c>
    </row>
    <row r="732" spans="1:14" ht="12.75" x14ac:dyDescent="0.2">
      <c r="A732">
        <f>'Form Responses (Pokemon Stats)'!B692</f>
        <v>0</v>
      </c>
      <c r="B732">
        <f>'Form Responses (Pokemon Stats)'!D692</f>
        <v>0</v>
      </c>
      <c r="C732">
        <f>'Form Responses (Pokemon Stats)'!C692</f>
        <v>0</v>
      </c>
      <c r="F732">
        <f>'Form Responses (Pokemon Stats)'!E692</f>
        <v>0</v>
      </c>
      <c r="G732" t="str">
        <f ca="1">IFERROR(__xludf.DUMMYFUNCTION("ROUND(B732/ FILTER('Pokemon CP/HP'!$M$2:$M1000, LOWER('Pokemon CP/HP'!$B$2:$B1000)=LOWER(A732)))"),"#DIV/0!")</f>
        <v>#DIV/0!</v>
      </c>
      <c r="H732" t="str">
        <f ca="1">IFERROR(__xludf.DUMMYFUNCTION("FILTER('Leveling Info'!$B$2:$B1000, 'Leveling Info'!$A$2:$A1000 =G732)"),"#N/A")</f>
        <v>#N/A</v>
      </c>
      <c r="I732" s="29" t="e">
        <f t="shared" ca="1" si="0"/>
        <v>#VALUE!</v>
      </c>
      <c r="J732" s="29" t="str">
        <f ca="1">IFERROR(__xludf.DUMMYFUNCTION("IF(F732 = H732,C732/FILTER('Base Stats'!$C$2:$C1000, LOWER('Base Stats'!$B$2:$B1000) = LOWER($A732)), """")"),"#N/A")</f>
        <v>#N/A</v>
      </c>
      <c r="K732" t="str">
        <f t="shared" ca="1" si="1"/>
        <v/>
      </c>
      <c r="L732" t="str">
        <f ca="1">IFERROR(__xludf.DUMMYFUNCTION("IF(AND(NOT(K732 = """"), G732 &gt;= 15),K732/FILTER('Base Stats'!$C$2:$C1000, LOWER('Base Stats'!$B$2:$B1000) = LOWER($A732)), """")"),"#N/A")</f>
        <v>#N/A</v>
      </c>
      <c r="M732" t="str">
        <f ca="1">IFERROR(__xludf.DUMMYFUNCTION("1.15 + 0.02 * FILTER('Base Stats'!$C$2:$C1000, LOWER('Base Stats'!$B$2:$B1000) = LOWER($A732))"),"1.15")</f>
        <v>1.15</v>
      </c>
      <c r="N732" t="s">
        <v>527</v>
      </c>
    </row>
    <row r="733" spans="1:14" ht="12.75" x14ac:dyDescent="0.2">
      <c r="A733">
        <f>'Form Responses (Pokemon Stats)'!B693</f>
        <v>0</v>
      </c>
      <c r="B733">
        <f>'Form Responses (Pokemon Stats)'!D693</f>
        <v>0</v>
      </c>
      <c r="C733">
        <f>'Form Responses (Pokemon Stats)'!C693</f>
        <v>0</v>
      </c>
      <c r="F733">
        <f>'Form Responses (Pokemon Stats)'!E693</f>
        <v>0</v>
      </c>
      <c r="G733" t="str">
        <f ca="1">IFERROR(__xludf.DUMMYFUNCTION("ROUND(B733/ FILTER('Pokemon CP/HP'!$M$2:$M1000, LOWER('Pokemon CP/HP'!$B$2:$B1000)=LOWER(A733)))"),"#DIV/0!")</f>
        <v>#DIV/0!</v>
      </c>
      <c r="H733" t="str">
        <f ca="1">IFERROR(__xludf.DUMMYFUNCTION("FILTER('Leveling Info'!$B$2:$B1000, 'Leveling Info'!$A$2:$A1000 =G733)"),"#N/A")</f>
        <v>#N/A</v>
      </c>
      <c r="I733" s="29" t="e">
        <f t="shared" ca="1" si="0"/>
        <v>#VALUE!</v>
      </c>
      <c r="J733" s="29" t="str">
        <f ca="1">IFERROR(__xludf.DUMMYFUNCTION("IF(F733 = H733,C733/FILTER('Base Stats'!$C$2:$C1000, LOWER('Base Stats'!$B$2:$B1000) = LOWER($A733)), """")"),"#N/A")</f>
        <v>#N/A</v>
      </c>
      <c r="K733" t="str">
        <f t="shared" ca="1" si="1"/>
        <v/>
      </c>
      <c r="L733" t="str">
        <f ca="1">IFERROR(__xludf.DUMMYFUNCTION("IF(AND(NOT(K733 = """"), G733 &gt;= 15),K733/FILTER('Base Stats'!$C$2:$C1000, LOWER('Base Stats'!$B$2:$B1000) = LOWER($A733)), """")"),"#N/A")</f>
        <v>#N/A</v>
      </c>
      <c r="M733" t="str">
        <f ca="1">IFERROR(__xludf.DUMMYFUNCTION("1.15 + 0.02 * FILTER('Base Stats'!$C$2:$C1000, LOWER('Base Stats'!$B$2:$B1000) = LOWER($A733))"),"1.15")</f>
        <v>1.15</v>
      </c>
      <c r="N733" t="s">
        <v>527</v>
      </c>
    </row>
    <row r="734" spans="1:14" ht="12.75" x14ac:dyDescent="0.2">
      <c r="A734">
        <f>'Form Responses (Pokemon Stats)'!B694</f>
        <v>0</v>
      </c>
      <c r="B734">
        <f>'Form Responses (Pokemon Stats)'!D694</f>
        <v>0</v>
      </c>
      <c r="C734">
        <f>'Form Responses (Pokemon Stats)'!C694</f>
        <v>0</v>
      </c>
      <c r="F734">
        <f>'Form Responses (Pokemon Stats)'!E694</f>
        <v>0</v>
      </c>
      <c r="G734" t="str">
        <f ca="1">IFERROR(__xludf.DUMMYFUNCTION("ROUND(B734/ FILTER('Pokemon CP/HP'!$M$2:$M1000, LOWER('Pokemon CP/HP'!$B$2:$B1000)=LOWER(A734)))"),"#DIV/0!")</f>
        <v>#DIV/0!</v>
      </c>
      <c r="H734" t="str">
        <f ca="1">IFERROR(__xludf.DUMMYFUNCTION("FILTER('Leveling Info'!$B$2:$B1000, 'Leveling Info'!$A$2:$A1000 =G734)"),"#N/A")</f>
        <v>#N/A</v>
      </c>
      <c r="I734" s="29" t="e">
        <f t="shared" ca="1" si="0"/>
        <v>#VALUE!</v>
      </c>
      <c r="J734" s="29" t="str">
        <f ca="1">IFERROR(__xludf.DUMMYFUNCTION("IF(F734 = H734,C734/FILTER('Base Stats'!$C$2:$C1000, LOWER('Base Stats'!$B$2:$B1000) = LOWER($A734)), """")"),"#N/A")</f>
        <v>#N/A</v>
      </c>
      <c r="K734" t="str">
        <f t="shared" ca="1" si="1"/>
        <v/>
      </c>
      <c r="L734" t="str">
        <f ca="1">IFERROR(__xludf.DUMMYFUNCTION("IF(AND(NOT(K734 = """"), G734 &gt;= 15),K734/FILTER('Base Stats'!$C$2:$C1000, LOWER('Base Stats'!$B$2:$B1000) = LOWER($A734)), """")"),"#N/A")</f>
        <v>#N/A</v>
      </c>
      <c r="M734" t="str">
        <f ca="1">IFERROR(__xludf.DUMMYFUNCTION("1.15 + 0.02 * FILTER('Base Stats'!$C$2:$C1000, LOWER('Base Stats'!$B$2:$B1000) = LOWER($A734))"),"1.15")</f>
        <v>1.15</v>
      </c>
      <c r="N734" t="s">
        <v>527</v>
      </c>
    </row>
    <row r="735" spans="1:14" ht="12.75" x14ac:dyDescent="0.2">
      <c r="A735">
        <f>'Form Responses (Pokemon Stats)'!B695</f>
        <v>0</v>
      </c>
      <c r="B735">
        <f>'Form Responses (Pokemon Stats)'!D695</f>
        <v>0</v>
      </c>
      <c r="C735">
        <f>'Form Responses (Pokemon Stats)'!C695</f>
        <v>0</v>
      </c>
      <c r="F735">
        <f>'Form Responses (Pokemon Stats)'!E695</f>
        <v>0</v>
      </c>
      <c r="G735" t="str">
        <f ca="1">IFERROR(__xludf.DUMMYFUNCTION("ROUND(B735/ FILTER('Pokemon CP/HP'!$M$2:$M1000, LOWER('Pokemon CP/HP'!$B$2:$B1000)=LOWER(A735)))"),"#DIV/0!")</f>
        <v>#DIV/0!</v>
      </c>
      <c r="H735" t="str">
        <f ca="1">IFERROR(__xludf.DUMMYFUNCTION("FILTER('Leveling Info'!$B$2:$B1000, 'Leveling Info'!$A$2:$A1000 =G735)"),"#N/A")</f>
        <v>#N/A</v>
      </c>
      <c r="I735" s="29" t="e">
        <f t="shared" ca="1" si="0"/>
        <v>#VALUE!</v>
      </c>
      <c r="J735" s="29" t="str">
        <f ca="1">IFERROR(__xludf.DUMMYFUNCTION("IF(F735 = H735,C735/FILTER('Base Stats'!$C$2:$C1000, LOWER('Base Stats'!$B$2:$B1000) = LOWER($A735)), """")"),"#N/A")</f>
        <v>#N/A</v>
      </c>
      <c r="K735" t="str">
        <f t="shared" ca="1" si="1"/>
        <v/>
      </c>
      <c r="L735" t="str">
        <f ca="1">IFERROR(__xludf.DUMMYFUNCTION("IF(AND(NOT(K735 = """"), G735 &gt;= 15),K735/FILTER('Base Stats'!$C$2:$C1000, LOWER('Base Stats'!$B$2:$B1000) = LOWER($A735)), """")"),"#N/A")</f>
        <v>#N/A</v>
      </c>
      <c r="M735" t="str">
        <f ca="1">IFERROR(__xludf.DUMMYFUNCTION("1.15 + 0.02 * FILTER('Base Stats'!$C$2:$C1000, LOWER('Base Stats'!$B$2:$B1000) = LOWER($A735))"),"1.15")</f>
        <v>1.15</v>
      </c>
      <c r="N735" t="s">
        <v>527</v>
      </c>
    </row>
    <row r="736" spans="1:14" ht="12.75" x14ac:dyDescent="0.2">
      <c r="A736">
        <f>'Form Responses (Pokemon Stats)'!B696</f>
        <v>0</v>
      </c>
      <c r="B736">
        <f>'Form Responses (Pokemon Stats)'!D696</f>
        <v>0</v>
      </c>
      <c r="C736">
        <f>'Form Responses (Pokemon Stats)'!C696</f>
        <v>0</v>
      </c>
      <c r="F736">
        <f>'Form Responses (Pokemon Stats)'!E696</f>
        <v>0</v>
      </c>
      <c r="G736" t="str">
        <f ca="1">IFERROR(__xludf.DUMMYFUNCTION("ROUND(B736/ FILTER('Pokemon CP/HP'!$M$2:$M1000, LOWER('Pokemon CP/HP'!$B$2:$B1000)=LOWER(A736)))"),"#DIV/0!")</f>
        <v>#DIV/0!</v>
      </c>
      <c r="H736" t="str">
        <f ca="1">IFERROR(__xludf.DUMMYFUNCTION("FILTER('Leveling Info'!$B$2:$B1000, 'Leveling Info'!$A$2:$A1000 =G736)"),"#N/A")</f>
        <v>#N/A</v>
      </c>
      <c r="I736" s="29" t="e">
        <f t="shared" ca="1" si="0"/>
        <v>#VALUE!</v>
      </c>
      <c r="J736" s="29" t="str">
        <f ca="1">IFERROR(__xludf.DUMMYFUNCTION("IF(F736 = H736,C736/FILTER('Base Stats'!$C$2:$C1000, LOWER('Base Stats'!$B$2:$B1000) = LOWER($A736)), """")"),"#N/A")</f>
        <v>#N/A</v>
      </c>
      <c r="K736" t="str">
        <f t="shared" ca="1" si="1"/>
        <v/>
      </c>
      <c r="L736" t="str">
        <f ca="1">IFERROR(__xludf.DUMMYFUNCTION("IF(AND(NOT(K736 = """"), G736 &gt;= 15),K736/FILTER('Base Stats'!$C$2:$C1000, LOWER('Base Stats'!$B$2:$B1000) = LOWER($A736)), """")"),"#N/A")</f>
        <v>#N/A</v>
      </c>
      <c r="M736" t="str">
        <f ca="1">IFERROR(__xludf.DUMMYFUNCTION("1.15 + 0.02 * FILTER('Base Stats'!$C$2:$C1000, LOWER('Base Stats'!$B$2:$B1000) = LOWER($A736))"),"1.15")</f>
        <v>1.15</v>
      </c>
      <c r="N736" t="s">
        <v>527</v>
      </c>
    </row>
    <row r="737" spans="1:14" ht="12.75" x14ac:dyDescent="0.2">
      <c r="A737">
        <f>'Form Responses (Pokemon Stats)'!B697</f>
        <v>0</v>
      </c>
      <c r="B737">
        <f>'Form Responses (Pokemon Stats)'!D697</f>
        <v>0</v>
      </c>
      <c r="C737">
        <f>'Form Responses (Pokemon Stats)'!C697</f>
        <v>0</v>
      </c>
      <c r="F737">
        <f>'Form Responses (Pokemon Stats)'!E697</f>
        <v>0</v>
      </c>
      <c r="G737" t="str">
        <f ca="1">IFERROR(__xludf.DUMMYFUNCTION("ROUND(B737/ FILTER('Pokemon CP/HP'!$M$2:$M1000, LOWER('Pokemon CP/HP'!$B$2:$B1000)=LOWER(A737)))"),"#DIV/0!")</f>
        <v>#DIV/0!</v>
      </c>
      <c r="H737" t="str">
        <f ca="1">IFERROR(__xludf.DUMMYFUNCTION("FILTER('Leveling Info'!$B$2:$B1000, 'Leveling Info'!$A$2:$A1000 =G737)"),"#N/A")</f>
        <v>#N/A</v>
      </c>
      <c r="I737" s="29" t="e">
        <f t="shared" ca="1" si="0"/>
        <v>#VALUE!</v>
      </c>
      <c r="J737" s="29" t="str">
        <f ca="1">IFERROR(__xludf.DUMMYFUNCTION("IF(F737 = H737,C737/FILTER('Base Stats'!$C$2:$C1000, LOWER('Base Stats'!$B$2:$B1000) = LOWER($A737)), """")"),"#N/A")</f>
        <v>#N/A</v>
      </c>
      <c r="K737" t="str">
        <f t="shared" ca="1" si="1"/>
        <v/>
      </c>
      <c r="L737" t="str">
        <f ca="1">IFERROR(__xludf.DUMMYFUNCTION("IF(AND(NOT(K737 = """"), G737 &gt;= 15),K737/FILTER('Base Stats'!$C$2:$C1000, LOWER('Base Stats'!$B$2:$B1000) = LOWER($A737)), """")"),"#N/A")</f>
        <v>#N/A</v>
      </c>
      <c r="M737" t="str">
        <f ca="1">IFERROR(__xludf.DUMMYFUNCTION("1.15 + 0.02 * FILTER('Base Stats'!$C$2:$C1000, LOWER('Base Stats'!$B$2:$B1000) = LOWER($A737))"),"1.15")</f>
        <v>1.15</v>
      </c>
      <c r="N737" t="s">
        <v>527</v>
      </c>
    </row>
    <row r="738" spans="1:14" ht="12.75" x14ac:dyDescent="0.2">
      <c r="A738">
        <f>'Form Responses (Pokemon Stats)'!B698</f>
        <v>0</v>
      </c>
      <c r="B738">
        <f>'Form Responses (Pokemon Stats)'!D698</f>
        <v>0</v>
      </c>
      <c r="C738">
        <f>'Form Responses (Pokemon Stats)'!C698</f>
        <v>0</v>
      </c>
      <c r="F738">
        <f>'Form Responses (Pokemon Stats)'!E698</f>
        <v>0</v>
      </c>
      <c r="G738" t="str">
        <f ca="1">IFERROR(__xludf.DUMMYFUNCTION("ROUND(B738/ FILTER('Pokemon CP/HP'!$M$2:$M1000, LOWER('Pokemon CP/HP'!$B$2:$B1000)=LOWER(A738)))"),"#DIV/0!")</f>
        <v>#DIV/0!</v>
      </c>
      <c r="H738" t="str">
        <f ca="1">IFERROR(__xludf.DUMMYFUNCTION("FILTER('Leveling Info'!$B$2:$B1000, 'Leveling Info'!$A$2:$A1000 =G738)"),"#N/A")</f>
        <v>#N/A</v>
      </c>
      <c r="I738" s="29" t="e">
        <f t="shared" ca="1" si="0"/>
        <v>#VALUE!</v>
      </c>
      <c r="J738" s="29" t="str">
        <f ca="1">IFERROR(__xludf.DUMMYFUNCTION("IF(F738 = H738,C738/FILTER('Base Stats'!$C$2:$C1000, LOWER('Base Stats'!$B$2:$B1000) = LOWER($A738)), """")"),"#N/A")</f>
        <v>#N/A</v>
      </c>
      <c r="K738" t="str">
        <f t="shared" ca="1" si="1"/>
        <v/>
      </c>
      <c r="L738" t="str">
        <f ca="1">IFERROR(__xludf.DUMMYFUNCTION("IF(AND(NOT(K738 = """"), G738 &gt;= 15),K738/FILTER('Base Stats'!$C$2:$C1000, LOWER('Base Stats'!$B$2:$B1000) = LOWER($A738)), """")"),"#N/A")</f>
        <v>#N/A</v>
      </c>
      <c r="M738" t="str">
        <f ca="1">IFERROR(__xludf.DUMMYFUNCTION("1.15 + 0.02 * FILTER('Base Stats'!$C$2:$C1000, LOWER('Base Stats'!$B$2:$B1000) = LOWER($A738))"),"1.15")</f>
        <v>1.15</v>
      </c>
      <c r="N738" t="s">
        <v>527</v>
      </c>
    </row>
    <row r="739" spans="1:14" ht="12.75" x14ac:dyDescent="0.2">
      <c r="A739">
        <f>'Form Responses (Pokemon Stats)'!B699</f>
        <v>0</v>
      </c>
      <c r="B739">
        <f>'Form Responses (Pokemon Stats)'!D699</f>
        <v>0</v>
      </c>
      <c r="C739">
        <f>'Form Responses (Pokemon Stats)'!C699</f>
        <v>0</v>
      </c>
      <c r="F739">
        <f>'Form Responses (Pokemon Stats)'!E699</f>
        <v>0</v>
      </c>
      <c r="G739" t="str">
        <f ca="1">IFERROR(__xludf.DUMMYFUNCTION("ROUND(B739/ FILTER('Pokemon CP/HP'!$M$2:$M1000, LOWER('Pokemon CP/HP'!$B$2:$B1000)=LOWER(A739)))"),"#DIV/0!")</f>
        <v>#DIV/0!</v>
      </c>
      <c r="H739" t="str">
        <f ca="1">IFERROR(__xludf.DUMMYFUNCTION("FILTER('Leveling Info'!$B$2:$B1000, 'Leveling Info'!$A$2:$A1000 =G739)"),"#N/A")</f>
        <v>#N/A</v>
      </c>
      <c r="I739" s="29" t="e">
        <f t="shared" ca="1" si="0"/>
        <v>#VALUE!</v>
      </c>
      <c r="J739" s="29" t="str">
        <f ca="1">IFERROR(__xludf.DUMMYFUNCTION("IF(F739 = H739,C739/FILTER('Base Stats'!$C$2:$C1000, LOWER('Base Stats'!$B$2:$B1000) = LOWER($A739)), """")"),"#N/A")</f>
        <v>#N/A</v>
      </c>
      <c r="K739" t="str">
        <f t="shared" ca="1" si="1"/>
        <v/>
      </c>
      <c r="L739" t="str">
        <f ca="1">IFERROR(__xludf.DUMMYFUNCTION("IF(AND(NOT(K739 = """"), G739 &gt;= 15),K739/FILTER('Base Stats'!$C$2:$C1000, LOWER('Base Stats'!$B$2:$B1000) = LOWER($A739)), """")"),"#N/A")</f>
        <v>#N/A</v>
      </c>
      <c r="M739" t="str">
        <f ca="1">IFERROR(__xludf.DUMMYFUNCTION("1.15 + 0.02 * FILTER('Base Stats'!$C$2:$C1000, LOWER('Base Stats'!$B$2:$B1000) = LOWER($A739))"),"1.15")</f>
        <v>1.15</v>
      </c>
      <c r="N739" t="s">
        <v>527</v>
      </c>
    </row>
    <row r="740" spans="1:14" ht="12.75" x14ac:dyDescent="0.2">
      <c r="A740">
        <f>'Form Responses (Pokemon Stats)'!B700</f>
        <v>0</v>
      </c>
      <c r="B740">
        <f>'Form Responses (Pokemon Stats)'!D700</f>
        <v>0</v>
      </c>
      <c r="C740">
        <f>'Form Responses (Pokemon Stats)'!C700</f>
        <v>0</v>
      </c>
      <c r="F740">
        <f>'Form Responses (Pokemon Stats)'!E700</f>
        <v>0</v>
      </c>
      <c r="G740" t="str">
        <f ca="1">IFERROR(__xludf.DUMMYFUNCTION("ROUND(B740/ FILTER('Pokemon CP/HP'!$M$2:$M1000, LOWER('Pokemon CP/HP'!$B$2:$B1000)=LOWER(A740)))"),"#DIV/0!")</f>
        <v>#DIV/0!</v>
      </c>
      <c r="H740" t="str">
        <f ca="1">IFERROR(__xludf.DUMMYFUNCTION("FILTER('Leveling Info'!$B$2:$B1000, 'Leveling Info'!$A$2:$A1000 =G740)"),"#N/A")</f>
        <v>#N/A</v>
      </c>
      <c r="I740" s="29" t="e">
        <f t="shared" ca="1" si="0"/>
        <v>#VALUE!</v>
      </c>
      <c r="J740" s="29" t="str">
        <f ca="1">IFERROR(__xludf.DUMMYFUNCTION("IF(F740 = H740,C740/FILTER('Base Stats'!$C$2:$C1000, LOWER('Base Stats'!$B$2:$B1000) = LOWER($A740)), """")"),"#N/A")</f>
        <v>#N/A</v>
      </c>
      <c r="K740" t="str">
        <f t="shared" ca="1" si="1"/>
        <v/>
      </c>
      <c r="L740" t="str">
        <f ca="1">IFERROR(__xludf.DUMMYFUNCTION("IF(AND(NOT(K740 = """"), G740 &gt;= 15),K740/FILTER('Base Stats'!$C$2:$C1000, LOWER('Base Stats'!$B$2:$B1000) = LOWER($A740)), """")"),"#N/A")</f>
        <v>#N/A</v>
      </c>
      <c r="M740" t="str">
        <f ca="1">IFERROR(__xludf.DUMMYFUNCTION("1.15 + 0.02 * FILTER('Base Stats'!$C$2:$C1000, LOWER('Base Stats'!$B$2:$B1000) = LOWER($A740))"),"1.15")</f>
        <v>1.15</v>
      </c>
      <c r="N740" t="s">
        <v>527</v>
      </c>
    </row>
    <row r="741" spans="1:14" ht="12.75" x14ac:dyDescent="0.2">
      <c r="A741">
        <f>'Form Responses (Pokemon Stats)'!B701</f>
        <v>0</v>
      </c>
      <c r="B741">
        <f>'Form Responses (Pokemon Stats)'!D701</f>
        <v>0</v>
      </c>
      <c r="C741">
        <f>'Form Responses (Pokemon Stats)'!C701</f>
        <v>0</v>
      </c>
      <c r="F741">
        <f>'Form Responses (Pokemon Stats)'!E701</f>
        <v>0</v>
      </c>
      <c r="G741" t="str">
        <f ca="1">IFERROR(__xludf.DUMMYFUNCTION("ROUND(B741/ FILTER('Pokemon CP/HP'!$M$2:$M1000, LOWER('Pokemon CP/HP'!$B$2:$B1000)=LOWER(A741)))"),"#DIV/0!")</f>
        <v>#DIV/0!</v>
      </c>
      <c r="H741" t="str">
        <f ca="1">IFERROR(__xludf.DUMMYFUNCTION("FILTER('Leveling Info'!$B$2:$B1000, 'Leveling Info'!$A$2:$A1000 =G741)"),"#N/A")</f>
        <v>#N/A</v>
      </c>
      <c r="I741" s="29" t="e">
        <f t="shared" ca="1" si="0"/>
        <v>#VALUE!</v>
      </c>
      <c r="J741" s="29" t="str">
        <f ca="1">IFERROR(__xludf.DUMMYFUNCTION("IF(F741 = H741,C741/FILTER('Base Stats'!$C$2:$C1000, LOWER('Base Stats'!$B$2:$B1000) = LOWER($A741)), """")"),"#N/A")</f>
        <v>#N/A</v>
      </c>
      <c r="K741" t="str">
        <f t="shared" ca="1" si="1"/>
        <v/>
      </c>
      <c r="L741" t="str">
        <f ca="1">IFERROR(__xludf.DUMMYFUNCTION("IF(AND(NOT(K741 = """"), G741 &gt;= 15),K741/FILTER('Base Stats'!$C$2:$C1000, LOWER('Base Stats'!$B$2:$B1000) = LOWER($A741)), """")"),"#N/A")</f>
        <v>#N/A</v>
      </c>
      <c r="M741" t="str">
        <f ca="1">IFERROR(__xludf.DUMMYFUNCTION("1.15 + 0.02 * FILTER('Base Stats'!$C$2:$C1000, LOWER('Base Stats'!$B$2:$B1000) = LOWER($A741))"),"1.15")</f>
        <v>1.15</v>
      </c>
      <c r="N741" t="s">
        <v>527</v>
      </c>
    </row>
    <row r="742" spans="1:14" ht="12.75" x14ac:dyDescent="0.2">
      <c r="A742">
        <f>'Form Responses (Pokemon Stats)'!B702</f>
        <v>0</v>
      </c>
      <c r="B742">
        <f>'Form Responses (Pokemon Stats)'!D702</f>
        <v>0</v>
      </c>
      <c r="C742">
        <f>'Form Responses (Pokemon Stats)'!C702</f>
        <v>0</v>
      </c>
      <c r="F742">
        <f>'Form Responses (Pokemon Stats)'!E702</f>
        <v>0</v>
      </c>
      <c r="G742" t="str">
        <f ca="1">IFERROR(__xludf.DUMMYFUNCTION("ROUND(B742/ FILTER('Pokemon CP/HP'!$M$2:$M1000, LOWER('Pokemon CP/HP'!$B$2:$B1000)=LOWER(A742)))"),"#DIV/0!")</f>
        <v>#DIV/0!</v>
      </c>
      <c r="H742" t="str">
        <f ca="1">IFERROR(__xludf.DUMMYFUNCTION("FILTER('Leveling Info'!$B$2:$B1000, 'Leveling Info'!$A$2:$A1000 =G742)"),"#N/A")</f>
        <v>#N/A</v>
      </c>
      <c r="I742" s="29" t="e">
        <f t="shared" ca="1" si="0"/>
        <v>#VALUE!</v>
      </c>
      <c r="J742" s="29" t="str">
        <f ca="1">IFERROR(__xludf.DUMMYFUNCTION("IF(F742 = H742,C742/FILTER('Base Stats'!$C$2:$C1000, LOWER('Base Stats'!$B$2:$B1000) = LOWER($A742)), """")"),"#N/A")</f>
        <v>#N/A</v>
      </c>
      <c r="K742" t="str">
        <f t="shared" ca="1" si="1"/>
        <v/>
      </c>
      <c r="L742" t="str">
        <f ca="1">IFERROR(__xludf.DUMMYFUNCTION("IF(AND(NOT(K742 = """"), G742 &gt;= 15),K742/FILTER('Base Stats'!$C$2:$C1000, LOWER('Base Stats'!$B$2:$B1000) = LOWER($A742)), """")"),"#N/A")</f>
        <v>#N/A</v>
      </c>
      <c r="M742" t="str">
        <f ca="1">IFERROR(__xludf.DUMMYFUNCTION("1.15 + 0.02 * FILTER('Base Stats'!$C$2:$C1000, LOWER('Base Stats'!$B$2:$B1000) = LOWER($A742))"),"1.15")</f>
        <v>1.15</v>
      </c>
      <c r="N742" t="s">
        <v>527</v>
      </c>
    </row>
    <row r="743" spans="1:14" ht="12.75" x14ac:dyDescent="0.2">
      <c r="A743">
        <f>'Form Responses (Pokemon Stats)'!B703</f>
        <v>0</v>
      </c>
      <c r="B743">
        <f>'Form Responses (Pokemon Stats)'!D703</f>
        <v>0</v>
      </c>
      <c r="C743">
        <f>'Form Responses (Pokemon Stats)'!C703</f>
        <v>0</v>
      </c>
      <c r="F743">
        <f>'Form Responses (Pokemon Stats)'!E703</f>
        <v>0</v>
      </c>
      <c r="G743" t="str">
        <f ca="1">IFERROR(__xludf.DUMMYFUNCTION("ROUND(B743/ FILTER('Pokemon CP/HP'!$M$2:$M1000, LOWER('Pokemon CP/HP'!$B$2:$B1000)=LOWER(A743)))"),"#DIV/0!")</f>
        <v>#DIV/0!</v>
      </c>
      <c r="H743" t="str">
        <f ca="1">IFERROR(__xludf.DUMMYFUNCTION("FILTER('Leveling Info'!$B$2:$B1000, 'Leveling Info'!$A$2:$A1000 =G743)"),"#N/A")</f>
        <v>#N/A</v>
      </c>
      <c r="I743" s="29" t="e">
        <f t="shared" ca="1" si="0"/>
        <v>#VALUE!</v>
      </c>
      <c r="J743" s="29" t="str">
        <f ca="1">IFERROR(__xludf.DUMMYFUNCTION("IF(F743 = H743,C743/FILTER('Base Stats'!$C$2:$C1000, LOWER('Base Stats'!$B$2:$B1000) = LOWER($A743)), """")"),"#N/A")</f>
        <v>#N/A</v>
      </c>
      <c r="K743" t="str">
        <f t="shared" ca="1" si="1"/>
        <v/>
      </c>
      <c r="L743" t="str">
        <f ca="1">IFERROR(__xludf.DUMMYFUNCTION("IF(AND(NOT(K743 = """"), G743 &gt;= 15),K743/FILTER('Base Stats'!$C$2:$C1000, LOWER('Base Stats'!$B$2:$B1000) = LOWER($A743)), """")"),"#N/A")</f>
        <v>#N/A</v>
      </c>
      <c r="M743" t="str">
        <f ca="1">IFERROR(__xludf.DUMMYFUNCTION("1.15 + 0.02 * FILTER('Base Stats'!$C$2:$C1000, LOWER('Base Stats'!$B$2:$B1000) = LOWER($A743))"),"1.15")</f>
        <v>1.15</v>
      </c>
      <c r="N743" t="s">
        <v>527</v>
      </c>
    </row>
    <row r="744" spans="1:14" ht="12.75" x14ac:dyDescent="0.2">
      <c r="A744">
        <f>'Form Responses (Pokemon Stats)'!B704</f>
        <v>0</v>
      </c>
      <c r="B744">
        <f>'Form Responses (Pokemon Stats)'!D704</f>
        <v>0</v>
      </c>
      <c r="C744">
        <f>'Form Responses (Pokemon Stats)'!C704</f>
        <v>0</v>
      </c>
      <c r="F744">
        <f>'Form Responses (Pokemon Stats)'!E704</f>
        <v>0</v>
      </c>
      <c r="G744" t="str">
        <f ca="1">IFERROR(__xludf.DUMMYFUNCTION("ROUND(B744/ FILTER('Pokemon CP/HP'!$M$2:$M1000, LOWER('Pokemon CP/HP'!$B$2:$B1000)=LOWER(A744)))"),"#DIV/0!")</f>
        <v>#DIV/0!</v>
      </c>
      <c r="H744" t="str">
        <f ca="1">IFERROR(__xludf.DUMMYFUNCTION("FILTER('Leveling Info'!$B$2:$B1000, 'Leveling Info'!$A$2:$A1000 =G744)"),"#N/A")</f>
        <v>#N/A</v>
      </c>
      <c r="I744" s="29" t="e">
        <f t="shared" ca="1" si="0"/>
        <v>#VALUE!</v>
      </c>
      <c r="J744" s="29" t="str">
        <f ca="1">IFERROR(__xludf.DUMMYFUNCTION("IF(F744 = H744,C744/FILTER('Base Stats'!$C$2:$C1000, LOWER('Base Stats'!$B$2:$B1000) = LOWER($A744)), """")"),"#N/A")</f>
        <v>#N/A</v>
      </c>
      <c r="K744" t="str">
        <f t="shared" ca="1" si="1"/>
        <v/>
      </c>
      <c r="L744" t="str">
        <f ca="1">IFERROR(__xludf.DUMMYFUNCTION("IF(AND(NOT(K744 = """"), G744 &gt;= 15),K744/FILTER('Base Stats'!$C$2:$C1000, LOWER('Base Stats'!$B$2:$B1000) = LOWER($A744)), """")"),"#N/A")</f>
        <v>#N/A</v>
      </c>
      <c r="M744" t="str">
        <f ca="1">IFERROR(__xludf.DUMMYFUNCTION("1.15 + 0.02 * FILTER('Base Stats'!$C$2:$C1000, LOWER('Base Stats'!$B$2:$B1000) = LOWER($A744))"),"1.15")</f>
        <v>1.15</v>
      </c>
      <c r="N744" t="s">
        <v>527</v>
      </c>
    </row>
    <row r="745" spans="1:14" ht="12.75" x14ac:dyDescent="0.2">
      <c r="A745">
        <f>'Form Responses (Pokemon Stats)'!B705</f>
        <v>0</v>
      </c>
      <c r="B745">
        <f>'Form Responses (Pokemon Stats)'!D705</f>
        <v>0</v>
      </c>
      <c r="C745">
        <f>'Form Responses (Pokemon Stats)'!C705</f>
        <v>0</v>
      </c>
      <c r="F745">
        <f>'Form Responses (Pokemon Stats)'!E705</f>
        <v>0</v>
      </c>
      <c r="G745" t="str">
        <f ca="1">IFERROR(__xludf.DUMMYFUNCTION("ROUND(B745/ FILTER('Pokemon CP/HP'!$M$2:$M1000, LOWER('Pokemon CP/HP'!$B$2:$B1000)=LOWER(A745)))"),"#DIV/0!")</f>
        <v>#DIV/0!</v>
      </c>
      <c r="H745" t="str">
        <f ca="1">IFERROR(__xludf.DUMMYFUNCTION("FILTER('Leveling Info'!$B$2:$B1000, 'Leveling Info'!$A$2:$A1000 =G745)"),"#N/A")</f>
        <v>#N/A</v>
      </c>
      <c r="I745" s="29" t="e">
        <f t="shared" ca="1" si="0"/>
        <v>#VALUE!</v>
      </c>
      <c r="J745" s="29" t="str">
        <f ca="1">IFERROR(__xludf.DUMMYFUNCTION("IF(F745 = H745,C745/FILTER('Base Stats'!$C$2:$C1000, LOWER('Base Stats'!$B$2:$B1000) = LOWER($A745)), """")"),"#N/A")</f>
        <v>#N/A</v>
      </c>
      <c r="K745" t="str">
        <f t="shared" ca="1" si="1"/>
        <v/>
      </c>
      <c r="L745" t="str">
        <f ca="1">IFERROR(__xludf.DUMMYFUNCTION("IF(AND(NOT(K745 = """"), G745 &gt;= 15),K745/FILTER('Base Stats'!$C$2:$C1000, LOWER('Base Stats'!$B$2:$B1000) = LOWER($A745)), """")"),"#N/A")</f>
        <v>#N/A</v>
      </c>
      <c r="M745" t="str">
        <f ca="1">IFERROR(__xludf.DUMMYFUNCTION("1.15 + 0.02 * FILTER('Base Stats'!$C$2:$C1000, LOWER('Base Stats'!$B$2:$B1000) = LOWER($A745))"),"1.15")</f>
        <v>1.15</v>
      </c>
      <c r="N745" t="s">
        <v>527</v>
      </c>
    </row>
    <row r="746" spans="1:14" ht="12.75" x14ac:dyDescent="0.2">
      <c r="A746">
        <f>'Form Responses (Pokemon Stats)'!B706</f>
        <v>0</v>
      </c>
      <c r="B746">
        <f>'Form Responses (Pokemon Stats)'!D706</f>
        <v>0</v>
      </c>
      <c r="C746">
        <f>'Form Responses (Pokemon Stats)'!C706</f>
        <v>0</v>
      </c>
      <c r="F746">
        <f>'Form Responses (Pokemon Stats)'!E706</f>
        <v>0</v>
      </c>
      <c r="G746" t="str">
        <f ca="1">IFERROR(__xludf.DUMMYFUNCTION("ROUND(B746/ FILTER('Pokemon CP/HP'!$M$2:$M1000, LOWER('Pokemon CP/HP'!$B$2:$B1000)=LOWER(A746)))"),"#DIV/0!")</f>
        <v>#DIV/0!</v>
      </c>
      <c r="H746" t="str">
        <f ca="1">IFERROR(__xludf.DUMMYFUNCTION("FILTER('Leveling Info'!$B$2:$B1000, 'Leveling Info'!$A$2:$A1000 =G746)"),"#N/A")</f>
        <v>#N/A</v>
      </c>
      <c r="I746" s="29" t="e">
        <f t="shared" ca="1" si="0"/>
        <v>#VALUE!</v>
      </c>
      <c r="J746" s="29" t="str">
        <f ca="1">IFERROR(__xludf.DUMMYFUNCTION("IF(F746 = H746,C746/FILTER('Base Stats'!$C$2:$C1000, LOWER('Base Stats'!$B$2:$B1000) = LOWER($A746)), """")"),"#N/A")</f>
        <v>#N/A</v>
      </c>
      <c r="K746" t="str">
        <f t="shared" ca="1" si="1"/>
        <v/>
      </c>
      <c r="L746" t="str">
        <f ca="1">IFERROR(__xludf.DUMMYFUNCTION("IF(AND(NOT(K746 = """"), G746 &gt;= 15),K746/FILTER('Base Stats'!$C$2:$C1000, LOWER('Base Stats'!$B$2:$B1000) = LOWER($A746)), """")"),"#N/A")</f>
        <v>#N/A</v>
      </c>
      <c r="M746" t="str">
        <f ca="1">IFERROR(__xludf.DUMMYFUNCTION("1.15 + 0.02 * FILTER('Base Stats'!$C$2:$C1000, LOWER('Base Stats'!$B$2:$B1000) = LOWER($A746))"),"1.15")</f>
        <v>1.15</v>
      </c>
      <c r="N746" t="s">
        <v>527</v>
      </c>
    </row>
    <row r="747" spans="1:14" ht="12.75" x14ac:dyDescent="0.2">
      <c r="A747">
        <f>'Form Responses (Pokemon Stats)'!B707</f>
        <v>0</v>
      </c>
      <c r="B747">
        <f>'Form Responses (Pokemon Stats)'!D707</f>
        <v>0</v>
      </c>
      <c r="C747">
        <f>'Form Responses (Pokemon Stats)'!C707</f>
        <v>0</v>
      </c>
      <c r="F747">
        <f>'Form Responses (Pokemon Stats)'!E707</f>
        <v>0</v>
      </c>
      <c r="G747" t="str">
        <f ca="1">IFERROR(__xludf.DUMMYFUNCTION("ROUND(B747/ FILTER('Pokemon CP/HP'!$M$2:$M1000, LOWER('Pokemon CP/HP'!$B$2:$B1000)=LOWER(A747)))"),"#DIV/0!")</f>
        <v>#DIV/0!</v>
      </c>
      <c r="H747" t="str">
        <f ca="1">IFERROR(__xludf.DUMMYFUNCTION("FILTER('Leveling Info'!$B$2:$B1000, 'Leveling Info'!$A$2:$A1000 =G747)"),"#N/A")</f>
        <v>#N/A</v>
      </c>
      <c r="I747" s="29" t="e">
        <f t="shared" ca="1" si="0"/>
        <v>#VALUE!</v>
      </c>
      <c r="J747" s="29" t="str">
        <f ca="1">IFERROR(__xludf.DUMMYFUNCTION("IF(F747 = H747,C747/FILTER('Base Stats'!$C$2:$C1000, LOWER('Base Stats'!$B$2:$B1000) = LOWER($A747)), """")"),"#N/A")</f>
        <v>#N/A</v>
      </c>
      <c r="K747" t="str">
        <f t="shared" ca="1" si="1"/>
        <v/>
      </c>
      <c r="L747" t="str">
        <f ca="1">IFERROR(__xludf.DUMMYFUNCTION("IF(AND(NOT(K747 = """"), G747 &gt;= 15),K747/FILTER('Base Stats'!$C$2:$C1000, LOWER('Base Stats'!$B$2:$B1000) = LOWER($A747)), """")"),"#N/A")</f>
        <v>#N/A</v>
      </c>
      <c r="M747" t="str">
        <f ca="1">IFERROR(__xludf.DUMMYFUNCTION("1.15 + 0.02 * FILTER('Base Stats'!$C$2:$C1000, LOWER('Base Stats'!$B$2:$B1000) = LOWER($A747))"),"1.15")</f>
        <v>1.15</v>
      </c>
      <c r="N747" t="s">
        <v>527</v>
      </c>
    </row>
    <row r="748" spans="1:14" ht="12.75" x14ac:dyDescent="0.2">
      <c r="A748">
        <f>'Form Responses (Pokemon Stats)'!B708</f>
        <v>0</v>
      </c>
      <c r="B748">
        <f>'Form Responses (Pokemon Stats)'!D708</f>
        <v>0</v>
      </c>
      <c r="C748">
        <f>'Form Responses (Pokemon Stats)'!C708</f>
        <v>0</v>
      </c>
      <c r="F748">
        <f>'Form Responses (Pokemon Stats)'!E708</f>
        <v>0</v>
      </c>
      <c r="G748" t="str">
        <f ca="1">IFERROR(__xludf.DUMMYFUNCTION("ROUND(B748/ FILTER('Pokemon CP/HP'!$M$2:$M1000, LOWER('Pokemon CP/HP'!$B$2:$B1000)=LOWER(A748)))"),"#DIV/0!")</f>
        <v>#DIV/0!</v>
      </c>
      <c r="H748" t="str">
        <f ca="1">IFERROR(__xludf.DUMMYFUNCTION("FILTER('Leveling Info'!$B$2:$B1000, 'Leveling Info'!$A$2:$A1000 =G748)"),"#N/A")</f>
        <v>#N/A</v>
      </c>
      <c r="I748" s="29" t="e">
        <f t="shared" ca="1" si="0"/>
        <v>#VALUE!</v>
      </c>
      <c r="J748" s="29" t="str">
        <f ca="1">IFERROR(__xludf.DUMMYFUNCTION("IF(F748 = H748,C748/FILTER('Base Stats'!$C$2:$C1000, LOWER('Base Stats'!$B$2:$B1000) = LOWER($A748)), """")"),"#N/A")</f>
        <v>#N/A</v>
      </c>
      <c r="K748" t="str">
        <f t="shared" ca="1" si="1"/>
        <v/>
      </c>
      <c r="L748" t="str">
        <f ca="1">IFERROR(__xludf.DUMMYFUNCTION("IF(AND(NOT(K748 = """"), G748 &gt;= 15),K748/FILTER('Base Stats'!$C$2:$C1000, LOWER('Base Stats'!$B$2:$B1000) = LOWER($A748)), """")"),"#N/A")</f>
        <v>#N/A</v>
      </c>
      <c r="M748" t="str">
        <f ca="1">IFERROR(__xludf.DUMMYFUNCTION("1.15 + 0.02 * FILTER('Base Stats'!$C$2:$C1000, LOWER('Base Stats'!$B$2:$B1000) = LOWER($A748))"),"1.15")</f>
        <v>1.15</v>
      </c>
      <c r="N748" t="s">
        <v>527</v>
      </c>
    </row>
    <row r="749" spans="1:14" ht="12.75" x14ac:dyDescent="0.2">
      <c r="A749">
        <f>'Form Responses (Pokemon Stats)'!B709</f>
        <v>0</v>
      </c>
      <c r="B749">
        <f>'Form Responses (Pokemon Stats)'!D709</f>
        <v>0</v>
      </c>
      <c r="C749">
        <f>'Form Responses (Pokemon Stats)'!C709</f>
        <v>0</v>
      </c>
      <c r="F749">
        <f>'Form Responses (Pokemon Stats)'!E709</f>
        <v>0</v>
      </c>
      <c r="G749" t="str">
        <f ca="1">IFERROR(__xludf.DUMMYFUNCTION("ROUND(B749/ FILTER('Pokemon CP/HP'!$M$2:$M1000, LOWER('Pokemon CP/HP'!$B$2:$B1000)=LOWER(A749)))"),"#DIV/0!")</f>
        <v>#DIV/0!</v>
      </c>
      <c r="H749" t="str">
        <f ca="1">IFERROR(__xludf.DUMMYFUNCTION("FILTER('Leveling Info'!$B$2:$B1000, 'Leveling Info'!$A$2:$A1000 =G749)"),"#N/A")</f>
        <v>#N/A</v>
      </c>
      <c r="I749" s="29" t="e">
        <f t="shared" ca="1" si="0"/>
        <v>#VALUE!</v>
      </c>
      <c r="J749" s="29" t="str">
        <f ca="1">IFERROR(__xludf.DUMMYFUNCTION("IF(F749 = H749,C749/FILTER('Base Stats'!$C$2:$C1000, LOWER('Base Stats'!$B$2:$B1000) = LOWER($A749)), """")"),"#N/A")</f>
        <v>#N/A</v>
      </c>
      <c r="K749" t="str">
        <f t="shared" ca="1" si="1"/>
        <v/>
      </c>
      <c r="L749" t="str">
        <f ca="1">IFERROR(__xludf.DUMMYFUNCTION("IF(AND(NOT(K749 = """"), G749 &gt;= 15),K749/FILTER('Base Stats'!$C$2:$C1000, LOWER('Base Stats'!$B$2:$B1000) = LOWER($A749)), """")"),"#N/A")</f>
        <v>#N/A</v>
      </c>
      <c r="M749" t="str">
        <f ca="1">IFERROR(__xludf.DUMMYFUNCTION("1.15 + 0.02 * FILTER('Base Stats'!$C$2:$C1000, LOWER('Base Stats'!$B$2:$B1000) = LOWER($A749))"),"1.15")</f>
        <v>1.15</v>
      </c>
      <c r="N749" t="s">
        <v>527</v>
      </c>
    </row>
    <row r="750" spans="1:14" ht="12.75" x14ac:dyDescent="0.2">
      <c r="A750">
        <f>'Form Responses (Pokemon Stats)'!B710</f>
        <v>0</v>
      </c>
      <c r="B750">
        <f>'Form Responses (Pokemon Stats)'!D710</f>
        <v>0</v>
      </c>
      <c r="C750">
        <f>'Form Responses (Pokemon Stats)'!C710</f>
        <v>0</v>
      </c>
      <c r="F750">
        <f>'Form Responses (Pokemon Stats)'!E710</f>
        <v>0</v>
      </c>
      <c r="G750" t="str">
        <f ca="1">IFERROR(__xludf.DUMMYFUNCTION("ROUND(B750/ FILTER('Pokemon CP/HP'!$M$2:$M1000, LOWER('Pokemon CP/HP'!$B$2:$B1000)=LOWER(A750)))"),"#DIV/0!")</f>
        <v>#DIV/0!</v>
      </c>
      <c r="H750" t="str">
        <f ca="1">IFERROR(__xludf.DUMMYFUNCTION("FILTER('Leveling Info'!$B$2:$B1000, 'Leveling Info'!$A$2:$A1000 =G750)"),"#N/A")</f>
        <v>#N/A</v>
      </c>
      <c r="I750" s="29" t="e">
        <f t="shared" ca="1" si="0"/>
        <v>#VALUE!</v>
      </c>
      <c r="J750" s="29" t="str">
        <f ca="1">IFERROR(__xludf.DUMMYFUNCTION("IF(F750 = H750,C750/FILTER('Base Stats'!$C$2:$C1000, LOWER('Base Stats'!$B$2:$B1000) = LOWER($A750)), """")"),"#N/A")</f>
        <v>#N/A</v>
      </c>
      <c r="K750" t="str">
        <f t="shared" ca="1" si="1"/>
        <v/>
      </c>
      <c r="L750" t="str">
        <f ca="1">IFERROR(__xludf.DUMMYFUNCTION("IF(AND(NOT(K750 = """"), G750 &gt;= 15),K750/FILTER('Base Stats'!$C$2:$C1000, LOWER('Base Stats'!$B$2:$B1000) = LOWER($A750)), """")"),"#N/A")</f>
        <v>#N/A</v>
      </c>
      <c r="M750" t="str">
        <f ca="1">IFERROR(__xludf.DUMMYFUNCTION("1.15 + 0.02 * FILTER('Base Stats'!$C$2:$C1000, LOWER('Base Stats'!$B$2:$B1000) = LOWER($A750))"),"1.15")</f>
        <v>1.15</v>
      </c>
      <c r="N750" t="s">
        <v>527</v>
      </c>
    </row>
    <row r="751" spans="1:14" ht="12.75" x14ac:dyDescent="0.2">
      <c r="A751">
        <f>'Form Responses (Pokemon Stats)'!B711</f>
        <v>0</v>
      </c>
      <c r="B751">
        <f>'Form Responses (Pokemon Stats)'!D711</f>
        <v>0</v>
      </c>
      <c r="C751">
        <f>'Form Responses (Pokemon Stats)'!C711</f>
        <v>0</v>
      </c>
      <c r="F751">
        <f>'Form Responses (Pokemon Stats)'!E711</f>
        <v>0</v>
      </c>
      <c r="G751" t="str">
        <f ca="1">IFERROR(__xludf.DUMMYFUNCTION("ROUND(B751/ FILTER('Pokemon CP/HP'!$M$2:$M1000, LOWER('Pokemon CP/HP'!$B$2:$B1000)=LOWER(A751)))"),"#DIV/0!")</f>
        <v>#DIV/0!</v>
      </c>
      <c r="H751" t="str">
        <f ca="1">IFERROR(__xludf.DUMMYFUNCTION("FILTER('Leveling Info'!$B$2:$B1000, 'Leveling Info'!$A$2:$A1000 =G751)"),"#N/A")</f>
        <v>#N/A</v>
      </c>
      <c r="I751" s="29" t="e">
        <f t="shared" ca="1" si="0"/>
        <v>#VALUE!</v>
      </c>
      <c r="J751" s="29" t="str">
        <f ca="1">IFERROR(__xludf.DUMMYFUNCTION("IF(F751 = H751,C751/FILTER('Base Stats'!$C$2:$C1000, LOWER('Base Stats'!$B$2:$B1000) = LOWER($A751)), """")"),"#N/A")</f>
        <v>#N/A</v>
      </c>
      <c r="K751" t="str">
        <f t="shared" ca="1" si="1"/>
        <v/>
      </c>
      <c r="L751" t="str">
        <f ca="1">IFERROR(__xludf.DUMMYFUNCTION("IF(AND(NOT(K751 = """"), G751 &gt;= 15),K751/FILTER('Base Stats'!$C$2:$C1000, LOWER('Base Stats'!$B$2:$B1000) = LOWER($A751)), """")"),"#N/A")</f>
        <v>#N/A</v>
      </c>
      <c r="M751" t="str">
        <f ca="1">IFERROR(__xludf.DUMMYFUNCTION("1.15 + 0.02 * FILTER('Base Stats'!$C$2:$C1000, LOWER('Base Stats'!$B$2:$B1000) = LOWER($A751))"),"1.15")</f>
        <v>1.15</v>
      </c>
      <c r="N751" t="s">
        <v>527</v>
      </c>
    </row>
    <row r="752" spans="1:14" ht="12.75" x14ac:dyDescent="0.2">
      <c r="A752">
        <f>'Form Responses (Pokemon Stats)'!B712</f>
        <v>0</v>
      </c>
      <c r="B752">
        <f>'Form Responses (Pokemon Stats)'!D712</f>
        <v>0</v>
      </c>
      <c r="C752">
        <f>'Form Responses (Pokemon Stats)'!C712</f>
        <v>0</v>
      </c>
      <c r="F752">
        <f>'Form Responses (Pokemon Stats)'!E712</f>
        <v>0</v>
      </c>
      <c r="G752" t="str">
        <f ca="1">IFERROR(__xludf.DUMMYFUNCTION("ROUND(B752/ FILTER('Pokemon CP/HP'!$M$2:$M1000, LOWER('Pokemon CP/HP'!$B$2:$B1000)=LOWER(A752)))"),"#DIV/0!")</f>
        <v>#DIV/0!</v>
      </c>
      <c r="H752" t="str">
        <f ca="1">IFERROR(__xludf.DUMMYFUNCTION("FILTER('Leveling Info'!$B$2:$B1000, 'Leveling Info'!$A$2:$A1000 =G752)"),"#N/A")</f>
        <v>#N/A</v>
      </c>
      <c r="I752" s="29" t="e">
        <f t="shared" ca="1" si="0"/>
        <v>#VALUE!</v>
      </c>
      <c r="J752" s="29" t="str">
        <f ca="1">IFERROR(__xludf.DUMMYFUNCTION("IF(F752 = H752,C752/FILTER('Base Stats'!$C$2:$C1000, LOWER('Base Stats'!$B$2:$B1000) = LOWER($A752)), """")"),"#N/A")</f>
        <v>#N/A</v>
      </c>
      <c r="K752" t="str">
        <f t="shared" ca="1" si="1"/>
        <v/>
      </c>
      <c r="L752" t="str">
        <f ca="1">IFERROR(__xludf.DUMMYFUNCTION("IF(AND(NOT(K752 = """"), G752 &gt;= 15),K752/FILTER('Base Stats'!$C$2:$C1000, LOWER('Base Stats'!$B$2:$B1000) = LOWER($A752)), """")"),"#N/A")</f>
        <v>#N/A</v>
      </c>
      <c r="M752" t="str">
        <f ca="1">IFERROR(__xludf.DUMMYFUNCTION("1.15 + 0.02 * FILTER('Base Stats'!$C$2:$C1000, LOWER('Base Stats'!$B$2:$B1000) = LOWER($A752))"),"1.15")</f>
        <v>1.15</v>
      </c>
      <c r="N752" t="s">
        <v>527</v>
      </c>
    </row>
    <row r="753" spans="1:14" ht="12.75" x14ac:dyDescent="0.2">
      <c r="A753">
        <f>'Form Responses (Pokemon Stats)'!B713</f>
        <v>0</v>
      </c>
      <c r="B753">
        <f>'Form Responses (Pokemon Stats)'!D713</f>
        <v>0</v>
      </c>
      <c r="C753">
        <f>'Form Responses (Pokemon Stats)'!C713</f>
        <v>0</v>
      </c>
      <c r="F753">
        <f>'Form Responses (Pokemon Stats)'!E713</f>
        <v>0</v>
      </c>
      <c r="G753" t="str">
        <f ca="1">IFERROR(__xludf.DUMMYFUNCTION("ROUND(B753/ FILTER('Pokemon CP/HP'!$M$2:$M1000, LOWER('Pokemon CP/HP'!$B$2:$B1000)=LOWER(A753)))"),"#DIV/0!")</f>
        <v>#DIV/0!</v>
      </c>
      <c r="H753" t="str">
        <f ca="1">IFERROR(__xludf.DUMMYFUNCTION("FILTER('Leveling Info'!$B$2:$B1000, 'Leveling Info'!$A$2:$A1000 =G753)"),"#N/A")</f>
        <v>#N/A</v>
      </c>
      <c r="I753" s="29" t="e">
        <f t="shared" ca="1" si="0"/>
        <v>#VALUE!</v>
      </c>
      <c r="J753" s="29" t="str">
        <f ca="1">IFERROR(__xludf.DUMMYFUNCTION("IF(F753 = H753,C753/FILTER('Base Stats'!$C$2:$C1000, LOWER('Base Stats'!$B$2:$B1000) = LOWER($A753)), """")"),"#N/A")</f>
        <v>#N/A</v>
      </c>
      <c r="K753" t="str">
        <f t="shared" ca="1" si="1"/>
        <v/>
      </c>
      <c r="L753" t="str">
        <f ca="1">IFERROR(__xludf.DUMMYFUNCTION("IF(AND(NOT(K753 = """"), G753 &gt;= 15),K753/FILTER('Base Stats'!$C$2:$C1000, LOWER('Base Stats'!$B$2:$B1000) = LOWER($A753)), """")"),"#N/A")</f>
        <v>#N/A</v>
      </c>
      <c r="M753" t="str">
        <f ca="1">IFERROR(__xludf.DUMMYFUNCTION("1.15 + 0.02 * FILTER('Base Stats'!$C$2:$C1000, LOWER('Base Stats'!$B$2:$B1000) = LOWER($A753))"),"1.15")</f>
        <v>1.15</v>
      </c>
      <c r="N753" t="s">
        <v>527</v>
      </c>
    </row>
    <row r="754" spans="1:14" ht="12.75" x14ac:dyDescent="0.2">
      <c r="A754">
        <f>'Form Responses (Pokemon Stats)'!B714</f>
        <v>0</v>
      </c>
      <c r="B754">
        <f>'Form Responses (Pokemon Stats)'!D714</f>
        <v>0</v>
      </c>
      <c r="C754">
        <f>'Form Responses (Pokemon Stats)'!C714</f>
        <v>0</v>
      </c>
      <c r="F754">
        <f>'Form Responses (Pokemon Stats)'!E714</f>
        <v>0</v>
      </c>
      <c r="G754" t="str">
        <f ca="1">IFERROR(__xludf.DUMMYFUNCTION("ROUND(B754/ FILTER('Pokemon CP/HP'!$M$2:$M1000, LOWER('Pokemon CP/HP'!$B$2:$B1000)=LOWER(A754)))"),"#DIV/0!")</f>
        <v>#DIV/0!</v>
      </c>
      <c r="H754" t="str">
        <f ca="1">IFERROR(__xludf.DUMMYFUNCTION("FILTER('Leveling Info'!$B$2:$B1000, 'Leveling Info'!$A$2:$A1000 =G754)"),"#N/A")</f>
        <v>#N/A</v>
      </c>
      <c r="I754" s="29" t="e">
        <f t="shared" ca="1" si="0"/>
        <v>#VALUE!</v>
      </c>
      <c r="J754" s="29" t="str">
        <f ca="1">IFERROR(__xludf.DUMMYFUNCTION("IF(F754 = H754,C754/FILTER('Base Stats'!$C$2:$C1000, LOWER('Base Stats'!$B$2:$B1000) = LOWER($A754)), """")"),"#N/A")</f>
        <v>#N/A</v>
      </c>
      <c r="K754" t="str">
        <f t="shared" ca="1" si="1"/>
        <v/>
      </c>
      <c r="L754" t="str">
        <f ca="1">IFERROR(__xludf.DUMMYFUNCTION("IF(AND(NOT(K754 = """"), G754 &gt;= 15),K754/FILTER('Base Stats'!$C$2:$C1000, LOWER('Base Stats'!$B$2:$B1000) = LOWER($A754)), """")"),"#N/A")</f>
        <v>#N/A</v>
      </c>
      <c r="M754" t="str">
        <f ca="1">IFERROR(__xludf.DUMMYFUNCTION("1.15 + 0.02 * FILTER('Base Stats'!$C$2:$C1000, LOWER('Base Stats'!$B$2:$B1000) = LOWER($A754))"),"1.15")</f>
        <v>1.15</v>
      </c>
      <c r="N754" t="s">
        <v>527</v>
      </c>
    </row>
    <row r="755" spans="1:14" ht="12.75" x14ac:dyDescent="0.2">
      <c r="A755">
        <f>'Form Responses (Pokemon Stats)'!B715</f>
        <v>0</v>
      </c>
      <c r="B755">
        <f>'Form Responses (Pokemon Stats)'!D715</f>
        <v>0</v>
      </c>
      <c r="C755">
        <f>'Form Responses (Pokemon Stats)'!C715</f>
        <v>0</v>
      </c>
      <c r="F755">
        <f>'Form Responses (Pokemon Stats)'!E715</f>
        <v>0</v>
      </c>
      <c r="G755" t="str">
        <f ca="1">IFERROR(__xludf.DUMMYFUNCTION("ROUND(B755/ FILTER('Pokemon CP/HP'!$M$2:$M1000, LOWER('Pokemon CP/HP'!$B$2:$B1000)=LOWER(A755)))"),"#DIV/0!")</f>
        <v>#DIV/0!</v>
      </c>
      <c r="H755" t="str">
        <f ca="1">IFERROR(__xludf.DUMMYFUNCTION("FILTER('Leveling Info'!$B$2:$B1000, 'Leveling Info'!$A$2:$A1000 =G755)"),"#N/A")</f>
        <v>#N/A</v>
      </c>
      <c r="I755" s="29" t="e">
        <f t="shared" ca="1" si="0"/>
        <v>#VALUE!</v>
      </c>
      <c r="J755" s="29" t="str">
        <f ca="1">IFERROR(__xludf.DUMMYFUNCTION("IF(F755 = H755,C755/FILTER('Base Stats'!$C$2:$C1000, LOWER('Base Stats'!$B$2:$B1000) = LOWER($A755)), """")"),"#N/A")</f>
        <v>#N/A</v>
      </c>
      <c r="K755" t="str">
        <f t="shared" ca="1" si="1"/>
        <v/>
      </c>
      <c r="L755" t="str">
        <f ca="1">IFERROR(__xludf.DUMMYFUNCTION("IF(AND(NOT(K755 = """"), G755 &gt;= 15),K755/FILTER('Base Stats'!$C$2:$C1000, LOWER('Base Stats'!$B$2:$B1000) = LOWER($A755)), """")"),"#N/A")</f>
        <v>#N/A</v>
      </c>
      <c r="M755" t="str">
        <f ca="1">IFERROR(__xludf.DUMMYFUNCTION("1.15 + 0.02 * FILTER('Base Stats'!$C$2:$C1000, LOWER('Base Stats'!$B$2:$B1000) = LOWER($A755))"),"1.15")</f>
        <v>1.15</v>
      </c>
      <c r="N755" t="s">
        <v>527</v>
      </c>
    </row>
    <row r="756" spans="1:14" ht="12.75" x14ac:dyDescent="0.2">
      <c r="A756">
        <f>'Form Responses (Pokemon Stats)'!B716</f>
        <v>0</v>
      </c>
      <c r="B756">
        <f>'Form Responses (Pokemon Stats)'!D716</f>
        <v>0</v>
      </c>
      <c r="C756">
        <f>'Form Responses (Pokemon Stats)'!C716</f>
        <v>0</v>
      </c>
      <c r="F756">
        <f>'Form Responses (Pokemon Stats)'!E716</f>
        <v>0</v>
      </c>
      <c r="G756" t="str">
        <f ca="1">IFERROR(__xludf.DUMMYFUNCTION("ROUND(B756/ FILTER('Pokemon CP/HP'!$M$2:$M1000, LOWER('Pokemon CP/HP'!$B$2:$B1000)=LOWER(A756)))"),"#DIV/0!")</f>
        <v>#DIV/0!</v>
      </c>
      <c r="H756" t="str">
        <f ca="1">IFERROR(__xludf.DUMMYFUNCTION("FILTER('Leveling Info'!$B$2:$B1000, 'Leveling Info'!$A$2:$A1000 =G756)"),"#N/A")</f>
        <v>#N/A</v>
      </c>
      <c r="I756" s="29" t="e">
        <f t="shared" ca="1" si="0"/>
        <v>#VALUE!</v>
      </c>
      <c r="J756" s="29" t="str">
        <f ca="1">IFERROR(__xludf.DUMMYFUNCTION("IF(F756 = H756,C756/FILTER('Base Stats'!$C$2:$C1000, LOWER('Base Stats'!$B$2:$B1000) = LOWER($A756)), """")"),"#N/A")</f>
        <v>#N/A</v>
      </c>
      <c r="K756" t="str">
        <f t="shared" ca="1" si="1"/>
        <v/>
      </c>
      <c r="L756" t="str">
        <f ca="1">IFERROR(__xludf.DUMMYFUNCTION("IF(AND(NOT(K756 = """"), G756 &gt;= 15),K756/FILTER('Base Stats'!$C$2:$C1000, LOWER('Base Stats'!$B$2:$B1000) = LOWER($A756)), """")"),"#N/A")</f>
        <v>#N/A</v>
      </c>
      <c r="M756" t="str">
        <f ca="1">IFERROR(__xludf.DUMMYFUNCTION("1.15 + 0.02 * FILTER('Base Stats'!$C$2:$C1000, LOWER('Base Stats'!$B$2:$B1000) = LOWER($A756))"),"1.15")</f>
        <v>1.15</v>
      </c>
      <c r="N756" t="s">
        <v>527</v>
      </c>
    </row>
    <row r="757" spans="1:14" ht="12.75" x14ac:dyDescent="0.2">
      <c r="A757">
        <f>'Form Responses (Pokemon Stats)'!B717</f>
        <v>0</v>
      </c>
      <c r="B757">
        <f>'Form Responses (Pokemon Stats)'!D717</f>
        <v>0</v>
      </c>
      <c r="C757">
        <f>'Form Responses (Pokemon Stats)'!C717</f>
        <v>0</v>
      </c>
      <c r="F757">
        <f>'Form Responses (Pokemon Stats)'!E717</f>
        <v>0</v>
      </c>
      <c r="G757" t="str">
        <f ca="1">IFERROR(__xludf.DUMMYFUNCTION("ROUND(B757/ FILTER('Pokemon CP/HP'!$M$2:$M1000, LOWER('Pokemon CP/HP'!$B$2:$B1000)=LOWER(A757)))"),"#DIV/0!")</f>
        <v>#DIV/0!</v>
      </c>
      <c r="H757" t="str">
        <f ca="1">IFERROR(__xludf.DUMMYFUNCTION("FILTER('Leveling Info'!$B$2:$B1000, 'Leveling Info'!$A$2:$A1000 =G757)"),"#N/A")</f>
        <v>#N/A</v>
      </c>
      <c r="I757" s="29" t="e">
        <f t="shared" ca="1" si="0"/>
        <v>#VALUE!</v>
      </c>
      <c r="J757" s="29" t="str">
        <f ca="1">IFERROR(__xludf.DUMMYFUNCTION("IF(F757 = H757,C757/FILTER('Base Stats'!$C$2:$C1000, LOWER('Base Stats'!$B$2:$B1000) = LOWER($A757)), """")"),"#N/A")</f>
        <v>#N/A</v>
      </c>
      <c r="K757" t="str">
        <f t="shared" ca="1" si="1"/>
        <v/>
      </c>
      <c r="L757" t="str">
        <f ca="1">IFERROR(__xludf.DUMMYFUNCTION("IF(AND(NOT(K757 = """"), G757 &gt;= 15),K757/FILTER('Base Stats'!$C$2:$C1000, LOWER('Base Stats'!$B$2:$B1000) = LOWER($A757)), """")"),"#N/A")</f>
        <v>#N/A</v>
      </c>
      <c r="M757" t="str">
        <f ca="1">IFERROR(__xludf.DUMMYFUNCTION("1.15 + 0.02 * FILTER('Base Stats'!$C$2:$C1000, LOWER('Base Stats'!$B$2:$B1000) = LOWER($A757))"),"1.15")</f>
        <v>1.15</v>
      </c>
      <c r="N757" t="s">
        <v>527</v>
      </c>
    </row>
    <row r="758" spans="1:14" ht="12.75" x14ac:dyDescent="0.2">
      <c r="A758">
        <f>'Form Responses (Pokemon Stats)'!B718</f>
        <v>0</v>
      </c>
      <c r="B758">
        <f>'Form Responses (Pokemon Stats)'!D718</f>
        <v>0</v>
      </c>
      <c r="C758">
        <f>'Form Responses (Pokemon Stats)'!C718</f>
        <v>0</v>
      </c>
      <c r="F758">
        <f>'Form Responses (Pokemon Stats)'!E718</f>
        <v>0</v>
      </c>
      <c r="G758" t="str">
        <f ca="1">IFERROR(__xludf.DUMMYFUNCTION("ROUND(B758/ FILTER('Pokemon CP/HP'!$M$2:$M1000, LOWER('Pokemon CP/HP'!$B$2:$B1000)=LOWER(A758)))"),"#DIV/0!")</f>
        <v>#DIV/0!</v>
      </c>
      <c r="H758" t="str">
        <f ca="1">IFERROR(__xludf.DUMMYFUNCTION("FILTER('Leveling Info'!$B$2:$B1000, 'Leveling Info'!$A$2:$A1000 =G758)"),"#N/A")</f>
        <v>#N/A</v>
      </c>
      <c r="I758" s="29" t="e">
        <f t="shared" ca="1" si="0"/>
        <v>#VALUE!</v>
      </c>
      <c r="J758" s="29" t="str">
        <f ca="1">IFERROR(__xludf.DUMMYFUNCTION("IF(F758 = H758,C758/FILTER('Base Stats'!$C$2:$C1000, LOWER('Base Stats'!$B$2:$B1000) = LOWER($A758)), """")"),"#N/A")</f>
        <v>#N/A</v>
      </c>
      <c r="K758" t="str">
        <f t="shared" ca="1" si="1"/>
        <v/>
      </c>
      <c r="L758" t="str">
        <f ca="1">IFERROR(__xludf.DUMMYFUNCTION("IF(AND(NOT(K758 = """"), G758 &gt;= 15),K758/FILTER('Base Stats'!$C$2:$C1000, LOWER('Base Stats'!$B$2:$B1000) = LOWER($A758)), """")"),"#N/A")</f>
        <v>#N/A</v>
      </c>
      <c r="M758" t="str">
        <f ca="1">IFERROR(__xludf.DUMMYFUNCTION("1.15 + 0.02 * FILTER('Base Stats'!$C$2:$C1000, LOWER('Base Stats'!$B$2:$B1000) = LOWER($A758))"),"1.15")</f>
        <v>1.15</v>
      </c>
      <c r="N758" t="s">
        <v>527</v>
      </c>
    </row>
    <row r="759" spans="1:14" ht="12.75" x14ac:dyDescent="0.2">
      <c r="A759">
        <f>'Form Responses (Pokemon Stats)'!B719</f>
        <v>0</v>
      </c>
      <c r="B759">
        <f>'Form Responses (Pokemon Stats)'!D719</f>
        <v>0</v>
      </c>
      <c r="C759">
        <f>'Form Responses (Pokemon Stats)'!C719</f>
        <v>0</v>
      </c>
      <c r="F759">
        <f>'Form Responses (Pokemon Stats)'!E719</f>
        <v>0</v>
      </c>
      <c r="G759" t="str">
        <f ca="1">IFERROR(__xludf.DUMMYFUNCTION("ROUND(B759/ FILTER('Pokemon CP/HP'!$M$2:$M1000, LOWER('Pokemon CP/HP'!$B$2:$B1000)=LOWER(A759)))"),"#DIV/0!")</f>
        <v>#DIV/0!</v>
      </c>
      <c r="H759" t="str">
        <f ca="1">IFERROR(__xludf.DUMMYFUNCTION("FILTER('Leveling Info'!$B$2:$B1000, 'Leveling Info'!$A$2:$A1000 =G759)"),"#N/A")</f>
        <v>#N/A</v>
      </c>
      <c r="I759" s="29" t="e">
        <f t="shared" ca="1" si="0"/>
        <v>#VALUE!</v>
      </c>
      <c r="J759" s="29" t="str">
        <f ca="1">IFERROR(__xludf.DUMMYFUNCTION("IF(F759 = H759,C759/FILTER('Base Stats'!$C$2:$C1000, LOWER('Base Stats'!$B$2:$B1000) = LOWER($A759)), """")"),"#N/A")</f>
        <v>#N/A</v>
      </c>
      <c r="K759" t="str">
        <f t="shared" ca="1" si="1"/>
        <v/>
      </c>
      <c r="L759" t="str">
        <f ca="1">IFERROR(__xludf.DUMMYFUNCTION("IF(AND(NOT(K759 = """"), G759 &gt;= 15),K759/FILTER('Base Stats'!$C$2:$C1000, LOWER('Base Stats'!$B$2:$B1000) = LOWER($A759)), """")"),"#N/A")</f>
        <v>#N/A</v>
      </c>
      <c r="M759" t="str">
        <f ca="1">IFERROR(__xludf.DUMMYFUNCTION("1.15 + 0.02 * FILTER('Base Stats'!$C$2:$C1000, LOWER('Base Stats'!$B$2:$B1000) = LOWER($A759))"),"1.15")</f>
        <v>1.15</v>
      </c>
      <c r="N759" t="s">
        <v>527</v>
      </c>
    </row>
    <row r="760" spans="1:14" ht="12.75" x14ac:dyDescent="0.2">
      <c r="A760">
        <f>'Form Responses (Pokemon Stats)'!B720</f>
        <v>0</v>
      </c>
      <c r="B760">
        <f>'Form Responses (Pokemon Stats)'!D720</f>
        <v>0</v>
      </c>
      <c r="C760">
        <f>'Form Responses (Pokemon Stats)'!C720</f>
        <v>0</v>
      </c>
      <c r="F760">
        <f>'Form Responses (Pokemon Stats)'!E720</f>
        <v>0</v>
      </c>
      <c r="G760" t="str">
        <f ca="1">IFERROR(__xludf.DUMMYFUNCTION("ROUND(B760/ FILTER('Pokemon CP/HP'!$M$2:$M1000, LOWER('Pokemon CP/HP'!$B$2:$B1000)=LOWER(A760)))"),"#DIV/0!")</f>
        <v>#DIV/0!</v>
      </c>
      <c r="H760" t="str">
        <f ca="1">IFERROR(__xludf.DUMMYFUNCTION("FILTER('Leveling Info'!$B$2:$B1000, 'Leveling Info'!$A$2:$A1000 =G760)"),"#N/A")</f>
        <v>#N/A</v>
      </c>
      <c r="I760" s="29" t="e">
        <f t="shared" ca="1" si="0"/>
        <v>#VALUE!</v>
      </c>
      <c r="J760" s="29" t="str">
        <f ca="1">IFERROR(__xludf.DUMMYFUNCTION("IF(F760 = H760,C760/FILTER('Base Stats'!$C$2:$C1000, LOWER('Base Stats'!$B$2:$B1000) = LOWER($A760)), """")"),"#N/A")</f>
        <v>#N/A</v>
      </c>
      <c r="K760" t="str">
        <f t="shared" ca="1" si="1"/>
        <v/>
      </c>
      <c r="L760" t="str">
        <f ca="1">IFERROR(__xludf.DUMMYFUNCTION("IF(AND(NOT(K760 = """"), G760 &gt;= 15),K760/FILTER('Base Stats'!$C$2:$C1000, LOWER('Base Stats'!$B$2:$B1000) = LOWER($A760)), """")"),"#N/A")</f>
        <v>#N/A</v>
      </c>
      <c r="M760" t="str">
        <f ca="1">IFERROR(__xludf.DUMMYFUNCTION("1.15 + 0.02 * FILTER('Base Stats'!$C$2:$C1000, LOWER('Base Stats'!$B$2:$B1000) = LOWER($A760))"),"1.15")</f>
        <v>1.15</v>
      </c>
      <c r="N760" t="s">
        <v>527</v>
      </c>
    </row>
    <row r="761" spans="1:14" ht="12.75" x14ac:dyDescent="0.2">
      <c r="A761">
        <f>'Form Responses (Pokemon Stats)'!B721</f>
        <v>0</v>
      </c>
      <c r="B761">
        <f>'Form Responses (Pokemon Stats)'!D721</f>
        <v>0</v>
      </c>
      <c r="C761">
        <f>'Form Responses (Pokemon Stats)'!C721</f>
        <v>0</v>
      </c>
      <c r="F761">
        <f>'Form Responses (Pokemon Stats)'!E721</f>
        <v>0</v>
      </c>
      <c r="G761" t="str">
        <f ca="1">IFERROR(__xludf.DUMMYFUNCTION("ROUND(B761/ FILTER('Pokemon CP/HP'!$M$2:$M1000, LOWER('Pokemon CP/HP'!$B$2:$B1000)=LOWER(A761)))"),"#DIV/0!")</f>
        <v>#DIV/0!</v>
      </c>
      <c r="H761" t="str">
        <f ca="1">IFERROR(__xludf.DUMMYFUNCTION("FILTER('Leveling Info'!$B$2:$B1000, 'Leveling Info'!$A$2:$A1000 =G761)"),"#N/A")</f>
        <v>#N/A</v>
      </c>
      <c r="I761" s="29" t="e">
        <f t="shared" ca="1" si="0"/>
        <v>#VALUE!</v>
      </c>
      <c r="J761" s="29" t="str">
        <f ca="1">IFERROR(__xludf.DUMMYFUNCTION("IF(F761 = H761,C761/FILTER('Base Stats'!$C$2:$C1000, LOWER('Base Stats'!$B$2:$B1000) = LOWER($A761)), """")"),"#N/A")</f>
        <v>#N/A</v>
      </c>
      <c r="K761" t="str">
        <f t="shared" ca="1" si="1"/>
        <v/>
      </c>
      <c r="L761" t="str">
        <f ca="1">IFERROR(__xludf.DUMMYFUNCTION("IF(AND(NOT(K761 = """"), G761 &gt;= 15),K761/FILTER('Base Stats'!$C$2:$C1000, LOWER('Base Stats'!$B$2:$B1000) = LOWER($A761)), """")"),"#N/A")</f>
        <v>#N/A</v>
      </c>
      <c r="M761" t="str">
        <f ca="1">IFERROR(__xludf.DUMMYFUNCTION("1.15 + 0.02 * FILTER('Base Stats'!$C$2:$C1000, LOWER('Base Stats'!$B$2:$B1000) = LOWER($A761))"),"1.15")</f>
        <v>1.15</v>
      </c>
      <c r="N761" t="s">
        <v>527</v>
      </c>
    </row>
    <row r="762" spans="1:14" ht="12.75" x14ac:dyDescent="0.2">
      <c r="A762">
        <f>'Form Responses (Pokemon Stats)'!B722</f>
        <v>0</v>
      </c>
      <c r="B762">
        <f>'Form Responses (Pokemon Stats)'!D722</f>
        <v>0</v>
      </c>
      <c r="C762">
        <f>'Form Responses (Pokemon Stats)'!C722</f>
        <v>0</v>
      </c>
      <c r="F762">
        <f>'Form Responses (Pokemon Stats)'!E722</f>
        <v>0</v>
      </c>
      <c r="G762" t="str">
        <f ca="1">IFERROR(__xludf.DUMMYFUNCTION("ROUND(B762/ FILTER('Pokemon CP/HP'!$M$2:$M1000, LOWER('Pokemon CP/HP'!$B$2:$B1000)=LOWER(A762)))"),"#DIV/0!")</f>
        <v>#DIV/0!</v>
      </c>
      <c r="H762" t="str">
        <f ca="1">IFERROR(__xludf.DUMMYFUNCTION("FILTER('Leveling Info'!$B$2:$B1000, 'Leveling Info'!$A$2:$A1000 =G762)"),"#N/A")</f>
        <v>#N/A</v>
      </c>
      <c r="I762" s="29" t="e">
        <f t="shared" ca="1" si="0"/>
        <v>#VALUE!</v>
      </c>
      <c r="J762" s="29" t="str">
        <f ca="1">IFERROR(__xludf.DUMMYFUNCTION("IF(F762 = H762,C762/FILTER('Base Stats'!$C$2:$C1000, LOWER('Base Stats'!$B$2:$B1000) = LOWER($A762)), """")"),"#N/A")</f>
        <v>#N/A</v>
      </c>
      <c r="K762" t="str">
        <f t="shared" ca="1" si="1"/>
        <v/>
      </c>
      <c r="L762" t="str">
        <f ca="1">IFERROR(__xludf.DUMMYFUNCTION("IF(AND(NOT(K762 = """"), G762 &gt;= 15),K762/FILTER('Base Stats'!$C$2:$C1000, LOWER('Base Stats'!$B$2:$B1000) = LOWER($A762)), """")"),"#N/A")</f>
        <v>#N/A</v>
      </c>
      <c r="M762" t="str">
        <f ca="1">IFERROR(__xludf.DUMMYFUNCTION("1.15 + 0.02 * FILTER('Base Stats'!$C$2:$C1000, LOWER('Base Stats'!$B$2:$B1000) = LOWER($A762))"),"1.15")</f>
        <v>1.15</v>
      </c>
      <c r="N762" t="s">
        <v>527</v>
      </c>
    </row>
    <row r="763" spans="1:14" ht="12.75" x14ac:dyDescent="0.2">
      <c r="A763">
        <f>'Form Responses (Pokemon Stats)'!B723</f>
        <v>0</v>
      </c>
      <c r="B763">
        <f>'Form Responses (Pokemon Stats)'!D723</f>
        <v>0</v>
      </c>
      <c r="C763">
        <f>'Form Responses (Pokemon Stats)'!C723</f>
        <v>0</v>
      </c>
      <c r="F763">
        <f>'Form Responses (Pokemon Stats)'!E723</f>
        <v>0</v>
      </c>
      <c r="G763" t="str">
        <f ca="1">IFERROR(__xludf.DUMMYFUNCTION("ROUND(B763/ FILTER('Pokemon CP/HP'!$M$2:$M1000, LOWER('Pokemon CP/HP'!$B$2:$B1000)=LOWER(A763)))"),"#DIV/0!")</f>
        <v>#DIV/0!</v>
      </c>
      <c r="H763" t="str">
        <f ca="1">IFERROR(__xludf.DUMMYFUNCTION("FILTER('Leveling Info'!$B$2:$B1000, 'Leveling Info'!$A$2:$A1000 =G763)"),"#N/A")</f>
        <v>#N/A</v>
      </c>
      <c r="I763" s="29" t="e">
        <f t="shared" ca="1" si="0"/>
        <v>#VALUE!</v>
      </c>
      <c r="J763" s="29" t="str">
        <f ca="1">IFERROR(__xludf.DUMMYFUNCTION("IF(F763 = H763,C763/FILTER('Base Stats'!$C$2:$C1000, LOWER('Base Stats'!$B$2:$B1000) = LOWER($A763)), """")"),"#N/A")</f>
        <v>#N/A</v>
      </c>
      <c r="K763" t="str">
        <f t="shared" ca="1" si="1"/>
        <v/>
      </c>
      <c r="L763" t="str">
        <f ca="1">IFERROR(__xludf.DUMMYFUNCTION("IF(AND(NOT(K763 = """"), G763 &gt;= 15),K763/FILTER('Base Stats'!$C$2:$C1000, LOWER('Base Stats'!$B$2:$B1000) = LOWER($A763)), """")"),"#N/A")</f>
        <v>#N/A</v>
      </c>
      <c r="M763" t="str">
        <f ca="1">IFERROR(__xludf.DUMMYFUNCTION("1.15 + 0.02 * FILTER('Base Stats'!$C$2:$C1000, LOWER('Base Stats'!$B$2:$B1000) = LOWER($A763))"),"1.15")</f>
        <v>1.15</v>
      </c>
      <c r="N763" t="s">
        <v>527</v>
      </c>
    </row>
    <row r="764" spans="1:14" ht="12.75" x14ac:dyDescent="0.2">
      <c r="A764">
        <f>'Form Responses (Pokemon Stats)'!B724</f>
        <v>0</v>
      </c>
      <c r="B764">
        <f>'Form Responses (Pokemon Stats)'!D724</f>
        <v>0</v>
      </c>
      <c r="C764">
        <f>'Form Responses (Pokemon Stats)'!C724</f>
        <v>0</v>
      </c>
      <c r="F764">
        <f>'Form Responses (Pokemon Stats)'!E724</f>
        <v>0</v>
      </c>
      <c r="G764" t="str">
        <f ca="1">IFERROR(__xludf.DUMMYFUNCTION("ROUND(B764/ FILTER('Pokemon CP/HP'!$M$2:$M1000, LOWER('Pokemon CP/HP'!$B$2:$B1000)=LOWER(A764)))"),"#DIV/0!")</f>
        <v>#DIV/0!</v>
      </c>
      <c r="H764" t="str">
        <f ca="1">IFERROR(__xludf.DUMMYFUNCTION("FILTER('Leveling Info'!$B$2:$B1000, 'Leveling Info'!$A$2:$A1000 =G764)"),"#N/A")</f>
        <v>#N/A</v>
      </c>
      <c r="I764" s="29" t="e">
        <f t="shared" ca="1" si="0"/>
        <v>#VALUE!</v>
      </c>
      <c r="J764" s="29" t="str">
        <f ca="1">IFERROR(__xludf.DUMMYFUNCTION("IF(F764 = H764,C764/FILTER('Base Stats'!$C$2:$C1000, LOWER('Base Stats'!$B$2:$B1000) = LOWER($A764)), """")"),"#N/A")</f>
        <v>#N/A</v>
      </c>
      <c r="K764" t="str">
        <f t="shared" ca="1" si="1"/>
        <v/>
      </c>
      <c r="L764" t="str">
        <f ca="1">IFERROR(__xludf.DUMMYFUNCTION("IF(AND(NOT(K764 = """"), G764 &gt;= 15),K764/FILTER('Base Stats'!$C$2:$C1000, LOWER('Base Stats'!$B$2:$B1000) = LOWER($A764)), """")"),"#N/A")</f>
        <v>#N/A</v>
      </c>
      <c r="M764" t="str">
        <f ca="1">IFERROR(__xludf.DUMMYFUNCTION("1.15 + 0.02 * FILTER('Base Stats'!$C$2:$C1000, LOWER('Base Stats'!$B$2:$B1000) = LOWER($A764))"),"1.15")</f>
        <v>1.15</v>
      </c>
      <c r="N764" t="s">
        <v>527</v>
      </c>
    </row>
    <row r="765" spans="1:14" ht="12.75" x14ac:dyDescent="0.2">
      <c r="A765">
        <f>'Form Responses (Pokemon Stats)'!B725</f>
        <v>0</v>
      </c>
      <c r="B765">
        <f>'Form Responses (Pokemon Stats)'!D725</f>
        <v>0</v>
      </c>
      <c r="C765">
        <f>'Form Responses (Pokemon Stats)'!C725</f>
        <v>0</v>
      </c>
      <c r="F765">
        <f>'Form Responses (Pokemon Stats)'!E725</f>
        <v>0</v>
      </c>
      <c r="G765" t="str">
        <f ca="1">IFERROR(__xludf.DUMMYFUNCTION("ROUND(B765/ FILTER('Pokemon CP/HP'!$M$2:$M1000, LOWER('Pokemon CP/HP'!$B$2:$B1000)=LOWER(A765)))"),"#DIV/0!")</f>
        <v>#DIV/0!</v>
      </c>
      <c r="H765" t="str">
        <f ca="1">IFERROR(__xludf.DUMMYFUNCTION("FILTER('Leveling Info'!$B$2:$B1000, 'Leveling Info'!$A$2:$A1000 =G765)"),"#N/A")</f>
        <v>#N/A</v>
      </c>
      <c r="I765" s="29" t="e">
        <f t="shared" ca="1" si="0"/>
        <v>#VALUE!</v>
      </c>
      <c r="J765" s="29" t="str">
        <f ca="1">IFERROR(__xludf.DUMMYFUNCTION("IF(F765 = H765,C765/FILTER('Base Stats'!$C$2:$C1000, LOWER('Base Stats'!$B$2:$B1000) = LOWER($A765)), """")"),"#N/A")</f>
        <v>#N/A</v>
      </c>
      <c r="K765" t="str">
        <f t="shared" ca="1" si="1"/>
        <v/>
      </c>
      <c r="L765" t="str">
        <f ca="1">IFERROR(__xludf.DUMMYFUNCTION("IF(AND(NOT(K765 = """"), G765 &gt;= 15),K765/FILTER('Base Stats'!$C$2:$C1000, LOWER('Base Stats'!$B$2:$B1000) = LOWER($A765)), """")"),"#N/A")</f>
        <v>#N/A</v>
      </c>
      <c r="M765" t="str">
        <f ca="1">IFERROR(__xludf.DUMMYFUNCTION("1.15 + 0.02 * FILTER('Base Stats'!$C$2:$C1000, LOWER('Base Stats'!$B$2:$B1000) = LOWER($A765))"),"1.15")</f>
        <v>1.15</v>
      </c>
      <c r="N765" t="s">
        <v>527</v>
      </c>
    </row>
    <row r="766" spans="1:14" ht="12.75" x14ac:dyDescent="0.2">
      <c r="A766">
        <f>'Form Responses (Pokemon Stats)'!B726</f>
        <v>0</v>
      </c>
      <c r="B766">
        <f>'Form Responses (Pokemon Stats)'!D726</f>
        <v>0</v>
      </c>
      <c r="C766">
        <f>'Form Responses (Pokemon Stats)'!C726</f>
        <v>0</v>
      </c>
      <c r="F766">
        <f>'Form Responses (Pokemon Stats)'!E726</f>
        <v>0</v>
      </c>
      <c r="G766" t="str">
        <f ca="1">IFERROR(__xludf.DUMMYFUNCTION("ROUND(B766/ FILTER('Pokemon CP/HP'!$M$2:$M1000, LOWER('Pokemon CP/HP'!$B$2:$B1000)=LOWER(A766)))"),"#DIV/0!")</f>
        <v>#DIV/0!</v>
      </c>
      <c r="H766" t="str">
        <f ca="1">IFERROR(__xludf.DUMMYFUNCTION("FILTER('Leveling Info'!$B$2:$B1000, 'Leveling Info'!$A$2:$A1000 =G766)"),"#N/A")</f>
        <v>#N/A</v>
      </c>
      <c r="I766" s="29" t="e">
        <f t="shared" ca="1" si="0"/>
        <v>#VALUE!</v>
      </c>
      <c r="J766" s="29" t="str">
        <f ca="1">IFERROR(__xludf.DUMMYFUNCTION("IF(F766 = H766,C766/FILTER('Base Stats'!$C$2:$C1000, LOWER('Base Stats'!$B$2:$B1000) = LOWER($A766)), """")"),"#N/A")</f>
        <v>#N/A</v>
      </c>
      <c r="K766" t="str">
        <f t="shared" ca="1" si="1"/>
        <v/>
      </c>
      <c r="L766" t="str">
        <f ca="1">IFERROR(__xludf.DUMMYFUNCTION("IF(AND(NOT(K766 = """"), G766 &gt;= 15),K766/FILTER('Base Stats'!$C$2:$C1000, LOWER('Base Stats'!$B$2:$B1000) = LOWER($A766)), """")"),"#N/A")</f>
        <v>#N/A</v>
      </c>
      <c r="M766" t="str">
        <f ca="1">IFERROR(__xludf.DUMMYFUNCTION("1.15 + 0.02 * FILTER('Base Stats'!$C$2:$C1000, LOWER('Base Stats'!$B$2:$B1000) = LOWER($A766))"),"1.15")</f>
        <v>1.15</v>
      </c>
      <c r="N766" t="s">
        <v>527</v>
      </c>
    </row>
    <row r="767" spans="1:14" ht="12.75" x14ac:dyDescent="0.2">
      <c r="A767">
        <f>'Form Responses (Pokemon Stats)'!B727</f>
        <v>0</v>
      </c>
      <c r="B767">
        <f>'Form Responses (Pokemon Stats)'!D727</f>
        <v>0</v>
      </c>
      <c r="C767">
        <f>'Form Responses (Pokemon Stats)'!C727</f>
        <v>0</v>
      </c>
      <c r="F767">
        <f>'Form Responses (Pokemon Stats)'!E727</f>
        <v>0</v>
      </c>
      <c r="G767" t="str">
        <f ca="1">IFERROR(__xludf.DUMMYFUNCTION("ROUND(B767/ FILTER('Pokemon CP/HP'!$M$2:$M1000, LOWER('Pokemon CP/HP'!$B$2:$B1000)=LOWER(A767)))"),"#DIV/0!")</f>
        <v>#DIV/0!</v>
      </c>
      <c r="H767" t="str">
        <f ca="1">IFERROR(__xludf.DUMMYFUNCTION("FILTER('Leveling Info'!$B$2:$B1000, 'Leveling Info'!$A$2:$A1000 =G767)"),"#N/A")</f>
        <v>#N/A</v>
      </c>
      <c r="I767" s="29" t="e">
        <f t="shared" ca="1" si="0"/>
        <v>#VALUE!</v>
      </c>
      <c r="J767" s="29" t="str">
        <f ca="1">IFERROR(__xludf.DUMMYFUNCTION("IF(F767 = H767,C767/FILTER('Base Stats'!$C$2:$C1000, LOWER('Base Stats'!$B$2:$B1000) = LOWER($A767)), """")"),"#N/A")</f>
        <v>#N/A</v>
      </c>
      <c r="K767" t="str">
        <f t="shared" ca="1" si="1"/>
        <v/>
      </c>
      <c r="L767" t="str">
        <f ca="1">IFERROR(__xludf.DUMMYFUNCTION("IF(AND(NOT(K767 = """"), G767 &gt;= 15),K767/FILTER('Base Stats'!$C$2:$C1000, LOWER('Base Stats'!$B$2:$B1000) = LOWER($A767)), """")"),"#N/A")</f>
        <v>#N/A</v>
      </c>
      <c r="M767" t="str">
        <f ca="1">IFERROR(__xludf.DUMMYFUNCTION("1.15 + 0.02 * FILTER('Base Stats'!$C$2:$C1000, LOWER('Base Stats'!$B$2:$B1000) = LOWER($A767))"),"1.15")</f>
        <v>1.15</v>
      </c>
      <c r="N767" t="s">
        <v>527</v>
      </c>
    </row>
    <row r="768" spans="1:14" ht="12.75" x14ac:dyDescent="0.2">
      <c r="A768">
        <f>'Form Responses (Pokemon Stats)'!B728</f>
        <v>0</v>
      </c>
      <c r="B768">
        <f>'Form Responses (Pokemon Stats)'!D728</f>
        <v>0</v>
      </c>
      <c r="C768">
        <f>'Form Responses (Pokemon Stats)'!C728</f>
        <v>0</v>
      </c>
      <c r="F768">
        <f>'Form Responses (Pokemon Stats)'!E728</f>
        <v>0</v>
      </c>
      <c r="G768" t="str">
        <f ca="1">IFERROR(__xludf.DUMMYFUNCTION("ROUND(B768/ FILTER('Pokemon CP/HP'!$M$2:$M1000, LOWER('Pokemon CP/HP'!$B$2:$B1000)=LOWER(A768)))"),"#DIV/0!")</f>
        <v>#DIV/0!</v>
      </c>
      <c r="H768" t="str">
        <f ca="1">IFERROR(__xludf.DUMMYFUNCTION("FILTER('Leveling Info'!$B$2:$B1000, 'Leveling Info'!$A$2:$A1000 =G768)"),"#N/A")</f>
        <v>#N/A</v>
      </c>
      <c r="I768" s="29" t="e">
        <f t="shared" ca="1" si="0"/>
        <v>#VALUE!</v>
      </c>
      <c r="J768" s="29" t="str">
        <f ca="1">IFERROR(__xludf.DUMMYFUNCTION("IF(F768 = H768,C768/FILTER('Base Stats'!$C$2:$C1000, LOWER('Base Stats'!$B$2:$B1000) = LOWER($A768)), """")"),"#N/A")</f>
        <v>#N/A</v>
      </c>
      <c r="K768" t="str">
        <f t="shared" ca="1" si="1"/>
        <v/>
      </c>
      <c r="L768" t="str">
        <f ca="1">IFERROR(__xludf.DUMMYFUNCTION("IF(AND(NOT(K768 = """"), G768 &gt;= 15),K768/FILTER('Base Stats'!$C$2:$C1000, LOWER('Base Stats'!$B$2:$B1000) = LOWER($A768)), """")"),"#N/A")</f>
        <v>#N/A</v>
      </c>
      <c r="M768" t="str">
        <f ca="1">IFERROR(__xludf.DUMMYFUNCTION("1.15 + 0.02 * FILTER('Base Stats'!$C$2:$C1000, LOWER('Base Stats'!$B$2:$B1000) = LOWER($A768))"),"1.15")</f>
        <v>1.15</v>
      </c>
      <c r="N768" t="s">
        <v>527</v>
      </c>
    </row>
    <row r="769" spans="1:14" ht="12.75" x14ac:dyDescent="0.2">
      <c r="A769">
        <f>'Form Responses (Pokemon Stats)'!B729</f>
        <v>0</v>
      </c>
      <c r="B769">
        <f>'Form Responses (Pokemon Stats)'!D729</f>
        <v>0</v>
      </c>
      <c r="C769">
        <f>'Form Responses (Pokemon Stats)'!C729</f>
        <v>0</v>
      </c>
      <c r="F769">
        <f>'Form Responses (Pokemon Stats)'!E729</f>
        <v>0</v>
      </c>
      <c r="G769" t="str">
        <f ca="1">IFERROR(__xludf.DUMMYFUNCTION("ROUND(B769/ FILTER('Pokemon CP/HP'!$M$2:$M1000, LOWER('Pokemon CP/HP'!$B$2:$B1000)=LOWER(A769)))"),"#DIV/0!")</f>
        <v>#DIV/0!</v>
      </c>
      <c r="H769" t="str">
        <f ca="1">IFERROR(__xludf.DUMMYFUNCTION("FILTER('Leveling Info'!$B$2:$B1000, 'Leveling Info'!$A$2:$A1000 =G769)"),"#N/A")</f>
        <v>#N/A</v>
      </c>
      <c r="I769" s="29" t="e">
        <f t="shared" ca="1" si="0"/>
        <v>#VALUE!</v>
      </c>
      <c r="J769" s="29" t="str">
        <f ca="1">IFERROR(__xludf.DUMMYFUNCTION("IF(F769 = H769,C769/FILTER('Base Stats'!$C$2:$C1000, LOWER('Base Stats'!$B$2:$B1000) = LOWER($A769)), """")"),"#N/A")</f>
        <v>#N/A</v>
      </c>
      <c r="K769" t="str">
        <f t="shared" ca="1" si="1"/>
        <v/>
      </c>
      <c r="L769" t="str">
        <f ca="1">IFERROR(__xludf.DUMMYFUNCTION("IF(AND(NOT(K769 = """"), G769 &gt;= 15),K769/FILTER('Base Stats'!$C$2:$C1000, LOWER('Base Stats'!$B$2:$B1000) = LOWER($A769)), """")"),"#N/A")</f>
        <v>#N/A</v>
      </c>
      <c r="M769" t="str">
        <f ca="1">IFERROR(__xludf.DUMMYFUNCTION("1.15 + 0.02 * FILTER('Base Stats'!$C$2:$C1000, LOWER('Base Stats'!$B$2:$B1000) = LOWER($A769))"),"1.15")</f>
        <v>1.15</v>
      </c>
      <c r="N769" t="s">
        <v>527</v>
      </c>
    </row>
    <row r="770" spans="1:14" ht="12.75" x14ac:dyDescent="0.2">
      <c r="A770">
        <f>'Form Responses (Pokemon Stats)'!B730</f>
        <v>0</v>
      </c>
      <c r="B770">
        <f>'Form Responses (Pokemon Stats)'!D730</f>
        <v>0</v>
      </c>
      <c r="C770">
        <f>'Form Responses (Pokemon Stats)'!C730</f>
        <v>0</v>
      </c>
      <c r="F770">
        <f>'Form Responses (Pokemon Stats)'!E730</f>
        <v>0</v>
      </c>
      <c r="G770" t="str">
        <f ca="1">IFERROR(__xludf.DUMMYFUNCTION("ROUND(B770/ FILTER('Pokemon CP/HP'!$M$2:$M1000, LOWER('Pokemon CP/HP'!$B$2:$B1000)=LOWER(A770)))"),"#DIV/0!")</f>
        <v>#DIV/0!</v>
      </c>
      <c r="H770" t="str">
        <f ca="1">IFERROR(__xludf.DUMMYFUNCTION("FILTER('Leveling Info'!$B$2:$B1000, 'Leveling Info'!$A$2:$A1000 =G770)"),"#N/A")</f>
        <v>#N/A</v>
      </c>
      <c r="I770" s="29" t="e">
        <f t="shared" ca="1" si="0"/>
        <v>#VALUE!</v>
      </c>
      <c r="J770" s="29" t="str">
        <f ca="1">IFERROR(__xludf.DUMMYFUNCTION("IF(F770 = H770,C770/FILTER('Base Stats'!$C$2:$C1000, LOWER('Base Stats'!$B$2:$B1000) = LOWER($A770)), """")"),"#N/A")</f>
        <v>#N/A</v>
      </c>
      <c r="K770" t="str">
        <f t="shared" ca="1" si="1"/>
        <v/>
      </c>
      <c r="L770" t="str">
        <f ca="1">IFERROR(__xludf.DUMMYFUNCTION("IF(AND(NOT(K770 = """"), G770 &gt;= 15),K770/FILTER('Base Stats'!$C$2:$C1000, LOWER('Base Stats'!$B$2:$B1000) = LOWER($A770)), """")"),"#N/A")</f>
        <v>#N/A</v>
      </c>
      <c r="M770" t="str">
        <f ca="1">IFERROR(__xludf.DUMMYFUNCTION("1.15 + 0.02 * FILTER('Base Stats'!$C$2:$C1000, LOWER('Base Stats'!$B$2:$B1000) = LOWER($A770))"),"1.15")</f>
        <v>1.15</v>
      </c>
      <c r="N770" t="s">
        <v>527</v>
      </c>
    </row>
    <row r="771" spans="1:14" ht="12.75" x14ac:dyDescent="0.2">
      <c r="A771">
        <f>'Form Responses (Pokemon Stats)'!B731</f>
        <v>0</v>
      </c>
      <c r="B771">
        <f>'Form Responses (Pokemon Stats)'!D731</f>
        <v>0</v>
      </c>
      <c r="C771">
        <f>'Form Responses (Pokemon Stats)'!C731</f>
        <v>0</v>
      </c>
      <c r="F771">
        <f>'Form Responses (Pokemon Stats)'!E731</f>
        <v>0</v>
      </c>
      <c r="G771" t="str">
        <f ca="1">IFERROR(__xludf.DUMMYFUNCTION("ROUND(B771/ FILTER('Pokemon CP/HP'!$M$2:$M1000, LOWER('Pokemon CP/HP'!$B$2:$B1000)=LOWER(A771)))"),"#DIV/0!")</f>
        <v>#DIV/0!</v>
      </c>
      <c r="H771" t="str">
        <f ca="1">IFERROR(__xludf.DUMMYFUNCTION("FILTER('Leveling Info'!$B$2:$B1000, 'Leveling Info'!$A$2:$A1000 =G771)"),"#N/A")</f>
        <v>#N/A</v>
      </c>
      <c r="I771" s="29" t="e">
        <f t="shared" ca="1" si="0"/>
        <v>#VALUE!</v>
      </c>
      <c r="J771" s="29" t="str">
        <f ca="1">IFERROR(__xludf.DUMMYFUNCTION("IF(F771 = H771,C771/FILTER('Base Stats'!$C$2:$C1000, LOWER('Base Stats'!$B$2:$B1000) = LOWER($A771)), """")"),"#N/A")</f>
        <v>#N/A</v>
      </c>
      <c r="K771" t="str">
        <f t="shared" ca="1" si="1"/>
        <v/>
      </c>
      <c r="L771" t="str">
        <f ca="1">IFERROR(__xludf.DUMMYFUNCTION("IF(AND(NOT(K771 = """"), G771 &gt;= 15),K771/FILTER('Base Stats'!$C$2:$C1000, LOWER('Base Stats'!$B$2:$B1000) = LOWER($A771)), """")"),"#N/A")</f>
        <v>#N/A</v>
      </c>
      <c r="M771" t="str">
        <f ca="1">IFERROR(__xludf.DUMMYFUNCTION("1.15 + 0.02 * FILTER('Base Stats'!$C$2:$C1000, LOWER('Base Stats'!$B$2:$B1000) = LOWER($A771))"),"1.15")</f>
        <v>1.15</v>
      </c>
      <c r="N771" t="s">
        <v>527</v>
      </c>
    </row>
    <row r="772" spans="1:14" ht="12.75" x14ac:dyDescent="0.2">
      <c r="A772">
        <f>'Form Responses (Pokemon Stats)'!B732</f>
        <v>0</v>
      </c>
      <c r="B772">
        <f>'Form Responses (Pokemon Stats)'!D732</f>
        <v>0</v>
      </c>
      <c r="C772">
        <f>'Form Responses (Pokemon Stats)'!C732</f>
        <v>0</v>
      </c>
      <c r="F772">
        <f>'Form Responses (Pokemon Stats)'!E732</f>
        <v>0</v>
      </c>
      <c r="G772" t="str">
        <f ca="1">IFERROR(__xludf.DUMMYFUNCTION("ROUND(B772/ FILTER('Pokemon CP/HP'!$M$2:$M1000, LOWER('Pokemon CP/HP'!$B$2:$B1000)=LOWER(A772)))"),"#DIV/0!")</f>
        <v>#DIV/0!</v>
      </c>
      <c r="H772" t="str">
        <f ca="1">IFERROR(__xludf.DUMMYFUNCTION("FILTER('Leveling Info'!$B$2:$B1000, 'Leveling Info'!$A$2:$A1000 =G772)"),"#N/A")</f>
        <v>#N/A</v>
      </c>
      <c r="I772" s="29" t="e">
        <f t="shared" ca="1" si="0"/>
        <v>#VALUE!</v>
      </c>
      <c r="J772" s="29" t="str">
        <f ca="1">IFERROR(__xludf.DUMMYFUNCTION("IF(F772 = H772,C772/FILTER('Base Stats'!$C$2:$C1000, LOWER('Base Stats'!$B$2:$B1000) = LOWER($A772)), """")"),"#N/A")</f>
        <v>#N/A</v>
      </c>
      <c r="K772" t="str">
        <f t="shared" ca="1" si="1"/>
        <v/>
      </c>
      <c r="L772" t="str">
        <f ca="1">IFERROR(__xludf.DUMMYFUNCTION("IF(AND(NOT(K772 = """"), G772 &gt;= 15),K772/FILTER('Base Stats'!$C$2:$C1000, LOWER('Base Stats'!$B$2:$B1000) = LOWER($A772)), """")"),"#N/A")</f>
        <v>#N/A</v>
      </c>
      <c r="M772" t="str">
        <f ca="1">IFERROR(__xludf.DUMMYFUNCTION("1.15 + 0.02 * FILTER('Base Stats'!$C$2:$C1000, LOWER('Base Stats'!$B$2:$B1000) = LOWER($A772))"),"1.15")</f>
        <v>1.15</v>
      </c>
      <c r="N772" t="s">
        <v>527</v>
      </c>
    </row>
    <row r="773" spans="1:14" ht="12.75" x14ac:dyDescent="0.2">
      <c r="A773">
        <f>'Form Responses (Pokemon Stats)'!B733</f>
        <v>0</v>
      </c>
      <c r="B773">
        <f>'Form Responses (Pokemon Stats)'!D733</f>
        <v>0</v>
      </c>
      <c r="C773">
        <f>'Form Responses (Pokemon Stats)'!C733</f>
        <v>0</v>
      </c>
      <c r="F773">
        <f>'Form Responses (Pokemon Stats)'!E733</f>
        <v>0</v>
      </c>
      <c r="G773" t="str">
        <f ca="1">IFERROR(__xludf.DUMMYFUNCTION("ROUND(B773/ FILTER('Pokemon CP/HP'!$M$2:$M1000, LOWER('Pokemon CP/HP'!$B$2:$B1000)=LOWER(A773)))"),"#DIV/0!")</f>
        <v>#DIV/0!</v>
      </c>
      <c r="H773" t="str">
        <f ca="1">IFERROR(__xludf.DUMMYFUNCTION("FILTER('Leveling Info'!$B$2:$B1000, 'Leveling Info'!$A$2:$A1000 =G773)"),"#N/A")</f>
        <v>#N/A</v>
      </c>
      <c r="I773" s="29" t="e">
        <f t="shared" ca="1" si="0"/>
        <v>#VALUE!</v>
      </c>
      <c r="J773" s="29" t="str">
        <f ca="1">IFERROR(__xludf.DUMMYFUNCTION("IF(F773 = H773,C773/FILTER('Base Stats'!$C$2:$C1000, LOWER('Base Stats'!$B$2:$B1000) = LOWER($A773)), """")"),"#N/A")</f>
        <v>#N/A</v>
      </c>
      <c r="K773" t="str">
        <f t="shared" ca="1" si="1"/>
        <v/>
      </c>
      <c r="L773" t="str">
        <f ca="1">IFERROR(__xludf.DUMMYFUNCTION("IF(AND(NOT(K773 = """"), G773 &gt;= 15),K773/FILTER('Base Stats'!$C$2:$C1000, LOWER('Base Stats'!$B$2:$B1000) = LOWER($A773)), """")"),"#N/A")</f>
        <v>#N/A</v>
      </c>
      <c r="M773" t="str">
        <f ca="1">IFERROR(__xludf.DUMMYFUNCTION("1.15 + 0.02 * FILTER('Base Stats'!$C$2:$C1000, LOWER('Base Stats'!$B$2:$B1000) = LOWER($A773))"),"1.15")</f>
        <v>1.15</v>
      </c>
      <c r="N773" t="s">
        <v>527</v>
      </c>
    </row>
    <row r="774" spans="1:14" ht="12.75" x14ac:dyDescent="0.2">
      <c r="A774">
        <f>'Form Responses (Pokemon Stats)'!B734</f>
        <v>0</v>
      </c>
      <c r="B774">
        <f>'Form Responses (Pokemon Stats)'!D734</f>
        <v>0</v>
      </c>
      <c r="C774">
        <f>'Form Responses (Pokemon Stats)'!C734</f>
        <v>0</v>
      </c>
      <c r="F774">
        <f>'Form Responses (Pokemon Stats)'!E734</f>
        <v>0</v>
      </c>
      <c r="G774" t="str">
        <f ca="1">IFERROR(__xludf.DUMMYFUNCTION("ROUND(B774/ FILTER('Pokemon CP/HP'!$M$2:$M1000, LOWER('Pokemon CP/HP'!$B$2:$B1000)=LOWER(A774)))"),"#DIV/0!")</f>
        <v>#DIV/0!</v>
      </c>
      <c r="H774" t="str">
        <f ca="1">IFERROR(__xludf.DUMMYFUNCTION("FILTER('Leveling Info'!$B$2:$B1000, 'Leveling Info'!$A$2:$A1000 =G774)"),"#N/A")</f>
        <v>#N/A</v>
      </c>
      <c r="I774" s="29" t="e">
        <f t="shared" ca="1" si="0"/>
        <v>#VALUE!</v>
      </c>
      <c r="J774" s="29" t="str">
        <f ca="1">IFERROR(__xludf.DUMMYFUNCTION("IF(F774 = H774,C774/FILTER('Base Stats'!$C$2:$C1000, LOWER('Base Stats'!$B$2:$B1000) = LOWER($A774)), """")"),"#N/A")</f>
        <v>#N/A</v>
      </c>
      <c r="K774" t="str">
        <f t="shared" ca="1" si="1"/>
        <v/>
      </c>
      <c r="L774" t="str">
        <f ca="1">IFERROR(__xludf.DUMMYFUNCTION("IF(AND(NOT(K774 = """"), G774 &gt;= 15),K774/FILTER('Base Stats'!$C$2:$C1000, LOWER('Base Stats'!$B$2:$B1000) = LOWER($A774)), """")"),"#N/A")</f>
        <v>#N/A</v>
      </c>
      <c r="M774" t="str">
        <f ca="1">IFERROR(__xludf.DUMMYFUNCTION("1.15 + 0.02 * FILTER('Base Stats'!$C$2:$C1000, LOWER('Base Stats'!$B$2:$B1000) = LOWER($A774))"),"1.15")</f>
        <v>1.15</v>
      </c>
      <c r="N774" t="s">
        <v>527</v>
      </c>
    </row>
    <row r="775" spans="1:14" ht="12.75" x14ac:dyDescent="0.2">
      <c r="A775">
        <f>'Form Responses (Pokemon Stats)'!B735</f>
        <v>0</v>
      </c>
      <c r="B775">
        <f>'Form Responses (Pokemon Stats)'!D735</f>
        <v>0</v>
      </c>
      <c r="C775">
        <f>'Form Responses (Pokemon Stats)'!C735</f>
        <v>0</v>
      </c>
      <c r="F775">
        <f>'Form Responses (Pokemon Stats)'!E735</f>
        <v>0</v>
      </c>
      <c r="G775" t="str">
        <f ca="1">IFERROR(__xludf.DUMMYFUNCTION("ROUND(B775/ FILTER('Pokemon CP/HP'!$M$2:$M1000, LOWER('Pokemon CP/HP'!$B$2:$B1000)=LOWER(A775)))"),"#DIV/0!")</f>
        <v>#DIV/0!</v>
      </c>
      <c r="H775" t="str">
        <f ca="1">IFERROR(__xludf.DUMMYFUNCTION("FILTER('Leveling Info'!$B$2:$B1000, 'Leveling Info'!$A$2:$A1000 =G775)"),"#N/A")</f>
        <v>#N/A</v>
      </c>
      <c r="I775" s="29" t="e">
        <f t="shared" ca="1" si="0"/>
        <v>#VALUE!</v>
      </c>
      <c r="J775" s="29" t="str">
        <f ca="1">IFERROR(__xludf.DUMMYFUNCTION("IF(F775 = H775,C775/FILTER('Base Stats'!$C$2:$C1000, LOWER('Base Stats'!$B$2:$B1000) = LOWER($A775)), """")"),"#N/A")</f>
        <v>#N/A</v>
      </c>
      <c r="K775" t="str">
        <f t="shared" ca="1" si="1"/>
        <v/>
      </c>
      <c r="L775" t="str">
        <f ca="1">IFERROR(__xludf.DUMMYFUNCTION("IF(AND(NOT(K775 = """"), G775 &gt;= 15),K775/FILTER('Base Stats'!$C$2:$C1000, LOWER('Base Stats'!$B$2:$B1000) = LOWER($A775)), """")"),"#N/A")</f>
        <v>#N/A</v>
      </c>
      <c r="M775" t="str">
        <f ca="1">IFERROR(__xludf.DUMMYFUNCTION("1.15 + 0.02 * FILTER('Base Stats'!$C$2:$C1000, LOWER('Base Stats'!$B$2:$B1000) = LOWER($A775))"),"1.15")</f>
        <v>1.15</v>
      </c>
      <c r="N775" t="s">
        <v>527</v>
      </c>
    </row>
    <row r="776" spans="1:14" ht="12.75" x14ac:dyDescent="0.2">
      <c r="A776">
        <f>'Form Responses (Pokemon Stats)'!B736</f>
        <v>0</v>
      </c>
      <c r="B776">
        <f>'Form Responses (Pokemon Stats)'!D736</f>
        <v>0</v>
      </c>
      <c r="C776">
        <f>'Form Responses (Pokemon Stats)'!C736</f>
        <v>0</v>
      </c>
      <c r="F776">
        <f>'Form Responses (Pokemon Stats)'!E736</f>
        <v>0</v>
      </c>
      <c r="G776" t="str">
        <f ca="1">IFERROR(__xludf.DUMMYFUNCTION("ROUND(B776/ FILTER('Pokemon CP/HP'!$M$2:$M1000, LOWER('Pokemon CP/HP'!$B$2:$B1000)=LOWER(A776)))"),"#DIV/0!")</f>
        <v>#DIV/0!</v>
      </c>
      <c r="H776" t="str">
        <f ca="1">IFERROR(__xludf.DUMMYFUNCTION("FILTER('Leveling Info'!$B$2:$B1000, 'Leveling Info'!$A$2:$A1000 =G776)"),"#N/A")</f>
        <v>#N/A</v>
      </c>
      <c r="I776" s="29" t="e">
        <f t="shared" ca="1" si="0"/>
        <v>#VALUE!</v>
      </c>
      <c r="J776" s="29" t="str">
        <f ca="1">IFERROR(__xludf.DUMMYFUNCTION("IF(F776 = H776,C776/FILTER('Base Stats'!$C$2:$C1000, LOWER('Base Stats'!$B$2:$B1000) = LOWER($A776)), """")"),"#N/A")</f>
        <v>#N/A</v>
      </c>
      <c r="K776" t="str">
        <f t="shared" ca="1" si="1"/>
        <v/>
      </c>
      <c r="L776" t="str">
        <f ca="1">IFERROR(__xludf.DUMMYFUNCTION("IF(AND(NOT(K776 = """"), G776 &gt;= 15),K776/FILTER('Base Stats'!$C$2:$C1000, LOWER('Base Stats'!$B$2:$B1000) = LOWER($A776)), """")"),"#N/A")</f>
        <v>#N/A</v>
      </c>
      <c r="M776" t="str">
        <f ca="1">IFERROR(__xludf.DUMMYFUNCTION("1.15 + 0.02 * FILTER('Base Stats'!$C$2:$C1000, LOWER('Base Stats'!$B$2:$B1000) = LOWER($A776))"),"1.15")</f>
        <v>1.15</v>
      </c>
      <c r="N776" t="s">
        <v>527</v>
      </c>
    </row>
    <row r="777" spans="1:14" ht="12.75" x14ac:dyDescent="0.2">
      <c r="A777">
        <f>'Form Responses (Pokemon Stats)'!B737</f>
        <v>0</v>
      </c>
      <c r="B777">
        <f>'Form Responses (Pokemon Stats)'!D737</f>
        <v>0</v>
      </c>
      <c r="C777">
        <f>'Form Responses (Pokemon Stats)'!C737</f>
        <v>0</v>
      </c>
      <c r="F777">
        <f>'Form Responses (Pokemon Stats)'!E737</f>
        <v>0</v>
      </c>
      <c r="G777" t="str">
        <f ca="1">IFERROR(__xludf.DUMMYFUNCTION("ROUND(B777/ FILTER('Pokemon CP/HP'!$M$2:$M1000, LOWER('Pokemon CP/HP'!$B$2:$B1000)=LOWER(A777)))"),"#DIV/0!")</f>
        <v>#DIV/0!</v>
      </c>
      <c r="H777" t="str">
        <f ca="1">IFERROR(__xludf.DUMMYFUNCTION("FILTER('Leveling Info'!$B$2:$B1000, 'Leveling Info'!$A$2:$A1000 =G777)"),"#N/A")</f>
        <v>#N/A</v>
      </c>
      <c r="I777" s="29" t="e">
        <f t="shared" ca="1" si="0"/>
        <v>#VALUE!</v>
      </c>
      <c r="J777" s="29" t="str">
        <f ca="1">IFERROR(__xludf.DUMMYFUNCTION("IF(F777 = H777,C777/FILTER('Base Stats'!$C$2:$C1000, LOWER('Base Stats'!$B$2:$B1000) = LOWER($A777)), """")"),"#N/A")</f>
        <v>#N/A</v>
      </c>
      <c r="K777" t="str">
        <f t="shared" ca="1" si="1"/>
        <v/>
      </c>
      <c r="L777" t="str">
        <f ca="1">IFERROR(__xludf.DUMMYFUNCTION("IF(AND(NOT(K777 = """"), G777 &gt;= 15),K777/FILTER('Base Stats'!$C$2:$C1000, LOWER('Base Stats'!$B$2:$B1000) = LOWER($A777)), """")"),"#N/A")</f>
        <v>#N/A</v>
      </c>
      <c r="M777" t="str">
        <f ca="1">IFERROR(__xludf.DUMMYFUNCTION("1.15 + 0.02 * FILTER('Base Stats'!$C$2:$C1000, LOWER('Base Stats'!$B$2:$B1000) = LOWER($A777))"),"1.15")</f>
        <v>1.15</v>
      </c>
      <c r="N777" t="s">
        <v>527</v>
      </c>
    </row>
    <row r="778" spans="1:14" ht="12.75" x14ac:dyDescent="0.2">
      <c r="A778">
        <f>'Form Responses (Pokemon Stats)'!B738</f>
        <v>0</v>
      </c>
      <c r="B778">
        <f>'Form Responses (Pokemon Stats)'!D738</f>
        <v>0</v>
      </c>
      <c r="C778">
        <f>'Form Responses (Pokemon Stats)'!C738</f>
        <v>0</v>
      </c>
      <c r="F778">
        <f>'Form Responses (Pokemon Stats)'!E738</f>
        <v>0</v>
      </c>
      <c r="G778" t="str">
        <f ca="1">IFERROR(__xludf.DUMMYFUNCTION("ROUND(B778/ FILTER('Pokemon CP/HP'!$M$2:$M1000, LOWER('Pokemon CP/HP'!$B$2:$B1000)=LOWER(A778)))"),"#DIV/0!")</f>
        <v>#DIV/0!</v>
      </c>
      <c r="H778" t="str">
        <f ca="1">IFERROR(__xludf.DUMMYFUNCTION("FILTER('Leveling Info'!$B$2:$B1000, 'Leveling Info'!$A$2:$A1000 =G778)"),"#N/A")</f>
        <v>#N/A</v>
      </c>
      <c r="I778" s="29" t="e">
        <f t="shared" ca="1" si="0"/>
        <v>#VALUE!</v>
      </c>
      <c r="J778" s="29" t="str">
        <f ca="1">IFERROR(__xludf.DUMMYFUNCTION("IF(F778 = H778,C778/FILTER('Base Stats'!$C$2:$C1000, LOWER('Base Stats'!$B$2:$B1000) = LOWER($A778)), """")"),"#N/A")</f>
        <v>#N/A</v>
      </c>
      <c r="K778" t="str">
        <f t="shared" ca="1" si="1"/>
        <v/>
      </c>
      <c r="L778" t="str">
        <f ca="1">IFERROR(__xludf.DUMMYFUNCTION("IF(AND(NOT(K778 = """"), G778 &gt;= 15),K778/FILTER('Base Stats'!$C$2:$C1000, LOWER('Base Stats'!$B$2:$B1000) = LOWER($A778)), """")"),"#N/A")</f>
        <v>#N/A</v>
      </c>
      <c r="M778" t="str">
        <f ca="1">IFERROR(__xludf.DUMMYFUNCTION("1.15 + 0.02 * FILTER('Base Stats'!$C$2:$C1000, LOWER('Base Stats'!$B$2:$B1000) = LOWER($A778))"),"1.15")</f>
        <v>1.15</v>
      </c>
      <c r="N778" t="s">
        <v>527</v>
      </c>
    </row>
    <row r="779" spans="1:14" ht="12.75" x14ac:dyDescent="0.2">
      <c r="A779">
        <f>'Form Responses (Pokemon Stats)'!B739</f>
        <v>0</v>
      </c>
      <c r="B779">
        <f>'Form Responses (Pokemon Stats)'!D739</f>
        <v>0</v>
      </c>
      <c r="C779">
        <f>'Form Responses (Pokemon Stats)'!C739</f>
        <v>0</v>
      </c>
      <c r="F779">
        <f>'Form Responses (Pokemon Stats)'!E739</f>
        <v>0</v>
      </c>
      <c r="G779" t="str">
        <f ca="1">IFERROR(__xludf.DUMMYFUNCTION("ROUND(B779/ FILTER('Pokemon CP/HP'!$M$2:$M1000, LOWER('Pokemon CP/HP'!$B$2:$B1000)=LOWER(A779)))"),"#DIV/0!")</f>
        <v>#DIV/0!</v>
      </c>
      <c r="H779" t="str">
        <f ca="1">IFERROR(__xludf.DUMMYFUNCTION("FILTER('Leveling Info'!$B$2:$B1000, 'Leveling Info'!$A$2:$A1000 =G779)"),"#N/A")</f>
        <v>#N/A</v>
      </c>
      <c r="I779" s="29" t="e">
        <f t="shared" ca="1" si="0"/>
        <v>#VALUE!</v>
      </c>
      <c r="J779" s="29" t="str">
        <f ca="1">IFERROR(__xludf.DUMMYFUNCTION("IF(F779 = H779,C779/FILTER('Base Stats'!$C$2:$C1000, LOWER('Base Stats'!$B$2:$B1000) = LOWER($A779)), """")"),"#N/A")</f>
        <v>#N/A</v>
      </c>
      <c r="K779" t="str">
        <f t="shared" ca="1" si="1"/>
        <v/>
      </c>
      <c r="L779" t="str">
        <f ca="1">IFERROR(__xludf.DUMMYFUNCTION("IF(AND(NOT(K779 = """"), G779 &gt;= 15),K779/FILTER('Base Stats'!$C$2:$C1000, LOWER('Base Stats'!$B$2:$B1000) = LOWER($A779)), """")"),"#N/A")</f>
        <v>#N/A</v>
      </c>
      <c r="M779" t="str">
        <f ca="1">IFERROR(__xludf.DUMMYFUNCTION("1.15 + 0.02 * FILTER('Base Stats'!$C$2:$C1000, LOWER('Base Stats'!$B$2:$B1000) = LOWER($A779))"),"1.15")</f>
        <v>1.15</v>
      </c>
      <c r="N779" t="s">
        <v>527</v>
      </c>
    </row>
    <row r="780" spans="1:14" ht="12.75" x14ac:dyDescent="0.2">
      <c r="A780">
        <f>'Form Responses (Pokemon Stats)'!B740</f>
        <v>0</v>
      </c>
      <c r="B780">
        <f>'Form Responses (Pokemon Stats)'!D740</f>
        <v>0</v>
      </c>
      <c r="C780">
        <f>'Form Responses (Pokemon Stats)'!C740</f>
        <v>0</v>
      </c>
      <c r="F780">
        <f>'Form Responses (Pokemon Stats)'!E740</f>
        <v>0</v>
      </c>
      <c r="G780" t="str">
        <f ca="1">IFERROR(__xludf.DUMMYFUNCTION("ROUND(B780/ FILTER('Pokemon CP/HP'!$M$2:$M1000, LOWER('Pokemon CP/HP'!$B$2:$B1000)=LOWER(A780)))"),"#DIV/0!")</f>
        <v>#DIV/0!</v>
      </c>
      <c r="H780" t="str">
        <f ca="1">IFERROR(__xludf.DUMMYFUNCTION("FILTER('Leveling Info'!$B$2:$B1000, 'Leveling Info'!$A$2:$A1000 =G780)"),"#N/A")</f>
        <v>#N/A</v>
      </c>
      <c r="I780" s="29" t="e">
        <f t="shared" ca="1" si="0"/>
        <v>#VALUE!</v>
      </c>
      <c r="J780" s="29" t="str">
        <f ca="1">IFERROR(__xludf.DUMMYFUNCTION("IF(F780 = H780,C780/FILTER('Base Stats'!$C$2:$C1000, LOWER('Base Stats'!$B$2:$B1000) = LOWER($A780)), """")"),"#N/A")</f>
        <v>#N/A</v>
      </c>
      <c r="K780" t="str">
        <f t="shared" ca="1" si="1"/>
        <v/>
      </c>
      <c r="L780" t="str">
        <f ca="1">IFERROR(__xludf.DUMMYFUNCTION("IF(AND(NOT(K780 = """"), G780 &gt;= 15),K780/FILTER('Base Stats'!$C$2:$C1000, LOWER('Base Stats'!$B$2:$B1000) = LOWER($A780)), """")"),"#N/A")</f>
        <v>#N/A</v>
      </c>
      <c r="M780" t="str">
        <f ca="1">IFERROR(__xludf.DUMMYFUNCTION("1.15 + 0.02 * FILTER('Base Stats'!$C$2:$C1000, LOWER('Base Stats'!$B$2:$B1000) = LOWER($A780))"),"1.15")</f>
        <v>1.15</v>
      </c>
      <c r="N780" t="s">
        <v>527</v>
      </c>
    </row>
    <row r="781" spans="1:14" ht="12.75" x14ac:dyDescent="0.2">
      <c r="A781">
        <f>'Form Responses (Pokemon Stats)'!B741</f>
        <v>0</v>
      </c>
      <c r="B781">
        <f>'Form Responses (Pokemon Stats)'!D741</f>
        <v>0</v>
      </c>
      <c r="C781">
        <f>'Form Responses (Pokemon Stats)'!C741</f>
        <v>0</v>
      </c>
      <c r="F781">
        <f>'Form Responses (Pokemon Stats)'!E741</f>
        <v>0</v>
      </c>
      <c r="G781" t="str">
        <f ca="1">IFERROR(__xludf.DUMMYFUNCTION("ROUND(B781/ FILTER('Pokemon CP/HP'!$M$2:$M1000, LOWER('Pokemon CP/HP'!$B$2:$B1000)=LOWER(A781)))"),"#DIV/0!")</f>
        <v>#DIV/0!</v>
      </c>
      <c r="H781" t="str">
        <f ca="1">IFERROR(__xludf.DUMMYFUNCTION("FILTER('Leveling Info'!$B$2:$B1000, 'Leveling Info'!$A$2:$A1000 =G781)"),"#N/A")</f>
        <v>#N/A</v>
      </c>
      <c r="I781" s="29" t="e">
        <f t="shared" ca="1" si="0"/>
        <v>#VALUE!</v>
      </c>
      <c r="J781" s="29" t="str">
        <f ca="1">IFERROR(__xludf.DUMMYFUNCTION("IF(F781 = H781,C781/FILTER('Base Stats'!$C$2:$C1000, LOWER('Base Stats'!$B$2:$B1000) = LOWER($A781)), """")"),"#N/A")</f>
        <v>#N/A</v>
      </c>
      <c r="K781" t="str">
        <f t="shared" ca="1" si="1"/>
        <v/>
      </c>
      <c r="L781" t="str">
        <f ca="1">IFERROR(__xludf.DUMMYFUNCTION("IF(AND(NOT(K781 = """"), G781 &gt;= 15),K781/FILTER('Base Stats'!$C$2:$C1000, LOWER('Base Stats'!$B$2:$B1000) = LOWER($A781)), """")"),"#N/A")</f>
        <v>#N/A</v>
      </c>
      <c r="M781" t="str">
        <f ca="1">IFERROR(__xludf.DUMMYFUNCTION("1.15 + 0.02 * FILTER('Base Stats'!$C$2:$C1000, LOWER('Base Stats'!$B$2:$B1000) = LOWER($A781))"),"1.15")</f>
        <v>1.15</v>
      </c>
      <c r="N781" t="s">
        <v>527</v>
      </c>
    </row>
    <row r="782" spans="1:14" ht="12.75" x14ac:dyDescent="0.2">
      <c r="A782">
        <f>'Form Responses (Pokemon Stats)'!B742</f>
        <v>0</v>
      </c>
      <c r="B782">
        <f>'Form Responses (Pokemon Stats)'!D742</f>
        <v>0</v>
      </c>
      <c r="C782">
        <f>'Form Responses (Pokemon Stats)'!C742</f>
        <v>0</v>
      </c>
      <c r="F782">
        <f>'Form Responses (Pokemon Stats)'!E742</f>
        <v>0</v>
      </c>
      <c r="G782" t="str">
        <f ca="1">IFERROR(__xludf.DUMMYFUNCTION("ROUND(B782/ FILTER('Pokemon CP/HP'!$M$2:$M1000, LOWER('Pokemon CP/HP'!$B$2:$B1000)=LOWER(A782)))"),"#DIV/0!")</f>
        <v>#DIV/0!</v>
      </c>
      <c r="H782" t="str">
        <f ca="1">IFERROR(__xludf.DUMMYFUNCTION("FILTER('Leveling Info'!$B$2:$B1000, 'Leveling Info'!$A$2:$A1000 =G782)"),"#N/A")</f>
        <v>#N/A</v>
      </c>
      <c r="I782" s="29" t="e">
        <f t="shared" ca="1" si="0"/>
        <v>#VALUE!</v>
      </c>
      <c r="J782" s="29" t="str">
        <f ca="1">IFERROR(__xludf.DUMMYFUNCTION("IF(F782 = H782,C782/FILTER('Base Stats'!$C$2:$C1000, LOWER('Base Stats'!$B$2:$B1000) = LOWER($A782)), """")"),"#N/A")</f>
        <v>#N/A</v>
      </c>
      <c r="K782" t="str">
        <f t="shared" ca="1" si="1"/>
        <v/>
      </c>
      <c r="L782" t="str">
        <f ca="1">IFERROR(__xludf.DUMMYFUNCTION("IF(AND(NOT(K782 = """"), G782 &gt;= 15),K782/FILTER('Base Stats'!$C$2:$C1000, LOWER('Base Stats'!$B$2:$B1000) = LOWER($A782)), """")"),"#N/A")</f>
        <v>#N/A</v>
      </c>
      <c r="M782" t="str">
        <f ca="1">IFERROR(__xludf.DUMMYFUNCTION("1.15 + 0.02 * FILTER('Base Stats'!$C$2:$C1000, LOWER('Base Stats'!$B$2:$B1000) = LOWER($A782))"),"1.15")</f>
        <v>1.15</v>
      </c>
      <c r="N782" t="s">
        <v>527</v>
      </c>
    </row>
    <row r="783" spans="1:14" ht="12.75" x14ac:dyDescent="0.2">
      <c r="A783">
        <f>'Form Responses (Pokemon Stats)'!B743</f>
        <v>0</v>
      </c>
      <c r="B783">
        <f>'Form Responses (Pokemon Stats)'!D743</f>
        <v>0</v>
      </c>
      <c r="C783">
        <f>'Form Responses (Pokemon Stats)'!C743</f>
        <v>0</v>
      </c>
      <c r="F783">
        <f>'Form Responses (Pokemon Stats)'!E743</f>
        <v>0</v>
      </c>
      <c r="G783" t="str">
        <f ca="1">IFERROR(__xludf.DUMMYFUNCTION("ROUND(B783/ FILTER('Pokemon CP/HP'!$M$2:$M1000, LOWER('Pokemon CP/HP'!$B$2:$B1000)=LOWER(A783)))"),"#DIV/0!")</f>
        <v>#DIV/0!</v>
      </c>
      <c r="H783" t="str">
        <f ca="1">IFERROR(__xludf.DUMMYFUNCTION("FILTER('Leveling Info'!$B$2:$B1000, 'Leveling Info'!$A$2:$A1000 =G783)"),"#N/A")</f>
        <v>#N/A</v>
      </c>
      <c r="I783" s="29" t="e">
        <f t="shared" ca="1" si="0"/>
        <v>#VALUE!</v>
      </c>
      <c r="J783" s="29" t="str">
        <f ca="1">IFERROR(__xludf.DUMMYFUNCTION("IF(F783 = H783,C783/FILTER('Base Stats'!$C$2:$C1000, LOWER('Base Stats'!$B$2:$B1000) = LOWER($A783)), """")"),"#N/A")</f>
        <v>#N/A</v>
      </c>
      <c r="K783" t="str">
        <f t="shared" ca="1" si="1"/>
        <v/>
      </c>
      <c r="L783" t="str">
        <f ca="1">IFERROR(__xludf.DUMMYFUNCTION("IF(AND(NOT(K783 = """"), G783 &gt;= 15),K783/FILTER('Base Stats'!$C$2:$C1000, LOWER('Base Stats'!$B$2:$B1000) = LOWER($A783)), """")"),"#N/A")</f>
        <v>#N/A</v>
      </c>
      <c r="M783" t="str">
        <f ca="1">IFERROR(__xludf.DUMMYFUNCTION("1.15 + 0.02 * FILTER('Base Stats'!$C$2:$C1000, LOWER('Base Stats'!$B$2:$B1000) = LOWER($A783))"),"1.15")</f>
        <v>1.15</v>
      </c>
      <c r="N783" t="s">
        <v>527</v>
      </c>
    </row>
    <row r="784" spans="1:14" ht="12.75" x14ac:dyDescent="0.2">
      <c r="A784">
        <f>'Form Responses (Pokemon Stats)'!B744</f>
        <v>0</v>
      </c>
      <c r="B784">
        <f>'Form Responses (Pokemon Stats)'!D744</f>
        <v>0</v>
      </c>
      <c r="C784">
        <f>'Form Responses (Pokemon Stats)'!C744</f>
        <v>0</v>
      </c>
      <c r="F784">
        <f>'Form Responses (Pokemon Stats)'!E744</f>
        <v>0</v>
      </c>
      <c r="G784" t="str">
        <f ca="1">IFERROR(__xludf.DUMMYFUNCTION("ROUND(B784/ FILTER('Pokemon CP/HP'!$M$2:$M1000, LOWER('Pokemon CP/HP'!$B$2:$B1000)=LOWER(A784)))"),"#DIV/0!")</f>
        <v>#DIV/0!</v>
      </c>
      <c r="H784" t="str">
        <f ca="1">IFERROR(__xludf.DUMMYFUNCTION("FILTER('Leveling Info'!$B$2:$B1000, 'Leveling Info'!$A$2:$A1000 =G784)"),"#N/A")</f>
        <v>#N/A</v>
      </c>
      <c r="I784" s="29" t="e">
        <f t="shared" ca="1" si="0"/>
        <v>#VALUE!</v>
      </c>
      <c r="J784" s="29" t="str">
        <f ca="1">IFERROR(__xludf.DUMMYFUNCTION("IF(F784 = H784,C784/FILTER('Base Stats'!$C$2:$C1000, LOWER('Base Stats'!$B$2:$B1000) = LOWER($A784)), """")"),"#N/A")</f>
        <v>#N/A</v>
      </c>
      <c r="K784" t="str">
        <f t="shared" ca="1" si="1"/>
        <v/>
      </c>
      <c r="L784" t="str">
        <f ca="1">IFERROR(__xludf.DUMMYFUNCTION("IF(AND(NOT(K784 = """"), G784 &gt;= 15),K784/FILTER('Base Stats'!$C$2:$C1000, LOWER('Base Stats'!$B$2:$B1000) = LOWER($A784)), """")"),"#N/A")</f>
        <v>#N/A</v>
      </c>
      <c r="M784" t="str">
        <f ca="1">IFERROR(__xludf.DUMMYFUNCTION("1.15 + 0.02 * FILTER('Base Stats'!$C$2:$C1000, LOWER('Base Stats'!$B$2:$B1000) = LOWER($A784))"),"1.15")</f>
        <v>1.15</v>
      </c>
      <c r="N784" t="s">
        <v>527</v>
      </c>
    </row>
    <row r="785" spans="1:14" ht="12.75" x14ac:dyDescent="0.2">
      <c r="A785">
        <f>'Form Responses (Pokemon Stats)'!B745</f>
        <v>0</v>
      </c>
      <c r="B785">
        <f>'Form Responses (Pokemon Stats)'!D745</f>
        <v>0</v>
      </c>
      <c r="C785">
        <f>'Form Responses (Pokemon Stats)'!C745</f>
        <v>0</v>
      </c>
      <c r="F785">
        <f>'Form Responses (Pokemon Stats)'!E745</f>
        <v>0</v>
      </c>
      <c r="G785" t="str">
        <f ca="1">IFERROR(__xludf.DUMMYFUNCTION("ROUND(B785/ FILTER('Pokemon CP/HP'!$M$2:$M1000, LOWER('Pokemon CP/HP'!$B$2:$B1000)=LOWER(A785)))"),"#DIV/0!")</f>
        <v>#DIV/0!</v>
      </c>
      <c r="H785" t="str">
        <f ca="1">IFERROR(__xludf.DUMMYFUNCTION("FILTER('Leveling Info'!$B$2:$B1000, 'Leveling Info'!$A$2:$A1000 =G785)"),"#N/A")</f>
        <v>#N/A</v>
      </c>
      <c r="I785" s="29" t="e">
        <f t="shared" ca="1" si="0"/>
        <v>#VALUE!</v>
      </c>
      <c r="J785" s="29" t="str">
        <f ca="1">IFERROR(__xludf.DUMMYFUNCTION("IF(F785 = H785,C785/FILTER('Base Stats'!$C$2:$C1000, LOWER('Base Stats'!$B$2:$B1000) = LOWER($A785)), """")"),"#N/A")</f>
        <v>#N/A</v>
      </c>
      <c r="K785" t="str">
        <f t="shared" ca="1" si="1"/>
        <v/>
      </c>
      <c r="L785" t="str">
        <f ca="1">IFERROR(__xludf.DUMMYFUNCTION("IF(AND(NOT(K785 = """"), G785 &gt;= 15),K785/FILTER('Base Stats'!$C$2:$C1000, LOWER('Base Stats'!$B$2:$B1000) = LOWER($A785)), """")"),"#N/A")</f>
        <v>#N/A</v>
      </c>
      <c r="M785" t="str">
        <f ca="1">IFERROR(__xludf.DUMMYFUNCTION("1.15 + 0.02 * FILTER('Base Stats'!$C$2:$C1000, LOWER('Base Stats'!$B$2:$B1000) = LOWER($A785))"),"1.15")</f>
        <v>1.15</v>
      </c>
      <c r="N785" t="s">
        <v>527</v>
      </c>
    </row>
    <row r="786" spans="1:14" ht="12.75" x14ac:dyDescent="0.2">
      <c r="A786">
        <f>'Form Responses (Pokemon Stats)'!B746</f>
        <v>0</v>
      </c>
      <c r="B786">
        <f>'Form Responses (Pokemon Stats)'!D746</f>
        <v>0</v>
      </c>
      <c r="C786">
        <f>'Form Responses (Pokemon Stats)'!C746</f>
        <v>0</v>
      </c>
      <c r="F786">
        <f>'Form Responses (Pokemon Stats)'!E746</f>
        <v>0</v>
      </c>
      <c r="G786" t="str">
        <f ca="1">IFERROR(__xludf.DUMMYFUNCTION("ROUND(B786/ FILTER('Pokemon CP/HP'!$M$2:$M1000, LOWER('Pokemon CP/HP'!$B$2:$B1000)=LOWER(A786)))"),"#DIV/0!")</f>
        <v>#DIV/0!</v>
      </c>
      <c r="H786" t="str">
        <f ca="1">IFERROR(__xludf.DUMMYFUNCTION("FILTER('Leveling Info'!$B$2:$B1000, 'Leveling Info'!$A$2:$A1000 =G786)"),"#N/A")</f>
        <v>#N/A</v>
      </c>
      <c r="I786" s="29" t="e">
        <f t="shared" ca="1" si="0"/>
        <v>#VALUE!</v>
      </c>
      <c r="J786" s="29" t="str">
        <f ca="1">IFERROR(__xludf.DUMMYFUNCTION("IF(F786 = H786,C786/FILTER('Base Stats'!$C$2:$C1000, LOWER('Base Stats'!$B$2:$B1000) = LOWER($A786)), """")"),"#N/A")</f>
        <v>#N/A</v>
      </c>
      <c r="K786" t="str">
        <f t="shared" ca="1" si="1"/>
        <v/>
      </c>
      <c r="L786" t="str">
        <f ca="1">IFERROR(__xludf.DUMMYFUNCTION("IF(AND(NOT(K786 = """"), G786 &gt;= 15),K786/FILTER('Base Stats'!$C$2:$C1000, LOWER('Base Stats'!$B$2:$B1000) = LOWER($A786)), """")"),"#N/A")</f>
        <v>#N/A</v>
      </c>
      <c r="M786" t="str">
        <f ca="1">IFERROR(__xludf.DUMMYFUNCTION("1.15 + 0.02 * FILTER('Base Stats'!$C$2:$C1000, LOWER('Base Stats'!$B$2:$B1000) = LOWER($A786))"),"1.15")</f>
        <v>1.15</v>
      </c>
      <c r="N786" t="s">
        <v>527</v>
      </c>
    </row>
    <row r="787" spans="1:14" ht="12.75" x14ac:dyDescent="0.2">
      <c r="A787">
        <f>'Form Responses (Pokemon Stats)'!B747</f>
        <v>0</v>
      </c>
      <c r="B787">
        <f>'Form Responses (Pokemon Stats)'!D747</f>
        <v>0</v>
      </c>
      <c r="C787">
        <f>'Form Responses (Pokemon Stats)'!C747</f>
        <v>0</v>
      </c>
      <c r="F787">
        <f>'Form Responses (Pokemon Stats)'!E747</f>
        <v>0</v>
      </c>
      <c r="G787" t="str">
        <f ca="1">IFERROR(__xludf.DUMMYFUNCTION("ROUND(B787/ FILTER('Pokemon CP/HP'!$M$2:$M1000, LOWER('Pokemon CP/HP'!$B$2:$B1000)=LOWER(A787)))"),"#DIV/0!")</f>
        <v>#DIV/0!</v>
      </c>
      <c r="H787" t="str">
        <f ca="1">IFERROR(__xludf.DUMMYFUNCTION("FILTER('Leveling Info'!$B$2:$B1000, 'Leveling Info'!$A$2:$A1000 =G787)"),"#N/A")</f>
        <v>#N/A</v>
      </c>
      <c r="I787" s="29" t="e">
        <f t="shared" ca="1" si="0"/>
        <v>#VALUE!</v>
      </c>
      <c r="J787" s="29" t="str">
        <f ca="1">IFERROR(__xludf.DUMMYFUNCTION("IF(F787 = H787,C787/FILTER('Base Stats'!$C$2:$C1000, LOWER('Base Stats'!$B$2:$B1000) = LOWER($A787)), """")"),"#N/A")</f>
        <v>#N/A</v>
      </c>
      <c r="K787" t="str">
        <f t="shared" ca="1" si="1"/>
        <v/>
      </c>
      <c r="L787" t="str">
        <f ca="1">IFERROR(__xludf.DUMMYFUNCTION("IF(AND(NOT(K787 = """"), G787 &gt;= 15),K787/FILTER('Base Stats'!$C$2:$C1000, LOWER('Base Stats'!$B$2:$B1000) = LOWER($A787)), """")"),"#N/A")</f>
        <v>#N/A</v>
      </c>
      <c r="M787" t="str">
        <f ca="1">IFERROR(__xludf.DUMMYFUNCTION("1.15 + 0.02 * FILTER('Base Stats'!$C$2:$C1000, LOWER('Base Stats'!$B$2:$B1000) = LOWER($A787))"),"1.15")</f>
        <v>1.15</v>
      </c>
      <c r="N787" t="s">
        <v>527</v>
      </c>
    </row>
    <row r="788" spans="1:14" ht="12.75" x14ac:dyDescent="0.2">
      <c r="A788">
        <f>'Form Responses (Pokemon Stats)'!B748</f>
        <v>0</v>
      </c>
      <c r="B788">
        <f>'Form Responses (Pokemon Stats)'!D748</f>
        <v>0</v>
      </c>
      <c r="C788">
        <f>'Form Responses (Pokemon Stats)'!C748</f>
        <v>0</v>
      </c>
      <c r="F788">
        <f>'Form Responses (Pokemon Stats)'!E748</f>
        <v>0</v>
      </c>
      <c r="G788" t="str">
        <f ca="1">IFERROR(__xludf.DUMMYFUNCTION("ROUND(B788/ FILTER('Pokemon CP/HP'!$M$2:$M1000, LOWER('Pokemon CP/HP'!$B$2:$B1000)=LOWER(A788)))"),"#DIV/0!")</f>
        <v>#DIV/0!</v>
      </c>
      <c r="H788" t="str">
        <f ca="1">IFERROR(__xludf.DUMMYFUNCTION("FILTER('Leveling Info'!$B$2:$B1000, 'Leveling Info'!$A$2:$A1000 =G788)"),"#N/A")</f>
        <v>#N/A</v>
      </c>
      <c r="I788" s="29" t="e">
        <f t="shared" ca="1" si="0"/>
        <v>#VALUE!</v>
      </c>
      <c r="J788" s="29" t="str">
        <f ca="1">IFERROR(__xludf.DUMMYFUNCTION("IF(F788 = H788,C788/FILTER('Base Stats'!$C$2:$C1000, LOWER('Base Stats'!$B$2:$B1000) = LOWER($A788)), """")"),"#N/A")</f>
        <v>#N/A</v>
      </c>
      <c r="K788" t="str">
        <f t="shared" ca="1" si="1"/>
        <v/>
      </c>
      <c r="L788" t="str">
        <f ca="1">IFERROR(__xludf.DUMMYFUNCTION("IF(AND(NOT(K788 = """"), G788 &gt;= 15),K788/FILTER('Base Stats'!$C$2:$C1000, LOWER('Base Stats'!$B$2:$B1000) = LOWER($A788)), """")"),"#N/A")</f>
        <v>#N/A</v>
      </c>
      <c r="M788" t="str">
        <f ca="1">IFERROR(__xludf.DUMMYFUNCTION("1.15 + 0.02 * FILTER('Base Stats'!$C$2:$C1000, LOWER('Base Stats'!$B$2:$B1000) = LOWER($A788))"),"1.15")</f>
        <v>1.15</v>
      </c>
      <c r="N788" t="s">
        <v>527</v>
      </c>
    </row>
    <row r="789" spans="1:14" ht="12.75" x14ac:dyDescent="0.2">
      <c r="A789">
        <f>'Form Responses (Pokemon Stats)'!B749</f>
        <v>0</v>
      </c>
      <c r="B789">
        <f>'Form Responses (Pokemon Stats)'!D749</f>
        <v>0</v>
      </c>
      <c r="C789">
        <f>'Form Responses (Pokemon Stats)'!C749</f>
        <v>0</v>
      </c>
      <c r="F789">
        <f>'Form Responses (Pokemon Stats)'!E749</f>
        <v>0</v>
      </c>
      <c r="G789" t="str">
        <f ca="1">IFERROR(__xludf.DUMMYFUNCTION("ROUND(B789/ FILTER('Pokemon CP/HP'!$M$2:$M1000, LOWER('Pokemon CP/HP'!$B$2:$B1000)=LOWER(A789)))"),"#DIV/0!")</f>
        <v>#DIV/0!</v>
      </c>
      <c r="H789" t="str">
        <f ca="1">IFERROR(__xludf.DUMMYFUNCTION("FILTER('Leveling Info'!$B$2:$B1000, 'Leveling Info'!$A$2:$A1000 =G789)"),"#N/A")</f>
        <v>#N/A</v>
      </c>
      <c r="I789" s="29" t="e">
        <f t="shared" ca="1" si="0"/>
        <v>#VALUE!</v>
      </c>
      <c r="J789" s="29" t="str">
        <f ca="1">IFERROR(__xludf.DUMMYFUNCTION("IF(F789 = H789,C789/FILTER('Base Stats'!$C$2:$C1000, LOWER('Base Stats'!$B$2:$B1000) = LOWER($A789)), """")"),"#N/A")</f>
        <v>#N/A</v>
      </c>
      <c r="K789" t="str">
        <f t="shared" ca="1" si="1"/>
        <v/>
      </c>
      <c r="L789" t="str">
        <f ca="1">IFERROR(__xludf.DUMMYFUNCTION("IF(AND(NOT(K789 = """"), G789 &gt;= 15),K789/FILTER('Base Stats'!$C$2:$C1000, LOWER('Base Stats'!$B$2:$B1000) = LOWER($A789)), """")"),"#N/A")</f>
        <v>#N/A</v>
      </c>
      <c r="M789" t="str">
        <f ca="1">IFERROR(__xludf.DUMMYFUNCTION("1.15 + 0.02 * FILTER('Base Stats'!$C$2:$C1000, LOWER('Base Stats'!$B$2:$B1000) = LOWER($A789))"),"1.15")</f>
        <v>1.15</v>
      </c>
      <c r="N789" t="s">
        <v>527</v>
      </c>
    </row>
    <row r="790" spans="1:14" ht="12.75" x14ac:dyDescent="0.2">
      <c r="A790">
        <f>'Form Responses (Pokemon Stats)'!B750</f>
        <v>0</v>
      </c>
      <c r="B790">
        <f>'Form Responses (Pokemon Stats)'!D750</f>
        <v>0</v>
      </c>
      <c r="C790">
        <f>'Form Responses (Pokemon Stats)'!C750</f>
        <v>0</v>
      </c>
      <c r="F790">
        <f>'Form Responses (Pokemon Stats)'!E750</f>
        <v>0</v>
      </c>
      <c r="G790" t="str">
        <f ca="1">IFERROR(__xludf.DUMMYFUNCTION("ROUND(B790/ FILTER('Pokemon CP/HP'!$M$2:$M1000, LOWER('Pokemon CP/HP'!$B$2:$B1000)=LOWER(A790)))"),"#DIV/0!")</f>
        <v>#DIV/0!</v>
      </c>
      <c r="H790" t="str">
        <f ca="1">IFERROR(__xludf.DUMMYFUNCTION("FILTER('Leveling Info'!$B$2:$B1000, 'Leveling Info'!$A$2:$A1000 =G790)"),"#N/A")</f>
        <v>#N/A</v>
      </c>
      <c r="I790" s="29" t="e">
        <f t="shared" ca="1" si="0"/>
        <v>#VALUE!</v>
      </c>
      <c r="J790" s="29" t="str">
        <f ca="1">IFERROR(__xludf.DUMMYFUNCTION("IF(F790 = H790,C790/FILTER('Base Stats'!$C$2:$C1000, LOWER('Base Stats'!$B$2:$B1000) = LOWER($A790)), """")"),"#N/A")</f>
        <v>#N/A</v>
      </c>
      <c r="K790" t="str">
        <f t="shared" ca="1" si="1"/>
        <v/>
      </c>
      <c r="L790" t="str">
        <f ca="1">IFERROR(__xludf.DUMMYFUNCTION("IF(AND(NOT(K790 = """"), G790 &gt;= 15),K790/FILTER('Base Stats'!$C$2:$C1000, LOWER('Base Stats'!$B$2:$B1000) = LOWER($A790)), """")"),"#N/A")</f>
        <v>#N/A</v>
      </c>
      <c r="M790" t="str">
        <f ca="1">IFERROR(__xludf.DUMMYFUNCTION("1.15 + 0.02 * FILTER('Base Stats'!$C$2:$C1000, LOWER('Base Stats'!$B$2:$B1000) = LOWER($A790))"),"1.15")</f>
        <v>1.15</v>
      </c>
      <c r="N790" t="s">
        <v>527</v>
      </c>
    </row>
    <row r="791" spans="1:14" ht="12.75" x14ac:dyDescent="0.2">
      <c r="A791">
        <f>'Form Responses (Pokemon Stats)'!B751</f>
        <v>0</v>
      </c>
      <c r="B791">
        <f>'Form Responses (Pokemon Stats)'!D751</f>
        <v>0</v>
      </c>
      <c r="C791">
        <f>'Form Responses (Pokemon Stats)'!C751</f>
        <v>0</v>
      </c>
      <c r="F791">
        <f>'Form Responses (Pokemon Stats)'!E751</f>
        <v>0</v>
      </c>
      <c r="G791" t="str">
        <f ca="1">IFERROR(__xludf.DUMMYFUNCTION("ROUND(B791/ FILTER('Pokemon CP/HP'!$M$2:$M1000, LOWER('Pokemon CP/HP'!$B$2:$B1000)=LOWER(A791)))"),"#DIV/0!")</f>
        <v>#DIV/0!</v>
      </c>
      <c r="H791" t="str">
        <f ca="1">IFERROR(__xludf.DUMMYFUNCTION("FILTER('Leveling Info'!$B$2:$B1000, 'Leveling Info'!$A$2:$A1000 =G791)"),"#N/A")</f>
        <v>#N/A</v>
      </c>
      <c r="I791" s="29" t="e">
        <f t="shared" ca="1" si="0"/>
        <v>#VALUE!</v>
      </c>
      <c r="J791" s="29" t="str">
        <f ca="1">IFERROR(__xludf.DUMMYFUNCTION("IF(F791 = H791,C791/FILTER('Base Stats'!$C$2:$C1000, LOWER('Base Stats'!$B$2:$B1000) = LOWER($A791)), """")"),"#N/A")</f>
        <v>#N/A</v>
      </c>
      <c r="K791" t="str">
        <f t="shared" ca="1" si="1"/>
        <v/>
      </c>
      <c r="L791" t="str">
        <f ca="1">IFERROR(__xludf.DUMMYFUNCTION("IF(AND(NOT(K791 = """"), G791 &gt;= 15),K791/FILTER('Base Stats'!$C$2:$C1000, LOWER('Base Stats'!$B$2:$B1000) = LOWER($A791)), """")"),"#N/A")</f>
        <v>#N/A</v>
      </c>
      <c r="M791" t="str">
        <f ca="1">IFERROR(__xludf.DUMMYFUNCTION("1.15 + 0.02 * FILTER('Base Stats'!$C$2:$C1000, LOWER('Base Stats'!$B$2:$B1000) = LOWER($A791))"),"1.15")</f>
        <v>1.15</v>
      </c>
      <c r="N791" t="s">
        <v>527</v>
      </c>
    </row>
    <row r="792" spans="1:14" ht="12.75" x14ac:dyDescent="0.2">
      <c r="A792">
        <f>'Form Responses (Pokemon Stats)'!B752</f>
        <v>0</v>
      </c>
      <c r="B792">
        <f>'Form Responses (Pokemon Stats)'!D752</f>
        <v>0</v>
      </c>
      <c r="C792">
        <f>'Form Responses (Pokemon Stats)'!C752</f>
        <v>0</v>
      </c>
      <c r="F792">
        <f>'Form Responses (Pokemon Stats)'!E752</f>
        <v>0</v>
      </c>
      <c r="G792" t="str">
        <f ca="1">IFERROR(__xludf.DUMMYFUNCTION("ROUND(B792/ FILTER('Pokemon CP/HP'!$M$2:$M1000, LOWER('Pokemon CP/HP'!$B$2:$B1000)=LOWER(A792)))"),"#DIV/0!")</f>
        <v>#DIV/0!</v>
      </c>
      <c r="H792" t="str">
        <f ca="1">IFERROR(__xludf.DUMMYFUNCTION("FILTER('Leveling Info'!$B$2:$B1000, 'Leveling Info'!$A$2:$A1000 =G792)"),"#N/A")</f>
        <v>#N/A</v>
      </c>
      <c r="I792" s="29" t="e">
        <f t="shared" ca="1" si="0"/>
        <v>#VALUE!</v>
      </c>
      <c r="J792" s="29" t="str">
        <f ca="1">IFERROR(__xludf.DUMMYFUNCTION("IF(F792 = H792,C792/FILTER('Base Stats'!$C$2:$C1000, LOWER('Base Stats'!$B$2:$B1000) = LOWER($A792)), """")"),"#N/A")</f>
        <v>#N/A</v>
      </c>
      <c r="K792" t="str">
        <f t="shared" ca="1" si="1"/>
        <v/>
      </c>
      <c r="L792" t="str">
        <f ca="1">IFERROR(__xludf.DUMMYFUNCTION("IF(AND(NOT(K792 = """"), G792 &gt;= 15),K792/FILTER('Base Stats'!$C$2:$C1000, LOWER('Base Stats'!$B$2:$B1000) = LOWER($A792)), """")"),"#N/A")</f>
        <v>#N/A</v>
      </c>
      <c r="M792" t="str">
        <f ca="1">IFERROR(__xludf.DUMMYFUNCTION("1.15 + 0.02 * FILTER('Base Stats'!$C$2:$C1000, LOWER('Base Stats'!$B$2:$B1000) = LOWER($A792))"),"1.15")</f>
        <v>1.15</v>
      </c>
      <c r="N792" t="s">
        <v>527</v>
      </c>
    </row>
    <row r="793" spans="1:14" ht="12.75" x14ac:dyDescent="0.2">
      <c r="A793">
        <f>'Form Responses (Pokemon Stats)'!B753</f>
        <v>0</v>
      </c>
      <c r="B793">
        <f>'Form Responses (Pokemon Stats)'!D753</f>
        <v>0</v>
      </c>
      <c r="C793">
        <f>'Form Responses (Pokemon Stats)'!C753</f>
        <v>0</v>
      </c>
      <c r="F793">
        <f>'Form Responses (Pokemon Stats)'!E753</f>
        <v>0</v>
      </c>
      <c r="G793" t="str">
        <f ca="1">IFERROR(__xludf.DUMMYFUNCTION("ROUND(B793/ FILTER('Pokemon CP/HP'!$M$2:$M1000, LOWER('Pokemon CP/HP'!$B$2:$B1000)=LOWER(A793)))"),"#DIV/0!")</f>
        <v>#DIV/0!</v>
      </c>
      <c r="H793" t="str">
        <f ca="1">IFERROR(__xludf.DUMMYFUNCTION("FILTER('Leveling Info'!$B$2:$B1000, 'Leveling Info'!$A$2:$A1000 =G793)"),"#N/A")</f>
        <v>#N/A</v>
      </c>
      <c r="I793" s="29" t="e">
        <f t="shared" ca="1" si="0"/>
        <v>#VALUE!</v>
      </c>
      <c r="J793" s="29" t="str">
        <f ca="1">IFERROR(__xludf.DUMMYFUNCTION("IF(F793 = H793,C793/FILTER('Base Stats'!$C$2:$C1000, LOWER('Base Stats'!$B$2:$B1000) = LOWER($A793)), """")"),"#N/A")</f>
        <v>#N/A</v>
      </c>
      <c r="K793" t="str">
        <f t="shared" ca="1" si="1"/>
        <v/>
      </c>
      <c r="L793" t="str">
        <f ca="1">IFERROR(__xludf.DUMMYFUNCTION("IF(AND(NOT(K793 = """"), G793 &gt;= 15),K793/FILTER('Base Stats'!$C$2:$C1000, LOWER('Base Stats'!$B$2:$B1000) = LOWER($A793)), """")"),"#N/A")</f>
        <v>#N/A</v>
      </c>
      <c r="M793" t="str">
        <f ca="1">IFERROR(__xludf.DUMMYFUNCTION("1.15 + 0.02 * FILTER('Base Stats'!$C$2:$C1000, LOWER('Base Stats'!$B$2:$B1000) = LOWER($A793))"),"1.15")</f>
        <v>1.15</v>
      </c>
      <c r="N793" t="s">
        <v>527</v>
      </c>
    </row>
    <row r="794" spans="1:14" ht="12.75" x14ac:dyDescent="0.2">
      <c r="A794">
        <f>'Form Responses (Pokemon Stats)'!B754</f>
        <v>0</v>
      </c>
      <c r="B794">
        <f>'Form Responses (Pokemon Stats)'!D754</f>
        <v>0</v>
      </c>
      <c r="C794">
        <f>'Form Responses (Pokemon Stats)'!C754</f>
        <v>0</v>
      </c>
      <c r="F794">
        <f>'Form Responses (Pokemon Stats)'!E754</f>
        <v>0</v>
      </c>
      <c r="G794" t="str">
        <f ca="1">IFERROR(__xludf.DUMMYFUNCTION("ROUND(B794/ FILTER('Pokemon CP/HP'!$M$2:$M1000, LOWER('Pokemon CP/HP'!$B$2:$B1000)=LOWER(A794)))"),"#DIV/0!")</f>
        <v>#DIV/0!</v>
      </c>
      <c r="H794" t="str">
        <f ca="1">IFERROR(__xludf.DUMMYFUNCTION("FILTER('Leveling Info'!$B$2:$B1000, 'Leveling Info'!$A$2:$A1000 =G794)"),"#N/A")</f>
        <v>#N/A</v>
      </c>
      <c r="I794" s="29" t="e">
        <f t="shared" ca="1" si="0"/>
        <v>#VALUE!</v>
      </c>
      <c r="J794" s="29" t="str">
        <f ca="1">IFERROR(__xludf.DUMMYFUNCTION("IF(F794 = H794,C794/FILTER('Base Stats'!$C$2:$C1000, LOWER('Base Stats'!$B$2:$B1000) = LOWER($A794)), """")"),"#N/A")</f>
        <v>#N/A</v>
      </c>
      <c r="K794" t="str">
        <f t="shared" ca="1" si="1"/>
        <v/>
      </c>
      <c r="L794" t="str">
        <f ca="1">IFERROR(__xludf.DUMMYFUNCTION("IF(AND(NOT(K794 = """"), G794 &gt;= 15),K794/FILTER('Base Stats'!$C$2:$C1000, LOWER('Base Stats'!$B$2:$B1000) = LOWER($A794)), """")"),"#N/A")</f>
        <v>#N/A</v>
      </c>
      <c r="M794" t="str">
        <f ca="1">IFERROR(__xludf.DUMMYFUNCTION("1.15 + 0.02 * FILTER('Base Stats'!$C$2:$C1000, LOWER('Base Stats'!$B$2:$B1000) = LOWER($A794))"),"1.15")</f>
        <v>1.15</v>
      </c>
      <c r="N794" t="s">
        <v>527</v>
      </c>
    </row>
    <row r="795" spans="1:14" ht="12.75" x14ac:dyDescent="0.2">
      <c r="A795">
        <f>'Form Responses (Pokemon Stats)'!B755</f>
        <v>0</v>
      </c>
      <c r="B795">
        <f>'Form Responses (Pokemon Stats)'!D755</f>
        <v>0</v>
      </c>
      <c r="C795">
        <f>'Form Responses (Pokemon Stats)'!C755</f>
        <v>0</v>
      </c>
      <c r="F795">
        <f>'Form Responses (Pokemon Stats)'!E755</f>
        <v>0</v>
      </c>
      <c r="G795" t="str">
        <f ca="1">IFERROR(__xludf.DUMMYFUNCTION("ROUND(B795/ FILTER('Pokemon CP/HP'!$M$2:$M1000, LOWER('Pokemon CP/HP'!$B$2:$B1000)=LOWER(A795)))"),"#DIV/0!")</f>
        <v>#DIV/0!</v>
      </c>
      <c r="H795" t="str">
        <f ca="1">IFERROR(__xludf.DUMMYFUNCTION("FILTER('Leveling Info'!$B$2:$B1000, 'Leveling Info'!$A$2:$A1000 =G795)"),"#N/A")</f>
        <v>#N/A</v>
      </c>
      <c r="I795" s="29" t="e">
        <f t="shared" ca="1" si="0"/>
        <v>#VALUE!</v>
      </c>
      <c r="J795" s="29" t="str">
        <f ca="1">IFERROR(__xludf.DUMMYFUNCTION("IF(F795 = H795,C795/FILTER('Base Stats'!$C$2:$C1000, LOWER('Base Stats'!$B$2:$B1000) = LOWER($A795)), """")"),"#N/A")</f>
        <v>#N/A</v>
      </c>
      <c r="K795" t="str">
        <f t="shared" ca="1" si="1"/>
        <v/>
      </c>
      <c r="L795" t="str">
        <f ca="1">IFERROR(__xludf.DUMMYFUNCTION("IF(AND(NOT(K795 = """"), G795 &gt;= 15),K795/FILTER('Base Stats'!$C$2:$C1000, LOWER('Base Stats'!$B$2:$B1000) = LOWER($A795)), """")"),"#N/A")</f>
        <v>#N/A</v>
      </c>
      <c r="M795" t="str">
        <f ca="1">IFERROR(__xludf.DUMMYFUNCTION("1.15 + 0.02 * FILTER('Base Stats'!$C$2:$C1000, LOWER('Base Stats'!$B$2:$B1000) = LOWER($A795))"),"1.15")</f>
        <v>1.15</v>
      </c>
      <c r="N795" t="s">
        <v>527</v>
      </c>
    </row>
    <row r="796" spans="1:14" ht="12.75" x14ac:dyDescent="0.2">
      <c r="A796">
        <f>'Form Responses (Pokemon Stats)'!B756</f>
        <v>0</v>
      </c>
      <c r="B796">
        <f>'Form Responses (Pokemon Stats)'!D756</f>
        <v>0</v>
      </c>
      <c r="C796">
        <f>'Form Responses (Pokemon Stats)'!C756</f>
        <v>0</v>
      </c>
      <c r="F796">
        <f>'Form Responses (Pokemon Stats)'!E756</f>
        <v>0</v>
      </c>
      <c r="G796" t="str">
        <f ca="1">IFERROR(__xludf.DUMMYFUNCTION("ROUND(B796/ FILTER('Pokemon CP/HP'!$M$2:$M1000, LOWER('Pokemon CP/HP'!$B$2:$B1000)=LOWER(A796)))"),"#DIV/0!")</f>
        <v>#DIV/0!</v>
      </c>
      <c r="H796" t="str">
        <f ca="1">IFERROR(__xludf.DUMMYFUNCTION("FILTER('Leveling Info'!$B$2:$B1000, 'Leveling Info'!$A$2:$A1000 =G796)"),"#N/A")</f>
        <v>#N/A</v>
      </c>
      <c r="I796" s="29" t="e">
        <f t="shared" ca="1" si="0"/>
        <v>#VALUE!</v>
      </c>
      <c r="J796" s="29" t="str">
        <f ca="1">IFERROR(__xludf.DUMMYFUNCTION("IF(F796 = H796,C796/FILTER('Base Stats'!$C$2:$C1000, LOWER('Base Stats'!$B$2:$B1000) = LOWER($A796)), """")"),"#N/A")</f>
        <v>#N/A</v>
      </c>
      <c r="K796" t="str">
        <f t="shared" ca="1" si="1"/>
        <v/>
      </c>
      <c r="L796" t="str">
        <f ca="1">IFERROR(__xludf.DUMMYFUNCTION("IF(AND(NOT(K796 = """"), G796 &gt;= 15),K796/FILTER('Base Stats'!$C$2:$C1000, LOWER('Base Stats'!$B$2:$B1000) = LOWER($A796)), """")"),"#N/A")</f>
        <v>#N/A</v>
      </c>
      <c r="M796" t="str">
        <f ca="1">IFERROR(__xludf.DUMMYFUNCTION("1.15 + 0.02 * FILTER('Base Stats'!$C$2:$C1000, LOWER('Base Stats'!$B$2:$B1000) = LOWER($A796))"),"1.15")</f>
        <v>1.15</v>
      </c>
      <c r="N796" t="s">
        <v>527</v>
      </c>
    </row>
    <row r="797" spans="1:14" ht="12.75" x14ac:dyDescent="0.2">
      <c r="A797">
        <f>'Form Responses (Pokemon Stats)'!B757</f>
        <v>0</v>
      </c>
      <c r="B797">
        <f>'Form Responses (Pokemon Stats)'!D757</f>
        <v>0</v>
      </c>
      <c r="C797">
        <f>'Form Responses (Pokemon Stats)'!C757</f>
        <v>0</v>
      </c>
      <c r="F797">
        <f>'Form Responses (Pokemon Stats)'!E757</f>
        <v>0</v>
      </c>
      <c r="G797" t="str">
        <f ca="1">IFERROR(__xludf.DUMMYFUNCTION("ROUND(B797/ FILTER('Pokemon CP/HP'!$M$2:$M1000, LOWER('Pokemon CP/HP'!$B$2:$B1000)=LOWER(A797)))"),"#DIV/0!")</f>
        <v>#DIV/0!</v>
      </c>
      <c r="H797" t="str">
        <f ca="1">IFERROR(__xludf.DUMMYFUNCTION("FILTER('Leveling Info'!$B$2:$B1000, 'Leveling Info'!$A$2:$A1000 =G797)"),"#N/A")</f>
        <v>#N/A</v>
      </c>
      <c r="I797" s="29" t="e">
        <f t="shared" ca="1" si="0"/>
        <v>#VALUE!</v>
      </c>
      <c r="J797" s="29" t="str">
        <f ca="1">IFERROR(__xludf.DUMMYFUNCTION("IF(F797 = H797,C797/FILTER('Base Stats'!$C$2:$C1000, LOWER('Base Stats'!$B$2:$B1000) = LOWER($A797)), """")"),"#N/A")</f>
        <v>#N/A</v>
      </c>
      <c r="K797" t="str">
        <f t="shared" ca="1" si="1"/>
        <v/>
      </c>
      <c r="L797" t="str">
        <f ca="1">IFERROR(__xludf.DUMMYFUNCTION("IF(AND(NOT(K797 = """"), G797 &gt;= 15),K797/FILTER('Base Stats'!$C$2:$C1000, LOWER('Base Stats'!$B$2:$B1000) = LOWER($A797)), """")"),"#N/A")</f>
        <v>#N/A</v>
      </c>
      <c r="M797" t="str">
        <f ca="1">IFERROR(__xludf.DUMMYFUNCTION("1.15 + 0.02 * FILTER('Base Stats'!$C$2:$C1000, LOWER('Base Stats'!$B$2:$B1000) = LOWER($A797))"),"1.15")</f>
        <v>1.15</v>
      </c>
      <c r="N797" t="s">
        <v>527</v>
      </c>
    </row>
    <row r="798" spans="1:14" ht="12.75" x14ac:dyDescent="0.2">
      <c r="A798">
        <f>'Form Responses (Pokemon Stats)'!B758</f>
        <v>0</v>
      </c>
      <c r="B798">
        <f>'Form Responses (Pokemon Stats)'!D758</f>
        <v>0</v>
      </c>
      <c r="C798">
        <f>'Form Responses (Pokemon Stats)'!C758</f>
        <v>0</v>
      </c>
      <c r="F798">
        <f>'Form Responses (Pokemon Stats)'!E758</f>
        <v>0</v>
      </c>
      <c r="G798" t="str">
        <f ca="1">IFERROR(__xludf.DUMMYFUNCTION("ROUND(B798/ FILTER('Pokemon CP/HP'!$M$2:$M1000, LOWER('Pokemon CP/HP'!$B$2:$B1000)=LOWER(A798)))"),"#DIV/0!")</f>
        <v>#DIV/0!</v>
      </c>
      <c r="H798" t="str">
        <f ca="1">IFERROR(__xludf.DUMMYFUNCTION("FILTER('Leveling Info'!$B$2:$B1000, 'Leveling Info'!$A$2:$A1000 =G798)"),"#N/A")</f>
        <v>#N/A</v>
      </c>
      <c r="I798" s="29" t="e">
        <f t="shared" ca="1" si="0"/>
        <v>#VALUE!</v>
      </c>
      <c r="J798" s="29" t="str">
        <f ca="1">IFERROR(__xludf.DUMMYFUNCTION("IF(F798 = H798,C798/FILTER('Base Stats'!$C$2:$C1000, LOWER('Base Stats'!$B$2:$B1000) = LOWER($A798)), """")"),"#N/A")</f>
        <v>#N/A</v>
      </c>
      <c r="K798" t="str">
        <f t="shared" ca="1" si="1"/>
        <v/>
      </c>
      <c r="L798" t="str">
        <f ca="1">IFERROR(__xludf.DUMMYFUNCTION("IF(AND(NOT(K798 = """"), G798 &gt;= 15),K798/FILTER('Base Stats'!$C$2:$C1000, LOWER('Base Stats'!$B$2:$B1000) = LOWER($A798)), """")"),"#N/A")</f>
        <v>#N/A</v>
      </c>
      <c r="M798" t="str">
        <f ca="1">IFERROR(__xludf.DUMMYFUNCTION("1.15 + 0.02 * FILTER('Base Stats'!$C$2:$C1000, LOWER('Base Stats'!$B$2:$B1000) = LOWER($A798))"),"1.15")</f>
        <v>1.15</v>
      </c>
      <c r="N798" t="s">
        <v>527</v>
      </c>
    </row>
    <row r="799" spans="1:14" ht="12.75" x14ac:dyDescent="0.2">
      <c r="A799">
        <f>'Form Responses (Pokemon Stats)'!B759</f>
        <v>0</v>
      </c>
      <c r="B799">
        <f>'Form Responses (Pokemon Stats)'!D759</f>
        <v>0</v>
      </c>
      <c r="C799">
        <f>'Form Responses (Pokemon Stats)'!C759</f>
        <v>0</v>
      </c>
      <c r="F799">
        <f>'Form Responses (Pokemon Stats)'!E759</f>
        <v>0</v>
      </c>
      <c r="G799" t="str">
        <f ca="1">IFERROR(__xludf.DUMMYFUNCTION("ROUND(B799/ FILTER('Pokemon CP/HP'!$M$2:$M1000, LOWER('Pokemon CP/HP'!$B$2:$B1000)=LOWER(A799)))"),"#DIV/0!")</f>
        <v>#DIV/0!</v>
      </c>
      <c r="H799" t="str">
        <f ca="1">IFERROR(__xludf.DUMMYFUNCTION("FILTER('Leveling Info'!$B$2:$B1000, 'Leveling Info'!$A$2:$A1000 =G799)"),"#N/A")</f>
        <v>#N/A</v>
      </c>
      <c r="I799" s="29" t="e">
        <f t="shared" ca="1" si="0"/>
        <v>#VALUE!</v>
      </c>
      <c r="J799" s="29" t="str">
        <f ca="1">IFERROR(__xludf.DUMMYFUNCTION("IF(F799 = H799,C799/FILTER('Base Stats'!$C$2:$C1000, LOWER('Base Stats'!$B$2:$B1000) = LOWER($A799)), """")"),"#N/A")</f>
        <v>#N/A</v>
      </c>
      <c r="K799" t="str">
        <f t="shared" ca="1" si="1"/>
        <v/>
      </c>
      <c r="L799" t="str">
        <f ca="1">IFERROR(__xludf.DUMMYFUNCTION("IF(AND(NOT(K799 = """"), G799 &gt;= 15),K799/FILTER('Base Stats'!$C$2:$C1000, LOWER('Base Stats'!$B$2:$B1000) = LOWER($A799)), """")"),"#N/A")</f>
        <v>#N/A</v>
      </c>
      <c r="M799" t="str">
        <f ca="1">IFERROR(__xludf.DUMMYFUNCTION("1.15 + 0.02 * FILTER('Base Stats'!$C$2:$C1000, LOWER('Base Stats'!$B$2:$B1000) = LOWER($A799))"),"1.15")</f>
        <v>1.15</v>
      </c>
      <c r="N799" t="s">
        <v>527</v>
      </c>
    </row>
    <row r="800" spans="1:14" ht="12.75" x14ac:dyDescent="0.2">
      <c r="A800">
        <f>'Form Responses (Pokemon Stats)'!B760</f>
        <v>0</v>
      </c>
      <c r="B800">
        <f>'Form Responses (Pokemon Stats)'!D760</f>
        <v>0</v>
      </c>
      <c r="C800">
        <f>'Form Responses (Pokemon Stats)'!C760</f>
        <v>0</v>
      </c>
      <c r="F800">
        <f>'Form Responses (Pokemon Stats)'!E760</f>
        <v>0</v>
      </c>
      <c r="G800" t="str">
        <f ca="1">IFERROR(__xludf.DUMMYFUNCTION("ROUND(B800/ FILTER('Pokemon CP/HP'!$M$2:$M1000, LOWER('Pokemon CP/HP'!$B$2:$B1000)=LOWER(A800)))"),"#DIV/0!")</f>
        <v>#DIV/0!</v>
      </c>
      <c r="H800" t="str">
        <f ca="1">IFERROR(__xludf.DUMMYFUNCTION("FILTER('Leveling Info'!$B$2:$B1000, 'Leveling Info'!$A$2:$A1000 =G800)"),"#N/A")</f>
        <v>#N/A</v>
      </c>
      <c r="I800" s="29" t="e">
        <f t="shared" ca="1" si="0"/>
        <v>#VALUE!</v>
      </c>
      <c r="J800" s="29" t="str">
        <f ca="1">IFERROR(__xludf.DUMMYFUNCTION("IF(F800 = H800,C800/FILTER('Base Stats'!$C$2:$C1000, LOWER('Base Stats'!$B$2:$B1000) = LOWER($A800)), """")"),"#N/A")</f>
        <v>#N/A</v>
      </c>
      <c r="K800" t="str">
        <f t="shared" ca="1" si="1"/>
        <v/>
      </c>
      <c r="L800" t="str">
        <f ca="1">IFERROR(__xludf.DUMMYFUNCTION("IF(AND(NOT(K800 = """"), G800 &gt;= 15),K800/FILTER('Base Stats'!$C$2:$C1000, LOWER('Base Stats'!$B$2:$B1000) = LOWER($A800)), """")"),"#N/A")</f>
        <v>#N/A</v>
      </c>
      <c r="M800" t="str">
        <f ca="1">IFERROR(__xludf.DUMMYFUNCTION("1.15 + 0.02 * FILTER('Base Stats'!$C$2:$C1000, LOWER('Base Stats'!$B$2:$B1000) = LOWER($A800))"),"1.15")</f>
        <v>1.15</v>
      </c>
      <c r="N800" t="s">
        <v>527</v>
      </c>
    </row>
    <row r="801" spans="1:14" ht="12.75" x14ac:dyDescent="0.2">
      <c r="A801">
        <f>'Form Responses (Pokemon Stats)'!B761</f>
        <v>0</v>
      </c>
      <c r="B801">
        <f>'Form Responses (Pokemon Stats)'!D761</f>
        <v>0</v>
      </c>
      <c r="C801">
        <f>'Form Responses (Pokemon Stats)'!C761</f>
        <v>0</v>
      </c>
      <c r="F801">
        <f>'Form Responses (Pokemon Stats)'!E761</f>
        <v>0</v>
      </c>
      <c r="G801" t="str">
        <f ca="1">IFERROR(__xludf.DUMMYFUNCTION("ROUND(B801/ FILTER('Pokemon CP/HP'!$M$2:$M1000, LOWER('Pokemon CP/HP'!$B$2:$B1000)=LOWER(A801)))"),"#DIV/0!")</f>
        <v>#DIV/0!</v>
      </c>
      <c r="H801" t="str">
        <f ca="1">IFERROR(__xludf.DUMMYFUNCTION("FILTER('Leveling Info'!$B$2:$B1000, 'Leveling Info'!$A$2:$A1000 =G801)"),"#N/A")</f>
        <v>#N/A</v>
      </c>
      <c r="I801" s="29" t="e">
        <f t="shared" ca="1" si="0"/>
        <v>#VALUE!</v>
      </c>
      <c r="J801" s="29" t="str">
        <f ca="1">IFERROR(__xludf.DUMMYFUNCTION("IF(F801 = H801,C801/FILTER('Base Stats'!$C$2:$C1000, LOWER('Base Stats'!$B$2:$B1000) = LOWER($A801)), """")"),"#N/A")</f>
        <v>#N/A</v>
      </c>
      <c r="K801" t="str">
        <f t="shared" ca="1" si="1"/>
        <v/>
      </c>
      <c r="L801" t="str">
        <f ca="1">IFERROR(__xludf.DUMMYFUNCTION("IF(AND(NOT(K801 = """"), G801 &gt;= 15),K801/FILTER('Base Stats'!$C$2:$C1000, LOWER('Base Stats'!$B$2:$B1000) = LOWER($A801)), """")"),"#N/A")</f>
        <v>#N/A</v>
      </c>
      <c r="M801" t="str">
        <f ca="1">IFERROR(__xludf.DUMMYFUNCTION("1.15 + 0.02 * FILTER('Base Stats'!$C$2:$C1000, LOWER('Base Stats'!$B$2:$B1000) = LOWER($A801))"),"1.15")</f>
        <v>1.15</v>
      </c>
      <c r="N801" t="s">
        <v>527</v>
      </c>
    </row>
    <row r="802" spans="1:14" ht="12.75" x14ac:dyDescent="0.2">
      <c r="A802">
        <f>'Form Responses (Pokemon Stats)'!B762</f>
        <v>0</v>
      </c>
      <c r="B802">
        <f>'Form Responses (Pokemon Stats)'!D762</f>
        <v>0</v>
      </c>
      <c r="C802">
        <f>'Form Responses (Pokemon Stats)'!C762</f>
        <v>0</v>
      </c>
      <c r="F802">
        <f>'Form Responses (Pokemon Stats)'!E762</f>
        <v>0</v>
      </c>
      <c r="G802" t="str">
        <f ca="1">IFERROR(__xludf.DUMMYFUNCTION("ROUND(B802/ FILTER('Pokemon CP/HP'!$M$2:$M1000, LOWER('Pokemon CP/HP'!$B$2:$B1000)=LOWER(A802)))"),"#DIV/0!")</f>
        <v>#DIV/0!</v>
      </c>
      <c r="H802" t="str">
        <f ca="1">IFERROR(__xludf.DUMMYFUNCTION("FILTER('Leveling Info'!$B$2:$B1000, 'Leveling Info'!$A$2:$A1000 =G802)"),"#N/A")</f>
        <v>#N/A</v>
      </c>
      <c r="I802" s="29" t="e">
        <f t="shared" ca="1" si="0"/>
        <v>#VALUE!</v>
      </c>
      <c r="J802" s="29" t="str">
        <f ca="1">IFERROR(__xludf.DUMMYFUNCTION("IF(F802 = H802,C802/FILTER('Base Stats'!$C$2:$C1000, LOWER('Base Stats'!$B$2:$B1000) = LOWER($A802)), """")"),"#N/A")</f>
        <v>#N/A</v>
      </c>
      <c r="K802" t="str">
        <f t="shared" ca="1" si="1"/>
        <v/>
      </c>
      <c r="L802" t="str">
        <f ca="1">IFERROR(__xludf.DUMMYFUNCTION("IF(AND(NOT(K802 = """"), G802 &gt;= 15),K802/FILTER('Base Stats'!$C$2:$C1000, LOWER('Base Stats'!$B$2:$B1000) = LOWER($A802)), """")"),"#N/A")</f>
        <v>#N/A</v>
      </c>
      <c r="M802" t="str">
        <f ca="1">IFERROR(__xludf.DUMMYFUNCTION("1.15 + 0.02 * FILTER('Base Stats'!$C$2:$C1000, LOWER('Base Stats'!$B$2:$B1000) = LOWER($A802))"),"1.15")</f>
        <v>1.15</v>
      </c>
      <c r="N802" t="s">
        <v>527</v>
      </c>
    </row>
    <row r="803" spans="1:14" ht="12.75" x14ac:dyDescent="0.2">
      <c r="A803">
        <f>'Form Responses (Pokemon Stats)'!B763</f>
        <v>0</v>
      </c>
      <c r="B803">
        <f>'Form Responses (Pokemon Stats)'!D763</f>
        <v>0</v>
      </c>
      <c r="C803">
        <f>'Form Responses (Pokemon Stats)'!C763</f>
        <v>0</v>
      </c>
      <c r="F803">
        <f>'Form Responses (Pokemon Stats)'!E763</f>
        <v>0</v>
      </c>
      <c r="G803" t="str">
        <f ca="1">IFERROR(__xludf.DUMMYFUNCTION("ROUND(B803/ FILTER('Pokemon CP/HP'!$M$2:$M1000, LOWER('Pokemon CP/HP'!$B$2:$B1000)=LOWER(A803)))"),"#DIV/0!")</f>
        <v>#DIV/0!</v>
      </c>
      <c r="H803" t="str">
        <f ca="1">IFERROR(__xludf.DUMMYFUNCTION("FILTER('Leveling Info'!$B$2:$B1000, 'Leveling Info'!$A$2:$A1000 =G803)"),"#N/A")</f>
        <v>#N/A</v>
      </c>
      <c r="I803" s="29" t="e">
        <f t="shared" ca="1" si="0"/>
        <v>#VALUE!</v>
      </c>
      <c r="J803" s="29" t="str">
        <f ca="1">IFERROR(__xludf.DUMMYFUNCTION("IF(F803 = H803,C803/FILTER('Base Stats'!$C$2:$C1000, LOWER('Base Stats'!$B$2:$B1000) = LOWER($A803)), """")"),"#N/A")</f>
        <v>#N/A</v>
      </c>
      <c r="K803" t="str">
        <f t="shared" ca="1" si="1"/>
        <v/>
      </c>
      <c r="L803" t="str">
        <f ca="1">IFERROR(__xludf.DUMMYFUNCTION("IF(AND(NOT(K803 = """"), G803 &gt;= 15),K803/FILTER('Base Stats'!$C$2:$C1000, LOWER('Base Stats'!$B$2:$B1000) = LOWER($A803)), """")"),"#N/A")</f>
        <v>#N/A</v>
      </c>
      <c r="M803" t="str">
        <f ca="1">IFERROR(__xludf.DUMMYFUNCTION("1.15 + 0.02 * FILTER('Base Stats'!$C$2:$C1000, LOWER('Base Stats'!$B$2:$B1000) = LOWER($A803))"),"1.15")</f>
        <v>1.15</v>
      </c>
      <c r="N803" t="s">
        <v>527</v>
      </c>
    </row>
    <row r="804" spans="1:14" ht="12.75" x14ac:dyDescent="0.2">
      <c r="A804">
        <f>'Form Responses (Pokemon Stats)'!B764</f>
        <v>0</v>
      </c>
      <c r="B804">
        <f>'Form Responses (Pokemon Stats)'!D764</f>
        <v>0</v>
      </c>
      <c r="C804">
        <f>'Form Responses (Pokemon Stats)'!C764</f>
        <v>0</v>
      </c>
      <c r="F804">
        <f>'Form Responses (Pokemon Stats)'!E764</f>
        <v>0</v>
      </c>
      <c r="G804" t="str">
        <f ca="1">IFERROR(__xludf.DUMMYFUNCTION("ROUND(B804/ FILTER('Pokemon CP/HP'!$M$2:$M1000, LOWER('Pokemon CP/HP'!$B$2:$B1000)=LOWER(A804)))"),"#DIV/0!")</f>
        <v>#DIV/0!</v>
      </c>
      <c r="H804" t="str">
        <f ca="1">IFERROR(__xludf.DUMMYFUNCTION("FILTER('Leveling Info'!$B$2:$B1000, 'Leveling Info'!$A$2:$A1000 =G804)"),"#N/A")</f>
        <v>#N/A</v>
      </c>
      <c r="I804" s="29" t="e">
        <f t="shared" ca="1" si="0"/>
        <v>#VALUE!</v>
      </c>
      <c r="J804" s="29" t="str">
        <f ca="1">IFERROR(__xludf.DUMMYFUNCTION("IF(F804 = H804,C804/FILTER('Base Stats'!$C$2:$C1000, LOWER('Base Stats'!$B$2:$B1000) = LOWER($A804)), """")"),"#N/A")</f>
        <v>#N/A</v>
      </c>
      <c r="K804" t="str">
        <f t="shared" ca="1" si="1"/>
        <v/>
      </c>
      <c r="L804" t="str">
        <f ca="1">IFERROR(__xludf.DUMMYFUNCTION("IF(AND(NOT(K804 = """"), G804 &gt;= 15),K804/FILTER('Base Stats'!$C$2:$C1000, LOWER('Base Stats'!$B$2:$B1000) = LOWER($A804)), """")"),"#N/A")</f>
        <v>#N/A</v>
      </c>
      <c r="M804" t="str">
        <f ca="1">IFERROR(__xludf.DUMMYFUNCTION("1.15 + 0.02 * FILTER('Base Stats'!$C$2:$C1000, LOWER('Base Stats'!$B$2:$B1000) = LOWER($A804))"),"1.15")</f>
        <v>1.15</v>
      </c>
      <c r="N804" t="s">
        <v>527</v>
      </c>
    </row>
    <row r="805" spans="1:14" ht="12.75" x14ac:dyDescent="0.2">
      <c r="A805">
        <f>'Form Responses (Pokemon Stats)'!B765</f>
        <v>0</v>
      </c>
      <c r="B805">
        <f>'Form Responses (Pokemon Stats)'!D765</f>
        <v>0</v>
      </c>
      <c r="C805">
        <f>'Form Responses (Pokemon Stats)'!C765</f>
        <v>0</v>
      </c>
      <c r="F805">
        <f>'Form Responses (Pokemon Stats)'!E765</f>
        <v>0</v>
      </c>
      <c r="G805" t="str">
        <f ca="1">IFERROR(__xludf.DUMMYFUNCTION("ROUND(B805/ FILTER('Pokemon CP/HP'!$M$2:$M1000, LOWER('Pokemon CP/HP'!$B$2:$B1000)=LOWER(A805)))"),"#DIV/0!")</f>
        <v>#DIV/0!</v>
      </c>
      <c r="H805" t="str">
        <f ca="1">IFERROR(__xludf.DUMMYFUNCTION("FILTER('Leveling Info'!$B$2:$B1000, 'Leveling Info'!$A$2:$A1000 =G805)"),"#N/A")</f>
        <v>#N/A</v>
      </c>
      <c r="I805" s="29" t="e">
        <f t="shared" ca="1" si="0"/>
        <v>#VALUE!</v>
      </c>
      <c r="J805" s="29" t="str">
        <f ca="1">IFERROR(__xludf.DUMMYFUNCTION("IF(F805 = H805,C805/FILTER('Base Stats'!$C$2:$C1000, LOWER('Base Stats'!$B$2:$B1000) = LOWER($A805)), """")"),"#N/A")</f>
        <v>#N/A</v>
      </c>
      <c r="K805" t="str">
        <f t="shared" ca="1" si="1"/>
        <v/>
      </c>
      <c r="L805" t="str">
        <f ca="1">IFERROR(__xludf.DUMMYFUNCTION("IF(AND(NOT(K805 = """"), G805 &gt;= 15),K805/FILTER('Base Stats'!$C$2:$C1000, LOWER('Base Stats'!$B$2:$B1000) = LOWER($A805)), """")"),"#N/A")</f>
        <v>#N/A</v>
      </c>
      <c r="M805" t="str">
        <f ca="1">IFERROR(__xludf.DUMMYFUNCTION("1.15 + 0.02 * FILTER('Base Stats'!$C$2:$C1000, LOWER('Base Stats'!$B$2:$B1000) = LOWER($A805))"),"1.15")</f>
        <v>1.15</v>
      </c>
      <c r="N805" t="s">
        <v>527</v>
      </c>
    </row>
    <row r="806" spans="1:14" ht="12.75" x14ac:dyDescent="0.2">
      <c r="A806">
        <f>'Form Responses (Pokemon Stats)'!B766</f>
        <v>0</v>
      </c>
      <c r="B806">
        <f>'Form Responses (Pokemon Stats)'!D766</f>
        <v>0</v>
      </c>
      <c r="C806">
        <f>'Form Responses (Pokemon Stats)'!C766</f>
        <v>0</v>
      </c>
      <c r="F806">
        <f>'Form Responses (Pokemon Stats)'!E766</f>
        <v>0</v>
      </c>
      <c r="G806" t="str">
        <f ca="1">IFERROR(__xludf.DUMMYFUNCTION("ROUND(B806/ FILTER('Pokemon CP/HP'!$M$2:$M1000, LOWER('Pokemon CP/HP'!$B$2:$B1000)=LOWER(A806)))"),"#DIV/0!")</f>
        <v>#DIV/0!</v>
      </c>
      <c r="H806" t="str">
        <f ca="1">IFERROR(__xludf.DUMMYFUNCTION("FILTER('Leveling Info'!$B$2:$B1000, 'Leveling Info'!$A$2:$A1000 =G806)"),"#N/A")</f>
        <v>#N/A</v>
      </c>
      <c r="I806" s="29" t="e">
        <f t="shared" ca="1" si="0"/>
        <v>#VALUE!</v>
      </c>
      <c r="J806" s="29" t="str">
        <f ca="1">IFERROR(__xludf.DUMMYFUNCTION("IF(F806 = H806,C806/FILTER('Base Stats'!$C$2:$C1000, LOWER('Base Stats'!$B$2:$B1000) = LOWER($A806)), """")"),"#N/A")</f>
        <v>#N/A</v>
      </c>
      <c r="K806" t="str">
        <f t="shared" ca="1" si="1"/>
        <v/>
      </c>
      <c r="L806" t="str">
        <f ca="1">IFERROR(__xludf.DUMMYFUNCTION("IF(AND(NOT(K806 = """"), G806 &gt;= 15),K806/FILTER('Base Stats'!$C$2:$C1000, LOWER('Base Stats'!$B$2:$B1000) = LOWER($A806)), """")"),"#N/A")</f>
        <v>#N/A</v>
      </c>
      <c r="M806" t="str">
        <f ca="1">IFERROR(__xludf.DUMMYFUNCTION("1.15 + 0.02 * FILTER('Base Stats'!$C$2:$C1000, LOWER('Base Stats'!$B$2:$B1000) = LOWER($A806))"),"1.15")</f>
        <v>1.15</v>
      </c>
      <c r="N806" t="s">
        <v>527</v>
      </c>
    </row>
    <row r="807" spans="1:14" ht="12.75" x14ac:dyDescent="0.2">
      <c r="A807">
        <f>'Form Responses (Pokemon Stats)'!B767</f>
        <v>0</v>
      </c>
      <c r="B807">
        <f>'Form Responses (Pokemon Stats)'!D767</f>
        <v>0</v>
      </c>
      <c r="C807">
        <f>'Form Responses (Pokemon Stats)'!C767</f>
        <v>0</v>
      </c>
      <c r="F807">
        <f>'Form Responses (Pokemon Stats)'!E767</f>
        <v>0</v>
      </c>
      <c r="G807" t="str">
        <f ca="1">IFERROR(__xludf.DUMMYFUNCTION("ROUND(B807/ FILTER('Pokemon CP/HP'!$M$2:$M1000, LOWER('Pokemon CP/HP'!$B$2:$B1000)=LOWER(A807)))"),"#DIV/0!")</f>
        <v>#DIV/0!</v>
      </c>
      <c r="H807" t="str">
        <f ca="1">IFERROR(__xludf.DUMMYFUNCTION("FILTER('Leveling Info'!$B$2:$B1000, 'Leveling Info'!$A$2:$A1000 =G807)"),"#N/A")</f>
        <v>#N/A</v>
      </c>
      <c r="I807" s="29" t="e">
        <f t="shared" ca="1" si="0"/>
        <v>#VALUE!</v>
      </c>
      <c r="J807" s="29" t="str">
        <f ca="1">IFERROR(__xludf.DUMMYFUNCTION("IF(F807 = H807,C807/FILTER('Base Stats'!$C$2:$C1000, LOWER('Base Stats'!$B$2:$B1000) = LOWER($A807)), """")"),"#N/A")</f>
        <v>#N/A</v>
      </c>
      <c r="K807" t="str">
        <f t="shared" ca="1" si="1"/>
        <v/>
      </c>
      <c r="L807" t="str">
        <f ca="1">IFERROR(__xludf.DUMMYFUNCTION("IF(AND(NOT(K807 = """"), G807 &gt;= 15),K807/FILTER('Base Stats'!$C$2:$C1000, LOWER('Base Stats'!$B$2:$B1000) = LOWER($A807)), """")"),"#N/A")</f>
        <v>#N/A</v>
      </c>
      <c r="M807" t="str">
        <f ca="1">IFERROR(__xludf.DUMMYFUNCTION("1.15 + 0.02 * FILTER('Base Stats'!$C$2:$C1000, LOWER('Base Stats'!$B$2:$B1000) = LOWER($A807))"),"1.15")</f>
        <v>1.15</v>
      </c>
      <c r="N807" t="s">
        <v>527</v>
      </c>
    </row>
    <row r="808" spans="1:14" ht="12.75" x14ac:dyDescent="0.2">
      <c r="A808">
        <f>'Form Responses (Pokemon Stats)'!B768</f>
        <v>0</v>
      </c>
      <c r="B808">
        <f>'Form Responses (Pokemon Stats)'!D768</f>
        <v>0</v>
      </c>
      <c r="C808">
        <f>'Form Responses (Pokemon Stats)'!C768</f>
        <v>0</v>
      </c>
      <c r="F808">
        <f>'Form Responses (Pokemon Stats)'!E768</f>
        <v>0</v>
      </c>
      <c r="G808" t="str">
        <f ca="1">IFERROR(__xludf.DUMMYFUNCTION("ROUND(B808/ FILTER('Pokemon CP/HP'!$M$2:$M1000, LOWER('Pokemon CP/HP'!$B$2:$B1000)=LOWER(A808)))"),"#DIV/0!")</f>
        <v>#DIV/0!</v>
      </c>
      <c r="H808" t="str">
        <f ca="1">IFERROR(__xludf.DUMMYFUNCTION("FILTER('Leveling Info'!$B$2:$B1000, 'Leveling Info'!$A$2:$A1000 =G808)"),"#N/A")</f>
        <v>#N/A</v>
      </c>
      <c r="I808" s="29" t="e">
        <f t="shared" ca="1" si="0"/>
        <v>#VALUE!</v>
      </c>
      <c r="J808" s="29" t="str">
        <f ca="1">IFERROR(__xludf.DUMMYFUNCTION("IF(F808 = H808,C808/FILTER('Base Stats'!$C$2:$C1000, LOWER('Base Stats'!$B$2:$B1000) = LOWER($A808)), """")"),"#N/A")</f>
        <v>#N/A</v>
      </c>
      <c r="K808" t="str">
        <f t="shared" ca="1" si="1"/>
        <v/>
      </c>
      <c r="L808" t="str">
        <f ca="1">IFERROR(__xludf.DUMMYFUNCTION("IF(AND(NOT(K808 = """"), G808 &gt;= 15),K808/FILTER('Base Stats'!$C$2:$C1000, LOWER('Base Stats'!$B$2:$B1000) = LOWER($A808)), """")"),"#N/A")</f>
        <v>#N/A</v>
      </c>
      <c r="M808" t="str">
        <f ca="1">IFERROR(__xludf.DUMMYFUNCTION("1.15 + 0.02 * FILTER('Base Stats'!$C$2:$C1000, LOWER('Base Stats'!$B$2:$B1000) = LOWER($A808))"),"1.15")</f>
        <v>1.15</v>
      </c>
      <c r="N808" t="s">
        <v>527</v>
      </c>
    </row>
    <row r="809" spans="1:14" ht="12.75" x14ac:dyDescent="0.2">
      <c r="A809">
        <f>'Form Responses (Pokemon Stats)'!B769</f>
        <v>0</v>
      </c>
      <c r="B809">
        <f>'Form Responses (Pokemon Stats)'!D769</f>
        <v>0</v>
      </c>
      <c r="C809">
        <f>'Form Responses (Pokemon Stats)'!C769</f>
        <v>0</v>
      </c>
      <c r="F809">
        <f>'Form Responses (Pokemon Stats)'!E769</f>
        <v>0</v>
      </c>
      <c r="G809" t="str">
        <f ca="1">IFERROR(__xludf.DUMMYFUNCTION("ROUND(B809/ FILTER('Pokemon CP/HP'!$M$2:$M1000, LOWER('Pokemon CP/HP'!$B$2:$B1000)=LOWER(A809)))"),"#DIV/0!")</f>
        <v>#DIV/0!</v>
      </c>
      <c r="H809" t="str">
        <f ca="1">IFERROR(__xludf.DUMMYFUNCTION("FILTER('Leveling Info'!$B$2:$B1000, 'Leveling Info'!$A$2:$A1000 =G809)"),"#N/A")</f>
        <v>#N/A</v>
      </c>
      <c r="I809" s="29" t="e">
        <f t="shared" ca="1" si="0"/>
        <v>#VALUE!</v>
      </c>
      <c r="J809" s="29" t="str">
        <f ca="1">IFERROR(__xludf.DUMMYFUNCTION("IF(F809 = H809,C809/FILTER('Base Stats'!$C$2:$C1000, LOWER('Base Stats'!$B$2:$B1000) = LOWER($A809)), """")"),"#N/A")</f>
        <v>#N/A</v>
      </c>
      <c r="K809" t="str">
        <f t="shared" ca="1" si="1"/>
        <v/>
      </c>
      <c r="L809" t="str">
        <f ca="1">IFERROR(__xludf.DUMMYFUNCTION("IF(AND(NOT(K809 = """"), G809 &gt;= 15),K809/FILTER('Base Stats'!$C$2:$C1000, LOWER('Base Stats'!$B$2:$B1000) = LOWER($A809)), """")"),"#N/A")</f>
        <v>#N/A</v>
      </c>
      <c r="M809" t="str">
        <f ca="1">IFERROR(__xludf.DUMMYFUNCTION("1.15 + 0.02 * FILTER('Base Stats'!$C$2:$C1000, LOWER('Base Stats'!$B$2:$B1000) = LOWER($A809))"),"1.15")</f>
        <v>1.15</v>
      </c>
      <c r="N809" t="s">
        <v>527</v>
      </c>
    </row>
    <row r="810" spans="1:14" ht="12.75" x14ac:dyDescent="0.2">
      <c r="A810">
        <f>'Form Responses (Pokemon Stats)'!B770</f>
        <v>0</v>
      </c>
      <c r="B810">
        <f>'Form Responses (Pokemon Stats)'!D770</f>
        <v>0</v>
      </c>
      <c r="C810">
        <f>'Form Responses (Pokemon Stats)'!C770</f>
        <v>0</v>
      </c>
      <c r="F810">
        <f>'Form Responses (Pokemon Stats)'!E770</f>
        <v>0</v>
      </c>
      <c r="G810" t="str">
        <f ca="1">IFERROR(__xludf.DUMMYFUNCTION("ROUND(B810/ FILTER('Pokemon CP/HP'!$M$2:$M1000, LOWER('Pokemon CP/HP'!$B$2:$B1000)=LOWER(A810)))"),"#DIV/0!")</f>
        <v>#DIV/0!</v>
      </c>
      <c r="H810" t="str">
        <f ca="1">IFERROR(__xludf.DUMMYFUNCTION("FILTER('Leveling Info'!$B$2:$B1000, 'Leveling Info'!$A$2:$A1000 =G810)"),"#N/A")</f>
        <v>#N/A</v>
      </c>
      <c r="I810" s="29" t="e">
        <f t="shared" ca="1" si="0"/>
        <v>#VALUE!</v>
      </c>
      <c r="J810" s="29" t="str">
        <f ca="1">IFERROR(__xludf.DUMMYFUNCTION("IF(F810 = H810,C810/FILTER('Base Stats'!$C$2:$C1000, LOWER('Base Stats'!$B$2:$B1000) = LOWER($A810)), """")"),"#N/A")</f>
        <v>#N/A</v>
      </c>
      <c r="K810" t="str">
        <f t="shared" ca="1" si="1"/>
        <v/>
      </c>
      <c r="L810" t="str">
        <f ca="1">IFERROR(__xludf.DUMMYFUNCTION("IF(AND(NOT(K810 = """"), G810 &gt;= 15),K810/FILTER('Base Stats'!$C$2:$C1000, LOWER('Base Stats'!$B$2:$B1000) = LOWER($A810)), """")"),"#N/A")</f>
        <v>#N/A</v>
      </c>
      <c r="M810" t="str">
        <f ca="1">IFERROR(__xludf.DUMMYFUNCTION("1.15 + 0.02 * FILTER('Base Stats'!$C$2:$C1000, LOWER('Base Stats'!$B$2:$B1000) = LOWER($A810))"),"1.15")</f>
        <v>1.15</v>
      </c>
      <c r="N810" t="s">
        <v>527</v>
      </c>
    </row>
    <row r="811" spans="1:14" ht="12.75" x14ac:dyDescent="0.2">
      <c r="A811">
        <f>'Form Responses (Pokemon Stats)'!B771</f>
        <v>0</v>
      </c>
      <c r="B811">
        <f>'Form Responses (Pokemon Stats)'!D771</f>
        <v>0</v>
      </c>
      <c r="C811">
        <f>'Form Responses (Pokemon Stats)'!C771</f>
        <v>0</v>
      </c>
      <c r="F811">
        <f>'Form Responses (Pokemon Stats)'!E771</f>
        <v>0</v>
      </c>
      <c r="G811" t="str">
        <f ca="1">IFERROR(__xludf.DUMMYFUNCTION("ROUND(B811/ FILTER('Pokemon CP/HP'!$M$2:$M1000, LOWER('Pokemon CP/HP'!$B$2:$B1000)=LOWER(A811)))"),"#DIV/0!")</f>
        <v>#DIV/0!</v>
      </c>
      <c r="H811" t="str">
        <f ca="1">IFERROR(__xludf.DUMMYFUNCTION("FILTER('Leveling Info'!$B$2:$B1000, 'Leveling Info'!$A$2:$A1000 =G811)"),"#N/A")</f>
        <v>#N/A</v>
      </c>
      <c r="I811" s="29" t="e">
        <f t="shared" ca="1" si="0"/>
        <v>#VALUE!</v>
      </c>
      <c r="J811" s="29" t="str">
        <f ca="1">IFERROR(__xludf.DUMMYFUNCTION("IF(F811 = H811,C811/FILTER('Base Stats'!$C$2:$C1000, LOWER('Base Stats'!$B$2:$B1000) = LOWER($A811)), """")"),"#N/A")</f>
        <v>#N/A</v>
      </c>
      <c r="K811" t="str">
        <f t="shared" ca="1" si="1"/>
        <v/>
      </c>
      <c r="L811" t="str">
        <f ca="1">IFERROR(__xludf.DUMMYFUNCTION("IF(AND(NOT(K811 = """"), G811 &gt;= 15),K811/FILTER('Base Stats'!$C$2:$C1000, LOWER('Base Stats'!$B$2:$B1000) = LOWER($A811)), """")"),"#N/A")</f>
        <v>#N/A</v>
      </c>
      <c r="M811" t="str">
        <f ca="1">IFERROR(__xludf.DUMMYFUNCTION("1.15 + 0.02 * FILTER('Base Stats'!$C$2:$C1000, LOWER('Base Stats'!$B$2:$B1000) = LOWER($A811))"),"1.15")</f>
        <v>1.15</v>
      </c>
      <c r="N811" t="s">
        <v>527</v>
      </c>
    </row>
    <row r="812" spans="1:14" ht="12.75" x14ac:dyDescent="0.2">
      <c r="A812">
        <f>'Form Responses (Pokemon Stats)'!B772</f>
        <v>0</v>
      </c>
      <c r="B812">
        <f>'Form Responses (Pokemon Stats)'!D772</f>
        <v>0</v>
      </c>
      <c r="C812">
        <f>'Form Responses (Pokemon Stats)'!C772</f>
        <v>0</v>
      </c>
      <c r="F812">
        <f>'Form Responses (Pokemon Stats)'!E772</f>
        <v>0</v>
      </c>
      <c r="G812" t="str">
        <f ca="1">IFERROR(__xludf.DUMMYFUNCTION("ROUND(B812/ FILTER('Pokemon CP/HP'!$M$2:$M1000, LOWER('Pokemon CP/HP'!$B$2:$B1000)=LOWER(A812)))"),"#DIV/0!")</f>
        <v>#DIV/0!</v>
      </c>
      <c r="H812" t="str">
        <f ca="1">IFERROR(__xludf.DUMMYFUNCTION("FILTER('Leveling Info'!$B$2:$B1000, 'Leveling Info'!$A$2:$A1000 =G812)"),"#N/A")</f>
        <v>#N/A</v>
      </c>
      <c r="I812" s="29" t="e">
        <f t="shared" ca="1" si="0"/>
        <v>#VALUE!</v>
      </c>
      <c r="J812" s="29" t="str">
        <f ca="1">IFERROR(__xludf.DUMMYFUNCTION("IF(F812 = H812,C812/FILTER('Base Stats'!$C$2:$C1000, LOWER('Base Stats'!$B$2:$B1000) = LOWER($A812)), """")"),"#N/A")</f>
        <v>#N/A</v>
      </c>
      <c r="K812" t="str">
        <f t="shared" ca="1" si="1"/>
        <v/>
      </c>
      <c r="L812" t="str">
        <f ca="1">IFERROR(__xludf.DUMMYFUNCTION("IF(AND(NOT(K812 = """"), G812 &gt;= 15),K812/FILTER('Base Stats'!$C$2:$C1000, LOWER('Base Stats'!$B$2:$B1000) = LOWER($A812)), """")"),"#N/A")</f>
        <v>#N/A</v>
      </c>
      <c r="M812" t="str">
        <f ca="1">IFERROR(__xludf.DUMMYFUNCTION("1.15 + 0.02 * FILTER('Base Stats'!$C$2:$C1000, LOWER('Base Stats'!$B$2:$B1000) = LOWER($A812))"),"1.15")</f>
        <v>1.15</v>
      </c>
      <c r="N812" t="s">
        <v>527</v>
      </c>
    </row>
    <row r="813" spans="1:14" ht="12.75" x14ac:dyDescent="0.2">
      <c r="A813">
        <f>'Form Responses (Pokemon Stats)'!B773</f>
        <v>0</v>
      </c>
      <c r="B813">
        <f>'Form Responses (Pokemon Stats)'!D773</f>
        <v>0</v>
      </c>
      <c r="C813">
        <f>'Form Responses (Pokemon Stats)'!C773</f>
        <v>0</v>
      </c>
      <c r="F813">
        <f>'Form Responses (Pokemon Stats)'!E773</f>
        <v>0</v>
      </c>
      <c r="G813" t="str">
        <f ca="1">IFERROR(__xludf.DUMMYFUNCTION("ROUND(B813/ FILTER('Pokemon CP/HP'!$M$2:$M1000, LOWER('Pokemon CP/HP'!$B$2:$B1000)=LOWER(A813)))"),"#DIV/0!")</f>
        <v>#DIV/0!</v>
      </c>
      <c r="H813" t="str">
        <f ca="1">IFERROR(__xludf.DUMMYFUNCTION("FILTER('Leveling Info'!$B$2:$B1000, 'Leveling Info'!$A$2:$A1000 =G813)"),"#N/A")</f>
        <v>#N/A</v>
      </c>
      <c r="I813" s="29" t="e">
        <f t="shared" ca="1" si="0"/>
        <v>#VALUE!</v>
      </c>
      <c r="J813" s="29" t="str">
        <f ca="1">IFERROR(__xludf.DUMMYFUNCTION("IF(F813 = H813,C813/FILTER('Base Stats'!$C$2:$C1000, LOWER('Base Stats'!$B$2:$B1000) = LOWER($A813)), """")"),"#N/A")</f>
        <v>#N/A</v>
      </c>
      <c r="K813" t="str">
        <f t="shared" ca="1" si="1"/>
        <v/>
      </c>
      <c r="L813" t="str">
        <f ca="1">IFERROR(__xludf.DUMMYFUNCTION("IF(AND(NOT(K813 = """"), G813 &gt;= 15),K813/FILTER('Base Stats'!$C$2:$C1000, LOWER('Base Stats'!$B$2:$B1000) = LOWER($A813)), """")"),"#N/A")</f>
        <v>#N/A</v>
      </c>
      <c r="M813" t="str">
        <f ca="1">IFERROR(__xludf.DUMMYFUNCTION("1.15 + 0.02 * FILTER('Base Stats'!$C$2:$C1000, LOWER('Base Stats'!$B$2:$B1000) = LOWER($A813))"),"1.15")</f>
        <v>1.15</v>
      </c>
      <c r="N813" t="s">
        <v>527</v>
      </c>
    </row>
    <row r="814" spans="1:14" ht="12.75" x14ac:dyDescent="0.2">
      <c r="A814">
        <f>'Form Responses (Pokemon Stats)'!B774</f>
        <v>0</v>
      </c>
      <c r="B814">
        <f>'Form Responses (Pokemon Stats)'!D774</f>
        <v>0</v>
      </c>
      <c r="C814">
        <f>'Form Responses (Pokemon Stats)'!C774</f>
        <v>0</v>
      </c>
      <c r="F814">
        <f>'Form Responses (Pokemon Stats)'!E774</f>
        <v>0</v>
      </c>
      <c r="G814" t="str">
        <f ca="1">IFERROR(__xludf.DUMMYFUNCTION("ROUND(B814/ FILTER('Pokemon CP/HP'!$M$2:$M1000, LOWER('Pokemon CP/HP'!$B$2:$B1000)=LOWER(A814)))"),"#DIV/0!")</f>
        <v>#DIV/0!</v>
      </c>
      <c r="H814" t="str">
        <f ca="1">IFERROR(__xludf.DUMMYFUNCTION("FILTER('Leveling Info'!$B$2:$B1000, 'Leveling Info'!$A$2:$A1000 =G814)"),"#N/A")</f>
        <v>#N/A</v>
      </c>
      <c r="I814" s="29" t="e">
        <f t="shared" ca="1" si="0"/>
        <v>#VALUE!</v>
      </c>
      <c r="J814" s="29" t="str">
        <f ca="1">IFERROR(__xludf.DUMMYFUNCTION("IF(F814 = H814,C814/FILTER('Base Stats'!$C$2:$C1000, LOWER('Base Stats'!$B$2:$B1000) = LOWER($A814)), """")"),"#N/A")</f>
        <v>#N/A</v>
      </c>
      <c r="K814" t="str">
        <f t="shared" ca="1" si="1"/>
        <v/>
      </c>
      <c r="L814" t="str">
        <f ca="1">IFERROR(__xludf.DUMMYFUNCTION("IF(AND(NOT(K814 = """"), G814 &gt;= 15),K814/FILTER('Base Stats'!$C$2:$C1000, LOWER('Base Stats'!$B$2:$B1000) = LOWER($A814)), """")"),"#N/A")</f>
        <v>#N/A</v>
      </c>
      <c r="M814" t="str">
        <f ca="1">IFERROR(__xludf.DUMMYFUNCTION("1.15 + 0.02 * FILTER('Base Stats'!$C$2:$C1000, LOWER('Base Stats'!$B$2:$B1000) = LOWER($A814))"),"1.15")</f>
        <v>1.15</v>
      </c>
      <c r="N814" t="s">
        <v>527</v>
      </c>
    </row>
    <row r="815" spans="1:14" ht="12.75" x14ac:dyDescent="0.2">
      <c r="A815">
        <f>'Form Responses (Pokemon Stats)'!B775</f>
        <v>0</v>
      </c>
      <c r="B815">
        <f>'Form Responses (Pokemon Stats)'!D775</f>
        <v>0</v>
      </c>
      <c r="C815">
        <f>'Form Responses (Pokemon Stats)'!C775</f>
        <v>0</v>
      </c>
      <c r="F815">
        <f>'Form Responses (Pokemon Stats)'!E775</f>
        <v>0</v>
      </c>
      <c r="G815" t="str">
        <f ca="1">IFERROR(__xludf.DUMMYFUNCTION("ROUND(B815/ FILTER('Pokemon CP/HP'!$M$2:$M1000, LOWER('Pokemon CP/HP'!$B$2:$B1000)=LOWER(A815)))"),"#DIV/0!")</f>
        <v>#DIV/0!</v>
      </c>
      <c r="H815" t="str">
        <f ca="1">IFERROR(__xludf.DUMMYFUNCTION("FILTER('Leveling Info'!$B$2:$B1000, 'Leveling Info'!$A$2:$A1000 =G815)"),"#N/A")</f>
        <v>#N/A</v>
      </c>
      <c r="I815" s="29" t="e">
        <f t="shared" ca="1" si="0"/>
        <v>#VALUE!</v>
      </c>
      <c r="J815" s="29" t="str">
        <f ca="1">IFERROR(__xludf.DUMMYFUNCTION("IF(F815 = H815,C815/FILTER('Base Stats'!$C$2:$C1000, LOWER('Base Stats'!$B$2:$B1000) = LOWER($A815)), """")"),"#N/A")</f>
        <v>#N/A</v>
      </c>
      <c r="K815" t="str">
        <f t="shared" ca="1" si="1"/>
        <v/>
      </c>
      <c r="L815" t="str">
        <f ca="1">IFERROR(__xludf.DUMMYFUNCTION("IF(AND(NOT(K815 = """"), G815 &gt;= 15),K815/FILTER('Base Stats'!$C$2:$C1000, LOWER('Base Stats'!$B$2:$B1000) = LOWER($A815)), """")"),"#N/A")</f>
        <v>#N/A</v>
      </c>
      <c r="M815" t="str">
        <f ca="1">IFERROR(__xludf.DUMMYFUNCTION("1.15 + 0.02 * FILTER('Base Stats'!$C$2:$C1000, LOWER('Base Stats'!$B$2:$B1000) = LOWER($A815))"),"1.15")</f>
        <v>1.15</v>
      </c>
      <c r="N815" t="s">
        <v>527</v>
      </c>
    </row>
    <row r="816" spans="1:14" ht="12.75" x14ac:dyDescent="0.2">
      <c r="A816">
        <f>'Form Responses (Pokemon Stats)'!B776</f>
        <v>0</v>
      </c>
      <c r="B816">
        <f>'Form Responses (Pokemon Stats)'!D776</f>
        <v>0</v>
      </c>
      <c r="C816">
        <f>'Form Responses (Pokemon Stats)'!C776</f>
        <v>0</v>
      </c>
      <c r="F816">
        <f>'Form Responses (Pokemon Stats)'!E776</f>
        <v>0</v>
      </c>
      <c r="G816" t="str">
        <f ca="1">IFERROR(__xludf.DUMMYFUNCTION("ROUND(B816/ FILTER('Pokemon CP/HP'!$M$2:$M1000, LOWER('Pokemon CP/HP'!$B$2:$B1000)=LOWER(A816)))"),"#DIV/0!")</f>
        <v>#DIV/0!</v>
      </c>
      <c r="H816" t="str">
        <f ca="1">IFERROR(__xludf.DUMMYFUNCTION("FILTER('Leveling Info'!$B$2:$B1000, 'Leveling Info'!$A$2:$A1000 =G816)"),"#N/A")</f>
        <v>#N/A</v>
      </c>
      <c r="I816" s="29" t="e">
        <f t="shared" ca="1" si="0"/>
        <v>#VALUE!</v>
      </c>
      <c r="J816" s="29" t="str">
        <f ca="1">IFERROR(__xludf.DUMMYFUNCTION("IF(F816 = H816,C816/FILTER('Base Stats'!$C$2:$C1000, LOWER('Base Stats'!$B$2:$B1000) = LOWER($A816)), """")"),"#N/A")</f>
        <v>#N/A</v>
      </c>
      <c r="K816" t="str">
        <f t="shared" ca="1" si="1"/>
        <v/>
      </c>
      <c r="L816" t="str">
        <f ca="1">IFERROR(__xludf.DUMMYFUNCTION("IF(AND(NOT(K816 = """"), G816 &gt;= 15),K816/FILTER('Base Stats'!$C$2:$C1000, LOWER('Base Stats'!$B$2:$B1000) = LOWER($A816)), """")"),"#N/A")</f>
        <v>#N/A</v>
      </c>
      <c r="M816" t="str">
        <f ca="1">IFERROR(__xludf.DUMMYFUNCTION("1.15 + 0.02 * FILTER('Base Stats'!$C$2:$C1000, LOWER('Base Stats'!$B$2:$B1000) = LOWER($A816))"),"1.15")</f>
        <v>1.15</v>
      </c>
      <c r="N816" t="s">
        <v>527</v>
      </c>
    </row>
    <row r="817" spans="1:14" ht="12.75" x14ac:dyDescent="0.2">
      <c r="A817">
        <f>'Form Responses (Pokemon Stats)'!B777</f>
        <v>0</v>
      </c>
      <c r="B817">
        <f>'Form Responses (Pokemon Stats)'!D777</f>
        <v>0</v>
      </c>
      <c r="C817">
        <f>'Form Responses (Pokemon Stats)'!C777</f>
        <v>0</v>
      </c>
      <c r="F817">
        <f>'Form Responses (Pokemon Stats)'!E777</f>
        <v>0</v>
      </c>
      <c r="G817" t="str">
        <f ca="1">IFERROR(__xludf.DUMMYFUNCTION("ROUND(B817/ FILTER('Pokemon CP/HP'!$M$2:$M1000, LOWER('Pokemon CP/HP'!$B$2:$B1000)=LOWER(A817)))"),"#DIV/0!")</f>
        <v>#DIV/0!</v>
      </c>
      <c r="H817" t="str">
        <f ca="1">IFERROR(__xludf.DUMMYFUNCTION("FILTER('Leveling Info'!$B$2:$B1000, 'Leveling Info'!$A$2:$A1000 =G817)"),"#N/A")</f>
        <v>#N/A</v>
      </c>
      <c r="I817" s="29" t="e">
        <f t="shared" ca="1" si="0"/>
        <v>#VALUE!</v>
      </c>
      <c r="J817" s="29" t="str">
        <f ca="1">IFERROR(__xludf.DUMMYFUNCTION("IF(F817 = H817,C817/FILTER('Base Stats'!$C$2:$C1000, LOWER('Base Stats'!$B$2:$B1000) = LOWER($A817)), """")"),"#N/A")</f>
        <v>#N/A</v>
      </c>
      <c r="K817" t="str">
        <f t="shared" ca="1" si="1"/>
        <v/>
      </c>
      <c r="L817" t="str">
        <f ca="1">IFERROR(__xludf.DUMMYFUNCTION("IF(AND(NOT(K817 = """"), G817 &gt;= 15),K817/FILTER('Base Stats'!$C$2:$C1000, LOWER('Base Stats'!$B$2:$B1000) = LOWER($A817)), """")"),"#N/A")</f>
        <v>#N/A</v>
      </c>
      <c r="M817" t="str">
        <f ca="1">IFERROR(__xludf.DUMMYFUNCTION("1.15 + 0.02 * FILTER('Base Stats'!$C$2:$C1000, LOWER('Base Stats'!$B$2:$B1000) = LOWER($A817))"),"1.15")</f>
        <v>1.15</v>
      </c>
      <c r="N817" t="s">
        <v>527</v>
      </c>
    </row>
    <row r="818" spans="1:14" ht="12.75" x14ac:dyDescent="0.2">
      <c r="A818">
        <f>'Form Responses (Pokemon Stats)'!B778</f>
        <v>0</v>
      </c>
      <c r="B818">
        <f>'Form Responses (Pokemon Stats)'!D778</f>
        <v>0</v>
      </c>
      <c r="C818">
        <f>'Form Responses (Pokemon Stats)'!C778</f>
        <v>0</v>
      </c>
      <c r="F818">
        <f>'Form Responses (Pokemon Stats)'!E778</f>
        <v>0</v>
      </c>
      <c r="G818" t="str">
        <f ca="1">IFERROR(__xludf.DUMMYFUNCTION("ROUND(B818/ FILTER('Pokemon CP/HP'!$M$2:$M1000, LOWER('Pokemon CP/HP'!$B$2:$B1000)=LOWER(A818)))"),"#DIV/0!")</f>
        <v>#DIV/0!</v>
      </c>
      <c r="H818" t="str">
        <f ca="1">IFERROR(__xludf.DUMMYFUNCTION("FILTER('Leveling Info'!$B$2:$B1000, 'Leveling Info'!$A$2:$A1000 =G818)"),"#N/A")</f>
        <v>#N/A</v>
      </c>
      <c r="I818" s="29" t="e">
        <f t="shared" ca="1" si="0"/>
        <v>#VALUE!</v>
      </c>
      <c r="J818" s="29" t="str">
        <f ca="1">IFERROR(__xludf.DUMMYFUNCTION("IF(F818 = H818,C818/FILTER('Base Stats'!$C$2:$C1000, LOWER('Base Stats'!$B$2:$B1000) = LOWER($A818)), """")"),"#N/A")</f>
        <v>#N/A</v>
      </c>
      <c r="K818" t="str">
        <f t="shared" ca="1" si="1"/>
        <v/>
      </c>
      <c r="L818" t="str">
        <f ca="1">IFERROR(__xludf.DUMMYFUNCTION("IF(AND(NOT(K818 = """"), G818 &gt;= 15),K818/FILTER('Base Stats'!$C$2:$C1000, LOWER('Base Stats'!$B$2:$B1000) = LOWER($A818)), """")"),"#N/A")</f>
        <v>#N/A</v>
      </c>
      <c r="M818" t="str">
        <f ca="1">IFERROR(__xludf.DUMMYFUNCTION("1.15 + 0.02 * FILTER('Base Stats'!$C$2:$C1000, LOWER('Base Stats'!$B$2:$B1000) = LOWER($A818))"),"1.15")</f>
        <v>1.15</v>
      </c>
      <c r="N818" t="s">
        <v>527</v>
      </c>
    </row>
    <row r="819" spans="1:14" ht="12.75" x14ac:dyDescent="0.2">
      <c r="A819">
        <f>'Form Responses (Pokemon Stats)'!B779</f>
        <v>0</v>
      </c>
      <c r="B819">
        <f>'Form Responses (Pokemon Stats)'!D779</f>
        <v>0</v>
      </c>
      <c r="C819">
        <f>'Form Responses (Pokemon Stats)'!C779</f>
        <v>0</v>
      </c>
      <c r="F819">
        <f>'Form Responses (Pokemon Stats)'!E779</f>
        <v>0</v>
      </c>
      <c r="G819" t="str">
        <f ca="1">IFERROR(__xludf.DUMMYFUNCTION("ROUND(B819/ FILTER('Pokemon CP/HP'!$M$2:$M1000, LOWER('Pokemon CP/HP'!$B$2:$B1000)=LOWER(A819)))"),"#DIV/0!")</f>
        <v>#DIV/0!</v>
      </c>
      <c r="H819" t="str">
        <f ca="1">IFERROR(__xludf.DUMMYFUNCTION("FILTER('Leveling Info'!$B$2:$B1000, 'Leveling Info'!$A$2:$A1000 =G819)"),"#N/A")</f>
        <v>#N/A</v>
      </c>
      <c r="I819" s="29" t="e">
        <f t="shared" ca="1" si="0"/>
        <v>#VALUE!</v>
      </c>
      <c r="J819" s="29" t="str">
        <f ca="1">IFERROR(__xludf.DUMMYFUNCTION("IF(F819 = H819,C819/FILTER('Base Stats'!$C$2:$C1000, LOWER('Base Stats'!$B$2:$B1000) = LOWER($A819)), """")"),"#N/A")</f>
        <v>#N/A</v>
      </c>
      <c r="K819" t="str">
        <f t="shared" ca="1" si="1"/>
        <v/>
      </c>
      <c r="L819" t="str">
        <f ca="1">IFERROR(__xludf.DUMMYFUNCTION("IF(AND(NOT(K819 = """"), G819 &gt;= 15),K819/FILTER('Base Stats'!$C$2:$C1000, LOWER('Base Stats'!$B$2:$B1000) = LOWER($A819)), """")"),"#N/A")</f>
        <v>#N/A</v>
      </c>
      <c r="M819" t="str">
        <f ca="1">IFERROR(__xludf.DUMMYFUNCTION("1.15 + 0.02 * FILTER('Base Stats'!$C$2:$C1000, LOWER('Base Stats'!$B$2:$B1000) = LOWER($A819))"),"1.15")</f>
        <v>1.15</v>
      </c>
      <c r="N819" t="s">
        <v>527</v>
      </c>
    </row>
    <row r="820" spans="1:14" ht="12.75" x14ac:dyDescent="0.2">
      <c r="A820">
        <f>'Form Responses (Pokemon Stats)'!B780</f>
        <v>0</v>
      </c>
      <c r="B820">
        <f>'Form Responses (Pokemon Stats)'!D780</f>
        <v>0</v>
      </c>
      <c r="C820">
        <f>'Form Responses (Pokemon Stats)'!C780</f>
        <v>0</v>
      </c>
      <c r="F820">
        <f>'Form Responses (Pokemon Stats)'!E780</f>
        <v>0</v>
      </c>
      <c r="G820" t="str">
        <f ca="1">IFERROR(__xludf.DUMMYFUNCTION("ROUND(B820/ FILTER('Pokemon CP/HP'!$M$2:$M1000, LOWER('Pokemon CP/HP'!$B$2:$B1000)=LOWER(A820)))"),"#DIV/0!")</f>
        <v>#DIV/0!</v>
      </c>
      <c r="H820" t="str">
        <f ca="1">IFERROR(__xludf.DUMMYFUNCTION("FILTER('Leveling Info'!$B$2:$B1000, 'Leveling Info'!$A$2:$A1000 =G820)"),"#N/A")</f>
        <v>#N/A</v>
      </c>
      <c r="I820" s="29" t="e">
        <f t="shared" ca="1" si="0"/>
        <v>#VALUE!</v>
      </c>
      <c r="J820" s="29" t="str">
        <f ca="1">IFERROR(__xludf.DUMMYFUNCTION("IF(F820 = H820,C820/FILTER('Base Stats'!$C$2:$C1000, LOWER('Base Stats'!$B$2:$B1000) = LOWER($A820)), """")"),"#N/A")</f>
        <v>#N/A</v>
      </c>
      <c r="K820" t="str">
        <f t="shared" ca="1" si="1"/>
        <v/>
      </c>
      <c r="L820" t="str">
        <f ca="1">IFERROR(__xludf.DUMMYFUNCTION("IF(AND(NOT(K820 = """"), G820 &gt;= 15),K820/FILTER('Base Stats'!$C$2:$C1000, LOWER('Base Stats'!$B$2:$B1000) = LOWER($A820)), """")"),"#N/A")</f>
        <v>#N/A</v>
      </c>
      <c r="M820" t="str">
        <f ca="1">IFERROR(__xludf.DUMMYFUNCTION("1.15 + 0.02 * FILTER('Base Stats'!$C$2:$C1000, LOWER('Base Stats'!$B$2:$B1000) = LOWER($A820))"),"1.15")</f>
        <v>1.15</v>
      </c>
      <c r="N820" t="s">
        <v>527</v>
      </c>
    </row>
    <row r="821" spans="1:14" ht="12.75" x14ac:dyDescent="0.2">
      <c r="A821">
        <f>'Form Responses (Pokemon Stats)'!B781</f>
        <v>0</v>
      </c>
      <c r="B821">
        <f>'Form Responses (Pokemon Stats)'!D781</f>
        <v>0</v>
      </c>
      <c r="C821">
        <f>'Form Responses (Pokemon Stats)'!C781</f>
        <v>0</v>
      </c>
      <c r="F821">
        <f>'Form Responses (Pokemon Stats)'!E781</f>
        <v>0</v>
      </c>
      <c r="G821" t="str">
        <f ca="1">IFERROR(__xludf.DUMMYFUNCTION("ROUND(B821/ FILTER('Pokemon CP/HP'!$M$2:$M1000, LOWER('Pokemon CP/HP'!$B$2:$B1000)=LOWER(A821)))"),"#DIV/0!")</f>
        <v>#DIV/0!</v>
      </c>
      <c r="H821" t="str">
        <f ca="1">IFERROR(__xludf.DUMMYFUNCTION("FILTER('Leveling Info'!$B$2:$B1000, 'Leveling Info'!$A$2:$A1000 =G821)"),"#N/A")</f>
        <v>#N/A</v>
      </c>
      <c r="I821" s="29" t="e">
        <f t="shared" ca="1" si="0"/>
        <v>#VALUE!</v>
      </c>
      <c r="J821" s="29" t="str">
        <f ca="1">IFERROR(__xludf.DUMMYFUNCTION("IF(F821 = H821,C821/FILTER('Base Stats'!$C$2:$C1000, LOWER('Base Stats'!$B$2:$B1000) = LOWER($A821)), """")"),"#N/A")</f>
        <v>#N/A</v>
      </c>
      <c r="K821" t="str">
        <f t="shared" ca="1" si="1"/>
        <v/>
      </c>
      <c r="L821" t="str">
        <f ca="1">IFERROR(__xludf.DUMMYFUNCTION("IF(AND(NOT(K821 = """"), G821 &gt;= 15),K821/FILTER('Base Stats'!$C$2:$C1000, LOWER('Base Stats'!$B$2:$B1000) = LOWER($A821)), """")"),"#N/A")</f>
        <v>#N/A</v>
      </c>
      <c r="M821" t="str">
        <f ca="1">IFERROR(__xludf.DUMMYFUNCTION("1.15 + 0.02 * FILTER('Base Stats'!$C$2:$C1000, LOWER('Base Stats'!$B$2:$B1000) = LOWER($A821))"),"1.15")</f>
        <v>1.15</v>
      </c>
      <c r="N821" t="s">
        <v>527</v>
      </c>
    </row>
    <row r="822" spans="1:14" ht="12.75" x14ac:dyDescent="0.2">
      <c r="A822">
        <f>'Form Responses (Pokemon Stats)'!B782</f>
        <v>0</v>
      </c>
      <c r="B822">
        <f>'Form Responses (Pokemon Stats)'!D782</f>
        <v>0</v>
      </c>
      <c r="C822">
        <f>'Form Responses (Pokemon Stats)'!C782</f>
        <v>0</v>
      </c>
      <c r="F822">
        <f>'Form Responses (Pokemon Stats)'!E782</f>
        <v>0</v>
      </c>
      <c r="G822" t="str">
        <f ca="1">IFERROR(__xludf.DUMMYFUNCTION("ROUND(B822/ FILTER('Pokemon CP/HP'!$M$2:$M1000, LOWER('Pokemon CP/HP'!$B$2:$B1000)=LOWER(A822)))"),"#DIV/0!")</f>
        <v>#DIV/0!</v>
      </c>
      <c r="H822" t="str">
        <f ca="1">IFERROR(__xludf.DUMMYFUNCTION("FILTER('Leveling Info'!$B$2:$B1000, 'Leveling Info'!$A$2:$A1000 =G822)"),"#N/A")</f>
        <v>#N/A</v>
      </c>
      <c r="I822" s="29" t="e">
        <f t="shared" ca="1" si="0"/>
        <v>#VALUE!</v>
      </c>
      <c r="J822" s="29" t="str">
        <f ca="1">IFERROR(__xludf.DUMMYFUNCTION("IF(F822 = H822,C822/FILTER('Base Stats'!$C$2:$C1000, LOWER('Base Stats'!$B$2:$B1000) = LOWER($A822)), """")"),"#N/A")</f>
        <v>#N/A</v>
      </c>
      <c r="K822" t="str">
        <f t="shared" ca="1" si="1"/>
        <v/>
      </c>
      <c r="L822" t="str">
        <f ca="1">IFERROR(__xludf.DUMMYFUNCTION("IF(AND(NOT(K822 = """"), G822 &gt;= 15),K822/FILTER('Base Stats'!$C$2:$C1000, LOWER('Base Stats'!$B$2:$B1000) = LOWER($A822)), """")"),"#N/A")</f>
        <v>#N/A</v>
      </c>
      <c r="M822" t="str">
        <f ca="1">IFERROR(__xludf.DUMMYFUNCTION("1.15 + 0.02 * FILTER('Base Stats'!$C$2:$C1000, LOWER('Base Stats'!$B$2:$B1000) = LOWER($A822))"),"1.15")</f>
        <v>1.15</v>
      </c>
      <c r="N822" t="s">
        <v>527</v>
      </c>
    </row>
    <row r="823" spans="1:14" ht="12.75" x14ac:dyDescent="0.2">
      <c r="A823">
        <f>'Form Responses (Pokemon Stats)'!B783</f>
        <v>0</v>
      </c>
      <c r="B823">
        <f>'Form Responses (Pokemon Stats)'!D783</f>
        <v>0</v>
      </c>
      <c r="C823">
        <f>'Form Responses (Pokemon Stats)'!C783</f>
        <v>0</v>
      </c>
      <c r="F823">
        <f>'Form Responses (Pokemon Stats)'!E783</f>
        <v>0</v>
      </c>
      <c r="G823" t="str">
        <f ca="1">IFERROR(__xludf.DUMMYFUNCTION("ROUND(B823/ FILTER('Pokemon CP/HP'!$M$2:$M1000, LOWER('Pokemon CP/HP'!$B$2:$B1000)=LOWER(A823)))"),"#DIV/0!")</f>
        <v>#DIV/0!</v>
      </c>
      <c r="H823" t="str">
        <f ca="1">IFERROR(__xludf.DUMMYFUNCTION("FILTER('Leveling Info'!$B$2:$B1000, 'Leveling Info'!$A$2:$A1000 =G823)"),"#N/A")</f>
        <v>#N/A</v>
      </c>
      <c r="I823" s="29" t="e">
        <f t="shared" ca="1" si="0"/>
        <v>#VALUE!</v>
      </c>
      <c r="J823" s="29" t="str">
        <f ca="1">IFERROR(__xludf.DUMMYFUNCTION("IF(F823 = H823,C823/FILTER('Base Stats'!$C$2:$C1000, LOWER('Base Stats'!$B$2:$B1000) = LOWER($A823)), """")"),"#N/A")</f>
        <v>#N/A</v>
      </c>
      <c r="K823" t="str">
        <f t="shared" ca="1" si="1"/>
        <v/>
      </c>
      <c r="L823" t="str">
        <f ca="1">IFERROR(__xludf.DUMMYFUNCTION("IF(AND(NOT(K823 = """"), G823 &gt;= 15),K823/FILTER('Base Stats'!$C$2:$C1000, LOWER('Base Stats'!$B$2:$B1000) = LOWER($A823)), """")"),"#N/A")</f>
        <v>#N/A</v>
      </c>
      <c r="M823" t="str">
        <f ca="1">IFERROR(__xludf.DUMMYFUNCTION("1.15 + 0.02 * FILTER('Base Stats'!$C$2:$C1000, LOWER('Base Stats'!$B$2:$B1000) = LOWER($A823))"),"1.15")</f>
        <v>1.15</v>
      </c>
      <c r="N823" t="s">
        <v>527</v>
      </c>
    </row>
    <row r="824" spans="1:14" ht="12.75" x14ac:dyDescent="0.2">
      <c r="A824">
        <f>'Form Responses (Pokemon Stats)'!B784</f>
        <v>0</v>
      </c>
      <c r="B824">
        <f>'Form Responses (Pokemon Stats)'!D784</f>
        <v>0</v>
      </c>
      <c r="C824">
        <f>'Form Responses (Pokemon Stats)'!C784</f>
        <v>0</v>
      </c>
      <c r="F824">
        <f>'Form Responses (Pokemon Stats)'!E784</f>
        <v>0</v>
      </c>
      <c r="G824" t="str">
        <f ca="1">IFERROR(__xludf.DUMMYFUNCTION("ROUND(B824/ FILTER('Pokemon CP/HP'!$M$2:$M1000, LOWER('Pokemon CP/HP'!$B$2:$B1000)=LOWER(A824)))"),"#DIV/0!")</f>
        <v>#DIV/0!</v>
      </c>
      <c r="H824" t="str">
        <f ca="1">IFERROR(__xludf.DUMMYFUNCTION("FILTER('Leveling Info'!$B$2:$B1000, 'Leveling Info'!$A$2:$A1000 =G824)"),"#N/A")</f>
        <v>#N/A</v>
      </c>
      <c r="I824" s="29" t="e">
        <f t="shared" ca="1" si="0"/>
        <v>#VALUE!</v>
      </c>
      <c r="J824" s="29" t="str">
        <f ca="1">IFERROR(__xludf.DUMMYFUNCTION("IF(F824 = H824,C824/FILTER('Base Stats'!$C$2:$C1000, LOWER('Base Stats'!$B$2:$B1000) = LOWER($A824)), """")"),"#N/A")</f>
        <v>#N/A</v>
      </c>
      <c r="K824" t="str">
        <f t="shared" ca="1" si="1"/>
        <v/>
      </c>
      <c r="L824" t="str">
        <f ca="1">IFERROR(__xludf.DUMMYFUNCTION("IF(AND(NOT(K824 = """"), G824 &gt;= 15),K824/FILTER('Base Stats'!$C$2:$C1000, LOWER('Base Stats'!$B$2:$B1000) = LOWER($A824)), """")"),"#N/A")</f>
        <v>#N/A</v>
      </c>
      <c r="M824" t="str">
        <f ca="1">IFERROR(__xludf.DUMMYFUNCTION("1.15 + 0.02 * FILTER('Base Stats'!$C$2:$C1000, LOWER('Base Stats'!$B$2:$B1000) = LOWER($A824))"),"1.15")</f>
        <v>1.15</v>
      </c>
      <c r="N824" t="s">
        <v>527</v>
      </c>
    </row>
    <row r="825" spans="1:14" ht="12.75" x14ac:dyDescent="0.2">
      <c r="A825">
        <f>'Form Responses (Pokemon Stats)'!B785</f>
        <v>0</v>
      </c>
      <c r="B825">
        <f>'Form Responses (Pokemon Stats)'!D785</f>
        <v>0</v>
      </c>
      <c r="C825">
        <f>'Form Responses (Pokemon Stats)'!C785</f>
        <v>0</v>
      </c>
      <c r="F825">
        <f>'Form Responses (Pokemon Stats)'!E785</f>
        <v>0</v>
      </c>
      <c r="G825" t="str">
        <f ca="1">IFERROR(__xludf.DUMMYFUNCTION("ROUND(B825/ FILTER('Pokemon CP/HP'!$M$2:$M1000, LOWER('Pokemon CP/HP'!$B$2:$B1000)=LOWER(A825)))"),"#DIV/0!")</f>
        <v>#DIV/0!</v>
      </c>
      <c r="H825" t="str">
        <f ca="1">IFERROR(__xludf.DUMMYFUNCTION("FILTER('Leveling Info'!$B$2:$B1000, 'Leveling Info'!$A$2:$A1000 =G825)"),"#N/A")</f>
        <v>#N/A</v>
      </c>
      <c r="I825" s="29" t="e">
        <f t="shared" ca="1" si="0"/>
        <v>#VALUE!</v>
      </c>
      <c r="J825" s="29" t="str">
        <f ca="1">IFERROR(__xludf.DUMMYFUNCTION("IF(F825 = H825,C825/FILTER('Base Stats'!$C$2:$C1000, LOWER('Base Stats'!$B$2:$B1000) = LOWER($A825)), """")"),"#N/A")</f>
        <v>#N/A</v>
      </c>
      <c r="K825" t="str">
        <f t="shared" ca="1" si="1"/>
        <v/>
      </c>
      <c r="L825" t="str">
        <f ca="1">IFERROR(__xludf.DUMMYFUNCTION("IF(AND(NOT(K825 = """"), G825 &gt;= 15),K825/FILTER('Base Stats'!$C$2:$C1000, LOWER('Base Stats'!$B$2:$B1000) = LOWER($A825)), """")"),"#N/A")</f>
        <v>#N/A</v>
      </c>
      <c r="M825" t="str">
        <f ca="1">IFERROR(__xludf.DUMMYFUNCTION("1.15 + 0.02 * FILTER('Base Stats'!$C$2:$C1000, LOWER('Base Stats'!$B$2:$B1000) = LOWER($A825))"),"1.15")</f>
        <v>1.15</v>
      </c>
      <c r="N825" t="s">
        <v>527</v>
      </c>
    </row>
    <row r="826" spans="1:14" ht="12.75" x14ac:dyDescent="0.2">
      <c r="A826">
        <f>'Form Responses (Pokemon Stats)'!B786</f>
        <v>0</v>
      </c>
      <c r="B826">
        <f>'Form Responses (Pokemon Stats)'!D786</f>
        <v>0</v>
      </c>
      <c r="C826">
        <f>'Form Responses (Pokemon Stats)'!C786</f>
        <v>0</v>
      </c>
      <c r="F826">
        <f>'Form Responses (Pokemon Stats)'!E786</f>
        <v>0</v>
      </c>
      <c r="G826" t="str">
        <f ca="1">IFERROR(__xludf.DUMMYFUNCTION("ROUND(B826/ FILTER('Pokemon CP/HP'!$M$2:$M1000, LOWER('Pokemon CP/HP'!$B$2:$B1000)=LOWER(A826)))"),"#DIV/0!")</f>
        <v>#DIV/0!</v>
      </c>
      <c r="H826" t="str">
        <f ca="1">IFERROR(__xludf.DUMMYFUNCTION("FILTER('Leveling Info'!$B$2:$B1000, 'Leveling Info'!$A$2:$A1000 =G826)"),"#N/A")</f>
        <v>#N/A</v>
      </c>
      <c r="I826" s="29" t="e">
        <f t="shared" ca="1" si="0"/>
        <v>#VALUE!</v>
      </c>
      <c r="J826" s="29" t="str">
        <f ca="1">IFERROR(__xludf.DUMMYFUNCTION("IF(F826 = H826,C826/FILTER('Base Stats'!$C$2:$C1000, LOWER('Base Stats'!$B$2:$B1000) = LOWER($A826)), """")"),"#N/A")</f>
        <v>#N/A</v>
      </c>
      <c r="K826" t="str">
        <f t="shared" ca="1" si="1"/>
        <v/>
      </c>
      <c r="L826" t="str">
        <f ca="1">IFERROR(__xludf.DUMMYFUNCTION("IF(AND(NOT(K826 = """"), G826 &gt;= 15),K826/FILTER('Base Stats'!$C$2:$C1000, LOWER('Base Stats'!$B$2:$B1000) = LOWER($A826)), """")"),"#N/A")</f>
        <v>#N/A</v>
      </c>
      <c r="M826" t="str">
        <f ca="1">IFERROR(__xludf.DUMMYFUNCTION("1.15 + 0.02 * FILTER('Base Stats'!$C$2:$C1000, LOWER('Base Stats'!$B$2:$B1000) = LOWER($A826))"),"1.15")</f>
        <v>1.15</v>
      </c>
      <c r="N826" t="s">
        <v>527</v>
      </c>
    </row>
    <row r="827" spans="1:14" ht="12.75" x14ac:dyDescent="0.2">
      <c r="A827">
        <f>'Form Responses (Pokemon Stats)'!B787</f>
        <v>0</v>
      </c>
      <c r="B827">
        <f>'Form Responses (Pokemon Stats)'!D787</f>
        <v>0</v>
      </c>
      <c r="C827">
        <f>'Form Responses (Pokemon Stats)'!C787</f>
        <v>0</v>
      </c>
      <c r="F827">
        <f>'Form Responses (Pokemon Stats)'!E787</f>
        <v>0</v>
      </c>
      <c r="G827" t="str">
        <f ca="1">IFERROR(__xludf.DUMMYFUNCTION("ROUND(B827/ FILTER('Pokemon CP/HP'!$M$2:$M1000, LOWER('Pokemon CP/HP'!$B$2:$B1000)=LOWER(A827)))"),"#DIV/0!")</f>
        <v>#DIV/0!</v>
      </c>
      <c r="H827" t="str">
        <f ca="1">IFERROR(__xludf.DUMMYFUNCTION("FILTER('Leveling Info'!$B$2:$B1000, 'Leveling Info'!$A$2:$A1000 =G827)"),"#N/A")</f>
        <v>#N/A</v>
      </c>
      <c r="I827" s="29" t="e">
        <f t="shared" ca="1" si="0"/>
        <v>#VALUE!</v>
      </c>
      <c r="J827" s="29" t="str">
        <f ca="1">IFERROR(__xludf.DUMMYFUNCTION("IF(F827 = H827,C827/FILTER('Base Stats'!$C$2:$C1000, LOWER('Base Stats'!$B$2:$B1000) = LOWER($A827)), """")"),"#N/A")</f>
        <v>#N/A</v>
      </c>
      <c r="K827" t="str">
        <f t="shared" ca="1" si="1"/>
        <v/>
      </c>
      <c r="L827" t="str">
        <f ca="1">IFERROR(__xludf.DUMMYFUNCTION("IF(AND(NOT(K827 = """"), G827 &gt;= 15),K827/FILTER('Base Stats'!$C$2:$C1000, LOWER('Base Stats'!$B$2:$B1000) = LOWER($A827)), """")"),"#N/A")</f>
        <v>#N/A</v>
      </c>
      <c r="M827" t="str">
        <f ca="1">IFERROR(__xludf.DUMMYFUNCTION("1.15 + 0.02 * FILTER('Base Stats'!$C$2:$C1000, LOWER('Base Stats'!$B$2:$B1000) = LOWER($A827))"),"1.15")</f>
        <v>1.15</v>
      </c>
      <c r="N827" t="s">
        <v>527</v>
      </c>
    </row>
    <row r="828" spans="1:14" ht="12.75" x14ac:dyDescent="0.2">
      <c r="A828">
        <f>'Form Responses (Pokemon Stats)'!B788</f>
        <v>0</v>
      </c>
      <c r="B828">
        <f>'Form Responses (Pokemon Stats)'!D788</f>
        <v>0</v>
      </c>
      <c r="C828">
        <f>'Form Responses (Pokemon Stats)'!C788</f>
        <v>0</v>
      </c>
      <c r="F828">
        <f>'Form Responses (Pokemon Stats)'!E788</f>
        <v>0</v>
      </c>
      <c r="G828" t="str">
        <f ca="1">IFERROR(__xludf.DUMMYFUNCTION("ROUND(B828/ FILTER('Pokemon CP/HP'!$M$2:$M1000, LOWER('Pokemon CP/HP'!$B$2:$B1000)=LOWER(A828)))"),"#DIV/0!")</f>
        <v>#DIV/0!</v>
      </c>
      <c r="H828" t="str">
        <f ca="1">IFERROR(__xludf.DUMMYFUNCTION("FILTER('Leveling Info'!$B$2:$B1000, 'Leveling Info'!$A$2:$A1000 =G828)"),"#N/A")</f>
        <v>#N/A</v>
      </c>
      <c r="I828" s="29" t="e">
        <f t="shared" ca="1" si="0"/>
        <v>#VALUE!</v>
      </c>
      <c r="J828" s="29" t="str">
        <f ca="1">IFERROR(__xludf.DUMMYFUNCTION("IF(F828 = H828,C828/FILTER('Base Stats'!$C$2:$C1000, LOWER('Base Stats'!$B$2:$B1000) = LOWER($A828)), """")"),"#N/A")</f>
        <v>#N/A</v>
      </c>
      <c r="K828" t="str">
        <f t="shared" ca="1" si="1"/>
        <v/>
      </c>
      <c r="L828" t="str">
        <f ca="1">IFERROR(__xludf.DUMMYFUNCTION("IF(AND(NOT(K828 = """"), G828 &gt;= 15),K828/FILTER('Base Stats'!$C$2:$C1000, LOWER('Base Stats'!$B$2:$B1000) = LOWER($A828)), """")"),"#N/A")</f>
        <v>#N/A</v>
      </c>
      <c r="M828" t="str">
        <f ca="1">IFERROR(__xludf.DUMMYFUNCTION("1.15 + 0.02 * FILTER('Base Stats'!$C$2:$C1000, LOWER('Base Stats'!$B$2:$B1000) = LOWER($A828))"),"1.15")</f>
        <v>1.15</v>
      </c>
      <c r="N828" t="s">
        <v>527</v>
      </c>
    </row>
    <row r="829" spans="1:14" ht="12.75" x14ac:dyDescent="0.2">
      <c r="A829">
        <f>'Form Responses (Pokemon Stats)'!B789</f>
        <v>0</v>
      </c>
      <c r="B829">
        <f>'Form Responses (Pokemon Stats)'!D789</f>
        <v>0</v>
      </c>
      <c r="C829">
        <f>'Form Responses (Pokemon Stats)'!C789</f>
        <v>0</v>
      </c>
      <c r="F829">
        <f>'Form Responses (Pokemon Stats)'!E789</f>
        <v>0</v>
      </c>
      <c r="G829" t="str">
        <f ca="1">IFERROR(__xludf.DUMMYFUNCTION("ROUND(B829/ FILTER('Pokemon CP/HP'!$M$2:$M1000, LOWER('Pokemon CP/HP'!$B$2:$B1000)=LOWER(A829)))"),"#DIV/0!")</f>
        <v>#DIV/0!</v>
      </c>
      <c r="H829" t="str">
        <f ca="1">IFERROR(__xludf.DUMMYFUNCTION("FILTER('Leveling Info'!$B$2:$B1000, 'Leveling Info'!$A$2:$A1000 =G829)"),"#N/A")</f>
        <v>#N/A</v>
      </c>
      <c r="I829" s="29" t="e">
        <f t="shared" ca="1" si="0"/>
        <v>#VALUE!</v>
      </c>
      <c r="J829" s="29" t="str">
        <f ca="1">IFERROR(__xludf.DUMMYFUNCTION("IF(F829 = H829,C829/FILTER('Base Stats'!$C$2:$C1000, LOWER('Base Stats'!$B$2:$B1000) = LOWER($A829)), """")"),"#N/A")</f>
        <v>#N/A</v>
      </c>
      <c r="K829" t="str">
        <f t="shared" ca="1" si="1"/>
        <v/>
      </c>
      <c r="L829" t="str">
        <f ca="1">IFERROR(__xludf.DUMMYFUNCTION("IF(AND(NOT(K829 = """"), G829 &gt;= 15),K829/FILTER('Base Stats'!$C$2:$C1000, LOWER('Base Stats'!$B$2:$B1000) = LOWER($A829)), """")"),"#N/A")</f>
        <v>#N/A</v>
      </c>
      <c r="M829" t="str">
        <f ca="1">IFERROR(__xludf.DUMMYFUNCTION("1.15 + 0.02 * FILTER('Base Stats'!$C$2:$C1000, LOWER('Base Stats'!$B$2:$B1000) = LOWER($A829))"),"1.15")</f>
        <v>1.15</v>
      </c>
      <c r="N829" t="s">
        <v>527</v>
      </c>
    </row>
    <row r="830" spans="1:14" ht="12.75" x14ac:dyDescent="0.2">
      <c r="A830">
        <f>'Form Responses (Pokemon Stats)'!B790</f>
        <v>0</v>
      </c>
      <c r="B830">
        <f>'Form Responses (Pokemon Stats)'!D790</f>
        <v>0</v>
      </c>
      <c r="C830">
        <f>'Form Responses (Pokemon Stats)'!C790</f>
        <v>0</v>
      </c>
      <c r="F830">
        <f>'Form Responses (Pokemon Stats)'!E790</f>
        <v>0</v>
      </c>
      <c r="G830" t="str">
        <f ca="1">IFERROR(__xludf.DUMMYFUNCTION("ROUND(B830/ FILTER('Pokemon CP/HP'!$M$2:$M1000, LOWER('Pokemon CP/HP'!$B$2:$B1000)=LOWER(A830)))"),"#DIV/0!")</f>
        <v>#DIV/0!</v>
      </c>
      <c r="H830" t="str">
        <f ca="1">IFERROR(__xludf.DUMMYFUNCTION("FILTER('Leveling Info'!$B$2:$B1000, 'Leveling Info'!$A$2:$A1000 =G830)"),"#N/A")</f>
        <v>#N/A</v>
      </c>
      <c r="I830" s="29" t="e">
        <f t="shared" ca="1" si="0"/>
        <v>#VALUE!</v>
      </c>
      <c r="J830" s="29" t="str">
        <f ca="1">IFERROR(__xludf.DUMMYFUNCTION("IF(F830 = H830,C830/FILTER('Base Stats'!$C$2:$C1000, LOWER('Base Stats'!$B$2:$B1000) = LOWER($A830)), """")"),"#N/A")</f>
        <v>#N/A</v>
      </c>
      <c r="K830" t="str">
        <f t="shared" ca="1" si="1"/>
        <v/>
      </c>
      <c r="L830" t="str">
        <f ca="1">IFERROR(__xludf.DUMMYFUNCTION("IF(AND(NOT(K830 = """"), G830 &gt;= 15),K830/FILTER('Base Stats'!$C$2:$C1000, LOWER('Base Stats'!$B$2:$B1000) = LOWER($A830)), """")"),"#N/A")</f>
        <v>#N/A</v>
      </c>
      <c r="M830" t="str">
        <f ca="1">IFERROR(__xludf.DUMMYFUNCTION("1.15 + 0.02 * FILTER('Base Stats'!$C$2:$C1000, LOWER('Base Stats'!$B$2:$B1000) = LOWER($A830))"),"1.15")</f>
        <v>1.15</v>
      </c>
      <c r="N830" t="s">
        <v>527</v>
      </c>
    </row>
    <row r="831" spans="1:14" ht="12.75" x14ac:dyDescent="0.2">
      <c r="A831">
        <f>'Form Responses (Pokemon Stats)'!B791</f>
        <v>0</v>
      </c>
      <c r="B831">
        <f>'Form Responses (Pokemon Stats)'!D791</f>
        <v>0</v>
      </c>
      <c r="C831">
        <f>'Form Responses (Pokemon Stats)'!C791</f>
        <v>0</v>
      </c>
      <c r="F831">
        <f>'Form Responses (Pokemon Stats)'!E791</f>
        <v>0</v>
      </c>
      <c r="G831" t="str">
        <f ca="1">IFERROR(__xludf.DUMMYFUNCTION("ROUND(B831/ FILTER('Pokemon CP/HP'!$M$2:$M1000, LOWER('Pokemon CP/HP'!$B$2:$B1000)=LOWER(A831)))"),"#DIV/0!")</f>
        <v>#DIV/0!</v>
      </c>
      <c r="H831" t="str">
        <f ca="1">IFERROR(__xludf.DUMMYFUNCTION("FILTER('Leveling Info'!$B$2:$B1000, 'Leveling Info'!$A$2:$A1000 =G831)"),"#N/A")</f>
        <v>#N/A</v>
      </c>
      <c r="I831" s="29" t="e">
        <f t="shared" ca="1" si="0"/>
        <v>#VALUE!</v>
      </c>
      <c r="J831" s="29" t="str">
        <f ca="1">IFERROR(__xludf.DUMMYFUNCTION("IF(F831 = H831,C831/FILTER('Base Stats'!$C$2:$C1000, LOWER('Base Stats'!$B$2:$B1000) = LOWER($A831)), """")"),"#N/A")</f>
        <v>#N/A</v>
      </c>
      <c r="K831" t="str">
        <f t="shared" ca="1" si="1"/>
        <v/>
      </c>
      <c r="L831" t="str">
        <f ca="1">IFERROR(__xludf.DUMMYFUNCTION("IF(AND(NOT(K831 = """"), G831 &gt;= 15),K831/FILTER('Base Stats'!$C$2:$C1000, LOWER('Base Stats'!$B$2:$B1000) = LOWER($A831)), """")"),"#N/A")</f>
        <v>#N/A</v>
      </c>
      <c r="M831" t="str">
        <f ca="1">IFERROR(__xludf.DUMMYFUNCTION("1.15 + 0.02 * FILTER('Base Stats'!$C$2:$C1000, LOWER('Base Stats'!$B$2:$B1000) = LOWER($A831))"),"1.15")</f>
        <v>1.15</v>
      </c>
      <c r="N831" t="s">
        <v>527</v>
      </c>
    </row>
    <row r="832" spans="1:14" ht="12.75" x14ac:dyDescent="0.2">
      <c r="A832">
        <f>'Form Responses (Pokemon Stats)'!B792</f>
        <v>0</v>
      </c>
      <c r="B832">
        <f>'Form Responses (Pokemon Stats)'!D792</f>
        <v>0</v>
      </c>
      <c r="C832">
        <f>'Form Responses (Pokemon Stats)'!C792</f>
        <v>0</v>
      </c>
      <c r="F832">
        <f>'Form Responses (Pokemon Stats)'!E792</f>
        <v>0</v>
      </c>
      <c r="G832" t="str">
        <f ca="1">IFERROR(__xludf.DUMMYFUNCTION("ROUND(B832/ FILTER('Pokemon CP/HP'!$M$2:$M1000, LOWER('Pokemon CP/HP'!$B$2:$B1000)=LOWER(A832)))"),"#DIV/0!")</f>
        <v>#DIV/0!</v>
      </c>
      <c r="H832" t="str">
        <f ca="1">IFERROR(__xludf.DUMMYFUNCTION("FILTER('Leveling Info'!$B$2:$B1000, 'Leveling Info'!$A$2:$A1000 =G832)"),"#N/A")</f>
        <v>#N/A</v>
      </c>
      <c r="I832" s="29" t="e">
        <f t="shared" ca="1" si="0"/>
        <v>#VALUE!</v>
      </c>
      <c r="J832" s="29" t="str">
        <f ca="1">IFERROR(__xludf.DUMMYFUNCTION("IF(F832 = H832,C832/FILTER('Base Stats'!$C$2:$C1000, LOWER('Base Stats'!$B$2:$B1000) = LOWER($A832)), """")"),"#N/A")</f>
        <v>#N/A</v>
      </c>
      <c r="K832" t="str">
        <f t="shared" ca="1" si="1"/>
        <v/>
      </c>
      <c r="L832" t="str">
        <f ca="1">IFERROR(__xludf.DUMMYFUNCTION("IF(AND(NOT(K832 = """"), G832 &gt;= 15),K832/FILTER('Base Stats'!$C$2:$C1000, LOWER('Base Stats'!$B$2:$B1000) = LOWER($A832)), """")"),"#N/A")</f>
        <v>#N/A</v>
      </c>
      <c r="M832" t="str">
        <f ca="1">IFERROR(__xludf.DUMMYFUNCTION("1.15 + 0.02 * FILTER('Base Stats'!$C$2:$C1000, LOWER('Base Stats'!$B$2:$B1000) = LOWER($A832))"),"1.15")</f>
        <v>1.15</v>
      </c>
      <c r="N832" t="s">
        <v>527</v>
      </c>
    </row>
    <row r="833" spans="1:14" ht="12.75" x14ac:dyDescent="0.2">
      <c r="A833">
        <f>'Form Responses (Pokemon Stats)'!B793</f>
        <v>0</v>
      </c>
      <c r="B833">
        <f>'Form Responses (Pokemon Stats)'!D793</f>
        <v>0</v>
      </c>
      <c r="C833">
        <f>'Form Responses (Pokemon Stats)'!C793</f>
        <v>0</v>
      </c>
      <c r="F833">
        <f>'Form Responses (Pokemon Stats)'!E793</f>
        <v>0</v>
      </c>
      <c r="G833" t="str">
        <f ca="1">IFERROR(__xludf.DUMMYFUNCTION("ROUND(B833/ FILTER('Pokemon CP/HP'!$M$2:$M1000, LOWER('Pokemon CP/HP'!$B$2:$B1000)=LOWER(A833)))"),"#DIV/0!")</f>
        <v>#DIV/0!</v>
      </c>
      <c r="H833" t="str">
        <f ca="1">IFERROR(__xludf.DUMMYFUNCTION("FILTER('Leveling Info'!$B$2:$B1000, 'Leveling Info'!$A$2:$A1000 =G833)"),"#N/A")</f>
        <v>#N/A</v>
      </c>
      <c r="I833" s="29" t="e">
        <f t="shared" ca="1" si="0"/>
        <v>#VALUE!</v>
      </c>
      <c r="J833" s="29" t="str">
        <f ca="1">IFERROR(__xludf.DUMMYFUNCTION("IF(F833 = H833,C833/FILTER('Base Stats'!$C$2:$C1000, LOWER('Base Stats'!$B$2:$B1000) = LOWER($A833)), """")"),"#N/A")</f>
        <v>#N/A</v>
      </c>
      <c r="K833" t="str">
        <f t="shared" ca="1" si="1"/>
        <v/>
      </c>
      <c r="L833" t="str">
        <f ca="1">IFERROR(__xludf.DUMMYFUNCTION("IF(AND(NOT(K833 = """"), G833 &gt;= 15),K833/FILTER('Base Stats'!$C$2:$C1000, LOWER('Base Stats'!$B$2:$B1000) = LOWER($A833)), """")"),"#N/A")</f>
        <v>#N/A</v>
      </c>
      <c r="M833" t="str">
        <f ca="1">IFERROR(__xludf.DUMMYFUNCTION("1.15 + 0.02 * FILTER('Base Stats'!$C$2:$C1000, LOWER('Base Stats'!$B$2:$B1000) = LOWER($A833))"),"1.15")</f>
        <v>1.15</v>
      </c>
      <c r="N833" t="s">
        <v>527</v>
      </c>
    </row>
    <row r="834" spans="1:14" ht="12.75" x14ac:dyDescent="0.2">
      <c r="A834">
        <f>'Form Responses (Pokemon Stats)'!B794</f>
        <v>0</v>
      </c>
      <c r="B834">
        <f>'Form Responses (Pokemon Stats)'!D794</f>
        <v>0</v>
      </c>
      <c r="C834">
        <f>'Form Responses (Pokemon Stats)'!C794</f>
        <v>0</v>
      </c>
      <c r="F834">
        <f>'Form Responses (Pokemon Stats)'!E794</f>
        <v>0</v>
      </c>
      <c r="G834" t="str">
        <f ca="1">IFERROR(__xludf.DUMMYFUNCTION("ROUND(B834/ FILTER('Pokemon CP/HP'!$M$2:$M1000, LOWER('Pokemon CP/HP'!$B$2:$B1000)=LOWER(A834)))"),"#DIV/0!")</f>
        <v>#DIV/0!</v>
      </c>
      <c r="H834" t="str">
        <f ca="1">IFERROR(__xludf.DUMMYFUNCTION("FILTER('Leveling Info'!$B$2:$B1000, 'Leveling Info'!$A$2:$A1000 =G834)"),"#N/A")</f>
        <v>#N/A</v>
      </c>
      <c r="I834" s="29" t="e">
        <f t="shared" ca="1" si="0"/>
        <v>#VALUE!</v>
      </c>
      <c r="J834" s="29" t="str">
        <f ca="1">IFERROR(__xludf.DUMMYFUNCTION("IF(F834 = H834,C834/FILTER('Base Stats'!$C$2:$C1000, LOWER('Base Stats'!$B$2:$B1000) = LOWER($A834)), """")"),"#N/A")</f>
        <v>#N/A</v>
      </c>
      <c r="K834" t="str">
        <f t="shared" ca="1" si="1"/>
        <v/>
      </c>
      <c r="L834" t="str">
        <f ca="1">IFERROR(__xludf.DUMMYFUNCTION("IF(AND(NOT(K834 = """"), G834 &gt;= 15),K834/FILTER('Base Stats'!$C$2:$C1000, LOWER('Base Stats'!$B$2:$B1000) = LOWER($A834)), """")"),"#N/A")</f>
        <v>#N/A</v>
      </c>
      <c r="M834" t="str">
        <f ca="1">IFERROR(__xludf.DUMMYFUNCTION("1.15 + 0.02 * FILTER('Base Stats'!$C$2:$C1000, LOWER('Base Stats'!$B$2:$B1000) = LOWER($A834))"),"1.15")</f>
        <v>1.15</v>
      </c>
      <c r="N834" t="s">
        <v>527</v>
      </c>
    </row>
    <row r="835" spans="1:14" ht="12.75" x14ac:dyDescent="0.2">
      <c r="A835">
        <f>'Form Responses (Pokemon Stats)'!B795</f>
        <v>0</v>
      </c>
      <c r="B835">
        <f>'Form Responses (Pokemon Stats)'!D795</f>
        <v>0</v>
      </c>
      <c r="C835">
        <f>'Form Responses (Pokemon Stats)'!C795</f>
        <v>0</v>
      </c>
      <c r="F835">
        <f>'Form Responses (Pokemon Stats)'!E795</f>
        <v>0</v>
      </c>
      <c r="G835" t="str">
        <f ca="1">IFERROR(__xludf.DUMMYFUNCTION("ROUND(B835/ FILTER('Pokemon CP/HP'!$M$2:$M1000, LOWER('Pokemon CP/HP'!$B$2:$B1000)=LOWER(A835)))"),"#DIV/0!")</f>
        <v>#DIV/0!</v>
      </c>
      <c r="H835" t="str">
        <f ca="1">IFERROR(__xludf.DUMMYFUNCTION("FILTER('Leveling Info'!$B$2:$B1000, 'Leveling Info'!$A$2:$A1000 =G835)"),"#N/A")</f>
        <v>#N/A</v>
      </c>
      <c r="I835" s="29" t="e">
        <f t="shared" ca="1" si="0"/>
        <v>#VALUE!</v>
      </c>
      <c r="J835" s="29" t="str">
        <f ca="1">IFERROR(__xludf.DUMMYFUNCTION("IF(F835 = H835,C835/FILTER('Base Stats'!$C$2:$C1000, LOWER('Base Stats'!$B$2:$B1000) = LOWER($A835)), """")"),"#N/A")</f>
        <v>#N/A</v>
      </c>
      <c r="K835" t="str">
        <f t="shared" ca="1" si="1"/>
        <v/>
      </c>
      <c r="L835" t="str">
        <f ca="1">IFERROR(__xludf.DUMMYFUNCTION("IF(AND(NOT(K835 = """"), G835 &gt;= 15),K835/FILTER('Base Stats'!$C$2:$C1000, LOWER('Base Stats'!$B$2:$B1000) = LOWER($A835)), """")"),"#N/A")</f>
        <v>#N/A</v>
      </c>
      <c r="M835" t="str">
        <f ca="1">IFERROR(__xludf.DUMMYFUNCTION("1.15 + 0.02 * FILTER('Base Stats'!$C$2:$C1000, LOWER('Base Stats'!$B$2:$B1000) = LOWER($A835))"),"1.15")</f>
        <v>1.15</v>
      </c>
      <c r="N835" t="s">
        <v>527</v>
      </c>
    </row>
    <row r="836" spans="1:14" ht="12.75" x14ac:dyDescent="0.2">
      <c r="A836">
        <f>'Form Responses (Pokemon Stats)'!B796</f>
        <v>0</v>
      </c>
      <c r="B836">
        <f>'Form Responses (Pokemon Stats)'!D796</f>
        <v>0</v>
      </c>
      <c r="C836">
        <f>'Form Responses (Pokemon Stats)'!C796</f>
        <v>0</v>
      </c>
      <c r="F836">
        <f>'Form Responses (Pokemon Stats)'!E796</f>
        <v>0</v>
      </c>
      <c r="G836" t="str">
        <f ca="1">IFERROR(__xludf.DUMMYFUNCTION("ROUND(B836/ FILTER('Pokemon CP/HP'!$M$2:$M1000, LOWER('Pokemon CP/HP'!$B$2:$B1000)=LOWER(A836)))"),"#DIV/0!")</f>
        <v>#DIV/0!</v>
      </c>
      <c r="H836" t="str">
        <f ca="1">IFERROR(__xludf.DUMMYFUNCTION("FILTER('Leveling Info'!$B$2:$B1000, 'Leveling Info'!$A$2:$A1000 =G836)"),"#N/A")</f>
        <v>#N/A</v>
      </c>
      <c r="I836" s="29" t="e">
        <f t="shared" ca="1" si="0"/>
        <v>#VALUE!</v>
      </c>
      <c r="J836" s="29" t="str">
        <f ca="1">IFERROR(__xludf.DUMMYFUNCTION("IF(F836 = H836,C836/FILTER('Base Stats'!$C$2:$C1000, LOWER('Base Stats'!$B$2:$B1000) = LOWER($A836)), """")"),"#N/A")</f>
        <v>#N/A</v>
      </c>
      <c r="K836" t="str">
        <f t="shared" ca="1" si="1"/>
        <v/>
      </c>
      <c r="L836" t="str">
        <f ca="1">IFERROR(__xludf.DUMMYFUNCTION("IF(AND(NOT(K836 = """"), G836 &gt;= 15),K836/FILTER('Base Stats'!$C$2:$C1000, LOWER('Base Stats'!$B$2:$B1000) = LOWER($A836)), """")"),"#N/A")</f>
        <v>#N/A</v>
      </c>
      <c r="M836" t="str">
        <f ca="1">IFERROR(__xludf.DUMMYFUNCTION("1.15 + 0.02 * FILTER('Base Stats'!$C$2:$C1000, LOWER('Base Stats'!$B$2:$B1000) = LOWER($A836))"),"1.15")</f>
        <v>1.15</v>
      </c>
      <c r="N836" t="s">
        <v>527</v>
      </c>
    </row>
    <row r="837" spans="1:14" ht="12.75" x14ac:dyDescent="0.2">
      <c r="A837">
        <f>'Form Responses (Pokemon Stats)'!B797</f>
        <v>0</v>
      </c>
      <c r="B837">
        <f>'Form Responses (Pokemon Stats)'!D797</f>
        <v>0</v>
      </c>
      <c r="C837">
        <f>'Form Responses (Pokemon Stats)'!C797</f>
        <v>0</v>
      </c>
      <c r="F837">
        <f>'Form Responses (Pokemon Stats)'!E797</f>
        <v>0</v>
      </c>
      <c r="G837" t="str">
        <f ca="1">IFERROR(__xludf.DUMMYFUNCTION("ROUND(B837/ FILTER('Pokemon CP/HP'!$M$2:$M1000, LOWER('Pokemon CP/HP'!$B$2:$B1000)=LOWER(A837)))"),"#DIV/0!")</f>
        <v>#DIV/0!</v>
      </c>
      <c r="H837" t="str">
        <f ca="1">IFERROR(__xludf.DUMMYFUNCTION("FILTER('Leveling Info'!$B$2:$B1000, 'Leveling Info'!$A$2:$A1000 =G837)"),"#N/A")</f>
        <v>#N/A</v>
      </c>
      <c r="I837" s="29" t="e">
        <f t="shared" ca="1" si="0"/>
        <v>#VALUE!</v>
      </c>
      <c r="J837" s="29" t="str">
        <f ca="1">IFERROR(__xludf.DUMMYFUNCTION("IF(F837 = H837,C837/FILTER('Base Stats'!$C$2:$C1000, LOWER('Base Stats'!$B$2:$B1000) = LOWER($A837)), """")"),"#N/A")</f>
        <v>#N/A</v>
      </c>
      <c r="K837" t="str">
        <f t="shared" ca="1" si="1"/>
        <v/>
      </c>
      <c r="L837" t="str">
        <f ca="1">IFERROR(__xludf.DUMMYFUNCTION("IF(AND(NOT(K837 = """"), G837 &gt;= 15),K837/FILTER('Base Stats'!$C$2:$C1000, LOWER('Base Stats'!$B$2:$B1000) = LOWER($A837)), """")"),"#N/A")</f>
        <v>#N/A</v>
      </c>
      <c r="M837" t="str">
        <f ca="1">IFERROR(__xludf.DUMMYFUNCTION("1.15 + 0.02 * FILTER('Base Stats'!$C$2:$C1000, LOWER('Base Stats'!$B$2:$B1000) = LOWER($A837))"),"1.15")</f>
        <v>1.15</v>
      </c>
      <c r="N837" t="s">
        <v>527</v>
      </c>
    </row>
    <row r="838" spans="1:14" ht="12.75" x14ac:dyDescent="0.2">
      <c r="A838">
        <f>'Form Responses (Pokemon Stats)'!B798</f>
        <v>0</v>
      </c>
      <c r="B838">
        <f>'Form Responses (Pokemon Stats)'!D798</f>
        <v>0</v>
      </c>
      <c r="C838">
        <f>'Form Responses (Pokemon Stats)'!C798</f>
        <v>0</v>
      </c>
      <c r="F838">
        <f>'Form Responses (Pokemon Stats)'!E798</f>
        <v>0</v>
      </c>
      <c r="G838" t="str">
        <f ca="1">IFERROR(__xludf.DUMMYFUNCTION("ROUND(B838/ FILTER('Pokemon CP/HP'!$M$2:$M1000, LOWER('Pokemon CP/HP'!$B$2:$B1000)=LOWER(A838)))"),"#DIV/0!")</f>
        <v>#DIV/0!</v>
      </c>
      <c r="H838" t="str">
        <f ca="1">IFERROR(__xludf.DUMMYFUNCTION("FILTER('Leveling Info'!$B$2:$B1000, 'Leveling Info'!$A$2:$A1000 =G838)"),"#N/A")</f>
        <v>#N/A</v>
      </c>
      <c r="I838" s="29" t="e">
        <f t="shared" ca="1" si="0"/>
        <v>#VALUE!</v>
      </c>
      <c r="J838" s="29" t="str">
        <f ca="1">IFERROR(__xludf.DUMMYFUNCTION("IF(F838 = H838,C838/FILTER('Base Stats'!$C$2:$C1000, LOWER('Base Stats'!$B$2:$B1000) = LOWER($A838)), """")"),"#N/A")</f>
        <v>#N/A</v>
      </c>
      <c r="K838" t="str">
        <f t="shared" ca="1" si="1"/>
        <v/>
      </c>
      <c r="L838" t="str">
        <f ca="1">IFERROR(__xludf.DUMMYFUNCTION("IF(AND(NOT(K838 = """"), G838 &gt;= 15),K838/FILTER('Base Stats'!$C$2:$C1000, LOWER('Base Stats'!$B$2:$B1000) = LOWER($A838)), """")"),"#N/A")</f>
        <v>#N/A</v>
      </c>
      <c r="M838" t="str">
        <f ca="1">IFERROR(__xludf.DUMMYFUNCTION("1.15 + 0.02 * FILTER('Base Stats'!$C$2:$C1000, LOWER('Base Stats'!$B$2:$B1000) = LOWER($A838))"),"1.15")</f>
        <v>1.15</v>
      </c>
      <c r="N838" t="s">
        <v>527</v>
      </c>
    </row>
    <row r="839" spans="1:14" ht="12.75" x14ac:dyDescent="0.2">
      <c r="A839">
        <f>'Form Responses (Pokemon Stats)'!B799</f>
        <v>0</v>
      </c>
      <c r="B839">
        <f>'Form Responses (Pokemon Stats)'!D799</f>
        <v>0</v>
      </c>
      <c r="C839">
        <f>'Form Responses (Pokemon Stats)'!C799</f>
        <v>0</v>
      </c>
      <c r="F839">
        <f>'Form Responses (Pokemon Stats)'!E799</f>
        <v>0</v>
      </c>
      <c r="G839" t="str">
        <f ca="1">IFERROR(__xludf.DUMMYFUNCTION("ROUND(B839/ FILTER('Pokemon CP/HP'!$M$2:$M1000, LOWER('Pokemon CP/HP'!$B$2:$B1000)=LOWER(A839)))"),"#DIV/0!")</f>
        <v>#DIV/0!</v>
      </c>
      <c r="H839" t="str">
        <f ca="1">IFERROR(__xludf.DUMMYFUNCTION("FILTER('Leveling Info'!$B$2:$B1000, 'Leveling Info'!$A$2:$A1000 =G839)"),"#N/A")</f>
        <v>#N/A</v>
      </c>
      <c r="I839" s="29" t="e">
        <f t="shared" ca="1" si="0"/>
        <v>#VALUE!</v>
      </c>
      <c r="J839" s="29" t="str">
        <f ca="1">IFERROR(__xludf.DUMMYFUNCTION("IF(F839 = H839,C839/FILTER('Base Stats'!$C$2:$C1000, LOWER('Base Stats'!$B$2:$B1000) = LOWER($A839)), """")"),"#N/A")</f>
        <v>#N/A</v>
      </c>
      <c r="K839" t="str">
        <f t="shared" ca="1" si="1"/>
        <v/>
      </c>
      <c r="L839" t="str">
        <f ca="1">IFERROR(__xludf.DUMMYFUNCTION("IF(AND(NOT(K839 = """"), G839 &gt;= 15),K839/FILTER('Base Stats'!$C$2:$C1000, LOWER('Base Stats'!$B$2:$B1000) = LOWER($A839)), """")"),"#N/A")</f>
        <v>#N/A</v>
      </c>
      <c r="M839" t="str">
        <f ca="1">IFERROR(__xludf.DUMMYFUNCTION("1.15 + 0.02 * FILTER('Base Stats'!$C$2:$C1000, LOWER('Base Stats'!$B$2:$B1000) = LOWER($A839))"),"1.15")</f>
        <v>1.15</v>
      </c>
      <c r="N839" t="s">
        <v>527</v>
      </c>
    </row>
    <row r="840" spans="1:14" ht="12.75" x14ac:dyDescent="0.2">
      <c r="A840">
        <f>'Form Responses (Pokemon Stats)'!B800</f>
        <v>0</v>
      </c>
      <c r="B840">
        <f>'Form Responses (Pokemon Stats)'!D800</f>
        <v>0</v>
      </c>
      <c r="C840">
        <f>'Form Responses (Pokemon Stats)'!C800</f>
        <v>0</v>
      </c>
      <c r="F840">
        <f>'Form Responses (Pokemon Stats)'!E800</f>
        <v>0</v>
      </c>
      <c r="G840" t="str">
        <f ca="1">IFERROR(__xludf.DUMMYFUNCTION("ROUND(B840/ FILTER('Pokemon CP/HP'!$M$2:$M1000, LOWER('Pokemon CP/HP'!$B$2:$B1000)=LOWER(A840)))"),"#DIV/0!")</f>
        <v>#DIV/0!</v>
      </c>
      <c r="H840" t="str">
        <f ca="1">IFERROR(__xludf.DUMMYFUNCTION("FILTER('Leveling Info'!$B$2:$B1000, 'Leveling Info'!$A$2:$A1000 =G840)"),"#N/A")</f>
        <v>#N/A</v>
      </c>
      <c r="I840" s="29" t="e">
        <f t="shared" ca="1" si="0"/>
        <v>#VALUE!</v>
      </c>
      <c r="J840" s="29" t="str">
        <f ca="1">IFERROR(__xludf.DUMMYFUNCTION("IF(F840 = H840,C840/FILTER('Base Stats'!$C$2:$C1000, LOWER('Base Stats'!$B$2:$B1000) = LOWER($A840)), """")"),"#N/A")</f>
        <v>#N/A</v>
      </c>
      <c r="K840" t="str">
        <f t="shared" ca="1" si="1"/>
        <v/>
      </c>
      <c r="L840" t="str">
        <f ca="1">IFERROR(__xludf.DUMMYFUNCTION("IF(AND(NOT(K840 = """"), G840 &gt;= 15),K840/FILTER('Base Stats'!$C$2:$C1000, LOWER('Base Stats'!$B$2:$B1000) = LOWER($A840)), """")"),"#N/A")</f>
        <v>#N/A</v>
      </c>
      <c r="M840" t="str">
        <f ca="1">IFERROR(__xludf.DUMMYFUNCTION("1.15 + 0.02 * FILTER('Base Stats'!$C$2:$C1000, LOWER('Base Stats'!$B$2:$B1000) = LOWER($A840))"),"1.15")</f>
        <v>1.15</v>
      </c>
      <c r="N840" t="s">
        <v>527</v>
      </c>
    </row>
    <row r="841" spans="1:14" ht="12.75" x14ac:dyDescent="0.2">
      <c r="A841">
        <f>'Form Responses (Pokemon Stats)'!B801</f>
        <v>0</v>
      </c>
      <c r="B841">
        <f>'Form Responses (Pokemon Stats)'!D801</f>
        <v>0</v>
      </c>
      <c r="C841">
        <f>'Form Responses (Pokemon Stats)'!C801</f>
        <v>0</v>
      </c>
      <c r="F841">
        <f>'Form Responses (Pokemon Stats)'!E801</f>
        <v>0</v>
      </c>
      <c r="G841" t="str">
        <f ca="1">IFERROR(__xludf.DUMMYFUNCTION("ROUND(B841/ FILTER('Pokemon CP/HP'!$M$2:$M1000, LOWER('Pokemon CP/HP'!$B$2:$B1000)=LOWER(A841)))"),"#DIV/0!")</f>
        <v>#DIV/0!</v>
      </c>
      <c r="H841" t="str">
        <f ca="1">IFERROR(__xludf.DUMMYFUNCTION("FILTER('Leveling Info'!$B$2:$B1000, 'Leveling Info'!$A$2:$A1000 =G841)"),"#N/A")</f>
        <v>#N/A</v>
      </c>
      <c r="I841" s="29" t="e">
        <f t="shared" ca="1" si="0"/>
        <v>#VALUE!</v>
      </c>
      <c r="J841" s="29" t="str">
        <f ca="1">IFERROR(__xludf.DUMMYFUNCTION("IF(F841 = H841,C841/FILTER('Base Stats'!$C$2:$C1000, LOWER('Base Stats'!$B$2:$B1000) = LOWER($A841)), """")"),"#N/A")</f>
        <v>#N/A</v>
      </c>
      <c r="K841" t="str">
        <f t="shared" ca="1" si="1"/>
        <v/>
      </c>
      <c r="L841" t="str">
        <f ca="1">IFERROR(__xludf.DUMMYFUNCTION("IF(AND(NOT(K841 = """"), G841 &gt;= 15),K841/FILTER('Base Stats'!$C$2:$C1000, LOWER('Base Stats'!$B$2:$B1000) = LOWER($A841)), """")"),"#N/A")</f>
        <v>#N/A</v>
      </c>
      <c r="M841" t="str">
        <f ca="1">IFERROR(__xludf.DUMMYFUNCTION("1.15 + 0.02 * FILTER('Base Stats'!$C$2:$C1000, LOWER('Base Stats'!$B$2:$B1000) = LOWER($A841))"),"1.15")</f>
        <v>1.15</v>
      </c>
      <c r="N841" t="s">
        <v>527</v>
      </c>
    </row>
    <row r="842" spans="1:14" ht="12.75" x14ac:dyDescent="0.2">
      <c r="A842">
        <f>'Form Responses (Pokemon Stats)'!B802</f>
        <v>0</v>
      </c>
      <c r="B842">
        <f>'Form Responses (Pokemon Stats)'!D802</f>
        <v>0</v>
      </c>
      <c r="C842">
        <f>'Form Responses (Pokemon Stats)'!C802</f>
        <v>0</v>
      </c>
      <c r="F842">
        <f>'Form Responses (Pokemon Stats)'!E802</f>
        <v>0</v>
      </c>
      <c r="G842" t="str">
        <f ca="1">IFERROR(__xludf.DUMMYFUNCTION("ROUND(B842/ FILTER('Pokemon CP/HP'!$M$2:$M1000, LOWER('Pokemon CP/HP'!$B$2:$B1000)=LOWER(A842)))"),"#DIV/0!")</f>
        <v>#DIV/0!</v>
      </c>
      <c r="H842" t="str">
        <f ca="1">IFERROR(__xludf.DUMMYFUNCTION("FILTER('Leveling Info'!$B$2:$B1000, 'Leveling Info'!$A$2:$A1000 =G842)"),"#N/A")</f>
        <v>#N/A</v>
      </c>
      <c r="I842" s="29" t="e">
        <f t="shared" ca="1" si="0"/>
        <v>#VALUE!</v>
      </c>
      <c r="J842" s="29" t="str">
        <f ca="1">IFERROR(__xludf.DUMMYFUNCTION("IF(F842 = H842,C842/FILTER('Base Stats'!$C$2:$C1000, LOWER('Base Stats'!$B$2:$B1000) = LOWER($A842)), """")"),"#N/A")</f>
        <v>#N/A</v>
      </c>
      <c r="K842" t="str">
        <f t="shared" ca="1" si="1"/>
        <v/>
      </c>
      <c r="L842" t="str">
        <f ca="1">IFERROR(__xludf.DUMMYFUNCTION("IF(AND(NOT(K842 = """"), G842 &gt;= 15),K842/FILTER('Base Stats'!$C$2:$C1000, LOWER('Base Stats'!$B$2:$B1000) = LOWER($A842)), """")"),"#N/A")</f>
        <v>#N/A</v>
      </c>
      <c r="M842" t="str">
        <f ca="1">IFERROR(__xludf.DUMMYFUNCTION("1.15 + 0.02 * FILTER('Base Stats'!$C$2:$C1000, LOWER('Base Stats'!$B$2:$B1000) = LOWER($A842))"),"1.15")</f>
        <v>1.15</v>
      </c>
      <c r="N842" t="s">
        <v>527</v>
      </c>
    </row>
    <row r="843" spans="1:14" ht="12.75" x14ac:dyDescent="0.2">
      <c r="A843">
        <f>'Form Responses (Pokemon Stats)'!B803</f>
        <v>0</v>
      </c>
      <c r="B843">
        <f>'Form Responses (Pokemon Stats)'!D803</f>
        <v>0</v>
      </c>
      <c r="C843">
        <f>'Form Responses (Pokemon Stats)'!C803</f>
        <v>0</v>
      </c>
      <c r="F843">
        <f>'Form Responses (Pokemon Stats)'!E803</f>
        <v>0</v>
      </c>
      <c r="G843" t="str">
        <f ca="1">IFERROR(__xludf.DUMMYFUNCTION("ROUND(B843/ FILTER('Pokemon CP/HP'!$M$2:$M1000, LOWER('Pokemon CP/HP'!$B$2:$B1000)=LOWER(A843)))"),"#DIV/0!")</f>
        <v>#DIV/0!</v>
      </c>
      <c r="H843" t="str">
        <f ca="1">IFERROR(__xludf.DUMMYFUNCTION("FILTER('Leveling Info'!$B$2:$B1000, 'Leveling Info'!$A$2:$A1000 =G843)"),"#N/A")</f>
        <v>#N/A</v>
      </c>
      <c r="I843" s="29" t="e">
        <f t="shared" ca="1" si="0"/>
        <v>#VALUE!</v>
      </c>
      <c r="J843" s="29" t="str">
        <f ca="1">IFERROR(__xludf.DUMMYFUNCTION("IF(F843 = H843,C843/FILTER('Base Stats'!$C$2:$C1000, LOWER('Base Stats'!$B$2:$B1000) = LOWER($A843)), """")"),"#N/A")</f>
        <v>#N/A</v>
      </c>
      <c r="K843" t="str">
        <f t="shared" ca="1" si="1"/>
        <v/>
      </c>
      <c r="L843" t="str">
        <f ca="1">IFERROR(__xludf.DUMMYFUNCTION("IF(AND(NOT(K843 = """"), G843 &gt;= 15),K843/FILTER('Base Stats'!$C$2:$C1000, LOWER('Base Stats'!$B$2:$B1000) = LOWER($A843)), """")"),"#N/A")</f>
        <v>#N/A</v>
      </c>
      <c r="M843" t="str">
        <f ca="1">IFERROR(__xludf.DUMMYFUNCTION("1.15 + 0.02 * FILTER('Base Stats'!$C$2:$C1000, LOWER('Base Stats'!$B$2:$B1000) = LOWER($A843))"),"1.15")</f>
        <v>1.15</v>
      </c>
      <c r="N843" t="s">
        <v>527</v>
      </c>
    </row>
    <row r="844" spans="1:14" ht="12.75" x14ac:dyDescent="0.2">
      <c r="A844">
        <f>'Form Responses (Pokemon Stats)'!B804</f>
        <v>0</v>
      </c>
      <c r="B844">
        <f>'Form Responses (Pokemon Stats)'!D804</f>
        <v>0</v>
      </c>
      <c r="C844">
        <f>'Form Responses (Pokemon Stats)'!C804</f>
        <v>0</v>
      </c>
      <c r="F844">
        <f>'Form Responses (Pokemon Stats)'!E804</f>
        <v>0</v>
      </c>
      <c r="G844" t="str">
        <f ca="1">IFERROR(__xludf.DUMMYFUNCTION("ROUND(B844/ FILTER('Pokemon CP/HP'!$M$2:$M1000, LOWER('Pokemon CP/HP'!$B$2:$B1000)=LOWER(A844)))"),"#DIV/0!")</f>
        <v>#DIV/0!</v>
      </c>
      <c r="H844" t="str">
        <f ca="1">IFERROR(__xludf.DUMMYFUNCTION("FILTER('Leveling Info'!$B$2:$B1000, 'Leveling Info'!$A$2:$A1000 =G844)"),"#N/A")</f>
        <v>#N/A</v>
      </c>
      <c r="I844" s="29" t="e">
        <f t="shared" ca="1" si="0"/>
        <v>#VALUE!</v>
      </c>
      <c r="J844" s="29" t="str">
        <f ca="1">IFERROR(__xludf.DUMMYFUNCTION("IF(F844 = H844,C844/FILTER('Base Stats'!$C$2:$C1000, LOWER('Base Stats'!$B$2:$B1000) = LOWER($A844)), """")"),"#N/A")</f>
        <v>#N/A</v>
      </c>
      <c r="K844" t="str">
        <f t="shared" ca="1" si="1"/>
        <v/>
      </c>
      <c r="L844" t="str">
        <f ca="1">IFERROR(__xludf.DUMMYFUNCTION("IF(AND(NOT(K844 = """"), G844 &gt;= 15),K844/FILTER('Base Stats'!$C$2:$C1000, LOWER('Base Stats'!$B$2:$B1000) = LOWER($A844)), """")"),"#N/A")</f>
        <v>#N/A</v>
      </c>
      <c r="M844" t="str">
        <f ca="1">IFERROR(__xludf.DUMMYFUNCTION("1.15 + 0.02 * FILTER('Base Stats'!$C$2:$C1000, LOWER('Base Stats'!$B$2:$B1000) = LOWER($A844))"),"1.15")</f>
        <v>1.15</v>
      </c>
      <c r="N844" t="s">
        <v>527</v>
      </c>
    </row>
    <row r="845" spans="1:14" ht="12.75" x14ac:dyDescent="0.2">
      <c r="A845">
        <f>'Form Responses (Pokemon Stats)'!B805</f>
        <v>0</v>
      </c>
      <c r="B845">
        <f>'Form Responses (Pokemon Stats)'!D805</f>
        <v>0</v>
      </c>
      <c r="C845">
        <f>'Form Responses (Pokemon Stats)'!C805</f>
        <v>0</v>
      </c>
      <c r="F845">
        <f>'Form Responses (Pokemon Stats)'!E805</f>
        <v>0</v>
      </c>
      <c r="G845" t="str">
        <f ca="1">IFERROR(__xludf.DUMMYFUNCTION("ROUND(B845/ FILTER('Pokemon CP/HP'!$M$2:$M1000, LOWER('Pokemon CP/HP'!$B$2:$B1000)=LOWER(A845)))"),"#DIV/0!")</f>
        <v>#DIV/0!</v>
      </c>
      <c r="H845" t="str">
        <f ca="1">IFERROR(__xludf.DUMMYFUNCTION("FILTER('Leveling Info'!$B$2:$B1000, 'Leveling Info'!$A$2:$A1000 =G845)"),"#N/A")</f>
        <v>#N/A</v>
      </c>
      <c r="I845" s="29" t="e">
        <f t="shared" ca="1" si="0"/>
        <v>#VALUE!</v>
      </c>
      <c r="J845" s="29" t="str">
        <f ca="1">IFERROR(__xludf.DUMMYFUNCTION("IF(F845 = H845,C845/FILTER('Base Stats'!$C$2:$C1000, LOWER('Base Stats'!$B$2:$B1000) = LOWER($A845)), """")"),"#N/A")</f>
        <v>#N/A</v>
      </c>
      <c r="K845" t="str">
        <f t="shared" ca="1" si="1"/>
        <v/>
      </c>
      <c r="L845" t="str">
        <f ca="1">IFERROR(__xludf.DUMMYFUNCTION("IF(AND(NOT(K845 = """"), G845 &gt;= 15),K845/FILTER('Base Stats'!$C$2:$C1000, LOWER('Base Stats'!$B$2:$B1000) = LOWER($A845)), """")"),"#N/A")</f>
        <v>#N/A</v>
      </c>
      <c r="M845" t="str">
        <f ca="1">IFERROR(__xludf.DUMMYFUNCTION("1.15 + 0.02 * FILTER('Base Stats'!$C$2:$C1000, LOWER('Base Stats'!$B$2:$B1000) = LOWER($A845))"),"1.15")</f>
        <v>1.15</v>
      </c>
      <c r="N845" t="s">
        <v>527</v>
      </c>
    </row>
    <row r="846" spans="1:14" ht="12.75" x14ac:dyDescent="0.2">
      <c r="A846">
        <f>'Form Responses (Pokemon Stats)'!B806</f>
        <v>0</v>
      </c>
      <c r="B846">
        <f>'Form Responses (Pokemon Stats)'!D806</f>
        <v>0</v>
      </c>
      <c r="C846">
        <f>'Form Responses (Pokemon Stats)'!C806</f>
        <v>0</v>
      </c>
      <c r="F846">
        <f>'Form Responses (Pokemon Stats)'!E806</f>
        <v>0</v>
      </c>
      <c r="G846" t="str">
        <f ca="1">IFERROR(__xludf.DUMMYFUNCTION("ROUND(B846/ FILTER('Pokemon CP/HP'!$M$2:$M1000, LOWER('Pokemon CP/HP'!$B$2:$B1000)=LOWER(A846)))"),"#DIV/0!")</f>
        <v>#DIV/0!</v>
      </c>
      <c r="H846" t="str">
        <f ca="1">IFERROR(__xludf.DUMMYFUNCTION("FILTER('Leveling Info'!$B$2:$B1000, 'Leveling Info'!$A$2:$A1000 =G846)"),"#N/A")</f>
        <v>#N/A</v>
      </c>
      <c r="I846" s="29" t="e">
        <f t="shared" ca="1" si="0"/>
        <v>#VALUE!</v>
      </c>
      <c r="J846" s="29" t="str">
        <f ca="1">IFERROR(__xludf.DUMMYFUNCTION("IF(F846 = H846,C846/FILTER('Base Stats'!$C$2:$C1000, LOWER('Base Stats'!$B$2:$B1000) = LOWER($A846)), """")"),"#N/A")</f>
        <v>#N/A</v>
      </c>
      <c r="K846" t="str">
        <f t="shared" ca="1" si="1"/>
        <v/>
      </c>
      <c r="L846" t="str">
        <f ca="1">IFERROR(__xludf.DUMMYFUNCTION("IF(AND(NOT(K846 = """"), G846 &gt;= 15),K846/FILTER('Base Stats'!$C$2:$C1000, LOWER('Base Stats'!$B$2:$B1000) = LOWER($A846)), """")"),"#N/A")</f>
        <v>#N/A</v>
      </c>
      <c r="M846" t="str">
        <f ca="1">IFERROR(__xludf.DUMMYFUNCTION("1.15 + 0.02 * FILTER('Base Stats'!$C$2:$C1000, LOWER('Base Stats'!$B$2:$B1000) = LOWER($A846))"),"1.15")</f>
        <v>1.15</v>
      </c>
      <c r="N846" t="s">
        <v>527</v>
      </c>
    </row>
    <row r="847" spans="1:14" ht="12.75" x14ac:dyDescent="0.2">
      <c r="A847">
        <f>'Form Responses (Pokemon Stats)'!B807</f>
        <v>0</v>
      </c>
      <c r="B847">
        <f>'Form Responses (Pokemon Stats)'!D807</f>
        <v>0</v>
      </c>
      <c r="C847">
        <f>'Form Responses (Pokemon Stats)'!C807</f>
        <v>0</v>
      </c>
      <c r="F847">
        <f>'Form Responses (Pokemon Stats)'!E807</f>
        <v>0</v>
      </c>
      <c r="G847" t="str">
        <f ca="1">IFERROR(__xludf.DUMMYFUNCTION("ROUND(B847/ FILTER('Pokemon CP/HP'!$M$2:$M1000, LOWER('Pokemon CP/HP'!$B$2:$B1000)=LOWER(A847)))"),"#DIV/0!")</f>
        <v>#DIV/0!</v>
      </c>
      <c r="H847" t="str">
        <f ca="1">IFERROR(__xludf.DUMMYFUNCTION("FILTER('Leveling Info'!$B$2:$B1000, 'Leveling Info'!$A$2:$A1000 =G847)"),"#N/A")</f>
        <v>#N/A</v>
      </c>
      <c r="I847" s="29" t="e">
        <f t="shared" ca="1" si="0"/>
        <v>#VALUE!</v>
      </c>
      <c r="J847" s="29" t="str">
        <f ca="1">IFERROR(__xludf.DUMMYFUNCTION("IF(F847 = H847,C847/FILTER('Base Stats'!$C$2:$C1000, LOWER('Base Stats'!$B$2:$B1000) = LOWER($A847)), """")"),"#N/A")</f>
        <v>#N/A</v>
      </c>
      <c r="K847" t="str">
        <f t="shared" ca="1" si="1"/>
        <v/>
      </c>
      <c r="L847" t="str">
        <f ca="1">IFERROR(__xludf.DUMMYFUNCTION("IF(AND(NOT(K847 = """"), G847 &gt;= 15),K847/FILTER('Base Stats'!$C$2:$C1000, LOWER('Base Stats'!$B$2:$B1000) = LOWER($A847)), """")"),"#N/A")</f>
        <v>#N/A</v>
      </c>
      <c r="M847" t="str">
        <f ca="1">IFERROR(__xludf.DUMMYFUNCTION("1.15 + 0.02 * FILTER('Base Stats'!$C$2:$C1000, LOWER('Base Stats'!$B$2:$B1000) = LOWER($A847))"),"1.15")</f>
        <v>1.15</v>
      </c>
      <c r="N847" t="s">
        <v>527</v>
      </c>
    </row>
    <row r="848" spans="1:14" ht="12.75" x14ac:dyDescent="0.2">
      <c r="A848">
        <f>'Form Responses (Pokemon Stats)'!B808</f>
        <v>0</v>
      </c>
      <c r="B848">
        <f>'Form Responses (Pokemon Stats)'!D808</f>
        <v>0</v>
      </c>
      <c r="C848">
        <f>'Form Responses (Pokemon Stats)'!C808</f>
        <v>0</v>
      </c>
      <c r="F848">
        <f>'Form Responses (Pokemon Stats)'!E808</f>
        <v>0</v>
      </c>
      <c r="G848" t="str">
        <f ca="1">IFERROR(__xludf.DUMMYFUNCTION("ROUND(B848/ FILTER('Pokemon CP/HP'!$M$2:$M1000, LOWER('Pokemon CP/HP'!$B$2:$B1000)=LOWER(A848)))"),"#DIV/0!")</f>
        <v>#DIV/0!</v>
      </c>
      <c r="H848" t="str">
        <f ca="1">IFERROR(__xludf.DUMMYFUNCTION("FILTER('Leveling Info'!$B$2:$B1000, 'Leveling Info'!$A$2:$A1000 =G848)"),"#N/A")</f>
        <v>#N/A</v>
      </c>
      <c r="I848" s="29" t="e">
        <f t="shared" ca="1" si="0"/>
        <v>#VALUE!</v>
      </c>
      <c r="J848" s="29" t="str">
        <f ca="1">IFERROR(__xludf.DUMMYFUNCTION("IF(F848 = H848,C848/FILTER('Base Stats'!$C$2:$C1000, LOWER('Base Stats'!$B$2:$B1000) = LOWER($A848)), """")"),"#N/A")</f>
        <v>#N/A</v>
      </c>
      <c r="K848" t="str">
        <f t="shared" ca="1" si="1"/>
        <v/>
      </c>
      <c r="L848" t="str">
        <f ca="1">IFERROR(__xludf.DUMMYFUNCTION("IF(AND(NOT(K848 = """"), G848 &gt;= 15),K848/FILTER('Base Stats'!$C$2:$C1000, LOWER('Base Stats'!$B$2:$B1000) = LOWER($A848)), """")"),"#N/A")</f>
        <v>#N/A</v>
      </c>
      <c r="M848" t="str">
        <f ca="1">IFERROR(__xludf.DUMMYFUNCTION("1.15 + 0.02 * FILTER('Base Stats'!$C$2:$C1000, LOWER('Base Stats'!$B$2:$B1000) = LOWER($A848))"),"1.15")</f>
        <v>1.15</v>
      </c>
      <c r="N848" t="s">
        <v>527</v>
      </c>
    </row>
    <row r="849" spans="1:14" ht="12.75" x14ac:dyDescent="0.2">
      <c r="A849">
        <f>'Form Responses (Pokemon Stats)'!B809</f>
        <v>0</v>
      </c>
      <c r="B849">
        <f>'Form Responses (Pokemon Stats)'!D809</f>
        <v>0</v>
      </c>
      <c r="C849">
        <f>'Form Responses (Pokemon Stats)'!C809</f>
        <v>0</v>
      </c>
      <c r="F849">
        <f>'Form Responses (Pokemon Stats)'!E809</f>
        <v>0</v>
      </c>
      <c r="G849" t="str">
        <f ca="1">IFERROR(__xludf.DUMMYFUNCTION("ROUND(B849/ FILTER('Pokemon CP/HP'!$M$2:$M1000, LOWER('Pokemon CP/HP'!$B$2:$B1000)=LOWER(A849)))"),"#DIV/0!")</f>
        <v>#DIV/0!</v>
      </c>
      <c r="H849" t="str">
        <f ca="1">IFERROR(__xludf.DUMMYFUNCTION("FILTER('Leveling Info'!$B$2:$B1000, 'Leveling Info'!$A$2:$A1000 =G849)"),"#N/A")</f>
        <v>#N/A</v>
      </c>
      <c r="I849" s="29" t="e">
        <f t="shared" ca="1" si="0"/>
        <v>#VALUE!</v>
      </c>
      <c r="J849" s="29" t="str">
        <f ca="1">IFERROR(__xludf.DUMMYFUNCTION("IF(F849 = H849,C849/FILTER('Base Stats'!$C$2:$C1000, LOWER('Base Stats'!$B$2:$B1000) = LOWER($A849)), """")"),"#N/A")</f>
        <v>#N/A</v>
      </c>
      <c r="K849" t="str">
        <f t="shared" ca="1" si="1"/>
        <v/>
      </c>
      <c r="L849" t="str">
        <f ca="1">IFERROR(__xludf.DUMMYFUNCTION("IF(AND(NOT(K849 = """"), G849 &gt;= 15),K849/FILTER('Base Stats'!$C$2:$C1000, LOWER('Base Stats'!$B$2:$B1000) = LOWER($A849)), """")"),"#N/A")</f>
        <v>#N/A</v>
      </c>
      <c r="M849" t="str">
        <f ca="1">IFERROR(__xludf.DUMMYFUNCTION("1.15 + 0.02 * FILTER('Base Stats'!$C$2:$C1000, LOWER('Base Stats'!$B$2:$B1000) = LOWER($A849))"),"1.15")</f>
        <v>1.15</v>
      </c>
      <c r="N849" t="s">
        <v>527</v>
      </c>
    </row>
    <row r="850" spans="1:14" ht="12.75" x14ac:dyDescent="0.2">
      <c r="A850">
        <f>'Form Responses (Pokemon Stats)'!B810</f>
        <v>0</v>
      </c>
      <c r="B850">
        <f>'Form Responses (Pokemon Stats)'!D810</f>
        <v>0</v>
      </c>
      <c r="C850">
        <f>'Form Responses (Pokemon Stats)'!C810</f>
        <v>0</v>
      </c>
      <c r="F850">
        <f>'Form Responses (Pokemon Stats)'!E810</f>
        <v>0</v>
      </c>
      <c r="G850" t="str">
        <f ca="1">IFERROR(__xludf.DUMMYFUNCTION("ROUND(B850/ FILTER('Pokemon CP/HP'!$M$2:$M1000, LOWER('Pokemon CP/HP'!$B$2:$B1000)=LOWER(A850)))"),"#DIV/0!")</f>
        <v>#DIV/0!</v>
      </c>
      <c r="H850" t="str">
        <f ca="1">IFERROR(__xludf.DUMMYFUNCTION("FILTER('Leveling Info'!$B$2:$B1000, 'Leveling Info'!$A$2:$A1000 =G850)"),"#N/A")</f>
        <v>#N/A</v>
      </c>
      <c r="I850" s="29" t="e">
        <f t="shared" ca="1" si="0"/>
        <v>#VALUE!</v>
      </c>
      <c r="J850" s="29" t="str">
        <f ca="1">IFERROR(__xludf.DUMMYFUNCTION("IF(F850 = H850,C850/FILTER('Base Stats'!$C$2:$C1000, LOWER('Base Stats'!$B$2:$B1000) = LOWER($A850)), """")"),"#N/A")</f>
        <v>#N/A</v>
      </c>
      <c r="K850" t="str">
        <f t="shared" ca="1" si="1"/>
        <v/>
      </c>
      <c r="L850" t="str">
        <f ca="1">IFERROR(__xludf.DUMMYFUNCTION("IF(AND(NOT(K850 = """"), G850 &gt;= 15),K850/FILTER('Base Stats'!$C$2:$C1000, LOWER('Base Stats'!$B$2:$B1000) = LOWER($A850)), """")"),"#N/A")</f>
        <v>#N/A</v>
      </c>
      <c r="M850" t="str">
        <f ca="1">IFERROR(__xludf.DUMMYFUNCTION("1.15 + 0.02 * FILTER('Base Stats'!$C$2:$C1000, LOWER('Base Stats'!$B$2:$B1000) = LOWER($A850))"),"1.15")</f>
        <v>1.15</v>
      </c>
      <c r="N850" t="s">
        <v>527</v>
      </c>
    </row>
    <row r="851" spans="1:14" ht="12.75" x14ac:dyDescent="0.2">
      <c r="A851">
        <f>'Form Responses (Pokemon Stats)'!B811</f>
        <v>0</v>
      </c>
      <c r="B851">
        <f>'Form Responses (Pokemon Stats)'!D811</f>
        <v>0</v>
      </c>
      <c r="C851">
        <f>'Form Responses (Pokemon Stats)'!C811</f>
        <v>0</v>
      </c>
      <c r="F851">
        <f>'Form Responses (Pokemon Stats)'!E811</f>
        <v>0</v>
      </c>
      <c r="G851" t="str">
        <f ca="1">IFERROR(__xludf.DUMMYFUNCTION("ROUND(B851/ FILTER('Pokemon CP/HP'!$M$2:$M1000, LOWER('Pokemon CP/HP'!$B$2:$B1000)=LOWER(A851)))"),"#DIV/0!")</f>
        <v>#DIV/0!</v>
      </c>
      <c r="H851" t="str">
        <f ca="1">IFERROR(__xludf.DUMMYFUNCTION("FILTER('Leveling Info'!$B$2:$B1000, 'Leveling Info'!$A$2:$A1000 =G851)"),"#N/A")</f>
        <v>#N/A</v>
      </c>
      <c r="I851" s="29" t="e">
        <f t="shared" ca="1" si="0"/>
        <v>#VALUE!</v>
      </c>
      <c r="J851" s="29" t="str">
        <f ca="1">IFERROR(__xludf.DUMMYFUNCTION("IF(F851 = H851,C851/FILTER('Base Stats'!$C$2:$C1000, LOWER('Base Stats'!$B$2:$B1000) = LOWER($A851)), """")"),"#N/A")</f>
        <v>#N/A</v>
      </c>
      <c r="K851" t="str">
        <f t="shared" ca="1" si="1"/>
        <v/>
      </c>
      <c r="L851" t="str">
        <f ca="1">IFERROR(__xludf.DUMMYFUNCTION("IF(AND(NOT(K851 = """"), G851 &gt;= 15),K851/FILTER('Base Stats'!$C$2:$C1000, LOWER('Base Stats'!$B$2:$B1000) = LOWER($A851)), """")"),"#N/A")</f>
        <v>#N/A</v>
      </c>
      <c r="M851" t="str">
        <f ca="1">IFERROR(__xludf.DUMMYFUNCTION("1.15 + 0.02 * FILTER('Base Stats'!$C$2:$C1000, LOWER('Base Stats'!$B$2:$B1000) = LOWER($A851))"),"1.15")</f>
        <v>1.15</v>
      </c>
      <c r="N851" t="s">
        <v>527</v>
      </c>
    </row>
    <row r="852" spans="1:14" ht="12.75" x14ac:dyDescent="0.2">
      <c r="A852">
        <f>'Form Responses (Pokemon Stats)'!B812</f>
        <v>0</v>
      </c>
      <c r="B852">
        <f>'Form Responses (Pokemon Stats)'!D812</f>
        <v>0</v>
      </c>
      <c r="C852">
        <f>'Form Responses (Pokemon Stats)'!C812</f>
        <v>0</v>
      </c>
      <c r="F852">
        <f>'Form Responses (Pokemon Stats)'!E812</f>
        <v>0</v>
      </c>
      <c r="G852" t="str">
        <f ca="1">IFERROR(__xludf.DUMMYFUNCTION("ROUND(B852/ FILTER('Pokemon CP/HP'!$M$2:$M1000, LOWER('Pokemon CP/HP'!$B$2:$B1000)=LOWER(A852)))"),"#DIV/0!")</f>
        <v>#DIV/0!</v>
      </c>
      <c r="H852" t="str">
        <f ca="1">IFERROR(__xludf.DUMMYFUNCTION("FILTER('Leveling Info'!$B$2:$B1000, 'Leveling Info'!$A$2:$A1000 =G852)"),"#N/A")</f>
        <v>#N/A</v>
      </c>
      <c r="I852" s="29" t="e">
        <f t="shared" ca="1" si="0"/>
        <v>#VALUE!</v>
      </c>
      <c r="J852" s="29" t="str">
        <f ca="1">IFERROR(__xludf.DUMMYFUNCTION("IF(F852 = H852,C852/FILTER('Base Stats'!$C$2:$C1000, LOWER('Base Stats'!$B$2:$B1000) = LOWER($A852)), """")"),"#N/A")</f>
        <v>#N/A</v>
      </c>
      <c r="K852" t="str">
        <f t="shared" ca="1" si="1"/>
        <v/>
      </c>
      <c r="L852" t="str">
        <f ca="1">IFERROR(__xludf.DUMMYFUNCTION("IF(AND(NOT(K852 = """"), G852 &gt;= 15),K852/FILTER('Base Stats'!$C$2:$C1000, LOWER('Base Stats'!$B$2:$B1000) = LOWER($A852)), """")"),"#N/A")</f>
        <v>#N/A</v>
      </c>
      <c r="M852" t="str">
        <f ca="1">IFERROR(__xludf.DUMMYFUNCTION("1.15 + 0.02 * FILTER('Base Stats'!$C$2:$C1000, LOWER('Base Stats'!$B$2:$B1000) = LOWER($A852))"),"1.15")</f>
        <v>1.15</v>
      </c>
      <c r="N852" t="s">
        <v>527</v>
      </c>
    </row>
    <row r="853" spans="1:14" ht="12.75" x14ac:dyDescent="0.2">
      <c r="A853">
        <f>'Form Responses (Pokemon Stats)'!B813</f>
        <v>0</v>
      </c>
      <c r="B853">
        <f>'Form Responses (Pokemon Stats)'!D813</f>
        <v>0</v>
      </c>
      <c r="C853">
        <f>'Form Responses (Pokemon Stats)'!C813</f>
        <v>0</v>
      </c>
      <c r="F853">
        <f>'Form Responses (Pokemon Stats)'!E813</f>
        <v>0</v>
      </c>
      <c r="G853" t="str">
        <f ca="1">IFERROR(__xludf.DUMMYFUNCTION("ROUND(B853/ FILTER('Pokemon CP/HP'!$M$2:$M1000, LOWER('Pokemon CP/HP'!$B$2:$B1000)=LOWER(A853)))"),"#DIV/0!")</f>
        <v>#DIV/0!</v>
      </c>
      <c r="H853" t="str">
        <f ca="1">IFERROR(__xludf.DUMMYFUNCTION("FILTER('Leveling Info'!$B$2:$B1000, 'Leveling Info'!$A$2:$A1000 =G853)"),"#N/A")</f>
        <v>#N/A</v>
      </c>
      <c r="I853" s="29" t="e">
        <f t="shared" ca="1" si="0"/>
        <v>#VALUE!</v>
      </c>
      <c r="J853" s="29" t="str">
        <f ca="1">IFERROR(__xludf.DUMMYFUNCTION("IF(F853 = H853,C853/FILTER('Base Stats'!$C$2:$C1000, LOWER('Base Stats'!$B$2:$B1000) = LOWER($A853)), """")"),"#N/A")</f>
        <v>#N/A</v>
      </c>
      <c r="K853" t="str">
        <f t="shared" ca="1" si="1"/>
        <v/>
      </c>
      <c r="L853" t="str">
        <f ca="1">IFERROR(__xludf.DUMMYFUNCTION("IF(AND(NOT(K853 = """"), G853 &gt;= 15),K853/FILTER('Base Stats'!$C$2:$C1000, LOWER('Base Stats'!$B$2:$B1000) = LOWER($A853)), """")"),"#N/A")</f>
        <v>#N/A</v>
      </c>
      <c r="M853" t="str">
        <f ca="1">IFERROR(__xludf.DUMMYFUNCTION("1.15 + 0.02 * FILTER('Base Stats'!$C$2:$C1000, LOWER('Base Stats'!$B$2:$B1000) = LOWER($A853))"),"1.15")</f>
        <v>1.15</v>
      </c>
      <c r="N853" t="s">
        <v>527</v>
      </c>
    </row>
    <row r="854" spans="1:14" ht="12.75" x14ac:dyDescent="0.2">
      <c r="A854">
        <f>'Form Responses (Pokemon Stats)'!B814</f>
        <v>0</v>
      </c>
      <c r="B854">
        <f>'Form Responses (Pokemon Stats)'!D814</f>
        <v>0</v>
      </c>
      <c r="C854">
        <f>'Form Responses (Pokemon Stats)'!C814</f>
        <v>0</v>
      </c>
      <c r="F854">
        <f>'Form Responses (Pokemon Stats)'!E814</f>
        <v>0</v>
      </c>
      <c r="G854" t="str">
        <f ca="1">IFERROR(__xludf.DUMMYFUNCTION("ROUND(B854/ FILTER('Pokemon CP/HP'!$M$2:$M1000, LOWER('Pokemon CP/HP'!$B$2:$B1000)=LOWER(A854)))"),"#DIV/0!")</f>
        <v>#DIV/0!</v>
      </c>
      <c r="H854" t="str">
        <f ca="1">IFERROR(__xludf.DUMMYFUNCTION("FILTER('Leveling Info'!$B$2:$B1000, 'Leveling Info'!$A$2:$A1000 =G854)"),"#N/A")</f>
        <v>#N/A</v>
      </c>
      <c r="I854" s="29" t="e">
        <f t="shared" ca="1" si="0"/>
        <v>#VALUE!</v>
      </c>
      <c r="J854" s="29" t="str">
        <f ca="1">IFERROR(__xludf.DUMMYFUNCTION("IF(F854 = H854,C854/FILTER('Base Stats'!$C$2:$C1000, LOWER('Base Stats'!$B$2:$B1000) = LOWER($A854)), """")"),"#N/A")</f>
        <v>#N/A</v>
      </c>
      <c r="K854" t="str">
        <f t="shared" ca="1" si="1"/>
        <v/>
      </c>
      <c r="L854" t="str">
        <f ca="1">IFERROR(__xludf.DUMMYFUNCTION("IF(AND(NOT(K854 = """"), G854 &gt;= 15),K854/FILTER('Base Stats'!$C$2:$C1000, LOWER('Base Stats'!$B$2:$B1000) = LOWER($A854)), """")"),"#N/A")</f>
        <v>#N/A</v>
      </c>
      <c r="M854" t="str">
        <f ca="1">IFERROR(__xludf.DUMMYFUNCTION("1.15 + 0.02 * FILTER('Base Stats'!$C$2:$C1000, LOWER('Base Stats'!$B$2:$B1000) = LOWER($A854))"),"1.15")</f>
        <v>1.15</v>
      </c>
      <c r="N854" t="s">
        <v>527</v>
      </c>
    </row>
    <row r="855" spans="1:14" ht="12.75" x14ac:dyDescent="0.2">
      <c r="A855">
        <f>'Form Responses (Pokemon Stats)'!B815</f>
        <v>0</v>
      </c>
      <c r="B855">
        <f>'Form Responses (Pokemon Stats)'!D815</f>
        <v>0</v>
      </c>
      <c r="C855">
        <f>'Form Responses (Pokemon Stats)'!C815</f>
        <v>0</v>
      </c>
      <c r="F855">
        <f>'Form Responses (Pokemon Stats)'!E815</f>
        <v>0</v>
      </c>
      <c r="G855" t="str">
        <f ca="1">IFERROR(__xludf.DUMMYFUNCTION("ROUND(B855/ FILTER('Pokemon CP/HP'!$M$2:$M1000, LOWER('Pokemon CP/HP'!$B$2:$B1000)=LOWER(A855)))"),"#DIV/0!")</f>
        <v>#DIV/0!</v>
      </c>
      <c r="H855" t="str">
        <f ca="1">IFERROR(__xludf.DUMMYFUNCTION("FILTER('Leveling Info'!$B$2:$B1000, 'Leveling Info'!$A$2:$A1000 =G855)"),"#N/A")</f>
        <v>#N/A</v>
      </c>
      <c r="I855" s="29" t="e">
        <f t="shared" ca="1" si="0"/>
        <v>#VALUE!</v>
      </c>
      <c r="J855" s="29" t="str">
        <f ca="1">IFERROR(__xludf.DUMMYFUNCTION("IF(F855 = H855,C855/FILTER('Base Stats'!$C$2:$C1000, LOWER('Base Stats'!$B$2:$B1000) = LOWER($A855)), """")"),"#N/A")</f>
        <v>#N/A</v>
      </c>
      <c r="K855" t="str">
        <f t="shared" ca="1" si="1"/>
        <v/>
      </c>
      <c r="L855" t="str">
        <f ca="1">IFERROR(__xludf.DUMMYFUNCTION("IF(AND(NOT(K855 = """"), G855 &gt;= 15),K855/FILTER('Base Stats'!$C$2:$C1000, LOWER('Base Stats'!$B$2:$B1000) = LOWER($A855)), """")"),"#N/A")</f>
        <v>#N/A</v>
      </c>
      <c r="M855" t="str">
        <f ca="1">IFERROR(__xludf.DUMMYFUNCTION("1.15 + 0.02 * FILTER('Base Stats'!$C$2:$C1000, LOWER('Base Stats'!$B$2:$B1000) = LOWER($A855))"),"1.15")</f>
        <v>1.15</v>
      </c>
      <c r="N855" t="s">
        <v>527</v>
      </c>
    </row>
    <row r="856" spans="1:14" ht="12.75" x14ac:dyDescent="0.2">
      <c r="A856">
        <f>'Form Responses (Pokemon Stats)'!B816</f>
        <v>0</v>
      </c>
      <c r="B856">
        <f>'Form Responses (Pokemon Stats)'!D816</f>
        <v>0</v>
      </c>
      <c r="C856">
        <f>'Form Responses (Pokemon Stats)'!C816</f>
        <v>0</v>
      </c>
      <c r="F856">
        <f>'Form Responses (Pokemon Stats)'!E816</f>
        <v>0</v>
      </c>
      <c r="G856" t="str">
        <f ca="1">IFERROR(__xludf.DUMMYFUNCTION("ROUND(B856/ FILTER('Pokemon CP/HP'!$M$2:$M1000, LOWER('Pokemon CP/HP'!$B$2:$B1000)=LOWER(A856)))"),"#DIV/0!")</f>
        <v>#DIV/0!</v>
      </c>
      <c r="H856" t="str">
        <f ca="1">IFERROR(__xludf.DUMMYFUNCTION("FILTER('Leveling Info'!$B$2:$B1000, 'Leveling Info'!$A$2:$A1000 =G856)"),"#N/A")</f>
        <v>#N/A</v>
      </c>
      <c r="I856" s="29" t="e">
        <f t="shared" ca="1" si="0"/>
        <v>#VALUE!</v>
      </c>
      <c r="J856" s="29" t="str">
        <f ca="1">IFERROR(__xludf.DUMMYFUNCTION("IF(F856 = H856,C856/FILTER('Base Stats'!$C$2:$C1000, LOWER('Base Stats'!$B$2:$B1000) = LOWER($A856)), """")"),"#N/A")</f>
        <v>#N/A</v>
      </c>
      <c r="K856" t="str">
        <f t="shared" ca="1" si="1"/>
        <v/>
      </c>
      <c r="L856" t="str">
        <f ca="1">IFERROR(__xludf.DUMMYFUNCTION("IF(AND(NOT(K856 = """"), G856 &gt;= 15),K856/FILTER('Base Stats'!$C$2:$C1000, LOWER('Base Stats'!$B$2:$B1000) = LOWER($A856)), """")"),"#N/A")</f>
        <v>#N/A</v>
      </c>
      <c r="M856" t="str">
        <f ca="1">IFERROR(__xludf.DUMMYFUNCTION("1.15 + 0.02 * FILTER('Base Stats'!$C$2:$C1000, LOWER('Base Stats'!$B$2:$B1000) = LOWER($A856))"),"1.15")</f>
        <v>1.15</v>
      </c>
      <c r="N856" t="s">
        <v>527</v>
      </c>
    </row>
    <row r="857" spans="1:14" ht="12.75" x14ac:dyDescent="0.2">
      <c r="A857">
        <f>'Form Responses (Pokemon Stats)'!B817</f>
        <v>0</v>
      </c>
      <c r="B857">
        <f>'Form Responses (Pokemon Stats)'!D817</f>
        <v>0</v>
      </c>
      <c r="C857">
        <f>'Form Responses (Pokemon Stats)'!C817</f>
        <v>0</v>
      </c>
      <c r="F857">
        <f>'Form Responses (Pokemon Stats)'!E817</f>
        <v>0</v>
      </c>
      <c r="G857" t="str">
        <f ca="1">IFERROR(__xludf.DUMMYFUNCTION("ROUND(B857/ FILTER('Pokemon CP/HP'!$M$2:$M1000, LOWER('Pokemon CP/HP'!$B$2:$B1000)=LOWER(A857)))"),"#DIV/0!")</f>
        <v>#DIV/0!</v>
      </c>
      <c r="H857" t="str">
        <f ca="1">IFERROR(__xludf.DUMMYFUNCTION("FILTER('Leveling Info'!$B$2:$B1000, 'Leveling Info'!$A$2:$A1000 =G857)"),"#N/A")</f>
        <v>#N/A</v>
      </c>
      <c r="I857" s="29" t="e">
        <f t="shared" ca="1" si="0"/>
        <v>#VALUE!</v>
      </c>
      <c r="J857" s="29" t="str">
        <f ca="1">IFERROR(__xludf.DUMMYFUNCTION("IF(F857 = H857,C857/FILTER('Base Stats'!$C$2:$C1000, LOWER('Base Stats'!$B$2:$B1000) = LOWER($A857)), """")"),"#N/A")</f>
        <v>#N/A</v>
      </c>
      <c r="K857" t="str">
        <f t="shared" ca="1" si="1"/>
        <v/>
      </c>
      <c r="L857" t="str">
        <f ca="1">IFERROR(__xludf.DUMMYFUNCTION("IF(AND(NOT(K857 = """"), G857 &gt;= 15),K857/FILTER('Base Stats'!$C$2:$C1000, LOWER('Base Stats'!$B$2:$B1000) = LOWER($A857)), """")"),"#N/A")</f>
        <v>#N/A</v>
      </c>
      <c r="M857" t="str">
        <f ca="1">IFERROR(__xludf.DUMMYFUNCTION("1.15 + 0.02 * FILTER('Base Stats'!$C$2:$C1000, LOWER('Base Stats'!$B$2:$B1000) = LOWER($A857))"),"1.15")</f>
        <v>1.15</v>
      </c>
      <c r="N857" t="s">
        <v>527</v>
      </c>
    </row>
    <row r="858" spans="1:14" ht="12.75" x14ac:dyDescent="0.2">
      <c r="A858">
        <f>'Form Responses (Pokemon Stats)'!B818</f>
        <v>0</v>
      </c>
      <c r="B858">
        <f>'Form Responses (Pokemon Stats)'!D818</f>
        <v>0</v>
      </c>
      <c r="C858">
        <f>'Form Responses (Pokemon Stats)'!C818</f>
        <v>0</v>
      </c>
      <c r="F858">
        <f>'Form Responses (Pokemon Stats)'!E818</f>
        <v>0</v>
      </c>
      <c r="G858" t="str">
        <f ca="1">IFERROR(__xludf.DUMMYFUNCTION("ROUND(B858/ FILTER('Pokemon CP/HP'!$M$2:$M1000, LOWER('Pokemon CP/HP'!$B$2:$B1000)=LOWER(A858)))"),"#DIV/0!")</f>
        <v>#DIV/0!</v>
      </c>
      <c r="H858" t="str">
        <f ca="1">IFERROR(__xludf.DUMMYFUNCTION("FILTER('Leveling Info'!$B$2:$B1000, 'Leveling Info'!$A$2:$A1000 =G858)"),"#N/A")</f>
        <v>#N/A</v>
      </c>
      <c r="I858" s="29" t="e">
        <f t="shared" ca="1" si="0"/>
        <v>#VALUE!</v>
      </c>
      <c r="J858" s="29" t="str">
        <f ca="1">IFERROR(__xludf.DUMMYFUNCTION("IF(F858 = H858,C858/FILTER('Base Stats'!$C$2:$C1000, LOWER('Base Stats'!$B$2:$B1000) = LOWER($A858)), """")"),"#N/A")</f>
        <v>#N/A</v>
      </c>
      <c r="K858" t="str">
        <f t="shared" ca="1" si="1"/>
        <v/>
      </c>
      <c r="L858" t="str">
        <f ca="1">IFERROR(__xludf.DUMMYFUNCTION("IF(AND(NOT(K858 = """"), G858 &gt;= 15),K858/FILTER('Base Stats'!$C$2:$C1000, LOWER('Base Stats'!$B$2:$B1000) = LOWER($A858)), """")"),"#N/A")</f>
        <v>#N/A</v>
      </c>
      <c r="M858" t="str">
        <f ca="1">IFERROR(__xludf.DUMMYFUNCTION("1.15 + 0.02 * FILTER('Base Stats'!$C$2:$C1000, LOWER('Base Stats'!$B$2:$B1000) = LOWER($A858))"),"1.15")</f>
        <v>1.15</v>
      </c>
      <c r="N858" t="s">
        <v>527</v>
      </c>
    </row>
    <row r="859" spans="1:14" ht="12.75" x14ac:dyDescent="0.2">
      <c r="A859">
        <f>'Form Responses (Pokemon Stats)'!B819</f>
        <v>0</v>
      </c>
      <c r="B859">
        <f>'Form Responses (Pokemon Stats)'!D819</f>
        <v>0</v>
      </c>
      <c r="C859">
        <f>'Form Responses (Pokemon Stats)'!C819</f>
        <v>0</v>
      </c>
      <c r="F859">
        <f>'Form Responses (Pokemon Stats)'!E819</f>
        <v>0</v>
      </c>
      <c r="G859" t="str">
        <f ca="1">IFERROR(__xludf.DUMMYFUNCTION("ROUND(B859/ FILTER('Pokemon CP/HP'!$M$2:$M1000, LOWER('Pokemon CP/HP'!$B$2:$B1000)=LOWER(A859)))"),"#DIV/0!")</f>
        <v>#DIV/0!</v>
      </c>
      <c r="H859" t="str">
        <f ca="1">IFERROR(__xludf.DUMMYFUNCTION("FILTER('Leveling Info'!$B$2:$B1000, 'Leveling Info'!$A$2:$A1000 =G859)"),"#N/A")</f>
        <v>#N/A</v>
      </c>
      <c r="I859" s="29" t="e">
        <f t="shared" ca="1" si="0"/>
        <v>#VALUE!</v>
      </c>
      <c r="J859" s="29" t="str">
        <f ca="1">IFERROR(__xludf.DUMMYFUNCTION("IF(F859 = H859,C859/FILTER('Base Stats'!$C$2:$C1000, LOWER('Base Stats'!$B$2:$B1000) = LOWER($A859)), """")"),"#N/A")</f>
        <v>#N/A</v>
      </c>
      <c r="K859" t="str">
        <f t="shared" ca="1" si="1"/>
        <v/>
      </c>
      <c r="L859" t="str">
        <f ca="1">IFERROR(__xludf.DUMMYFUNCTION("IF(AND(NOT(K859 = """"), G859 &gt;= 15),K859/FILTER('Base Stats'!$C$2:$C1000, LOWER('Base Stats'!$B$2:$B1000) = LOWER($A859)), """")"),"#N/A")</f>
        <v>#N/A</v>
      </c>
      <c r="M859" t="str">
        <f ca="1">IFERROR(__xludf.DUMMYFUNCTION("1.15 + 0.02 * FILTER('Base Stats'!$C$2:$C1000, LOWER('Base Stats'!$B$2:$B1000) = LOWER($A859))"),"1.15")</f>
        <v>1.15</v>
      </c>
      <c r="N859" t="s">
        <v>527</v>
      </c>
    </row>
    <row r="860" spans="1:14" ht="12.75" x14ac:dyDescent="0.2">
      <c r="A860">
        <f>'Form Responses (Pokemon Stats)'!B820</f>
        <v>0</v>
      </c>
      <c r="B860">
        <f>'Form Responses (Pokemon Stats)'!D820</f>
        <v>0</v>
      </c>
      <c r="C860">
        <f>'Form Responses (Pokemon Stats)'!C820</f>
        <v>0</v>
      </c>
      <c r="F860">
        <f>'Form Responses (Pokemon Stats)'!E820</f>
        <v>0</v>
      </c>
      <c r="G860" t="str">
        <f ca="1">IFERROR(__xludf.DUMMYFUNCTION("ROUND(B860/ FILTER('Pokemon CP/HP'!$M$2:$M1000, LOWER('Pokemon CP/HP'!$B$2:$B1000)=LOWER(A860)))"),"#DIV/0!")</f>
        <v>#DIV/0!</v>
      </c>
      <c r="H860" t="str">
        <f ca="1">IFERROR(__xludf.DUMMYFUNCTION("FILTER('Leveling Info'!$B$2:$B1000, 'Leveling Info'!$A$2:$A1000 =G860)"),"#N/A")</f>
        <v>#N/A</v>
      </c>
      <c r="I860" s="29" t="e">
        <f t="shared" ca="1" si="0"/>
        <v>#VALUE!</v>
      </c>
      <c r="J860" s="29" t="str">
        <f ca="1">IFERROR(__xludf.DUMMYFUNCTION("IF(F860 = H860,C860/FILTER('Base Stats'!$C$2:$C1000, LOWER('Base Stats'!$B$2:$B1000) = LOWER($A860)), """")"),"#N/A")</f>
        <v>#N/A</v>
      </c>
      <c r="K860" t="str">
        <f t="shared" ca="1" si="1"/>
        <v/>
      </c>
      <c r="L860" t="str">
        <f ca="1">IFERROR(__xludf.DUMMYFUNCTION("IF(AND(NOT(K860 = """"), G860 &gt;= 15),K860/FILTER('Base Stats'!$C$2:$C1000, LOWER('Base Stats'!$B$2:$B1000) = LOWER($A860)), """")"),"#N/A")</f>
        <v>#N/A</v>
      </c>
      <c r="M860" t="str">
        <f ca="1">IFERROR(__xludf.DUMMYFUNCTION("1.15 + 0.02 * FILTER('Base Stats'!$C$2:$C1000, LOWER('Base Stats'!$B$2:$B1000) = LOWER($A860))"),"1.15")</f>
        <v>1.15</v>
      </c>
      <c r="N860" t="s">
        <v>527</v>
      </c>
    </row>
    <row r="861" spans="1:14" ht="12.75" x14ac:dyDescent="0.2">
      <c r="A861">
        <f>'Form Responses (Pokemon Stats)'!B821</f>
        <v>0</v>
      </c>
      <c r="B861">
        <f>'Form Responses (Pokemon Stats)'!D821</f>
        <v>0</v>
      </c>
      <c r="C861">
        <f>'Form Responses (Pokemon Stats)'!C821</f>
        <v>0</v>
      </c>
      <c r="F861">
        <f>'Form Responses (Pokemon Stats)'!E821</f>
        <v>0</v>
      </c>
      <c r="G861" t="str">
        <f ca="1">IFERROR(__xludf.DUMMYFUNCTION("ROUND(B861/ FILTER('Pokemon CP/HP'!$M$2:$M1000, LOWER('Pokemon CP/HP'!$B$2:$B1000)=LOWER(A861)))"),"#DIV/0!")</f>
        <v>#DIV/0!</v>
      </c>
      <c r="H861" t="str">
        <f ca="1">IFERROR(__xludf.DUMMYFUNCTION("FILTER('Leveling Info'!$B$2:$B1000, 'Leveling Info'!$A$2:$A1000 =G861)"),"#N/A")</f>
        <v>#N/A</v>
      </c>
      <c r="I861" s="29" t="e">
        <f t="shared" ca="1" si="0"/>
        <v>#VALUE!</v>
      </c>
      <c r="J861" s="29" t="str">
        <f ca="1">IFERROR(__xludf.DUMMYFUNCTION("IF(F861 = H861,C861/FILTER('Base Stats'!$C$2:$C1000, LOWER('Base Stats'!$B$2:$B1000) = LOWER($A861)), """")"),"#N/A")</f>
        <v>#N/A</v>
      </c>
      <c r="K861" t="str">
        <f t="shared" ca="1" si="1"/>
        <v/>
      </c>
      <c r="L861" t="str">
        <f ca="1">IFERROR(__xludf.DUMMYFUNCTION("IF(AND(NOT(K861 = """"), G861 &gt;= 15),K861/FILTER('Base Stats'!$C$2:$C1000, LOWER('Base Stats'!$B$2:$B1000) = LOWER($A861)), """")"),"#N/A")</f>
        <v>#N/A</v>
      </c>
      <c r="M861" t="str">
        <f ca="1">IFERROR(__xludf.DUMMYFUNCTION("1.15 + 0.02 * FILTER('Base Stats'!$C$2:$C1000, LOWER('Base Stats'!$B$2:$B1000) = LOWER($A861))"),"1.15")</f>
        <v>1.15</v>
      </c>
      <c r="N861" t="s">
        <v>527</v>
      </c>
    </row>
    <row r="862" spans="1:14" ht="12.75" x14ac:dyDescent="0.2">
      <c r="A862">
        <f>'Form Responses (Pokemon Stats)'!B822</f>
        <v>0</v>
      </c>
      <c r="B862">
        <f>'Form Responses (Pokemon Stats)'!D822</f>
        <v>0</v>
      </c>
      <c r="C862">
        <f>'Form Responses (Pokemon Stats)'!C822</f>
        <v>0</v>
      </c>
      <c r="F862">
        <f>'Form Responses (Pokemon Stats)'!E822</f>
        <v>0</v>
      </c>
      <c r="G862" t="str">
        <f ca="1">IFERROR(__xludf.DUMMYFUNCTION("ROUND(B862/ FILTER('Pokemon CP/HP'!$M$2:$M1000, LOWER('Pokemon CP/HP'!$B$2:$B1000)=LOWER(A862)))"),"#DIV/0!")</f>
        <v>#DIV/0!</v>
      </c>
      <c r="H862" t="str">
        <f ca="1">IFERROR(__xludf.DUMMYFUNCTION("FILTER('Leveling Info'!$B$2:$B1000, 'Leveling Info'!$A$2:$A1000 =G862)"),"#N/A")</f>
        <v>#N/A</v>
      </c>
      <c r="I862" s="29" t="e">
        <f t="shared" ca="1" si="0"/>
        <v>#VALUE!</v>
      </c>
      <c r="J862" s="29" t="str">
        <f ca="1">IFERROR(__xludf.DUMMYFUNCTION("IF(F862 = H862,C862/FILTER('Base Stats'!$C$2:$C1000, LOWER('Base Stats'!$B$2:$B1000) = LOWER($A862)), """")"),"#N/A")</f>
        <v>#N/A</v>
      </c>
      <c r="K862" t="str">
        <f t="shared" ca="1" si="1"/>
        <v/>
      </c>
      <c r="L862" t="str">
        <f ca="1">IFERROR(__xludf.DUMMYFUNCTION("IF(AND(NOT(K862 = """"), G862 &gt;= 15),K862/FILTER('Base Stats'!$C$2:$C1000, LOWER('Base Stats'!$B$2:$B1000) = LOWER($A862)), """")"),"#N/A")</f>
        <v>#N/A</v>
      </c>
      <c r="M862" t="str">
        <f ca="1">IFERROR(__xludf.DUMMYFUNCTION("1.15 + 0.02 * FILTER('Base Stats'!$C$2:$C1000, LOWER('Base Stats'!$B$2:$B1000) = LOWER($A862))"),"1.15")</f>
        <v>1.15</v>
      </c>
      <c r="N862" t="s">
        <v>527</v>
      </c>
    </row>
    <row r="863" spans="1:14" ht="12.75" x14ac:dyDescent="0.2">
      <c r="A863">
        <f>'Form Responses (Pokemon Stats)'!B823</f>
        <v>0</v>
      </c>
      <c r="B863">
        <f>'Form Responses (Pokemon Stats)'!D823</f>
        <v>0</v>
      </c>
      <c r="C863">
        <f>'Form Responses (Pokemon Stats)'!C823</f>
        <v>0</v>
      </c>
      <c r="F863">
        <f>'Form Responses (Pokemon Stats)'!E823</f>
        <v>0</v>
      </c>
      <c r="G863" t="str">
        <f ca="1">IFERROR(__xludf.DUMMYFUNCTION("ROUND(B863/ FILTER('Pokemon CP/HP'!$M$2:$M1000, LOWER('Pokemon CP/HP'!$B$2:$B1000)=LOWER(A863)))"),"#DIV/0!")</f>
        <v>#DIV/0!</v>
      </c>
      <c r="H863" t="str">
        <f ca="1">IFERROR(__xludf.DUMMYFUNCTION("FILTER('Leveling Info'!$B$2:$B1000, 'Leveling Info'!$A$2:$A1000 =G863)"),"#N/A")</f>
        <v>#N/A</v>
      </c>
      <c r="I863" s="29" t="e">
        <f t="shared" ca="1" si="0"/>
        <v>#VALUE!</v>
      </c>
      <c r="J863" s="29" t="str">
        <f ca="1">IFERROR(__xludf.DUMMYFUNCTION("IF(F863 = H863,C863/FILTER('Base Stats'!$C$2:$C1000, LOWER('Base Stats'!$B$2:$B1000) = LOWER($A863)), """")"),"#N/A")</f>
        <v>#N/A</v>
      </c>
      <c r="K863" t="str">
        <f t="shared" ca="1" si="1"/>
        <v/>
      </c>
      <c r="L863" t="str">
        <f ca="1">IFERROR(__xludf.DUMMYFUNCTION("IF(AND(NOT(K863 = """"), G863 &gt;= 15),K863/FILTER('Base Stats'!$C$2:$C1000, LOWER('Base Stats'!$B$2:$B1000) = LOWER($A863)), """")"),"#N/A")</f>
        <v>#N/A</v>
      </c>
      <c r="M863" t="str">
        <f ca="1">IFERROR(__xludf.DUMMYFUNCTION("1.15 + 0.02 * FILTER('Base Stats'!$C$2:$C1000, LOWER('Base Stats'!$B$2:$B1000) = LOWER($A863))"),"1.15")</f>
        <v>1.15</v>
      </c>
      <c r="N863" t="s">
        <v>527</v>
      </c>
    </row>
    <row r="864" spans="1:14" ht="12.75" x14ac:dyDescent="0.2">
      <c r="A864">
        <f>'Form Responses (Pokemon Stats)'!B824</f>
        <v>0</v>
      </c>
      <c r="B864">
        <f>'Form Responses (Pokemon Stats)'!D824</f>
        <v>0</v>
      </c>
      <c r="C864">
        <f>'Form Responses (Pokemon Stats)'!C824</f>
        <v>0</v>
      </c>
      <c r="F864">
        <f>'Form Responses (Pokemon Stats)'!E824</f>
        <v>0</v>
      </c>
      <c r="G864" t="str">
        <f ca="1">IFERROR(__xludf.DUMMYFUNCTION("ROUND(B864/ FILTER('Pokemon CP/HP'!$M$2:$M1000, LOWER('Pokemon CP/HP'!$B$2:$B1000)=LOWER(A864)))"),"#DIV/0!")</f>
        <v>#DIV/0!</v>
      </c>
      <c r="H864" t="str">
        <f ca="1">IFERROR(__xludf.DUMMYFUNCTION("FILTER('Leveling Info'!$B$2:$B1000, 'Leveling Info'!$A$2:$A1000 =G864)"),"#N/A")</f>
        <v>#N/A</v>
      </c>
      <c r="I864" s="29" t="e">
        <f t="shared" ca="1" si="0"/>
        <v>#VALUE!</v>
      </c>
      <c r="J864" s="29" t="str">
        <f ca="1">IFERROR(__xludf.DUMMYFUNCTION("IF(F864 = H864,C864/FILTER('Base Stats'!$C$2:$C1000, LOWER('Base Stats'!$B$2:$B1000) = LOWER($A864)), """")"),"#N/A")</f>
        <v>#N/A</v>
      </c>
      <c r="K864" t="str">
        <f t="shared" ca="1" si="1"/>
        <v/>
      </c>
      <c r="L864" t="str">
        <f ca="1">IFERROR(__xludf.DUMMYFUNCTION("IF(AND(NOT(K864 = """"), G864 &gt;= 15),K864/FILTER('Base Stats'!$C$2:$C1000, LOWER('Base Stats'!$B$2:$B1000) = LOWER($A864)), """")"),"#N/A")</f>
        <v>#N/A</v>
      </c>
      <c r="M864" t="str">
        <f ca="1">IFERROR(__xludf.DUMMYFUNCTION("1.15 + 0.02 * FILTER('Base Stats'!$C$2:$C1000, LOWER('Base Stats'!$B$2:$B1000) = LOWER($A864))"),"1.15")</f>
        <v>1.15</v>
      </c>
      <c r="N864" t="s">
        <v>527</v>
      </c>
    </row>
    <row r="865" spans="1:14" ht="12.75" x14ac:dyDescent="0.2">
      <c r="A865">
        <f>'Form Responses (Pokemon Stats)'!B825</f>
        <v>0</v>
      </c>
      <c r="B865">
        <f>'Form Responses (Pokemon Stats)'!D825</f>
        <v>0</v>
      </c>
      <c r="C865">
        <f>'Form Responses (Pokemon Stats)'!C825</f>
        <v>0</v>
      </c>
      <c r="F865">
        <f>'Form Responses (Pokemon Stats)'!E825</f>
        <v>0</v>
      </c>
      <c r="G865" t="str">
        <f ca="1">IFERROR(__xludf.DUMMYFUNCTION("ROUND(B865/ FILTER('Pokemon CP/HP'!$M$2:$M1000, LOWER('Pokemon CP/HP'!$B$2:$B1000)=LOWER(A865)))"),"#DIV/0!")</f>
        <v>#DIV/0!</v>
      </c>
      <c r="H865" t="str">
        <f ca="1">IFERROR(__xludf.DUMMYFUNCTION("FILTER('Leveling Info'!$B$2:$B1000, 'Leveling Info'!$A$2:$A1000 =G865)"),"#N/A")</f>
        <v>#N/A</v>
      </c>
      <c r="I865" s="29" t="e">
        <f t="shared" ca="1" si="0"/>
        <v>#VALUE!</v>
      </c>
      <c r="J865" s="29" t="str">
        <f ca="1">IFERROR(__xludf.DUMMYFUNCTION("IF(F865 = H865,C865/FILTER('Base Stats'!$C$2:$C1000, LOWER('Base Stats'!$B$2:$B1000) = LOWER($A865)), """")"),"#N/A")</f>
        <v>#N/A</v>
      </c>
      <c r="K865" t="str">
        <f t="shared" ca="1" si="1"/>
        <v/>
      </c>
      <c r="L865" t="str">
        <f ca="1">IFERROR(__xludf.DUMMYFUNCTION("IF(AND(NOT(K865 = """"), G865 &gt;= 15),K865/FILTER('Base Stats'!$C$2:$C1000, LOWER('Base Stats'!$B$2:$B1000) = LOWER($A865)), """")"),"#N/A")</f>
        <v>#N/A</v>
      </c>
      <c r="M865" t="str">
        <f ca="1">IFERROR(__xludf.DUMMYFUNCTION("1.15 + 0.02 * FILTER('Base Stats'!$C$2:$C1000, LOWER('Base Stats'!$B$2:$B1000) = LOWER($A865))"),"1.15")</f>
        <v>1.15</v>
      </c>
      <c r="N865" t="s">
        <v>527</v>
      </c>
    </row>
    <row r="866" spans="1:14" ht="12.75" x14ac:dyDescent="0.2">
      <c r="A866">
        <f>'Form Responses (Pokemon Stats)'!B826</f>
        <v>0</v>
      </c>
      <c r="B866">
        <f>'Form Responses (Pokemon Stats)'!D826</f>
        <v>0</v>
      </c>
      <c r="C866">
        <f>'Form Responses (Pokemon Stats)'!C826</f>
        <v>0</v>
      </c>
      <c r="F866">
        <f>'Form Responses (Pokemon Stats)'!E826</f>
        <v>0</v>
      </c>
      <c r="G866" t="str">
        <f ca="1">IFERROR(__xludf.DUMMYFUNCTION("ROUND(B866/ FILTER('Pokemon CP/HP'!$M$2:$M1000, LOWER('Pokemon CP/HP'!$B$2:$B1000)=LOWER(A866)))"),"#DIV/0!")</f>
        <v>#DIV/0!</v>
      </c>
      <c r="H866" t="str">
        <f ca="1">IFERROR(__xludf.DUMMYFUNCTION("FILTER('Leveling Info'!$B$2:$B1000, 'Leveling Info'!$A$2:$A1000 =G866)"),"#N/A")</f>
        <v>#N/A</v>
      </c>
      <c r="I866" s="29" t="e">
        <f t="shared" ca="1" si="0"/>
        <v>#VALUE!</v>
      </c>
      <c r="J866" s="29" t="str">
        <f ca="1">IFERROR(__xludf.DUMMYFUNCTION("IF(F866 = H866,C866/FILTER('Base Stats'!$C$2:$C1000, LOWER('Base Stats'!$B$2:$B1000) = LOWER($A866)), """")"),"#N/A")</f>
        <v>#N/A</v>
      </c>
      <c r="K866" t="str">
        <f t="shared" ca="1" si="1"/>
        <v/>
      </c>
      <c r="L866" t="str">
        <f ca="1">IFERROR(__xludf.DUMMYFUNCTION("IF(AND(NOT(K866 = """"), G866 &gt;= 15),K866/FILTER('Base Stats'!$C$2:$C1000, LOWER('Base Stats'!$B$2:$B1000) = LOWER($A866)), """")"),"#N/A")</f>
        <v>#N/A</v>
      </c>
      <c r="M866" t="str">
        <f ca="1">IFERROR(__xludf.DUMMYFUNCTION("1.15 + 0.02 * FILTER('Base Stats'!$C$2:$C1000, LOWER('Base Stats'!$B$2:$B1000) = LOWER($A866))"),"1.15")</f>
        <v>1.15</v>
      </c>
      <c r="N866" t="s">
        <v>527</v>
      </c>
    </row>
    <row r="867" spans="1:14" ht="12.75" x14ac:dyDescent="0.2">
      <c r="A867">
        <f>'Form Responses (Pokemon Stats)'!B827</f>
        <v>0</v>
      </c>
      <c r="B867">
        <f>'Form Responses (Pokemon Stats)'!D827</f>
        <v>0</v>
      </c>
      <c r="C867">
        <f>'Form Responses (Pokemon Stats)'!C827</f>
        <v>0</v>
      </c>
      <c r="F867">
        <f>'Form Responses (Pokemon Stats)'!E827</f>
        <v>0</v>
      </c>
      <c r="G867" t="str">
        <f ca="1">IFERROR(__xludf.DUMMYFUNCTION("ROUND(B867/ FILTER('Pokemon CP/HP'!$M$2:$M1000, LOWER('Pokemon CP/HP'!$B$2:$B1000)=LOWER(A867)))"),"#DIV/0!")</f>
        <v>#DIV/0!</v>
      </c>
      <c r="H867" t="str">
        <f ca="1">IFERROR(__xludf.DUMMYFUNCTION("FILTER('Leveling Info'!$B$2:$B1000, 'Leveling Info'!$A$2:$A1000 =G867)"),"#N/A")</f>
        <v>#N/A</v>
      </c>
      <c r="I867" s="29" t="e">
        <f t="shared" ca="1" si="0"/>
        <v>#VALUE!</v>
      </c>
      <c r="J867" s="29" t="str">
        <f ca="1">IFERROR(__xludf.DUMMYFUNCTION("IF(F867 = H867,C867/FILTER('Base Stats'!$C$2:$C1000, LOWER('Base Stats'!$B$2:$B1000) = LOWER($A867)), """")"),"#N/A")</f>
        <v>#N/A</v>
      </c>
      <c r="K867" t="str">
        <f t="shared" ca="1" si="1"/>
        <v/>
      </c>
      <c r="L867" t="str">
        <f ca="1">IFERROR(__xludf.DUMMYFUNCTION("IF(AND(NOT(K867 = """"), G867 &gt;= 15),K867/FILTER('Base Stats'!$C$2:$C1000, LOWER('Base Stats'!$B$2:$B1000) = LOWER($A867)), """")"),"#N/A")</f>
        <v>#N/A</v>
      </c>
      <c r="M867" t="str">
        <f ca="1">IFERROR(__xludf.DUMMYFUNCTION("1.15 + 0.02 * FILTER('Base Stats'!$C$2:$C1000, LOWER('Base Stats'!$B$2:$B1000) = LOWER($A867))"),"1.15")</f>
        <v>1.15</v>
      </c>
      <c r="N867" t="s">
        <v>527</v>
      </c>
    </row>
    <row r="868" spans="1:14" ht="12.75" x14ac:dyDescent="0.2">
      <c r="A868">
        <f>'Form Responses (Pokemon Stats)'!B828</f>
        <v>0</v>
      </c>
      <c r="B868">
        <f>'Form Responses (Pokemon Stats)'!D828</f>
        <v>0</v>
      </c>
      <c r="C868">
        <f>'Form Responses (Pokemon Stats)'!C828</f>
        <v>0</v>
      </c>
      <c r="F868">
        <f>'Form Responses (Pokemon Stats)'!E828</f>
        <v>0</v>
      </c>
      <c r="G868" t="str">
        <f ca="1">IFERROR(__xludf.DUMMYFUNCTION("ROUND(B868/ FILTER('Pokemon CP/HP'!$M$2:$M1000, LOWER('Pokemon CP/HP'!$B$2:$B1000)=LOWER(A868)))"),"#DIV/0!")</f>
        <v>#DIV/0!</v>
      </c>
      <c r="H868" t="str">
        <f ca="1">IFERROR(__xludf.DUMMYFUNCTION("FILTER('Leveling Info'!$B$2:$B1000, 'Leveling Info'!$A$2:$A1000 =G868)"),"#N/A")</f>
        <v>#N/A</v>
      </c>
      <c r="I868" s="29" t="e">
        <f t="shared" ca="1" si="0"/>
        <v>#VALUE!</v>
      </c>
      <c r="J868" s="29" t="str">
        <f ca="1">IFERROR(__xludf.DUMMYFUNCTION("IF(F868 = H868,C868/FILTER('Base Stats'!$C$2:$C1000, LOWER('Base Stats'!$B$2:$B1000) = LOWER($A868)), """")"),"#N/A")</f>
        <v>#N/A</v>
      </c>
      <c r="K868" t="str">
        <f t="shared" ca="1" si="1"/>
        <v/>
      </c>
      <c r="L868" t="str">
        <f ca="1">IFERROR(__xludf.DUMMYFUNCTION("IF(AND(NOT(K868 = """"), G868 &gt;= 15),K868/FILTER('Base Stats'!$C$2:$C1000, LOWER('Base Stats'!$B$2:$B1000) = LOWER($A868)), """")"),"#N/A")</f>
        <v>#N/A</v>
      </c>
      <c r="M868" t="str">
        <f ca="1">IFERROR(__xludf.DUMMYFUNCTION("1.15 + 0.02 * FILTER('Base Stats'!$C$2:$C1000, LOWER('Base Stats'!$B$2:$B1000) = LOWER($A868))"),"1.15")</f>
        <v>1.15</v>
      </c>
      <c r="N868" t="s">
        <v>527</v>
      </c>
    </row>
    <row r="869" spans="1:14" ht="12.75" x14ac:dyDescent="0.2">
      <c r="A869">
        <f>'Form Responses (Pokemon Stats)'!B829</f>
        <v>0</v>
      </c>
      <c r="B869">
        <f>'Form Responses (Pokemon Stats)'!D829</f>
        <v>0</v>
      </c>
      <c r="C869">
        <f>'Form Responses (Pokemon Stats)'!C829</f>
        <v>0</v>
      </c>
      <c r="F869">
        <f>'Form Responses (Pokemon Stats)'!E829</f>
        <v>0</v>
      </c>
      <c r="G869" t="str">
        <f ca="1">IFERROR(__xludf.DUMMYFUNCTION("ROUND(B869/ FILTER('Pokemon CP/HP'!$M$2:$M1000, LOWER('Pokemon CP/HP'!$B$2:$B1000)=LOWER(A869)))"),"#DIV/0!")</f>
        <v>#DIV/0!</v>
      </c>
      <c r="H869" t="str">
        <f ca="1">IFERROR(__xludf.DUMMYFUNCTION("FILTER('Leveling Info'!$B$2:$B1000, 'Leveling Info'!$A$2:$A1000 =G869)"),"#N/A")</f>
        <v>#N/A</v>
      </c>
      <c r="I869" s="29" t="e">
        <f t="shared" ca="1" si="0"/>
        <v>#VALUE!</v>
      </c>
      <c r="J869" s="29" t="str">
        <f ca="1">IFERROR(__xludf.DUMMYFUNCTION("IF(F869 = H869,C869/FILTER('Base Stats'!$C$2:$C1000, LOWER('Base Stats'!$B$2:$B1000) = LOWER($A869)), """")"),"#N/A")</f>
        <v>#N/A</v>
      </c>
      <c r="K869" t="str">
        <f t="shared" ca="1" si="1"/>
        <v/>
      </c>
      <c r="L869" t="str">
        <f ca="1">IFERROR(__xludf.DUMMYFUNCTION("IF(AND(NOT(K869 = """"), G869 &gt;= 15),K869/FILTER('Base Stats'!$C$2:$C1000, LOWER('Base Stats'!$B$2:$B1000) = LOWER($A869)), """")"),"#N/A")</f>
        <v>#N/A</v>
      </c>
      <c r="M869" t="str">
        <f ca="1">IFERROR(__xludf.DUMMYFUNCTION("1.15 + 0.02 * FILTER('Base Stats'!$C$2:$C1000, LOWER('Base Stats'!$B$2:$B1000) = LOWER($A869))"),"1.15")</f>
        <v>1.15</v>
      </c>
      <c r="N869" t="s">
        <v>527</v>
      </c>
    </row>
    <row r="870" spans="1:14" ht="12.75" x14ac:dyDescent="0.2">
      <c r="A870">
        <f>'Form Responses (Pokemon Stats)'!B830</f>
        <v>0</v>
      </c>
      <c r="B870">
        <f>'Form Responses (Pokemon Stats)'!D830</f>
        <v>0</v>
      </c>
      <c r="C870">
        <f>'Form Responses (Pokemon Stats)'!C830</f>
        <v>0</v>
      </c>
      <c r="F870">
        <f>'Form Responses (Pokemon Stats)'!E830</f>
        <v>0</v>
      </c>
      <c r="G870" t="str">
        <f ca="1">IFERROR(__xludf.DUMMYFUNCTION("ROUND(B870/ FILTER('Pokemon CP/HP'!$M$2:$M1000, LOWER('Pokemon CP/HP'!$B$2:$B1000)=LOWER(A870)))"),"#DIV/0!")</f>
        <v>#DIV/0!</v>
      </c>
      <c r="H870" t="str">
        <f ca="1">IFERROR(__xludf.DUMMYFUNCTION("FILTER('Leveling Info'!$B$2:$B1000, 'Leveling Info'!$A$2:$A1000 =G870)"),"#N/A")</f>
        <v>#N/A</v>
      </c>
      <c r="I870" s="29" t="e">
        <f t="shared" ca="1" si="0"/>
        <v>#VALUE!</v>
      </c>
      <c r="J870" s="29" t="str">
        <f ca="1">IFERROR(__xludf.DUMMYFUNCTION("IF(F870 = H870,C870/FILTER('Base Stats'!$C$2:$C1000, LOWER('Base Stats'!$B$2:$B1000) = LOWER($A870)), """")"),"#N/A")</f>
        <v>#N/A</v>
      </c>
      <c r="K870" t="str">
        <f t="shared" ca="1" si="1"/>
        <v/>
      </c>
      <c r="L870" t="str">
        <f ca="1">IFERROR(__xludf.DUMMYFUNCTION("IF(AND(NOT(K870 = """"), G870 &gt;= 15),K870/FILTER('Base Stats'!$C$2:$C1000, LOWER('Base Stats'!$B$2:$B1000) = LOWER($A870)), """")"),"#N/A")</f>
        <v>#N/A</v>
      </c>
      <c r="M870" t="str">
        <f ca="1">IFERROR(__xludf.DUMMYFUNCTION("1.15 + 0.02 * FILTER('Base Stats'!$C$2:$C1000, LOWER('Base Stats'!$B$2:$B1000) = LOWER($A870))"),"1.15")</f>
        <v>1.15</v>
      </c>
      <c r="N870" t="s">
        <v>527</v>
      </c>
    </row>
    <row r="871" spans="1:14" ht="12.75" x14ac:dyDescent="0.2">
      <c r="A871">
        <f>'Form Responses (Pokemon Stats)'!B831</f>
        <v>0</v>
      </c>
      <c r="B871">
        <f>'Form Responses (Pokemon Stats)'!D831</f>
        <v>0</v>
      </c>
      <c r="C871">
        <f>'Form Responses (Pokemon Stats)'!C831</f>
        <v>0</v>
      </c>
      <c r="F871">
        <f>'Form Responses (Pokemon Stats)'!E831</f>
        <v>0</v>
      </c>
      <c r="G871" t="str">
        <f ca="1">IFERROR(__xludf.DUMMYFUNCTION("ROUND(B871/ FILTER('Pokemon CP/HP'!$M$2:$M1000, LOWER('Pokemon CP/HP'!$B$2:$B1000)=LOWER(A871)))"),"#DIV/0!")</f>
        <v>#DIV/0!</v>
      </c>
      <c r="H871" t="str">
        <f ca="1">IFERROR(__xludf.DUMMYFUNCTION("FILTER('Leveling Info'!$B$2:$B1000, 'Leveling Info'!$A$2:$A1000 =G871)"),"#N/A")</f>
        <v>#N/A</v>
      </c>
      <c r="I871" s="29" t="e">
        <f t="shared" ca="1" si="0"/>
        <v>#VALUE!</v>
      </c>
      <c r="J871" s="29" t="str">
        <f ca="1">IFERROR(__xludf.DUMMYFUNCTION("IF(F871 = H871,C871/FILTER('Base Stats'!$C$2:$C1000, LOWER('Base Stats'!$B$2:$B1000) = LOWER($A871)), """")"),"#N/A")</f>
        <v>#N/A</v>
      </c>
      <c r="K871" t="str">
        <f t="shared" ca="1" si="1"/>
        <v/>
      </c>
      <c r="L871" t="str">
        <f ca="1">IFERROR(__xludf.DUMMYFUNCTION("IF(AND(NOT(K871 = """"), G871 &gt;= 15),K871/FILTER('Base Stats'!$C$2:$C1000, LOWER('Base Stats'!$B$2:$B1000) = LOWER($A871)), """")"),"#N/A")</f>
        <v>#N/A</v>
      </c>
      <c r="M871" t="str">
        <f ca="1">IFERROR(__xludf.DUMMYFUNCTION("1.15 + 0.02 * FILTER('Base Stats'!$C$2:$C1000, LOWER('Base Stats'!$B$2:$B1000) = LOWER($A871))"),"1.15")</f>
        <v>1.15</v>
      </c>
      <c r="N871" t="s">
        <v>527</v>
      </c>
    </row>
    <row r="872" spans="1:14" ht="12.75" x14ac:dyDescent="0.2">
      <c r="A872">
        <f>'Form Responses (Pokemon Stats)'!B832</f>
        <v>0</v>
      </c>
      <c r="B872">
        <f>'Form Responses (Pokemon Stats)'!D832</f>
        <v>0</v>
      </c>
      <c r="C872">
        <f>'Form Responses (Pokemon Stats)'!C832</f>
        <v>0</v>
      </c>
      <c r="F872">
        <f>'Form Responses (Pokemon Stats)'!E832</f>
        <v>0</v>
      </c>
      <c r="G872" t="str">
        <f ca="1">IFERROR(__xludf.DUMMYFUNCTION("ROUND(B872/ FILTER('Pokemon CP/HP'!$M$2:$M1000, LOWER('Pokemon CP/HP'!$B$2:$B1000)=LOWER(A872)))"),"#DIV/0!")</f>
        <v>#DIV/0!</v>
      </c>
      <c r="H872" t="str">
        <f ca="1">IFERROR(__xludf.DUMMYFUNCTION("FILTER('Leveling Info'!$B$2:$B1000, 'Leveling Info'!$A$2:$A1000 =G872)"),"#N/A")</f>
        <v>#N/A</v>
      </c>
      <c r="I872" s="29" t="e">
        <f t="shared" ca="1" si="0"/>
        <v>#VALUE!</v>
      </c>
      <c r="J872" s="29" t="str">
        <f ca="1">IFERROR(__xludf.DUMMYFUNCTION("IF(F872 = H872,C872/FILTER('Base Stats'!$C$2:$C1000, LOWER('Base Stats'!$B$2:$B1000) = LOWER($A872)), """")"),"#N/A")</f>
        <v>#N/A</v>
      </c>
      <c r="K872" t="str">
        <f t="shared" ca="1" si="1"/>
        <v/>
      </c>
      <c r="L872" t="str">
        <f ca="1">IFERROR(__xludf.DUMMYFUNCTION("IF(AND(NOT(K872 = """"), G872 &gt;= 15),K872/FILTER('Base Stats'!$C$2:$C1000, LOWER('Base Stats'!$B$2:$B1000) = LOWER($A872)), """")"),"#N/A")</f>
        <v>#N/A</v>
      </c>
      <c r="M872" t="str">
        <f ca="1">IFERROR(__xludf.DUMMYFUNCTION("1.15 + 0.02 * FILTER('Base Stats'!$C$2:$C1000, LOWER('Base Stats'!$B$2:$B1000) = LOWER($A872))"),"1.15")</f>
        <v>1.15</v>
      </c>
      <c r="N872" t="s">
        <v>527</v>
      </c>
    </row>
    <row r="873" spans="1:14" ht="12.75" x14ac:dyDescent="0.2">
      <c r="A873">
        <f>'Form Responses (Pokemon Stats)'!B833</f>
        <v>0</v>
      </c>
      <c r="B873">
        <f>'Form Responses (Pokemon Stats)'!D833</f>
        <v>0</v>
      </c>
      <c r="C873">
        <f>'Form Responses (Pokemon Stats)'!C833</f>
        <v>0</v>
      </c>
      <c r="F873">
        <f>'Form Responses (Pokemon Stats)'!E833</f>
        <v>0</v>
      </c>
      <c r="G873" t="str">
        <f ca="1">IFERROR(__xludf.DUMMYFUNCTION("ROUND(B873/ FILTER('Pokemon CP/HP'!$M$2:$M1000, LOWER('Pokemon CP/HP'!$B$2:$B1000)=LOWER(A873)))"),"#DIV/0!")</f>
        <v>#DIV/0!</v>
      </c>
      <c r="H873" t="str">
        <f ca="1">IFERROR(__xludf.DUMMYFUNCTION("FILTER('Leveling Info'!$B$2:$B1000, 'Leveling Info'!$A$2:$A1000 =G873)"),"#N/A")</f>
        <v>#N/A</v>
      </c>
      <c r="I873" s="29" t="e">
        <f t="shared" ca="1" si="0"/>
        <v>#VALUE!</v>
      </c>
      <c r="J873" s="29" t="str">
        <f ca="1">IFERROR(__xludf.DUMMYFUNCTION("IF(F873 = H873,C873/FILTER('Base Stats'!$C$2:$C1000, LOWER('Base Stats'!$B$2:$B1000) = LOWER($A873)), """")"),"#N/A")</f>
        <v>#N/A</v>
      </c>
      <c r="K873" t="str">
        <f t="shared" ca="1" si="1"/>
        <v/>
      </c>
      <c r="L873" t="str">
        <f ca="1">IFERROR(__xludf.DUMMYFUNCTION("IF(AND(NOT(K873 = """"), G873 &gt;= 15),K873/FILTER('Base Stats'!$C$2:$C1000, LOWER('Base Stats'!$B$2:$B1000) = LOWER($A873)), """")"),"#N/A")</f>
        <v>#N/A</v>
      </c>
      <c r="M873" t="str">
        <f ca="1">IFERROR(__xludf.DUMMYFUNCTION("1.15 + 0.02 * FILTER('Base Stats'!$C$2:$C1000, LOWER('Base Stats'!$B$2:$B1000) = LOWER($A873))"),"1.15")</f>
        <v>1.15</v>
      </c>
      <c r="N873" t="s">
        <v>527</v>
      </c>
    </row>
    <row r="874" spans="1:14" ht="12.75" x14ac:dyDescent="0.2">
      <c r="A874">
        <f>'Form Responses (Pokemon Stats)'!B834</f>
        <v>0</v>
      </c>
      <c r="B874">
        <f>'Form Responses (Pokemon Stats)'!D834</f>
        <v>0</v>
      </c>
      <c r="C874">
        <f>'Form Responses (Pokemon Stats)'!C834</f>
        <v>0</v>
      </c>
      <c r="F874">
        <f>'Form Responses (Pokemon Stats)'!E834</f>
        <v>0</v>
      </c>
      <c r="G874" t="str">
        <f ca="1">IFERROR(__xludf.DUMMYFUNCTION("ROUND(B874/ FILTER('Pokemon CP/HP'!$M$2:$M1000, LOWER('Pokemon CP/HP'!$B$2:$B1000)=LOWER(A874)))"),"#DIV/0!")</f>
        <v>#DIV/0!</v>
      </c>
      <c r="H874" t="str">
        <f ca="1">IFERROR(__xludf.DUMMYFUNCTION("FILTER('Leveling Info'!$B$2:$B1000, 'Leveling Info'!$A$2:$A1000 =G874)"),"#N/A")</f>
        <v>#N/A</v>
      </c>
      <c r="I874" s="29" t="e">
        <f t="shared" ca="1" si="0"/>
        <v>#VALUE!</v>
      </c>
      <c r="J874" s="29" t="str">
        <f ca="1">IFERROR(__xludf.DUMMYFUNCTION("IF(F874 = H874,C874/FILTER('Base Stats'!$C$2:$C1000, LOWER('Base Stats'!$B$2:$B1000) = LOWER($A874)), """")"),"#N/A")</f>
        <v>#N/A</v>
      </c>
      <c r="K874" t="str">
        <f t="shared" ca="1" si="1"/>
        <v/>
      </c>
      <c r="L874" t="str">
        <f ca="1">IFERROR(__xludf.DUMMYFUNCTION("IF(AND(NOT(K874 = """"), G874 &gt;= 15),K874/FILTER('Base Stats'!$C$2:$C1000, LOWER('Base Stats'!$B$2:$B1000) = LOWER($A874)), """")"),"#N/A")</f>
        <v>#N/A</v>
      </c>
      <c r="M874" t="str">
        <f ca="1">IFERROR(__xludf.DUMMYFUNCTION("1.15 + 0.02 * FILTER('Base Stats'!$C$2:$C1000, LOWER('Base Stats'!$B$2:$B1000) = LOWER($A874))"),"1.15")</f>
        <v>1.15</v>
      </c>
      <c r="N874" t="s">
        <v>527</v>
      </c>
    </row>
    <row r="875" spans="1:14" ht="12.75" x14ac:dyDescent="0.2">
      <c r="A875">
        <f>'Form Responses (Pokemon Stats)'!B835</f>
        <v>0</v>
      </c>
      <c r="B875">
        <f>'Form Responses (Pokemon Stats)'!D835</f>
        <v>0</v>
      </c>
      <c r="C875">
        <f>'Form Responses (Pokemon Stats)'!C835</f>
        <v>0</v>
      </c>
      <c r="F875">
        <f>'Form Responses (Pokemon Stats)'!E835</f>
        <v>0</v>
      </c>
      <c r="G875" t="str">
        <f ca="1">IFERROR(__xludf.DUMMYFUNCTION("ROUND(B875/ FILTER('Pokemon CP/HP'!$M$2:$M1000, LOWER('Pokemon CP/HP'!$B$2:$B1000)=LOWER(A875)))"),"#DIV/0!")</f>
        <v>#DIV/0!</v>
      </c>
      <c r="H875" t="str">
        <f ca="1">IFERROR(__xludf.DUMMYFUNCTION("FILTER('Leveling Info'!$B$2:$B1000, 'Leveling Info'!$A$2:$A1000 =G875)"),"#N/A")</f>
        <v>#N/A</v>
      </c>
      <c r="I875" s="29" t="e">
        <f t="shared" ca="1" si="0"/>
        <v>#VALUE!</v>
      </c>
      <c r="J875" s="29" t="str">
        <f ca="1">IFERROR(__xludf.DUMMYFUNCTION("IF(F875 = H875,C875/FILTER('Base Stats'!$C$2:$C1000, LOWER('Base Stats'!$B$2:$B1000) = LOWER($A875)), """")"),"#N/A")</f>
        <v>#N/A</v>
      </c>
      <c r="K875" t="str">
        <f t="shared" ca="1" si="1"/>
        <v/>
      </c>
      <c r="L875" t="str">
        <f ca="1">IFERROR(__xludf.DUMMYFUNCTION("IF(AND(NOT(K875 = """"), G875 &gt;= 15),K875/FILTER('Base Stats'!$C$2:$C1000, LOWER('Base Stats'!$B$2:$B1000) = LOWER($A875)), """")"),"#N/A")</f>
        <v>#N/A</v>
      </c>
      <c r="M875" t="str">
        <f ca="1">IFERROR(__xludf.DUMMYFUNCTION("1.15 + 0.02 * FILTER('Base Stats'!$C$2:$C1000, LOWER('Base Stats'!$B$2:$B1000) = LOWER($A875))"),"1.15")</f>
        <v>1.15</v>
      </c>
      <c r="N875" t="s">
        <v>527</v>
      </c>
    </row>
    <row r="876" spans="1:14" ht="12.75" x14ac:dyDescent="0.2">
      <c r="A876">
        <f>'Form Responses (Pokemon Stats)'!B836</f>
        <v>0</v>
      </c>
      <c r="B876">
        <f>'Form Responses (Pokemon Stats)'!D836</f>
        <v>0</v>
      </c>
      <c r="C876">
        <f>'Form Responses (Pokemon Stats)'!C836</f>
        <v>0</v>
      </c>
      <c r="F876">
        <f>'Form Responses (Pokemon Stats)'!E836</f>
        <v>0</v>
      </c>
      <c r="G876" t="str">
        <f ca="1">IFERROR(__xludf.DUMMYFUNCTION("ROUND(B876/ FILTER('Pokemon CP/HP'!$M$2:$M1000, LOWER('Pokemon CP/HP'!$B$2:$B1000)=LOWER(A876)))"),"#DIV/0!")</f>
        <v>#DIV/0!</v>
      </c>
      <c r="H876" t="str">
        <f ca="1">IFERROR(__xludf.DUMMYFUNCTION("FILTER('Leveling Info'!$B$2:$B1000, 'Leveling Info'!$A$2:$A1000 =G876)"),"#N/A")</f>
        <v>#N/A</v>
      </c>
      <c r="I876" s="29" t="e">
        <f t="shared" ca="1" si="0"/>
        <v>#VALUE!</v>
      </c>
      <c r="J876" s="29" t="str">
        <f ca="1">IFERROR(__xludf.DUMMYFUNCTION("IF(F876 = H876,C876/FILTER('Base Stats'!$C$2:$C1000, LOWER('Base Stats'!$B$2:$B1000) = LOWER($A876)), """")"),"#N/A")</f>
        <v>#N/A</v>
      </c>
      <c r="K876" t="str">
        <f t="shared" ca="1" si="1"/>
        <v/>
      </c>
      <c r="L876" t="str">
        <f ca="1">IFERROR(__xludf.DUMMYFUNCTION("IF(AND(NOT(K876 = """"), G876 &gt;= 15),K876/FILTER('Base Stats'!$C$2:$C1000, LOWER('Base Stats'!$B$2:$B1000) = LOWER($A876)), """")"),"#N/A")</f>
        <v>#N/A</v>
      </c>
      <c r="M876" t="str">
        <f ca="1">IFERROR(__xludf.DUMMYFUNCTION("1.15 + 0.02 * FILTER('Base Stats'!$C$2:$C1000, LOWER('Base Stats'!$B$2:$B1000) = LOWER($A876))"),"1.15")</f>
        <v>1.15</v>
      </c>
      <c r="N876" t="s">
        <v>527</v>
      </c>
    </row>
    <row r="877" spans="1:14" ht="12.75" x14ac:dyDescent="0.2">
      <c r="A877">
        <f>'Form Responses (Pokemon Stats)'!B837</f>
        <v>0</v>
      </c>
      <c r="B877">
        <f>'Form Responses (Pokemon Stats)'!D837</f>
        <v>0</v>
      </c>
      <c r="C877">
        <f>'Form Responses (Pokemon Stats)'!C837</f>
        <v>0</v>
      </c>
      <c r="F877">
        <f>'Form Responses (Pokemon Stats)'!E837</f>
        <v>0</v>
      </c>
      <c r="G877" t="str">
        <f ca="1">IFERROR(__xludf.DUMMYFUNCTION("ROUND(B877/ FILTER('Pokemon CP/HP'!$M$2:$M1000, LOWER('Pokemon CP/HP'!$B$2:$B1000)=LOWER(A877)))"),"#DIV/0!")</f>
        <v>#DIV/0!</v>
      </c>
      <c r="H877" t="str">
        <f ca="1">IFERROR(__xludf.DUMMYFUNCTION("FILTER('Leveling Info'!$B$2:$B1000, 'Leveling Info'!$A$2:$A1000 =G877)"),"#N/A")</f>
        <v>#N/A</v>
      </c>
      <c r="I877" s="29" t="e">
        <f t="shared" ca="1" si="0"/>
        <v>#VALUE!</v>
      </c>
      <c r="J877" s="29" t="str">
        <f ca="1">IFERROR(__xludf.DUMMYFUNCTION("IF(F877 = H877,C877/FILTER('Base Stats'!$C$2:$C1000, LOWER('Base Stats'!$B$2:$B1000) = LOWER($A877)), """")"),"#N/A")</f>
        <v>#N/A</v>
      </c>
      <c r="K877" t="str">
        <f t="shared" ca="1" si="1"/>
        <v/>
      </c>
      <c r="L877" t="str">
        <f ca="1">IFERROR(__xludf.DUMMYFUNCTION("IF(AND(NOT(K877 = """"), G877 &gt;= 15),K877/FILTER('Base Stats'!$C$2:$C1000, LOWER('Base Stats'!$B$2:$B1000) = LOWER($A877)), """")"),"#N/A")</f>
        <v>#N/A</v>
      </c>
      <c r="M877" t="str">
        <f ca="1">IFERROR(__xludf.DUMMYFUNCTION("1.15 + 0.02 * FILTER('Base Stats'!$C$2:$C1000, LOWER('Base Stats'!$B$2:$B1000) = LOWER($A877))"),"1.15")</f>
        <v>1.15</v>
      </c>
      <c r="N877" t="s">
        <v>527</v>
      </c>
    </row>
    <row r="878" spans="1:14" ht="12.75" x14ac:dyDescent="0.2">
      <c r="A878">
        <f>'Form Responses (Pokemon Stats)'!B838</f>
        <v>0</v>
      </c>
      <c r="B878">
        <f>'Form Responses (Pokemon Stats)'!D838</f>
        <v>0</v>
      </c>
      <c r="C878">
        <f>'Form Responses (Pokemon Stats)'!C838</f>
        <v>0</v>
      </c>
      <c r="F878">
        <f>'Form Responses (Pokemon Stats)'!E838</f>
        <v>0</v>
      </c>
      <c r="G878" t="str">
        <f ca="1">IFERROR(__xludf.DUMMYFUNCTION("ROUND(B878/ FILTER('Pokemon CP/HP'!$M$2:$M1000, LOWER('Pokemon CP/HP'!$B$2:$B1000)=LOWER(A878)))"),"#DIV/0!")</f>
        <v>#DIV/0!</v>
      </c>
      <c r="H878" t="str">
        <f ca="1">IFERROR(__xludf.DUMMYFUNCTION("FILTER('Leveling Info'!$B$2:$B1000, 'Leveling Info'!$A$2:$A1000 =G878)"),"#N/A")</f>
        <v>#N/A</v>
      </c>
      <c r="I878" s="29" t="e">
        <f t="shared" ca="1" si="0"/>
        <v>#VALUE!</v>
      </c>
      <c r="J878" s="29" t="str">
        <f ca="1">IFERROR(__xludf.DUMMYFUNCTION("IF(F878 = H878,C878/FILTER('Base Stats'!$C$2:$C1000, LOWER('Base Stats'!$B$2:$B1000) = LOWER($A878)), """")"),"#N/A")</f>
        <v>#N/A</v>
      </c>
      <c r="K878" t="str">
        <f t="shared" ca="1" si="1"/>
        <v/>
      </c>
      <c r="L878" t="str">
        <f ca="1">IFERROR(__xludf.DUMMYFUNCTION("IF(AND(NOT(K878 = """"), G878 &gt;= 15),K878/FILTER('Base Stats'!$C$2:$C1000, LOWER('Base Stats'!$B$2:$B1000) = LOWER($A878)), """")"),"#N/A")</f>
        <v>#N/A</v>
      </c>
      <c r="M878" t="str">
        <f ca="1">IFERROR(__xludf.DUMMYFUNCTION("1.15 + 0.02 * FILTER('Base Stats'!$C$2:$C1000, LOWER('Base Stats'!$B$2:$B1000) = LOWER($A878))"),"1.15")</f>
        <v>1.15</v>
      </c>
      <c r="N878" t="s">
        <v>527</v>
      </c>
    </row>
    <row r="879" spans="1:14" ht="12.75" x14ac:dyDescent="0.2">
      <c r="A879">
        <f>'Form Responses (Pokemon Stats)'!B839</f>
        <v>0</v>
      </c>
      <c r="B879">
        <f>'Form Responses (Pokemon Stats)'!D839</f>
        <v>0</v>
      </c>
      <c r="C879">
        <f>'Form Responses (Pokemon Stats)'!C839</f>
        <v>0</v>
      </c>
      <c r="F879">
        <f>'Form Responses (Pokemon Stats)'!E839</f>
        <v>0</v>
      </c>
      <c r="G879" t="str">
        <f ca="1">IFERROR(__xludf.DUMMYFUNCTION("ROUND(B879/ FILTER('Pokemon CP/HP'!$M$2:$M1000, LOWER('Pokemon CP/HP'!$B$2:$B1000)=LOWER(A879)))"),"#DIV/0!")</f>
        <v>#DIV/0!</v>
      </c>
      <c r="H879" t="str">
        <f ca="1">IFERROR(__xludf.DUMMYFUNCTION("FILTER('Leveling Info'!$B$2:$B1000, 'Leveling Info'!$A$2:$A1000 =G879)"),"#N/A")</f>
        <v>#N/A</v>
      </c>
      <c r="I879" s="29" t="e">
        <f t="shared" ca="1" si="0"/>
        <v>#VALUE!</v>
      </c>
      <c r="J879" s="29" t="str">
        <f ca="1">IFERROR(__xludf.DUMMYFUNCTION("IF(F879 = H879,C879/FILTER('Base Stats'!$C$2:$C1000, LOWER('Base Stats'!$B$2:$B1000) = LOWER($A879)), """")"),"#N/A")</f>
        <v>#N/A</v>
      </c>
      <c r="K879" t="str">
        <f t="shared" ca="1" si="1"/>
        <v/>
      </c>
      <c r="L879" t="str">
        <f ca="1">IFERROR(__xludf.DUMMYFUNCTION("IF(AND(NOT(K879 = """"), G879 &gt;= 15),K879/FILTER('Base Stats'!$C$2:$C1000, LOWER('Base Stats'!$B$2:$B1000) = LOWER($A879)), """")"),"#N/A")</f>
        <v>#N/A</v>
      </c>
      <c r="M879" t="str">
        <f ca="1">IFERROR(__xludf.DUMMYFUNCTION("1.15 + 0.02 * FILTER('Base Stats'!$C$2:$C1000, LOWER('Base Stats'!$B$2:$B1000) = LOWER($A879))"),"1.15")</f>
        <v>1.15</v>
      </c>
      <c r="N879" t="s">
        <v>527</v>
      </c>
    </row>
    <row r="880" spans="1:14" ht="12.75" x14ac:dyDescent="0.2">
      <c r="A880">
        <f>'Form Responses (Pokemon Stats)'!B840</f>
        <v>0</v>
      </c>
      <c r="B880">
        <f>'Form Responses (Pokemon Stats)'!D840</f>
        <v>0</v>
      </c>
      <c r="C880">
        <f>'Form Responses (Pokemon Stats)'!C840</f>
        <v>0</v>
      </c>
      <c r="F880">
        <f>'Form Responses (Pokemon Stats)'!E840</f>
        <v>0</v>
      </c>
      <c r="G880" t="str">
        <f ca="1">IFERROR(__xludf.DUMMYFUNCTION("ROUND(B880/ FILTER('Pokemon CP/HP'!$M$2:$M1000, LOWER('Pokemon CP/HP'!$B$2:$B1000)=LOWER(A880)))"),"#DIV/0!")</f>
        <v>#DIV/0!</v>
      </c>
      <c r="H880" t="str">
        <f ca="1">IFERROR(__xludf.DUMMYFUNCTION("FILTER('Leveling Info'!$B$2:$B1000, 'Leveling Info'!$A$2:$A1000 =G880)"),"#N/A")</f>
        <v>#N/A</v>
      </c>
      <c r="I880" s="29" t="e">
        <f t="shared" ca="1" si="0"/>
        <v>#VALUE!</v>
      </c>
      <c r="J880" s="29" t="str">
        <f ca="1">IFERROR(__xludf.DUMMYFUNCTION("IF(F880 = H880,C880/FILTER('Base Stats'!$C$2:$C1000, LOWER('Base Stats'!$B$2:$B1000) = LOWER($A880)), """")"),"#N/A")</f>
        <v>#N/A</v>
      </c>
      <c r="K880" t="str">
        <f t="shared" ca="1" si="1"/>
        <v/>
      </c>
      <c r="L880" t="str">
        <f ca="1">IFERROR(__xludf.DUMMYFUNCTION("IF(AND(NOT(K880 = """"), G880 &gt;= 15),K880/FILTER('Base Stats'!$C$2:$C1000, LOWER('Base Stats'!$B$2:$B1000) = LOWER($A880)), """")"),"#N/A")</f>
        <v>#N/A</v>
      </c>
      <c r="M880" t="str">
        <f ca="1">IFERROR(__xludf.DUMMYFUNCTION("1.15 + 0.02 * FILTER('Base Stats'!$C$2:$C1000, LOWER('Base Stats'!$B$2:$B1000) = LOWER($A880))"),"1.15")</f>
        <v>1.15</v>
      </c>
      <c r="N880" t="s">
        <v>527</v>
      </c>
    </row>
    <row r="881" spans="1:14" ht="12.75" x14ac:dyDescent="0.2">
      <c r="A881">
        <f>'Form Responses (Pokemon Stats)'!B841</f>
        <v>0</v>
      </c>
      <c r="B881">
        <f>'Form Responses (Pokemon Stats)'!D841</f>
        <v>0</v>
      </c>
      <c r="C881">
        <f>'Form Responses (Pokemon Stats)'!C841</f>
        <v>0</v>
      </c>
      <c r="F881">
        <f>'Form Responses (Pokemon Stats)'!E841</f>
        <v>0</v>
      </c>
      <c r="G881" t="str">
        <f ca="1">IFERROR(__xludf.DUMMYFUNCTION("ROUND(B881/ FILTER('Pokemon CP/HP'!$M$2:$M1000, LOWER('Pokemon CP/HP'!$B$2:$B1000)=LOWER(A881)))"),"#DIV/0!")</f>
        <v>#DIV/0!</v>
      </c>
      <c r="H881" t="str">
        <f ca="1">IFERROR(__xludf.DUMMYFUNCTION("FILTER('Leveling Info'!$B$2:$B1000, 'Leveling Info'!$A$2:$A1000 =G881)"),"#N/A")</f>
        <v>#N/A</v>
      </c>
      <c r="I881" s="29" t="e">
        <f t="shared" ca="1" si="0"/>
        <v>#VALUE!</v>
      </c>
      <c r="J881" s="29" t="str">
        <f ca="1">IFERROR(__xludf.DUMMYFUNCTION("IF(F881 = H881,C881/FILTER('Base Stats'!$C$2:$C1000, LOWER('Base Stats'!$B$2:$B1000) = LOWER($A881)), """")"),"#N/A")</f>
        <v>#N/A</v>
      </c>
      <c r="K881" t="str">
        <f t="shared" ca="1" si="1"/>
        <v/>
      </c>
      <c r="L881" t="str">
        <f ca="1">IFERROR(__xludf.DUMMYFUNCTION("IF(AND(NOT(K881 = """"), G881 &gt;= 15),K881/FILTER('Base Stats'!$C$2:$C1000, LOWER('Base Stats'!$B$2:$B1000) = LOWER($A881)), """")"),"#N/A")</f>
        <v>#N/A</v>
      </c>
      <c r="M881" t="str">
        <f ca="1">IFERROR(__xludf.DUMMYFUNCTION("1.15 + 0.02 * FILTER('Base Stats'!$C$2:$C1000, LOWER('Base Stats'!$B$2:$B1000) = LOWER($A881))"),"1.15")</f>
        <v>1.15</v>
      </c>
      <c r="N881" t="s">
        <v>527</v>
      </c>
    </row>
    <row r="882" spans="1:14" ht="12.75" x14ac:dyDescent="0.2">
      <c r="A882">
        <f>'Form Responses (Pokemon Stats)'!B842</f>
        <v>0</v>
      </c>
      <c r="B882">
        <f>'Form Responses (Pokemon Stats)'!D842</f>
        <v>0</v>
      </c>
      <c r="C882">
        <f>'Form Responses (Pokemon Stats)'!C842</f>
        <v>0</v>
      </c>
      <c r="F882">
        <f>'Form Responses (Pokemon Stats)'!E842</f>
        <v>0</v>
      </c>
      <c r="G882" t="str">
        <f ca="1">IFERROR(__xludf.DUMMYFUNCTION("ROUND(B882/ FILTER('Pokemon CP/HP'!$M$2:$M1000, LOWER('Pokemon CP/HP'!$B$2:$B1000)=LOWER(A882)))"),"#DIV/0!")</f>
        <v>#DIV/0!</v>
      </c>
      <c r="H882" t="str">
        <f ca="1">IFERROR(__xludf.DUMMYFUNCTION("FILTER('Leveling Info'!$B$2:$B1000, 'Leveling Info'!$A$2:$A1000 =G882)"),"#N/A")</f>
        <v>#N/A</v>
      </c>
      <c r="I882" s="29" t="e">
        <f t="shared" ca="1" si="0"/>
        <v>#VALUE!</v>
      </c>
      <c r="J882" s="29" t="str">
        <f ca="1">IFERROR(__xludf.DUMMYFUNCTION("IF(F882 = H882,C882/FILTER('Base Stats'!$C$2:$C1000, LOWER('Base Stats'!$B$2:$B1000) = LOWER($A882)), """")"),"#N/A")</f>
        <v>#N/A</v>
      </c>
      <c r="K882" t="str">
        <f t="shared" ca="1" si="1"/>
        <v/>
      </c>
      <c r="L882" t="str">
        <f ca="1">IFERROR(__xludf.DUMMYFUNCTION("IF(AND(NOT(K882 = """"), G882 &gt;= 15),K882/FILTER('Base Stats'!$C$2:$C1000, LOWER('Base Stats'!$B$2:$B1000) = LOWER($A882)), """")"),"#N/A")</f>
        <v>#N/A</v>
      </c>
      <c r="M882" t="str">
        <f ca="1">IFERROR(__xludf.DUMMYFUNCTION("1.15 + 0.02 * FILTER('Base Stats'!$C$2:$C1000, LOWER('Base Stats'!$B$2:$B1000) = LOWER($A882))"),"1.15")</f>
        <v>1.15</v>
      </c>
      <c r="N882" t="s">
        <v>527</v>
      </c>
    </row>
    <row r="883" spans="1:14" ht="12.75" x14ac:dyDescent="0.2">
      <c r="A883">
        <f>'Form Responses (Pokemon Stats)'!B843</f>
        <v>0</v>
      </c>
      <c r="B883">
        <f>'Form Responses (Pokemon Stats)'!D843</f>
        <v>0</v>
      </c>
      <c r="C883">
        <f>'Form Responses (Pokemon Stats)'!C843</f>
        <v>0</v>
      </c>
      <c r="F883">
        <f>'Form Responses (Pokemon Stats)'!E843</f>
        <v>0</v>
      </c>
      <c r="G883" t="str">
        <f ca="1">IFERROR(__xludf.DUMMYFUNCTION("ROUND(B883/ FILTER('Pokemon CP/HP'!$M$2:$M1000, LOWER('Pokemon CP/HP'!$B$2:$B1000)=LOWER(A883)))"),"#DIV/0!")</f>
        <v>#DIV/0!</v>
      </c>
      <c r="H883" t="str">
        <f ca="1">IFERROR(__xludf.DUMMYFUNCTION("FILTER('Leveling Info'!$B$2:$B1000, 'Leveling Info'!$A$2:$A1000 =G883)"),"#N/A")</f>
        <v>#N/A</v>
      </c>
      <c r="I883" s="29" t="e">
        <f t="shared" ca="1" si="0"/>
        <v>#VALUE!</v>
      </c>
      <c r="J883" s="29" t="str">
        <f ca="1">IFERROR(__xludf.DUMMYFUNCTION("IF(F883 = H883,C883/FILTER('Base Stats'!$C$2:$C1000, LOWER('Base Stats'!$B$2:$B1000) = LOWER($A883)), """")"),"#N/A")</f>
        <v>#N/A</v>
      </c>
      <c r="K883" t="str">
        <f t="shared" ca="1" si="1"/>
        <v/>
      </c>
      <c r="L883" t="str">
        <f ca="1">IFERROR(__xludf.DUMMYFUNCTION("IF(AND(NOT(K883 = """"), G883 &gt;= 15),K883/FILTER('Base Stats'!$C$2:$C1000, LOWER('Base Stats'!$B$2:$B1000) = LOWER($A883)), """")"),"#N/A")</f>
        <v>#N/A</v>
      </c>
      <c r="M883" t="str">
        <f ca="1">IFERROR(__xludf.DUMMYFUNCTION("1.15 + 0.02 * FILTER('Base Stats'!$C$2:$C1000, LOWER('Base Stats'!$B$2:$B1000) = LOWER($A883))"),"1.15")</f>
        <v>1.15</v>
      </c>
      <c r="N883" t="s">
        <v>527</v>
      </c>
    </row>
    <row r="884" spans="1:14" ht="12.75" x14ac:dyDescent="0.2">
      <c r="A884">
        <f>'Form Responses (Pokemon Stats)'!B844</f>
        <v>0</v>
      </c>
      <c r="B884">
        <f>'Form Responses (Pokemon Stats)'!D844</f>
        <v>0</v>
      </c>
      <c r="C884">
        <f>'Form Responses (Pokemon Stats)'!C844</f>
        <v>0</v>
      </c>
      <c r="F884">
        <f>'Form Responses (Pokemon Stats)'!E844</f>
        <v>0</v>
      </c>
      <c r="G884" t="str">
        <f ca="1">IFERROR(__xludf.DUMMYFUNCTION("ROUND(B884/ FILTER('Pokemon CP/HP'!$M$2:$M1000, LOWER('Pokemon CP/HP'!$B$2:$B1000)=LOWER(A884)))"),"#DIV/0!")</f>
        <v>#DIV/0!</v>
      </c>
      <c r="H884" t="str">
        <f ca="1">IFERROR(__xludf.DUMMYFUNCTION("FILTER('Leveling Info'!$B$2:$B1000, 'Leveling Info'!$A$2:$A1000 =G884)"),"#N/A")</f>
        <v>#N/A</v>
      </c>
      <c r="I884" s="29" t="e">
        <f t="shared" ca="1" si="0"/>
        <v>#VALUE!</v>
      </c>
      <c r="J884" s="29" t="str">
        <f ca="1">IFERROR(__xludf.DUMMYFUNCTION("IF(F884 = H884,C884/FILTER('Base Stats'!$C$2:$C1000, LOWER('Base Stats'!$B$2:$B1000) = LOWER($A884)), """")"),"#N/A")</f>
        <v>#N/A</v>
      </c>
      <c r="K884" t="str">
        <f t="shared" ca="1" si="1"/>
        <v/>
      </c>
      <c r="L884" t="str">
        <f ca="1">IFERROR(__xludf.DUMMYFUNCTION("IF(AND(NOT(K884 = """"), G884 &gt;= 15),K884/FILTER('Base Stats'!$C$2:$C1000, LOWER('Base Stats'!$B$2:$B1000) = LOWER($A884)), """")"),"#N/A")</f>
        <v>#N/A</v>
      </c>
      <c r="M884" t="str">
        <f ca="1">IFERROR(__xludf.DUMMYFUNCTION("1.15 + 0.02 * FILTER('Base Stats'!$C$2:$C1000, LOWER('Base Stats'!$B$2:$B1000) = LOWER($A884))"),"1.15")</f>
        <v>1.15</v>
      </c>
      <c r="N884" t="s">
        <v>527</v>
      </c>
    </row>
    <row r="885" spans="1:14" ht="12.75" x14ac:dyDescent="0.2">
      <c r="A885">
        <f>'Form Responses (Pokemon Stats)'!B845</f>
        <v>0</v>
      </c>
      <c r="B885">
        <f>'Form Responses (Pokemon Stats)'!D845</f>
        <v>0</v>
      </c>
      <c r="C885">
        <f>'Form Responses (Pokemon Stats)'!C845</f>
        <v>0</v>
      </c>
      <c r="F885">
        <f>'Form Responses (Pokemon Stats)'!E845</f>
        <v>0</v>
      </c>
      <c r="G885" t="str">
        <f ca="1">IFERROR(__xludf.DUMMYFUNCTION("ROUND(B885/ FILTER('Pokemon CP/HP'!$M$2:$M1000, LOWER('Pokemon CP/HP'!$B$2:$B1000)=LOWER(A885)))"),"#DIV/0!")</f>
        <v>#DIV/0!</v>
      </c>
      <c r="H885" t="str">
        <f ca="1">IFERROR(__xludf.DUMMYFUNCTION("FILTER('Leveling Info'!$B$2:$B1000, 'Leveling Info'!$A$2:$A1000 =G885)"),"#N/A")</f>
        <v>#N/A</v>
      </c>
      <c r="I885" s="29" t="e">
        <f t="shared" ca="1" si="0"/>
        <v>#VALUE!</v>
      </c>
      <c r="J885" s="29" t="str">
        <f ca="1">IFERROR(__xludf.DUMMYFUNCTION("IF(F885 = H885,C885/FILTER('Base Stats'!$C$2:$C1000, LOWER('Base Stats'!$B$2:$B1000) = LOWER($A885)), """")"),"#N/A")</f>
        <v>#N/A</v>
      </c>
      <c r="K885" t="str">
        <f t="shared" ca="1" si="1"/>
        <v/>
      </c>
      <c r="L885" t="str">
        <f ca="1">IFERROR(__xludf.DUMMYFUNCTION("IF(AND(NOT(K885 = """"), G885 &gt;= 15),K885/FILTER('Base Stats'!$C$2:$C1000, LOWER('Base Stats'!$B$2:$B1000) = LOWER($A885)), """")"),"#N/A")</f>
        <v>#N/A</v>
      </c>
      <c r="M885" t="str">
        <f ca="1">IFERROR(__xludf.DUMMYFUNCTION("1.15 + 0.02 * FILTER('Base Stats'!$C$2:$C1000, LOWER('Base Stats'!$B$2:$B1000) = LOWER($A885))"),"1.15")</f>
        <v>1.15</v>
      </c>
      <c r="N885" t="s">
        <v>527</v>
      </c>
    </row>
    <row r="886" spans="1:14" ht="12.75" x14ac:dyDescent="0.2">
      <c r="A886">
        <f>'Form Responses (Pokemon Stats)'!B846</f>
        <v>0</v>
      </c>
      <c r="B886">
        <f>'Form Responses (Pokemon Stats)'!D846</f>
        <v>0</v>
      </c>
      <c r="C886">
        <f>'Form Responses (Pokemon Stats)'!C846</f>
        <v>0</v>
      </c>
      <c r="F886">
        <f>'Form Responses (Pokemon Stats)'!E846</f>
        <v>0</v>
      </c>
      <c r="G886" t="str">
        <f ca="1">IFERROR(__xludf.DUMMYFUNCTION("ROUND(B886/ FILTER('Pokemon CP/HP'!$M$2:$M1000, LOWER('Pokemon CP/HP'!$B$2:$B1000)=LOWER(A886)))"),"#DIV/0!")</f>
        <v>#DIV/0!</v>
      </c>
      <c r="H886" t="str">
        <f ca="1">IFERROR(__xludf.DUMMYFUNCTION("FILTER('Leveling Info'!$B$2:$B1000, 'Leveling Info'!$A$2:$A1000 =G886)"),"#N/A")</f>
        <v>#N/A</v>
      </c>
      <c r="I886" s="29" t="e">
        <f t="shared" ca="1" si="0"/>
        <v>#VALUE!</v>
      </c>
      <c r="J886" s="29" t="str">
        <f ca="1">IFERROR(__xludf.DUMMYFUNCTION("IF(F886 = H886,C886/FILTER('Base Stats'!$C$2:$C1000, LOWER('Base Stats'!$B$2:$B1000) = LOWER($A886)), """")"),"#N/A")</f>
        <v>#N/A</v>
      </c>
      <c r="K886" t="str">
        <f t="shared" ca="1" si="1"/>
        <v/>
      </c>
      <c r="L886" t="str">
        <f ca="1">IFERROR(__xludf.DUMMYFUNCTION("IF(AND(NOT(K886 = """"), G886 &gt;= 15),K886/FILTER('Base Stats'!$C$2:$C1000, LOWER('Base Stats'!$B$2:$B1000) = LOWER($A886)), """")"),"#N/A")</f>
        <v>#N/A</v>
      </c>
      <c r="M886" t="str">
        <f ca="1">IFERROR(__xludf.DUMMYFUNCTION("1.15 + 0.02 * FILTER('Base Stats'!$C$2:$C1000, LOWER('Base Stats'!$B$2:$B1000) = LOWER($A886))"),"1.15")</f>
        <v>1.15</v>
      </c>
      <c r="N886" t="s">
        <v>527</v>
      </c>
    </row>
    <row r="887" spans="1:14" ht="12.75" x14ac:dyDescent="0.2">
      <c r="A887">
        <f>'Form Responses (Pokemon Stats)'!B847</f>
        <v>0</v>
      </c>
      <c r="B887">
        <f>'Form Responses (Pokemon Stats)'!D847</f>
        <v>0</v>
      </c>
      <c r="C887">
        <f>'Form Responses (Pokemon Stats)'!C847</f>
        <v>0</v>
      </c>
      <c r="F887">
        <f>'Form Responses (Pokemon Stats)'!E847</f>
        <v>0</v>
      </c>
      <c r="G887" t="str">
        <f ca="1">IFERROR(__xludf.DUMMYFUNCTION("ROUND(B887/ FILTER('Pokemon CP/HP'!$M$2:$M1000, LOWER('Pokemon CP/HP'!$B$2:$B1000)=LOWER(A887)))"),"#DIV/0!")</f>
        <v>#DIV/0!</v>
      </c>
      <c r="H887" t="str">
        <f ca="1">IFERROR(__xludf.DUMMYFUNCTION("FILTER('Leveling Info'!$B$2:$B1000, 'Leveling Info'!$A$2:$A1000 =G887)"),"#N/A")</f>
        <v>#N/A</v>
      </c>
      <c r="I887" s="29" t="e">
        <f t="shared" ca="1" si="0"/>
        <v>#VALUE!</v>
      </c>
      <c r="J887" s="29" t="str">
        <f ca="1">IFERROR(__xludf.DUMMYFUNCTION("IF(F887 = H887,C887/FILTER('Base Stats'!$C$2:$C1000, LOWER('Base Stats'!$B$2:$B1000) = LOWER($A887)), """")"),"#N/A")</f>
        <v>#N/A</v>
      </c>
      <c r="K887" t="str">
        <f t="shared" ca="1" si="1"/>
        <v/>
      </c>
      <c r="L887" t="str">
        <f ca="1">IFERROR(__xludf.DUMMYFUNCTION("IF(AND(NOT(K887 = """"), G887 &gt;= 15),K887/FILTER('Base Stats'!$C$2:$C1000, LOWER('Base Stats'!$B$2:$B1000) = LOWER($A887)), """")"),"#N/A")</f>
        <v>#N/A</v>
      </c>
      <c r="M887" t="str">
        <f ca="1">IFERROR(__xludf.DUMMYFUNCTION("1.15 + 0.02 * FILTER('Base Stats'!$C$2:$C1000, LOWER('Base Stats'!$B$2:$B1000) = LOWER($A887))"),"1.15")</f>
        <v>1.15</v>
      </c>
      <c r="N887" t="s">
        <v>527</v>
      </c>
    </row>
    <row r="888" spans="1:14" ht="12.75" x14ac:dyDescent="0.2">
      <c r="A888">
        <f>'Form Responses (Pokemon Stats)'!B848</f>
        <v>0</v>
      </c>
      <c r="B888">
        <f>'Form Responses (Pokemon Stats)'!D848</f>
        <v>0</v>
      </c>
      <c r="C888">
        <f>'Form Responses (Pokemon Stats)'!C848</f>
        <v>0</v>
      </c>
      <c r="F888">
        <f>'Form Responses (Pokemon Stats)'!E848</f>
        <v>0</v>
      </c>
      <c r="G888" t="str">
        <f ca="1">IFERROR(__xludf.DUMMYFUNCTION("ROUND(B888/ FILTER('Pokemon CP/HP'!$M$2:$M1000, LOWER('Pokemon CP/HP'!$B$2:$B1000)=LOWER(A888)))"),"#DIV/0!")</f>
        <v>#DIV/0!</v>
      </c>
      <c r="H888" t="str">
        <f ca="1">IFERROR(__xludf.DUMMYFUNCTION("FILTER('Leveling Info'!$B$2:$B1000, 'Leveling Info'!$A$2:$A1000 =G888)"),"#N/A")</f>
        <v>#N/A</v>
      </c>
      <c r="I888" s="29" t="e">
        <f t="shared" ca="1" si="0"/>
        <v>#VALUE!</v>
      </c>
      <c r="J888" s="29" t="str">
        <f ca="1">IFERROR(__xludf.DUMMYFUNCTION("IF(F888 = H888,C888/FILTER('Base Stats'!$C$2:$C1000, LOWER('Base Stats'!$B$2:$B1000) = LOWER($A888)), """")"),"#N/A")</f>
        <v>#N/A</v>
      </c>
      <c r="K888" t="str">
        <f t="shared" ca="1" si="1"/>
        <v/>
      </c>
      <c r="L888" t="str">
        <f ca="1">IFERROR(__xludf.DUMMYFUNCTION("IF(AND(NOT(K888 = """"), G888 &gt;= 15),K888/FILTER('Base Stats'!$C$2:$C1000, LOWER('Base Stats'!$B$2:$B1000) = LOWER($A888)), """")"),"#N/A")</f>
        <v>#N/A</v>
      </c>
      <c r="M888" t="str">
        <f ca="1">IFERROR(__xludf.DUMMYFUNCTION("1.15 + 0.02 * FILTER('Base Stats'!$C$2:$C1000, LOWER('Base Stats'!$B$2:$B1000) = LOWER($A888))"),"1.15")</f>
        <v>1.15</v>
      </c>
      <c r="N888" t="s">
        <v>527</v>
      </c>
    </row>
    <row r="889" spans="1:14" ht="12.75" x14ac:dyDescent="0.2">
      <c r="A889">
        <f>'Form Responses (Pokemon Stats)'!B849</f>
        <v>0</v>
      </c>
      <c r="B889">
        <f>'Form Responses (Pokemon Stats)'!D849</f>
        <v>0</v>
      </c>
      <c r="C889">
        <f>'Form Responses (Pokemon Stats)'!C849</f>
        <v>0</v>
      </c>
      <c r="F889">
        <f>'Form Responses (Pokemon Stats)'!E849</f>
        <v>0</v>
      </c>
      <c r="G889" t="str">
        <f ca="1">IFERROR(__xludf.DUMMYFUNCTION("ROUND(B889/ FILTER('Pokemon CP/HP'!$M$2:$M1000, LOWER('Pokemon CP/HP'!$B$2:$B1000)=LOWER(A889)))"),"#DIV/0!")</f>
        <v>#DIV/0!</v>
      </c>
      <c r="H889" t="str">
        <f ca="1">IFERROR(__xludf.DUMMYFUNCTION("FILTER('Leveling Info'!$B$2:$B1000, 'Leveling Info'!$A$2:$A1000 =G889)"),"#N/A")</f>
        <v>#N/A</v>
      </c>
      <c r="I889" s="29" t="e">
        <f t="shared" ca="1" si="0"/>
        <v>#VALUE!</v>
      </c>
      <c r="J889" s="29" t="str">
        <f ca="1">IFERROR(__xludf.DUMMYFUNCTION("IF(F889 = H889,C889/FILTER('Base Stats'!$C$2:$C1000, LOWER('Base Stats'!$B$2:$B1000) = LOWER($A889)), """")"),"#N/A")</f>
        <v>#N/A</v>
      </c>
      <c r="K889" t="str">
        <f t="shared" ca="1" si="1"/>
        <v/>
      </c>
      <c r="L889" t="str">
        <f ca="1">IFERROR(__xludf.DUMMYFUNCTION("IF(AND(NOT(K889 = """"), G889 &gt;= 15),K889/FILTER('Base Stats'!$C$2:$C1000, LOWER('Base Stats'!$B$2:$B1000) = LOWER($A889)), """")"),"#N/A")</f>
        <v>#N/A</v>
      </c>
      <c r="M889" t="str">
        <f ca="1">IFERROR(__xludf.DUMMYFUNCTION("1.15 + 0.02 * FILTER('Base Stats'!$C$2:$C1000, LOWER('Base Stats'!$B$2:$B1000) = LOWER($A889))"),"1.15")</f>
        <v>1.15</v>
      </c>
      <c r="N889" t="s">
        <v>527</v>
      </c>
    </row>
    <row r="890" spans="1:14" ht="12.75" x14ac:dyDescent="0.2">
      <c r="A890">
        <f>'Form Responses (Pokemon Stats)'!B850</f>
        <v>0</v>
      </c>
      <c r="B890">
        <f>'Form Responses (Pokemon Stats)'!D850</f>
        <v>0</v>
      </c>
      <c r="C890">
        <f>'Form Responses (Pokemon Stats)'!C850</f>
        <v>0</v>
      </c>
      <c r="F890">
        <f>'Form Responses (Pokemon Stats)'!E850</f>
        <v>0</v>
      </c>
      <c r="G890" t="str">
        <f ca="1">IFERROR(__xludf.DUMMYFUNCTION("ROUND(B890/ FILTER('Pokemon CP/HP'!$M$2:$M1000, LOWER('Pokemon CP/HP'!$B$2:$B1000)=LOWER(A890)))"),"#DIV/0!")</f>
        <v>#DIV/0!</v>
      </c>
      <c r="H890" t="str">
        <f ca="1">IFERROR(__xludf.DUMMYFUNCTION("FILTER('Leveling Info'!$B$2:$B1000, 'Leveling Info'!$A$2:$A1000 =G890)"),"#N/A")</f>
        <v>#N/A</v>
      </c>
      <c r="I890" s="29" t="e">
        <f t="shared" ca="1" si="0"/>
        <v>#VALUE!</v>
      </c>
      <c r="J890" s="29" t="str">
        <f ca="1">IFERROR(__xludf.DUMMYFUNCTION("IF(F890 = H890,C890/FILTER('Base Stats'!$C$2:$C1000, LOWER('Base Stats'!$B$2:$B1000) = LOWER($A890)), """")"),"#N/A")</f>
        <v>#N/A</v>
      </c>
      <c r="K890" t="str">
        <f t="shared" ca="1" si="1"/>
        <v/>
      </c>
      <c r="L890" t="str">
        <f ca="1">IFERROR(__xludf.DUMMYFUNCTION("IF(AND(NOT(K890 = """"), G890 &gt;= 15),K890/FILTER('Base Stats'!$C$2:$C1000, LOWER('Base Stats'!$B$2:$B1000) = LOWER($A890)), """")"),"#N/A")</f>
        <v>#N/A</v>
      </c>
      <c r="M890" t="str">
        <f ca="1">IFERROR(__xludf.DUMMYFUNCTION("1.15 + 0.02 * FILTER('Base Stats'!$C$2:$C1000, LOWER('Base Stats'!$B$2:$B1000) = LOWER($A890))"),"1.15")</f>
        <v>1.15</v>
      </c>
      <c r="N890" t="s">
        <v>527</v>
      </c>
    </row>
    <row r="891" spans="1:14" ht="12.75" x14ac:dyDescent="0.2">
      <c r="A891">
        <f>'Form Responses (Pokemon Stats)'!B851</f>
        <v>0</v>
      </c>
      <c r="B891">
        <f>'Form Responses (Pokemon Stats)'!D851</f>
        <v>0</v>
      </c>
      <c r="C891">
        <f>'Form Responses (Pokemon Stats)'!C851</f>
        <v>0</v>
      </c>
      <c r="F891">
        <f>'Form Responses (Pokemon Stats)'!E851</f>
        <v>0</v>
      </c>
      <c r="G891" t="str">
        <f ca="1">IFERROR(__xludf.DUMMYFUNCTION("ROUND(B891/ FILTER('Pokemon CP/HP'!$M$2:$M1000, LOWER('Pokemon CP/HP'!$B$2:$B1000)=LOWER(A891)))"),"#DIV/0!")</f>
        <v>#DIV/0!</v>
      </c>
      <c r="H891" t="str">
        <f ca="1">IFERROR(__xludf.DUMMYFUNCTION("FILTER('Leveling Info'!$B$2:$B1000, 'Leveling Info'!$A$2:$A1000 =G891)"),"#N/A")</f>
        <v>#N/A</v>
      </c>
      <c r="I891" s="29" t="e">
        <f t="shared" ca="1" si="0"/>
        <v>#VALUE!</v>
      </c>
      <c r="J891" s="29" t="str">
        <f ca="1">IFERROR(__xludf.DUMMYFUNCTION("IF(F891 = H891,C891/FILTER('Base Stats'!$C$2:$C1000, LOWER('Base Stats'!$B$2:$B1000) = LOWER($A891)), """")"),"#N/A")</f>
        <v>#N/A</v>
      </c>
      <c r="K891" t="str">
        <f t="shared" ca="1" si="1"/>
        <v/>
      </c>
      <c r="L891" t="str">
        <f ca="1">IFERROR(__xludf.DUMMYFUNCTION("IF(AND(NOT(K891 = """"), G891 &gt;= 15),K891/FILTER('Base Stats'!$C$2:$C1000, LOWER('Base Stats'!$B$2:$B1000) = LOWER($A891)), """")"),"#N/A")</f>
        <v>#N/A</v>
      </c>
      <c r="M891" t="str">
        <f ca="1">IFERROR(__xludf.DUMMYFUNCTION("1.15 + 0.02 * FILTER('Base Stats'!$C$2:$C1000, LOWER('Base Stats'!$B$2:$B1000) = LOWER($A891))"),"1.15")</f>
        <v>1.15</v>
      </c>
      <c r="N891" t="s">
        <v>527</v>
      </c>
    </row>
    <row r="892" spans="1:14" ht="12.75" x14ac:dyDescent="0.2">
      <c r="A892">
        <f>'Form Responses (Pokemon Stats)'!B852</f>
        <v>0</v>
      </c>
      <c r="B892">
        <f>'Form Responses (Pokemon Stats)'!D852</f>
        <v>0</v>
      </c>
      <c r="C892">
        <f>'Form Responses (Pokemon Stats)'!C852</f>
        <v>0</v>
      </c>
      <c r="F892">
        <f>'Form Responses (Pokemon Stats)'!E852</f>
        <v>0</v>
      </c>
      <c r="G892" t="str">
        <f ca="1">IFERROR(__xludf.DUMMYFUNCTION("ROUND(B892/ FILTER('Pokemon CP/HP'!$M$2:$M1000, LOWER('Pokemon CP/HP'!$B$2:$B1000)=LOWER(A892)))"),"#DIV/0!")</f>
        <v>#DIV/0!</v>
      </c>
      <c r="H892" t="str">
        <f ca="1">IFERROR(__xludf.DUMMYFUNCTION("FILTER('Leveling Info'!$B$2:$B1000, 'Leveling Info'!$A$2:$A1000 =G892)"),"#N/A")</f>
        <v>#N/A</v>
      </c>
      <c r="I892" s="29" t="e">
        <f t="shared" ca="1" si="0"/>
        <v>#VALUE!</v>
      </c>
      <c r="J892" s="29" t="str">
        <f ca="1">IFERROR(__xludf.DUMMYFUNCTION("IF(F892 = H892,C892/FILTER('Base Stats'!$C$2:$C1000, LOWER('Base Stats'!$B$2:$B1000) = LOWER($A892)), """")"),"#N/A")</f>
        <v>#N/A</v>
      </c>
      <c r="K892" t="str">
        <f t="shared" ca="1" si="1"/>
        <v/>
      </c>
      <c r="L892" t="str">
        <f ca="1">IFERROR(__xludf.DUMMYFUNCTION("IF(AND(NOT(K892 = """"), G892 &gt;= 15),K892/FILTER('Base Stats'!$C$2:$C1000, LOWER('Base Stats'!$B$2:$B1000) = LOWER($A892)), """")"),"#N/A")</f>
        <v>#N/A</v>
      </c>
      <c r="M892" t="str">
        <f ca="1">IFERROR(__xludf.DUMMYFUNCTION("1.15 + 0.02 * FILTER('Base Stats'!$C$2:$C1000, LOWER('Base Stats'!$B$2:$B1000) = LOWER($A892))"),"1.15")</f>
        <v>1.15</v>
      </c>
      <c r="N892" t="s">
        <v>527</v>
      </c>
    </row>
    <row r="893" spans="1:14" ht="12.75" x14ac:dyDescent="0.2">
      <c r="A893">
        <f>'Form Responses (Pokemon Stats)'!B853</f>
        <v>0</v>
      </c>
      <c r="B893">
        <f>'Form Responses (Pokemon Stats)'!D853</f>
        <v>0</v>
      </c>
      <c r="C893">
        <f>'Form Responses (Pokemon Stats)'!C853</f>
        <v>0</v>
      </c>
      <c r="F893">
        <f>'Form Responses (Pokemon Stats)'!E853</f>
        <v>0</v>
      </c>
      <c r="G893" t="str">
        <f ca="1">IFERROR(__xludf.DUMMYFUNCTION("ROUND(B893/ FILTER('Pokemon CP/HP'!$M$2:$M1000, LOWER('Pokemon CP/HP'!$B$2:$B1000)=LOWER(A893)))"),"#DIV/0!")</f>
        <v>#DIV/0!</v>
      </c>
      <c r="H893" t="str">
        <f ca="1">IFERROR(__xludf.DUMMYFUNCTION("FILTER('Leveling Info'!$B$2:$B1000, 'Leveling Info'!$A$2:$A1000 =G893)"),"#N/A")</f>
        <v>#N/A</v>
      </c>
      <c r="I893" s="29" t="e">
        <f t="shared" ca="1" si="0"/>
        <v>#VALUE!</v>
      </c>
      <c r="J893" s="29" t="str">
        <f ca="1">IFERROR(__xludf.DUMMYFUNCTION("IF(F893 = H893,C893/FILTER('Base Stats'!$C$2:$C1000, LOWER('Base Stats'!$B$2:$B1000) = LOWER($A893)), """")"),"#N/A")</f>
        <v>#N/A</v>
      </c>
      <c r="K893" t="str">
        <f t="shared" ca="1" si="1"/>
        <v/>
      </c>
      <c r="L893" t="str">
        <f ca="1">IFERROR(__xludf.DUMMYFUNCTION("IF(AND(NOT(K893 = """"), G893 &gt;= 15),K893/FILTER('Base Stats'!$C$2:$C1000, LOWER('Base Stats'!$B$2:$B1000) = LOWER($A893)), """")"),"#N/A")</f>
        <v>#N/A</v>
      </c>
      <c r="M893" t="str">
        <f ca="1">IFERROR(__xludf.DUMMYFUNCTION("1.15 + 0.02 * FILTER('Base Stats'!$C$2:$C1000, LOWER('Base Stats'!$B$2:$B1000) = LOWER($A893))"),"1.15")</f>
        <v>1.15</v>
      </c>
      <c r="N893" t="s">
        <v>527</v>
      </c>
    </row>
    <row r="894" spans="1:14" ht="12.75" x14ac:dyDescent="0.2">
      <c r="A894">
        <f>'Form Responses (Pokemon Stats)'!B854</f>
        <v>0</v>
      </c>
      <c r="B894">
        <f>'Form Responses (Pokemon Stats)'!D854</f>
        <v>0</v>
      </c>
      <c r="C894">
        <f>'Form Responses (Pokemon Stats)'!C854</f>
        <v>0</v>
      </c>
      <c r="F894">
        <f>'Form Responses (Pokemon Stats)'!E854</f>
        <v>0</v>
      </c>
      <c r="G894" t="str">
        <f ca="1">IFERROR(__xludf.DUMMYFUNCTION("ROUND(B894/ FILTER('Pokemon CP/HP'!$M$2:$M1000, LOWER('Pokemon CP/HP'!$B$2:$B1000)=LOWER(A894)))"),"#DIV/0!")</f>
        <v>#DIV/0!</v>
      </c>
      <c r="H894" t="str">
        <f ca="1">IFERROR(__xludf.DUMMYFUNCTION("FILTER('Leveling Info'!$B$2:$B1000, 'Leveling Info'!$A$2:$A1000 =G894)"),"#N/A")</f>
        <v>#N/A</v>
      </c>
      <c r="I894" s="29" t="e">
        <f t="shared" ca="1" si="0"/>
        <v>#VALUE!</v>
      </c>
      <c r="J894" s="29" t="str">
        <f ca="1">IFERROR(__xludf.DUMMYFUNCTION("IF(F894 = H894,C894/FILTER('Base Stats'!$C$2:$C1000, LOWER('Base Stats'!$B$2:$B1000) = LOWER($A894)), """")"),"#N/A")</f>
        <v>#N/A</v>
      </c>
      <c r="K894" t="str">
        <f t="shared" ca="1" si="1"/>
        <v/>
      </c>
      <c r="L894" t="str">
        <f ca="1">IFERROR(__xludf.DUMMYFUNCTION("IF(AND(NOT(K894 = """"), G894 &gt;= 15),K894/FILTER('Base Stats'!$C$2:$C1000, LOWER('Base Stats'!$B$2:$B1000) = LOWER($A894)), """")"),"#N/A")</f>
        <v>#N/A</v>
      </c>
      <c r="M894" t="str">
        <f ca="1">IFERROR(__xludf.DUMMYFUNCTION("1.15 + 0.02 * FILTER('Base Stats'!$C$2:$C1000, LOWER('Base Stats'!$B$2:$B1000) = LOWER($A894))"),"1.15")</f>
        <v>1.15</v>
      </c>
      <c r="N894" t="s">
        <v>527</v>
      </c>
    </row>
    <row r="895" spans="1:14" ht="12.75" x14ac:dyDescent="0.2">
      <c r="A895">
        <f>'Form Responses (Pokemon Stats)'!B855</f>
        <v>0</v>
      </c>
      <c r="B895">
        <f>'Form Responses (Pokemon Stats)'!D855</f>
        <v>0</v>
      </c>
      <c r="C895">
        <f>'Form Responses (Pokemon Stats)'!C855</f>
        <v>0</v>
      </c>
      <c r="F895">
        <f>'Form Responses (Pokemon Stats)'!E855</f>
        <v>0</v>
      </c>
      <c r="G895" t="str">
        <f ca="1">IFERROR(__xludf.DUMMYFUNCTION("ROUND(B895/ FILTER('Pokemon CP/HP'!$M$2:$M1000, LOWER('Pokemon CP/HP'!$B$2:$B1000)=LOWER(A895)))"),"#DIV/0!")</f>
        <v>#DIV/0!</v>
      </c>
      <c r="H895" t="str">
        <f ca="1">IFERROR(__xludf.DUMMYFUNCTION("FILTER('Leveling Info'!$B$2:$B1000, 'Leveling Info'!$A$2:$A1000 =G895)"),"#N/A")</f>
        <v>#N/A</v>
      </c>
      <c r="I895" s="29" t="e">
        <f t="shared" ca="1" si="0"/>
        <v>#VALUE!</v>
      </c>
      <c r="J895" s="29" t="str">
        <f ca="1">IFERROR(__xludf.DUMMYFUNCTION("IF(F895 = H895,C895/FILTER('Base Stats'!$C$2:$C1000, LOWER('Base Stats'!$B$2:$B1000) = LOWER($A895)), """")"),"#N/A")</f>
        <v>#N/A</v>
      </c>
      <c r="K895" t="str">
        <f t="shared" ca="1" si="1"/>
        <v/>
      </c>
      <c r="L895" t="str">
        <f ca="1">IFERROR(__xludf.DUMMYFUNCTION("IF(AND(NOT(K895 = """"), G895 &gt;= 15),K895/FILTER('Base Stats'!$C$2:$C1000, LOWER('Base Stats'!$B$2:$B1000) = LOWER($A895)), """")"),"#N/A")</f>
        <v>#N/A</v>
      </c>
      <c r="M895" t="str">
        <f ca="1">IFERROR(__xludf.DUMMYFUNCTION("1.15 + 0.02 * FILTER('Base Stats'!$C$2:$C1000, LOWER('Base Stats'!$B$2:$B1000) = LOWER($A895))"),"1.15")</f>
        <v>1.15</v>
      </c>
      <c r="N895" t="s">
        <v>527</v>
      </c>
    </row>
    <row r="896" spans="1:14" ht="12.75" x14ac:dyDescent="0.2">
      <c r="A896">
        <f>'Form Responses (Pokemon Stats)'!B856</f>
        <v>0</v>
      </c>
      <c r="B896">
        <f>'Form Responses (Pokemon Stats)'!D856</f>
        <v>0</v>
      </c>
      <c r="C896">
        <f>'Form Responses (Pokemon Stats)'!C856</f>
        <v>0</v>
      </c>
      <c r="F896">
        <f>'Form Responses (Pokemon Stats)'!E856</f>
        <v>0</v>
      </c>
      <c r="G896" t="str">
        <f ca="1">IFERROR(__xludf.DUMMYFUNCTION("ROUND(B896/ FILTER('Pokemon CP/HP'!$M$2:$M1000, LOWER('Pokemon CP/HP'!$B$2:$B1000)=LOWER(A896)))"),"#DIV/0!")</f>
        <v>#DIV/0!</v>
      </c>
      <c r="H896" t="str">
        <f ca="1">IFERROR(__xludf.DUMMYFUNCTION("FILTER('Leveling Info'!$B$2:$B1000, 'Leveling Info'!$A$2:$A1000 =G896)"),"#N/A")</f>
        <v>#N/A</v>
      </c>
      <c r="I896" s="29" t="e">
        <f t="shared" ca="1" si="0"/>
        <v>#VALUE!</v>
      </c>
      <c r="J896" s="29" t="str">
        <f ca="1">IFERROR(__xludf.DUMMYFUNCTION("IF(F896 = H896,C896/FILTER('Base Stats'!$C$2:$C1000, LOWER('Base Stats'!$B$2:$B1000) = LOWER($A896)), """")"),"#N/A")</f>
        <v>#N/A</v>
      </c>
      <c r="K896" t="str">
        <f t="shared" ca="1" si="1"/>
        <v/>
      </c>
      <c r="L896" t="str">
        <f ca="1">IFERROR(__xludf.DUMMYFUNCTION("IF(AND(NOT(K896 = """"), G896 &gt;= 15),K896/FILTER('Base Stats'!$C$2:$C1000, LOWER('Base Stats'!$B$2:$B1000) = LOWER($A896)), """")"),"#N/A")</f>
        <v>#N/A</v>
      </c>
      <c r="M896" t="str">
        <f ca="1">IFERROR(__xludf.DUMMYFUNCTION("1.15 + 0.02 * FILTER('Base Stats'!$C$2:$C1000, LOWER('Base Stats'!$B$2:$B1000) = LOWER($A896))"),"1.15")</f>
        <v>1.15</v>
      </c>
      <c r="N896" t="s">
        <v>527</v>
      </c>
    </row>
    <row r="897" spans="1:14" ht="12.75" x14ac:dyDescent="0.2">
      <c r="A897">
        <f>'Form Responses (Pokemon Stats)'!B857</f>
        <v>0</v>
      </c>
      <c r="B897">
        <f>'Form Responses (Pokemon Stats)'!D857</f>
        <v>0</v>
      </c>
      <c r="C897">
        <f>'Form Responses (Pokemon Stats)'!C857</f>
        <v>0</v>
      </c>
      <c r="F897">
        <f>'Form Responses (Pokemon Stats)'!E857</f>
        <v>0</v>
      </c>
      <c r="G897" t="str">
        <f ca="1">IFERROR(__xludf.DUMMYFUNCTION("ROUND(B897/ FILTER('Pokemon CP/HP'!$M$2:$M1000, LOWER('Pokemon CP/HP'!$B$2:$B1000)=LOWER(A897)))"),"#DIV/0!")</f>
        <v>#DIV/0!</v>
      </c>
      <c r="H897" t="str">
        <f ca="1">IFERROR(__xludf.DUMMYFUNCTION("FILTER('Leveling Info'!$B$2:$B1000, 'Leveling Info'!$A$2:$A1000 =G897)"),"#N/A")</f>
        <v>#N/A</v>
      </c>
      <c r="I897" s="29" t="e">
        <f t="shared" ca="1" si="0"/>
        <v>#VALUE!</v>
      </c>
      <c r="J897" s="29" t="str">
        <f ca="1">IFERROR(__xludf.DUMMYFUNCTION("IF(F897 = H897,C897/FILTER('Base Stats'!$C$2:$C1000, LOWER('Base Stats'!$B$2:$B1000) = LOWER($A897)), """")"),"#N/A")</f>
        <v>#N/A</v>
      </c>
      <c r="K897" t="str">
        <f t="shared" ca="1" si="1"/>
        <v/>
      </c>
      <c r="L897" t="str">
        <f ca="1">IFERROR(__xludf.DUMMYFUNCTION("IF(AND(NOT(K897 = """"), G897 &gt;= 15),K897/FILTER('Base Stats'!$C$2:$C1000, LOWER('Base Stats'!$B$2:$B1000) = LOWER($A897)), """")"),"#N/A")</f>
        <v>#N/A</v>
      </c>
      <c r="M897" t="str">
        <f ca="1">IFERROR(__xludf.DUMMYFUNCTION("1.15 + 0.02 * FILTER('Base Stats'!$C$2:$C1000, LOWER('Base Stats'!$B$2:$B1000) = LOWER($A897))"),"1.15")</f>
        <v>1.15</v>
      </c>
      <c r="N897" t="s">
        <v>527</v>
      </c>
    </row>
    <row r="898" spans="1:14" ht="12.75" x14ac:dyDescent="0.2">
      <c r="A898">
        <f>'Form Responses (Pokemon Stats)'!B858</f>
        <v>0</v>
      </c>
      <c r="B898">
        <f>'Form Responses (Pokemon Stats)'!D858</f>
        <v>0</v>
      </c>
      <c r="C898">
        <f>'Form Responses (Pokemon Stats)'!C858</f>
        <v>0</v>
      </c>
      <c r="F898">
        <f>'Form Responses (Pokemon Stats)'!E858</f>
        <v>0</v>
      </c>
      <c r="G898" t="str">
        <f ca="1">IFERROR(__xludf.DUMMYFUNCTION("ROUND(B898/ FILTER('Pokemon CP/HP'!$M$2:$M1000, LOWER('Pokemon CP/HP'!$B$2:$B1000)=LOWER(A898)))"),"#DIV/0!")</f>
        <v>#DIV/0!</v>
      </c>
      <c r="H898" t="str">
        <f ca="1">IFERROR(__xludf.DUMMYFUNCTION("FILTER('Leveling Info'!$B$2:$B1000, 'Leveling Info'!$A$2:$A1000 =G898)"),"#N/A")</f>
        <v>#N/A</v>
      </c>
      <c r="I898" s="29" t="e">
        <f t="shared" ca="1" si="0"/>
        <v>#VALUE!</v>
      </c>
      <c r="J898" s="29" t="str">
        <f ca="1">IFERROR(__xludf.DUMMYFUNCTION("IF(F898 = H898,C898/FILTER('Base Stats'!$C$2:$C1000, LOWER('Base Stats'!$B$2:$B1000) = LOWER($A898)), """")"),"#N/A")</f>
        <v>#N/A</v>
      </c>
      <c r="K898" t="str">
        <f t="shared" ca="1" si="1"/>
        <v/>
      </c>
      <c r="L898" t="str">
        <f ca="1">IFERROR(__xludf.DUMMYFUNCTION("IF(AND(NOT(K898 = """"), G898 &gt;= 15),K898/FILTER('Base Stats'!$C$2:$C1000, LOWER('Base Stats'!$B$2:$B1000) = LOWER($A898)), """")"),"#N/A")</f>
        <v>#N/A</v>
      </c>
      <c r="M898" t="str">
        <f ca="1">IFERROR(__xludf.DUMMYFUNCTION("1.15 + 0.02 * FILTER('Base Stats'!$C$2:$C1000, LOWER('Base Stats'!$B$2:$B1000) = LOWER($A898))"),"1.15")</f>
        <v>1.15</v>
      </c>
      <c r="N898" t="s">
        <v>527</v>
      </c>
    </row>
    <row r="899" spans="1:14" ht="12.75" x14ac:dyDescent="0.2">
      <c r="A899">
        <f>'Form Responses (Pokemon Stats)'!B859</f>
        <v>0</v>
      </c>
      <c r="B899">
        <f>'Form Responses (Pokemon Stats)'!D859</f>
        <v>0</v>
      </c>
      <c r="C899">
        <f>'Form Responses (Pokemon Stats)'!C859</f>
        <v>0</v>
      </c>
      <c r="F899">
        <f>'Form Responses (Pokemon Stats)'!E859</f>
        <v>0</v>
      </c>
      <c r="G899" t="str">
        <f ca="1">IFERROR(__xludf.DUMMYFUNCTION("ROUND(B899/ FILTER('Pokemon CP/HP'!$M$2:$M1000, LOWER('Pokemon CP/HP'!$B$2:$B1000)=LOWER(A899)))"),"#DIV/0!")</f>
        <v>#DIV/0!</v>
      </c>
      <c r="H899" t="str">
        <f ca="1">IFERROR(__xludf.DUMMYFUNCTION("FILTER('Leveling Info'!$B$2:$B1000, 'Leveling Info'!$A$2:$A1000 =G899)"),"#N/A")</f>
        <v>#N/A</v>
      </c>
      <c r="I899" s="29" t="e">
        <f t="shared" ca="1" si="0"/>
        <v>#VALUE!</v>
      </c>
      <c r="J899" s="29" t="str">
        <f ca="1">IFERROR(__xludf.DUMMYFUNCTION("IF(F899 = H899,C899/FILTER('Base Stats'!$C$2:$C1000, LOWER('Base Stats'!$B$2:$B1000) = LOWER($A899)), """")"),"#N/A")</f>
        <v>#N/A</v>
      </c>
      <c r="K899" t="str">
        <f t="shared" ca="1" si="1"/>
        <v/>
      </c>
      <c r="L899" t="str">
        <f ca="1">IFERROR(__xludf.DUMMYFUNCTION("IF(AND(NOT(K899 = """"), G899 &gt;= 15),K899/FILTER('Base Stats'!$C$2:$C1000, LOWER('Base Stats'!$B$2:$B1000) = LOWER($A899)), """")"),"#N/A")</f>
        <v>#N/A</v>
      </c>
      <c r="M899" t="str">
        <f ca="1">IFERROR(__xludf.DUMMYFUNCTION("1.15 + 0.02 * FILTER('Base Stats'!$C$2:$C1000, LOWER('Base Stats'!$B$2:$B1000) = LOWER($A899))"),"1.15")</f>
        <v>1.15</v>
      </c>
      <c r="N899" t="s">
        <v>527</v>
      </c>
    </row>
    <row r="900" spans="1:14" ht="12.75" x14ac:dyDescent="0.2">
      <c r="A900">
        <f>'Form Responses (Pokemon Stats)'!B860</f>
        <v>0</v>
      </c>
      <c r="B900">
        <f>'Form Responses (Pokemon Stats)'!D860</f>
        <v>0</v>
      </c>
      <c r="C900">
        <f>'Form Responses (Pokemon Stats)'!C860</f>
        <v>0</v>
      </c>
      <c r="F900">
        <f>'Form Responses (Pokemon Stats)'!E860</f>
        <v>0</v>
      </c>
      <c r="G900" t="str">
        <f ca="1">IFERROR(__xludf.DUMMYFUNCTION("ROUND(B900/ FILTER('Pokemon CP/HP'!$M$2:$M1000, LOWER('Pokemon CP/HP'!$B$2:$B1000)=LOWER(A900)))"),"#DIV/0!")</f>
        <v>#DIV/0!</v>
      </c>
      <c r="H900" t="str">
        <f ca="1">IFERROR(__xludf.DUMMYFUNCTION("FILTER('Leveling Info'!$B$2:$B1000, 'Leveling Info'!$A$2:$A1000 =G900)"),"#N/A")</f>
        <v>#N/A</v>
      </c>
      <c r="I900" s="29" t="e">
        <f t="shared" ca="1" si="0"/>
        <v>#VALUE!</v>
      </c>
      <c r="J900" s="29" t="str">
        <f ca="1">IFERROR(__xludf.DUMMYFUNCTION("IF(F900 = H900,C900/FILTER('Base Stats'!$C$2:$C1000, LOWER('Base Stats'!$B$2:$B1000) = LOWER($A900)), """")"),"#N/A")</f>
        <v>#N/A</v>
      </c>
      <c r="K900" t="str">
        <f t="shared" ca="1" si="1"/>
        <v/>
      </c>
      <c r="L900" t="str">
        <f ca="1">IFERROR(__xludf.DUMMYFUNCTION("IF(AND(NOT(K900 = """"), G900 &gt;= 15),K900/FILTER('Base Stats'!$C$2:$C1000, LOWER('Base Stats'!$B$2:$B1000) = LOWER($A900)), """")"),"#N/A")</f>
        <v>#N/A</v>
      </c>
      <c r="M900" t="str">
        <f ca="1">IFERROR(__xludf.DUMMYFUNCTION("1.15 + 0.02 * FILTER('Base Stats'!$C$2:$C1000, LOWER('Base Stats'!$B$2:$B1000) = LOWER($A900))"),"1.15")</f>
        <v>1.15</v>
      </c>
      <c r="N900" t="s">
        <v>527</v>
      </c>
    </row>
    <row r="901" spans="1:14" ht="12.75" x14ac:dyDescent="0.2">
      <c r="A901">
        <f>'Form Responses (Pokemon Stats)'!B861</f>
        <v>0</v>
      </c>
      <c r="B901">
        <f>'Form Responses (Pokemon Stats)'!D861</f>
        <v>0</v>
      </c>
      <c r="C901">
        <f>'Form Responses (Pokemon Stats)'!C861</f>
        <v>0</v>
      </c>
      <c r="F901">
        <f>'Form Responses (Pokemon Stats)'!E861</f>
        <v>0</v>
      </c>
      <c r="G901" t="str">
        <f ca="1">IFERROR(__xludf.DUMMYFUNCTION("ROUND(B901/ FILTER('Pokemon CP/HP'!$M$2:$M1000, LOWER('Pokemon CP/HP'!$B$2:$B1000)=LOWER(A901)))"),"#DIV/0!")</f>
        <v>#DIV/0!</v>
      </c>
      <c r="H901" t="str">
        <f ca="1">IFERROR(__xludf.DUMMYFUNCTION("FILTER('Leveling Info'!$B$2:$B1000, 'Leveling Info'!$A$2:$A1000 =G901)"),"#N/A")</f>
        <v>#N/A</v>
      </c>
      <c r="I901" s="29" t="e">
        <f t="shared" ca="1" si="0"/>
        <v>#VALUE!</v>
      </c>
      <c r="J901" s="29" t="str">
        <f ca="1">IFERROR(__xludf.DUMMYFUNCTION("IF(F901 = H901,C901/FILTER('Base Stats'!$C$2:$C1000, LOWER('Base Stats'!$B$2:$B1000) = LOWER($A901)), """")"),"#N/A")</f>
        <v>#N/A</v>
      </c>
      <c r="K901" t="str">
        <f t="shared" ca="1" si="1"/>
        <v/>
      </c>
      <c r="L901" t="str">
        <f ca="1">IFERROR(__xludf.DUMMYFUNCTION("IF(AND(NOT(K901 = """"), G901 &gt;= 15),K901/FILTER('Base Stats'!$C$2:$C1000, LOWER('Base Stats'!$B$2:$B1000) = LOWER($A901)), """")"),"#N/A")</f>
        <v>#N/A</v>
      </c>
      <c r="M901" t="str">
        <f ca="1">IFERROR(__xludf.DUMMYFUNCTION("1.15 + 0.02 * FILTER('Base Stats'!$C$2:$C1000, LOWER('Base Stats'!$B$2:$B1000) = LOWER($A901))"),"1.15")</f>
        <v>1.15</v>
      </c>
      <c r="N901" t="s">
        <v>527</v>
      </c>
    </row>
    <row r="902" spans="1:14" ht="12.75" x14ac:dyDescent="0.2">
      <c r="A902">
        <f>'Form Responses (Pokemon Stats)'!B862</f>
        <v>0</v>
      </c>
      <c r="B902">
        <f>'Form Responses (Pokemon Stats)'!D862</f>
        <v>0</v>
      </c>
      <c r="C902">
        <f>'Form Responses (Pokemon Stats)'!C862</f>
        <v>0</v>
      </c>
      <c r="F902">
        <f>'Form Responses (Pokemon Stats)'!E862</f>
        <v>0</v>
      </c>
      <c r="G902" t="str">
        <f ca="1">IFERROR(__xludf.DUMMYFUNCTION("ROUND(B902/ FILTER('Pokemon CP/HP'!$M$2:$M1000, LOWER('Pokemon CP/HP'!$B$2:$B1000)=LOWER(A902)))"),"#DIV/0!")</f>
        <v>#DIV/0!</v>
      </c>
      <c r="H902" t="str">
        <f ca="1">IFERROR(__xludf.DUMMYFUNCTION("FILTER('Leveling Info'!$B$2:$B1000, 'Leveling Info'!$A$2:$A1000 =G902)"),"#N/A")</f>
        <v>#N/A</v>
      </c>
      <c r="I902" s="29" t="e">
        <f t="shared" ca="1" si="0"/>
        <v>#VALUE!</v>
      </c>
      <c r="J902" s="29" t="str">
        <f ca="1">IFERROR(__xludf.DUMMYFUNCTION("IF(F902 = H902,C902/FILTER('Base Stats'!$C$2:$C1000, LOWER('Base Stats'!$B$2:$B1000) = LOWER($A902)), """")"),"#N/A")</f>
        <v>#N/A</v>
      </c>
      <c r="K902" t="str">
        <f t="shared" ca="1" si="1"/>
        <v/>
      </c>
      <c r="L902" t="str">
        <f ca="1">IFERROR(__xludf.DUMMYFUNCTION("IF(AND(NOT(K902 = """"), G902 &gt;= 15),K902/FILTER('Base Stats'!$C$2:$C1000, LOWER('Base Stats'!$B$2:$B1000) = LOWER($A902)), """")"),"#N/A")</f>
        <v>#N/A</v>
      </c>
      <c r="M902" t="str">
        <f ca="1">IFERROR(__xludf.DUMMYFUNCTION("1.15 + 0.02 * FILTER('Base Stats'!$C$2:$C1000, LOWER('Base Stats'!$B$2:$B1000) = LOWER($A902))"),"1.15")</f>
        <v>1.15</v>
      </c>
      <c r="N902" t="s">
        <v>527</v>
      </c>
    </row>
    <row r="903" spans="1:14" ht="12.75" x14ac:dyDescent="0.2">
      <c r="A903">
        <f>'Form Responses (Pokemon Stats)'!B863</f>
        <v>0</v>
      </c>
      <c r="B903">
        <f>'Form Responses (Pokemon Stats)'!D863</f>
        <v>0</v>
      </c>
      <c r="C903">
        <f>'Form Responses (Pokemon Stats)'!C863</f>
        <v>0</v>
      </c>
      <c r="F903">
        <f>'Form Responses (Pokemon Stats)'!E863</f>
        <v>0</v>
      </c>
      <c r="G903" t="str">
        <f ca="1">IFERROR(__xludf.DUMMYFUNCTION("ROUND(B903/ FILTER('Pokemon CP/HP'!$M$2:$M1000, LOWER('Pokemon CP/HP'!$B$2:$B1000)=LOWER(A903)))"),"#DIV/0!")</f>
        <v>#DIV/0!</v>
      </c>
      <c r="H903" t="str">
        <f ca="1">IFERROR(__xludf.DUMMYFUNCTION("FILTER('Leveling Info'!$B$2:$B1000, 'Leveling Info'!$A$2:$A1000 =G903)"),"#N/A")</f>
        <v>#N/A</v>
      </c>
      <c r="I903" s="29" t="e">
        <f t="shared" ca="1" si="0"/>
        <v>#VALUE!</v>
      </c>
      <c r="J903" s="29" t="str">
        <f ca="1">IFERROR(__xludf.DUMMYFUNCTION("IF(F903 = H903,C903/FILTER('Base Stats'!$C$2:$C1000, LOWER('Base Stats'!$B$2:$B1000) = LOWER($A903)), """")"),"#N/A")</f>
        <v>#N/A</v>
      </c>
      <c r="K903" t="str">
        <f t="shared" ca="1" si="1"/>
        <v/>
      </c>
      <c r="L903" t="str">
        <f ca="1">IFERROR(__xludf.DUMMYFUNCTION("IF(AND(NOT(K903 = """"), G903 &gt;= 15),K903/FILTER('Base Stats'!$C$2:$C1000, LOWER('Base Stats'!$B$2:$B1000) = LOWER($A903)), """")"),"#N/A")</f>
        <v>#N/A</v>
      </c>
      <c r="M903" t="str">
        <f ca="1">IFERROR(__xludf.DUMMYFUNCTION("1.15 + 0.02 * FILTER('Base Stats'!$C$2:$C1000, LOWER('Base Stats'!$B$2:$B1000) = LOWER($A903))"),"1.15")</f>
        <v>1.15</v>
      </c>
      <c r="N903" t="s">
        <v>527</v>
      </c>
    </row>
    <row r="904" spans="1:14" ht="12.75" x14ac:dyDescent="0.2">
      <c r="A904">
        <f>'Form Responses (Pokemon Stats)'!B864</f>
        <v>0</v>
      </c>
      <c r="B904">
        <f>'Form Responses (Pokemon Stats)'!D864</f>
        <v>0</v>
      </c>
      <c r="C904">
        <f>'Form Responses (Pokemon Stats)'!C864</f>
        <v>0</v>
      </c>
      <c r="F904">
        <f>'Form Responses (Pokemon Stats)'!E864</f>
        <v>0</v>
      </c>
      <c r="G904" t="str">
        <f ca="1">IFERROR(__xludf.DUMMYFUNCTION("ROUND(B904/ FILTER('Pokemon CP/HP'!$M$2:$M1000, LOWER('Pokemon CP/HP'!$B$2:$B1000)=LOWER(A904)))"),"#DIV/0!")</f>
        <v>#DIV/0!</v>
      </c>
      <c r="H904" t="str">
        <f ca="1">IFERROR(__xludf.DUMMYFUNCTION("FILTER('Leveling Info'!$B$2:$B1000, 'Leveling Info'!$A$2:$A1000 =G904)"),"#N/A")</f>
        <v>#N/A</v>
      </c>
      <c r="I904" s="29" t="e">
        <f t="shared" ca="1" si="0"/>
        <v>#VALUE!</v>
      </c>
      <c r="J904" s="29" t="str">
        <f ca="1">IFERROR(__xludf.DUMMYFUNCTION("IF(F904 = H904,C904/FILTER('Base Stats'!$C$2:$C1000, LOWER('Base Stats'!$B$2:$B1000) = LOWER($A904)), """")"),"#N/A")</f>
        <v>#N/A</v>
      </c>
      <c r="K904" t="str">
        <f t="shared" ca="1" si="1"/>
        <v/>
      </c>
      <c r="L904" t="str">
        <f ca="1">IFERROR(__xludf.DUMMYFUNCTION("IF(AND(NOT(K904 = """"), G904 &gt;= 15),K904/FILTER('Base Stats'!$C$2:$C1000, LOWER('Base Stats'!$B$2:$B1000) = LOWER($A904)), """")"),"#N/A")</f>
        <v>#N/A</v>
      </c>
      <c r="M904" t="str">
        <f ca="1">IFERROR(__xludf.DUMMYFUNCTION("1.15 + 0.02 * FILTER('Base Stats'!$C$2:$C1000, LOWER('Base Stats'!$B$2:$B1000) = LOWER($A904))"),"1.15")</f>
        <v>1.15</v>
      </c>
      <c r="N904" t="s">
        <v>527</v>
      </c>
    </row>
    <row r="905" spans="1:14" ht="12.75" x14ac:dyDescent="0.2">
      <c r="A905">
        <f>'Form Responses (Pokemon Stats)'!B865</f>
        <v>0</v>
      </c>
      <c r="B905">
        <f>'Form Responses (Pokemon Stats)'!D865</f>
        <v>0</v>
      </c>
      <c r="C905">
        <f>'Form Responses (Pokemon Stats)'!C865</f>
        <v>0</v>
      </c>
      <c r="F905">
        <f>'Form Responses (Pokemon Stats)'!E865</f>
        <v>0</v>
      </c>
      <c r="G905" t="str">
        <f ca="1">IFERROR(__xludf.DUMMYFUNCTION("ROUND(B905/ FILTER('Pokemon CP/HP'!$M$2:$M1000, LOWER('Pokemon CP/HP'!$B$2:$B1000)=LOWER(A905)))"),"#DIV/0!")</f>
        <v>#DIV/0!</v>
      </c>
      <c r="H905" t="str">
        <f ca="1">IFERROR(__xludf.DUMMYFUNCTION("FILTER('Leveling Info'!$B$2:$B1000, 'Leveling Info'!$A$2:$A1000 =G905)"),"#N/A")</f>
        <v>#N/A</v>
      </c>
      <c r="I905" s="29" t="e">
        <f t="shared" ca="1" si="0"/>
        <v>#VALUE!</v>
      </c>
      <c r="J905" s="29" t="str">
        <f ca="1">IFERROR(__xludf.DUMMYFUNCTION("IF(F905 = H905,C905/FILTER('Base Stats'!$C$2:$C1000, LOWER('Base Stats'!$B$2:$B1000) = LOWER($A905)), """")"),"#N/A")</f>
        <v>#N/A</v>
      </c>
      <c r="K905" t="str">
        <f t="shared" ca="1" si="1"/>
        <v/>
      </c>
      <c r="L905" t="str">
        <f ca="1">IFERROR(__xludf.DUMMYFUNCTION("IF(AND(NOT(K905 = """"), G905 &gt;= 15),K905/FILTER('Base Stats'!$C$2:$C1000, LOWER('Base Stats'!$B$2:$B1000) = LOWER($A905)), """")"),"#N/A")</f>
        <v>#N/A</v>
      </c>
      <c r="M905" t="str">
        <f ca="1">IFERROR(__xludf.DUMMYFUNCTION("1.15 + 0.02 * FILTER('Base Stats'!$C$2:$C1000, LOWER('Base Stats'!$B$2:$B1000) = LOWER($A905))"),"1.15")</f>
        <v>1.15</v>
      </c>
      <c r="N905" t="s">
        <v>527</v>
      </c>
    </row>
    <row r="906" spans="1:14" ht="12.75" x14ac:dyDescent="0.2">
      <c r="A906">
        <f>'Form Responses (Pokemon Stats)'!B866</f>
        <v>0</v>
      </c>
      <c r="B906">
        <f>'Form Responses (Pokemon Stats)'!D866</f>
        <v>0</v>
      </c>
      <c r="C906">
        <f>'Form Responses (Pokemon Stats)'!C866</f>
        <v>0</v>
      </c>
      <c r="F906">
        <f>'Form Responses (Pokemon Stats)'!E866</f>
        <v>0</v>
      </c>
      <c r="G906" t="str">
        <f ca="1">IFERROR(__xludf.DUMMYFUNCTION("ROUND(B906/ FILTER('Pokemon CP/HP'!$M$2:$M1000, LOWER('Pokemon CP/HP'!$B$2:$B1000)=LOWER(A906)))"),"#DIV/0!")</f>
        <v>#DIV/0!</v>
      </c>
      <c r="H906" t="str">
        <f ca="1">IFERROR(__xludf.DUMMYFUNCTION("FILTER('Leveling Info'!$B$2:$B1000, 'Leveling Info'!$A$2:$A1000 =G906)"),"#N/A")</f>
        <v>#N/A</v>
      </c>
      <c r="I906" s="29" t="e">
        <f t="shared" ca="1" si="0"/>
        <v>#VALUE!</v>
      </c>
      <c r="J906" s="29" t="str">
        <f ca="1">IFERROR(__xludf.DUMMYFUNCTION("IF(F906 = H906,C906/FILTER('Base Stats'!$C$2:$C1000, LOWER('Base Stats'!$B$2:$B1000) = LOWER($A906)), """")"),"#N/A")</f>
        <v>#N/A</v>
      </c>
      <c r="K906" t="str">
        <f t="shared" ca="1" si="1"/>
        <v/>
      </c>
      <c r="L906" t="str">
        <f ca="1">IFERROR(__xludf.DUMMYFUNCTION("IF(AND(NOT(K906 = """"), G906 &gt;= 15),K906/FILTER('Base Stats'!$C$2:$C1000, LOWER('Base Stats'!$B$2:$B1000) = LOWER($A906)), """")"),"#N/A")</f>
        <v>#N/A</v>
      </c>
      <c r="M906" t="str">
        <f ca="1">IFERROR(__xludf.DUMMYFUNCTION("1.15 + 0.02 * FILTER('Base Stats'!$C$2:$C1000, LOWER('Base Stats'!$B$2:$B1000) = LOWER($A906))"),"1.15")</f>
        <v>1.15</v>
      </c>
      <c r="N906" t="s">
        <v>527</v>
      </c>
    </row>
    <row r="907" spans="1:14" ht="12.75" x14ac:dyDescent="0.2">
      <c r="A907">
        <f>'Form Responses (Pokemon Stats)'!B867</f>
        <v>0</v>
      </c>
      <c r="B907">
        <f>'Form Responses (Pokemon Stats)'!D867</f>
        <v>0</v>
      </c>
      <c r="C907">
        <f>'Form Responses (Pokemon Stats)'!C867</f>
        <v>0</v>
      </c>
      <c r="F907">
        <f>'Form Responses (Pokemon Stats)'!E867</f>
        <v>0</v>
      </c>
      <c r="G907" t="str">
        <f ca="1">IFERROR(__xludf.DUMMYFUNCTION("ROUND(B907/ FILTER('Pokemon CP/HP'!$M$2:$M1000, LOWER('Pokemon CP/HP'!$B$2:$B1000)=LOWER(A907)))"),"#DIV/0!")</f>
        <v>#DIV/0!</v>
      </c>
      <c r="H907" t="str">
        <f ca="1">IFERROR(__xludf.DUMMYFUNCTION("FILTER('Leveling Info'!$B$2:$B1000, 'Leveling Info'!$A$2:$A1000 =G907)"),"#N/A")</f>
        <v>#N/A</v>
      </c>
      <c r="I907" s="29" t="e">
        <f t="shared" ca="1" si="0"/>
        <v>#VALUE!</v>
      </c>
      <c r="J907" s="29" t="str">
        <f ca="1">IFERROR(__xludf.DUMMYFUNCTION("IF(F907 = H907,C907/FILTER('Base Stats'!$C$2:$C1000, LOWER('Base Stats'!$B$2:$B1000) = LOWER($A907)), """")"),"#N/A")</f>
        <v>#N/A</v>
      </c>
      <c r="K907" t="str">
        <f t="shared" ca="1" si="1"/>
        <v/>
      </c>
      <c r="L907" t="str">
        <f ca="1">IFERROR(__xludf.DUMMYFUNCTION("IF(AND(NOT(K907 = """"), G907 &gt;= 15),K907/FILTER('Base Stats'!$C$2:$C1000, LOWER('Base Stats'!$B$2:$B1000) = LOWER($A907)), """")"),"#N/A")</f>
        <v>#N/A</v>
      </c>
      <c r="M907" t="str">
        <f ca="1">IFERROR(__xludf.DUMMYFUNCTION("1.15 + 0.02 * FILTER('Base Stats'!$C$2:$C1000, LOWER('Base Stats'!$B$2:$B1000) = LOWER($A907))"),"1.15")</f>
        <v>1.15</v>
      </c>
      <c r="N907" t="s">
        <v>527</v>
      </c>
    </row>
    <row r="908" spans="1:14" ht="12.75" x14ac:dyDescent="0.2">
      <c r="A908">
        <f>'Form Responses (Pokemon Stats)'!B868</f>
        <v>0</v>
      </c>
      <c r="B908">
        <f>'Form Responses (Pokemon Stats)'!D868</f>
        <v>0</v>
      </c>
      <c r="C908">
        <f>'Form Responses (Pokemon Stats)'!C868</f>
        <v>0</v>
      </c>
      <c r="F908">
        <f>'Form Responses (Pokemon Stats)'!E868</f>
        <v>0</v>
      </c>
      <c r="G908" t="str">
        <f ca="1">IFERROR(__xludf.DUMMYFUNCTION("ROUND(B908/ FILTER('Pokemon CP/HP'!$M$2:$M1000, LOWER('Pokemon CP/HP'!$B$2:$B1000)=LOWER(A908)))"),"#DIV/0!")</f>
        <v>#DIV/0!</v>
      </c>
      <c r="H908" t="str">
        <f ca="1">IFERROR(__xludf.DUMMYFUNCTION("FILTER('Leveling Info'!$B$2:$B1000, 'Leveling Info'!$A$2:$A1000 =G908)"),"#N/A")</f>
        <v>#N/A</v>
      </c>
      <c r="I908" s="29" t="e">
        <f t="shared" ca="1" si="0"/>
        <v>#VALUE!</v>
      </c>
      <c r="J908" s="29" t="str">
        <f ca="1">IFERROR(__xludf.DUMMYFUNCTION("IF(F908 = H908,C908/FILTER('Base Stats'!$C$2:$C1000, LOWER('Base Stats'!$B$2:$B1000) = LOWER($A908)), """")"),"#N/A")</f>
        <v>#N/A</v>
      </c>
      <c r="K908" t="str">
        <f t="shared" ca="1" si="1"/>
        <v/>
      </c>
      <c r="L908" t="str">
        <f ca="1">IFERROR(__xludf.DUMMYFUNCTION("IF(AND(NOT(K908 = """"), G908 &gt;= 15),K908/FILTER('Base Stats'!$C$2:$C1000, LOWER('Base Stats'!$B$2:$B1000) = LOWER($A908)), """")"),"#N/A")</f>
        <v>#N/A</v>
      </c>
      <c r="M908" t="str">
        <f ca="1">IFERROR(__xludf.DUMMYFUNCTION("1.15 + 0.02 * FILTER('Base Stats'!$C$2:$C1000, LOWER('Base Stats'!$B$2:$B1000) = LOWER($A908))"),"1.15")</f>
        <v>1.15</v>
      </c>
      <c r="N908" t="s">
        <v>527</v>
      </c>
    </row>
    <row r="909" spans="1:14" ht="12.75" x14ac:dyDescent="0.2">
      <c r="A909">
        <f>'Form Responses (Pokemon Stats)'!B869</f>
        <v>0</v>
      </c>
      <c r="B909">
        <f>'Form Responses (Pokemon Stats)'!D869</f>
        <v>0</v>
      </c>
      <c r="C909">
        <f>'Form Responses (Pokemon Stats)'!C869</f>
        <v>0</v>
      </c>
      <c r="F909">
        <f>'Form Responses (Pokemon Stats)'!E869</f>
        <v>0</v>
      </c>
      <c r="G909" t="str">
        <f ca="1">IFERROR(__xludf.DUMMYFUNCTION("ROUND(B909/ FILTER('Pokemon CP/HP'!$M$2:$M1000, LOWER('Pokemon CP/HP'!$B$2:$B1000)=LOWER(A909)))"),"#DIV/0!")</f>
        <v>#DIV/0!</v>
      </c>
      <c r="H909" t="str">
        <f ca="1">IFERROR(__xludf.DUMMYFUNCTION("FILTER('Leveling Info'!$B$2:$B1000, 'Leveling Info'!$A$2:$A1000 =G909)"),"#N/A")</f>
        <v>#N/A</v>
      </c>
      <c r="I909" s="29" t="e">
        <f t="shared" ca="1" si="0"/>
        <v>#VALUE!</v>
      </c>
      <c r="J909" s="29" t="str">
        <f ca="1">IFERROR(__xludf.DUMMYFUNCTION("IF(F909 = H909,C909/FILTER('Base Stats'!$C$2:$C1000, LOWER('Base Stats'!$B$2:$B1000) = LOWER($A909)), """")"),"#N/A")</f>
        <v>#N/A</v>
      </c>
      <c r="K909" t="str">
        <f t="shared" ca="1" si="1"/>
        <v/>
      </c>
      <c r="L909" t="str">
        <f ca="1">IFERROR(__xludf.DUMMYFUNCTION("IF(AND(NOT(K909 = """"), G909 &gt;= 15),K909/FILTER('Base Stats'!$C$2:$C1000, LOWER('Base Stats'!$B$2:$B1000) = LOWER($A909)), """")"),"#N/A")</f>
        <v>#N/A</v>
      </c>
      <c r="M909" t="str">
        <f ca="1">IFERROR(__xludf.DUMMYFUNCTION("1.15 + 0.02 * FILTER('Base Stats'!$C$2:$C1000, LOWER('Base Stats'!$B$2:$B1000) = LOWER($A909))"),"1.15")</f>
        <v>1.15</v>
      </c>
      <c r="N909" t="s">
        <v>527</v>
      </c>
    </row>
    <row r="910" spans="1:14" ht="12.75" x14ac:dyDescent="0.2">
      <c r="A910">
        <f>'Form Responses (Pokemon Stats)'!B870</f>
        <v>0</v>
      </c>
      <c r="B910">
        <f>'Form Responses (Pokemon Stats)'!D870</f>
        <v>0</v>
      </c>
      <c r="C910">
        <f>'Form Responses (Pokemon Stats)'!C870</f>
        <v>0</v>
      </c>
      <c r="F910">
        <f>'Form Responses (Pokemon Stats)'!E870</f>
        <v>0</v>
      </c>
      <c r="G910" t="str">
        <f ca="1">IFERROR(__xludf.DUMMYFUNCTION("ROUND(B910/ FILTER('Pokemon CP/HP'!$M$2:$M1000, LOWER('Pokemon CP/HP'!$B$2:$B1000)=LOWER(A910)))"),"#DIV/0!")</f>
        <v>#DIV/0!</v>
      </c>
      <c r="H910" t="str">
        <f ca="1">IFERROR(__xludf.DUMMYFUNCTION("FILTER('Leveling Info'!$B$2:$B1000, 'Leveling Info'!$A$2:$A1000 =G910)"),"#N/A")</f>
        <v>#N/A</v>
      </c>
      <c r="I910" s="29" t="e">
        <f t="shared" ca="1" si="0"/>
        <v>#VALUE!</v>
      </c>
      <c r="J910" s="29" t="str">
        <f ca="1">IFERROR(__xludf.DUMMYFUNCTION("IF(F910 = H910,C910/FILTER('Base Stats'!$C$2:$C1000, LOWER('Base Stats'!$B$2:$B1000) = LOWER($A910)), """")"),"#N/A")</f>
        <v>#N/A</v>
      </c>
      <c r="K910" t="str">
        <f t="shared" ca="1" si="1"/>
        <v/>
      </c>
      <c r="L910" t="str">
        <f ca="1">IFERROR(__xludf.DUMMYFUNCTION("IF(AND(NOT(K910 = """"), G910 &gt;= 15),K910/FILTER('Base Stats'!$C$2:$C1000, LOWER('Base Stats'!$B$2:$B1000) = LOWER($A910)), """")"),"#N/A")</f>
        <v>#N/A</v>
      </c>
      <c r="M910" t="str">
        <f ca="1">IFERROR(__xludf.DUMMYFUNCTION("1.15 + 0.02 * FILTER('Base Stats'!$C$2:$C1000, LOWER('Base Stats'!$B$2:$B1000) = LOWER($A910))"),"1.15")</f>
        <v>1.15</v>
      </c>
      <c r="N910" t="s">
        <v>527</v>
      </c>
    </row>
    <row r="911" spans="1:14" ht="12.75" x14ac:dyDescent="0.2">
      <c r="A911">
        <f>'Form Responses (Pokemon Stats)'!B871</f>
        <v>0</v>
      </c>
      <c r="B911">
        <f>'Form Responses (Pokemon Stats)'!D871</f>
        <v>0</v>
      </c>
      <c r="C911">
        <f>'Form Responses (Pokemon Stats)'!C871</f>
        <v>0</v>
      </c>
      <c r="F911">
        <f>'Form Responses (Pokemon Stats)'!E871</f>
        <v>0</v>
      </c>
      <c r="G911" t="str">
        <f ca="1">IFERROR(__xludf.DUMMYFUNCTION("ROUND(B911/ FILTER('Pokemon CP/HP'!$M$2:$M1000, LOWER('Pokemon CP/HP'!$B$2:$B1000)=LOWER(A911)))"),"#DIV/0!")</f>
        <v>#DIV/0!</v>
      </c>
      <c r="H911" t="str">
        <f ca="1">IFERROR(__xludf.DUMMYFUNCTION("FILTER('Leveling Info'!$B$2:$B1000, 'Leveling Info'!$A$2:$A1000 =G911)"),"#N/A")</f>
        <v>#N/A</v>
      </c>
      <c r="I911" s="29" t="e">
        <f t="shared" ca="1" si="0"/>
        <v>#VALUE!</v>
      </c>
      <c r="J911" s="29" t="str">
        <f ca="1">IFERROR(__xludf.DUMMYFUNCTION("IF(F911 = H911,C911/FILTER('Base Stats'!$C$2:$C1000, LOWER('Base Stats'!$B$2:$B1000) = LOWER($A911)), """")"),"#N/A")</f>
        <v>#N/A</v>
      </c>
      <c r="K911" t="str">
        <f t="shared" ca="1" si="1"/>
        <v/>
      </c>
      <c r="L911" t="str">
        <f ca="1">IFERROR(__xludf.DUMMYFUNCTION("IF(AND(NOT(K911 = """"), G911 &gt;= 15),K911/FILTER('Base Stats'!$C$2:$C1000, LOWER('Base Stats'!$B$2:$B1000) = LOWER($A911)), """")"),"#N/A")</f>
        <v>#N/A</v>
      </c>
      <c r="M911" t="str">
        <f ca="1">IFERROR(__xludf.DUMMYFUNCTION("1.15 + 0.02 * FILTER('Base Stats'!$C$2:$C1000, LOWER('Base Stats'!$B$2:$B1000) = LOWER($A911))"),"1.15")</f>
        <v>1.15</v>
      </c>
      <c r="N911" t="s">
        <v>527</v>
      </c>
    </row>
    <row r="912" spans="1:14" ht="12.75" x14ac:dyDescent="0.2">
      <c r="A912">
        <f>'Form Responses (Pokemon Stats)'!B872</f>
        <v>0</v>
      </c>
      <c r="B912">
        <f>'Form Responses (Pokemon Stats)'!D872</f>
        <v>0</v>
      </c>
      <c r="C912">
        <f>'Form Responses (Pokemon Stats)'!C872</f>
        <v>0</v>
      </c>
      <c r="F912">
        <f>'Form Responses (Pokemon Stats)'!E872</f>
        <v>0</v>
      </c>
      <c r="G912" t="str">
        <f ca="1">IFERROR(__xludf.DUMMYFUNCTION("ROUND(B912/ FILTER('Pokemon CP/HP'!$M$2:$M1000, LOWER('Pokemon CP/HP'!$B$2:$B1000)=LOWER(A912)))"),"#DIV/0!")</f>
        <v>#DIV/0!</v>
      </c>
      <c r="H912" t="str">
        <f ca="1">IFERROR(__xludf.DUMMYFUNCTION("FILTER('Leveling Info'!$B$2:$B1000, 'Leveling Info'!$A$2:$A1000 =G912)"),"#N/A")</f>
        <v>#N/A</v>
      </c>
      <c r="I912" s="29" t="e">
        <f t="shared" ca="1" si="0"/>
        <v>#VALUE!</v>
      </c>
      <c r="J912" s="29" t="str">
        <f ca="1">IFERROR(__xludf.DUMMYFUNCTION("IF(F912 = H912,C912/FILTER('Base Stats'!$C$2:$C1000, LOWER('Base Stats'!$B$2:$B1000) = LOWER($A912)), """")"),"#N/A")</f>
        <v>#N/A</v>
      </c>
      <c r="K912" t="str">
        <f t="shared" ca="1" si="1"/>
        <v/>
      </c>
      <c r="L912" t="str">
        <f ca="1">IFERROR(__xludf.DUMMYFUNCTION("IF(AND(NOT(K912 = """"), G912 &gt;= 15),K912/FILTER('Base Stats'!$C$2:$C1000, LOWER('Base Stats'!$B$2:$B1000) = LOWER($A912)), """")"),"#N/A")</f>
        <v>#N/A</v>
      </c>
      <c r="M912" t="str">
        <f ca="1">IFERROR(__xludf.DUMMYFUNCTION("1.15 + 0.02 * FILTER('Base Stats'!$C$2:$C1000, LOWER('Base Stats'!$B$2:$B1000) = LOWER($A912))"),"1.15")</f>
        <v>1.15</v>
      </c>
      <c r="N912" t="s">
        <v>527</v>
      </c>
    </row>
    <row r="913" spans="1:14" ht="12.75" x14ac:dyDescent="0.2">
      <c r="A913">
        <f>'Form Responses (Pokemon Stats)'!B873</f>
        <v>0</v>
      </c>
      <c r="B913">
        <f>'Form Responses (Pokemon Stats)'!D873</f>
        <v>0</v>
      </c>
      <c r="C913">
        <f>'Form Responses (Pokemon Stats)'!C873</f>
        <v>0</v>
      </c>
      <c r="F913">
        <f>'Form Responses (Pokemon Stats)'!E873</f>
        <v>0</v>
      </c>
      <c r="G913" t="str">
        <f ca="1">IFERROR(__xludf.DUMMYFUNCTION("ROUND(B913/ FILTER('Pokemon CP/HP'!$M$2:$M1000, LOWER('Pokemon CP/HP'!$B$2:$B1000)=LOWER(A913)))"),"#DIV/0!")</f>
        <v>#DIV/0!</v>
      </c>
      <c r="H913" t="str">
        <f ca="1">IFERROR(__xludf.DUMMYFUNCTION("FILTER('Leveling Info'!$B$2:$B1000, 'Leveling Info'!$A$2:$A1000 =G913)"),"#N/A")</f>
        <v>#N/A</v>
      </c>
      <c r="I913" s="29" t="e">
        <f t="shared" ca="1" si="0"/>
        <v>#VALUE!</v>
      </c>
      <c r="J913" s="29" t="str">
        <f ca="1">IFERROR(__xludf.DUMMYFUNCTION("IF(F913 = H913,C913/FILTER('Base Stats'!$C$2:$C1000, LOWER('Base Stats'!$B$2:$B1000) = LOWER($A913)), """")"),"#N/A")</f>
        <v>#N/A</v>
      </c>
      <c r="K913" t="str">
        <f t="shared" ca="1" si="1"/>
        <v/>
      </c>
      <c r="L913" t="str">
        <f ca="1">IFERROR(__xludf.DUMMYFUNCTION("IF(AND(NOT(K913 = """"), G913 &gt;= 15),K913/FILTER('Base Stats'!$C$2:$C1000, LOWER('Base Stats'!$B$2:$B1000) = LOWER($A913)), """")"),"#N/A")</f>
        <v>#N/A</v>
      </c>
      <c r="M913" t="str">
        <f ca="1">IFERROR(__xludf.DUMMYFUNCTION("1.15 + 0.02 * FILTER('Base Stats'!$C$2:$C1000, LOWER('Base Stats'!$B$2:$B1000) = LOWER($A913))"),"1.15")</f>
        <v>1.15</v>
      </c>
      <c r="N913" t="s">
        <v>527</v>
      </c>
    </row>
    <row r="914" spans="1:14" ht="12.75" x14ac:dyDescent="0.2">
      <c r="A914">
        <f>'Form Responses (Pokemon Stats)'!B874</f>
        <v>0</v>
      </c>
      <c r="B914">
        <f>'Form Responses (Pokemon Stats)'!D874</f>
        <v>0</v>
      </c>
      <c r="C914">
        <f>'Form Responses (Pokemon Stats)'!C874</f>
        <v>0</v>
      </c>
      <c r="F914">
        <f>'Form Responses (Pokemon Stats)'!E874</f>
        <v>0</v>
      </c>
      <c r="G914" t="str">
        <f ca="1">IFERROR(__xludf.DUMMYFUNCTION("ROUND(B914/ FILTER('Pokemon CP/HP'!$M$2:$M1000, LOWER('Pokemon CP/HP'!$B$2:$B1000)=LOWER(A914)))"),"#DIV/0!")</f>
        <v>#DIV/0!</v>
      </c>
      <c r="H914" t="str">
        <f ca="1">IFERROR(__xludf.DUMMYFUNCTION("FILTER('Leveling Info'!$B$2:$B1000, 'Leveling Info'!$A$2:$A1000 =G914)"),"#N/A")</f>
        <v>#N/A</v>
      </c>
      <c r="I914" s="29" t="e">
        <f t="shared" ca="1" si="0"/>
        <v>#VALUE!</v>
      </c>
      <c r="J914" s="29" t="str">
        <f ca="1">IFERROR(__xludf.DUMMYFUNCTION("IF(F914 = H914,C914/FILTER('Base Stats'!$C$2:$C1000, LOWER('Base Stats'!$B$2:$B1000) = LOWER($A914)), """")"),"#N/A")</f>
        <v>#N/A</v>
      </c>
      <c r="K914" t="str">
        <f t="shared" ca="1" si="1"/>
        <v/>
      </c>
      <c r="L914" t="str">
        <f ca="1">IFERROR(__xludf.DUMMYFUNCTION("IF(AND(NOT(K914 = """"), G914 &gt;= 15),K914/FILTER('Base Stats'!$C$2:$C1000, LOWER('Base Stats'!$B$2:$B1000) = LOWER($A914)), """")"),"#N/A")</f>
        <v>#N/A</v>
      </c>
      <c r="M914" t="str">
        <f ca="1">IFERROR(__xludf.DUMMYFUNCTION("1.15 + 0.02 * FILTER('Base Stats'!$C$2:$C1000, LOWER('Base Stats'!$B$2:$B1000) = LOWER($A914))"),"1.15")</f>
        <v>1.15</v>
      </c>
      <c r="N914" t="s">
        <v>527</v>
      </c>
    </row>
    <row r="915" spans="1:14" ht="12.75" x14ac:dyDescent="0.2">
      <c r="A915">
        <f>'Form Responses (Pokemon Stats)'!B875</f>
        <v>0</v>
      </c>
      <c r="B915">
        <f>'Form Responses (Pokemon Stats)'!D875</f>
        <v>0</v>
      </c>
      <c r="C915">
        <f>'Form Responses (Pokemon Stats)'!C875</f>
        <v>0</v>
      </c>
      <c r="F915">
        <f>'Form Responses (Pokemon Stats)'!E875</f>
        <v>0</v>
      </c>
      <c r="G915" t="str">
        <f ca="1">IFERROR(__xludf.DUMMYFUNCTION("ROUND(B915/ FILTER('Pokemon CP/HP'!$M$2:$M1000, LOWER('Pokemon CP/HP'!$B$2:$B1000)=LOWER(A915)))"),"#DIV/0!")</f>
        <v>#DIV/0!</v>
      </c>
      <c r="H915" t="str">
        <f ca="1">IFERROR(__xludf.DUMMYFUNCTION("FILTER('Leveling Info'!$B$2:$B1000, 'Leveling Info'!$A$2:$A1000 =G915)"),"#N/A")</f>
        <v>#N/A</v>
      </c>
      <c r="I915" s="29" t="e">
        <f t="shared" ca="1" si="0"/>
        <v>#VALUE!</v>
      </c>
      <c r="J915" s="29" t="str">
        <f ca="1">IFERROR(__xludf.DUMMYFUNCTION("IF(F915 = H915,C915/FILTER('Base Stats'!$C$2:$C1000, LOWER('Base Stats'!$B$2:$B1000) = LOWER($A915)), """")"),"#N/A")</f>
        <v>#N/A</v>
      </c>
      <c r="K915" t="str">
        <f t="shared" ca="1" si="1"/>
        <v/>
      </c>
      <c r="L915" t="str">
        <f ca="1">IFERROR(__xludf.DUMMYFUNCTION("IF(AND(NOT(K915 = """"), G915 &gt;= 15),K915/FILTER('Base Stats'!$C$2:$C1000, LOWER('Base Stats'!$B$2:$B1000) = LOWER($A915)), """")"),"#N/A")</f>
        <v>#N/A</v>
      </c>
      <c r="M915" t="str">
        <f ca="1">IFERROR(__xludf.DUMMYFUNCTION("1.15 + 0.02 * FILTER('Base Stats'!$C$2:$C1000, LOWER('Base Stats'!$B$2:$B1000) = LOWER($A915))"),"1.15")</f>
        <v>1.15</v>
      </c>
      <c r="N915" t="s">
        <v>527</v>
      </c>
    </row>
    <row r="916" spans="1:14" ht="12.75" x14ac:dyDescent="0.2">
      <c r="A916">
        <f>'Form Responses (Pokemon Stats)'!B876</f>
        <v>0</v>
      </c>
      <c r="B916">
        <f>'Form Responses (Pokemon Stats)'!D876</f>
        <v>0</v>
      </c>
      <c r="C916">
        <f>'Form Responses (Pokemon Stats)'!C876</f>
        <v>0</v>
      </c>
      <c r="F916">
        <f>'Form Responses (Pokemon Stats)'!E876</f>
        <v>0</v>
      </c>
      <c r="G916" t="str">
        <f ca="1">IFERROR(__xludf.DUMMYFUNCTION("ROUND(B916/ FILTER('Pokemon CP/HP'!$M$2:$M1000, LOWER('Pokemon CP/HP'!$B$2:$B1000)=LOWER(A916)))"),"#DIV/0!")</f>
        <v>#DIV/0!</v>
      </c>
      <c r="H916" t="str">
        <f ca="1">IFERROR(__xludf.DUMMYFUNCTION("FILTER('Leveling Info'!$B$2:$B1000, 'Leveling Info'!$A$2:$A1000 =G916)"),"#N/A")</f>
        <v>#N/A</v>
      </c>
      <c r="I916" s="29" t="e">
        <f t="shared" ca="1" si="0"/>
        <v>#VALUE!</v>
      </c>
      <c r="J916" s="29" t="str">
        <f ca="1">IFERROR(__xludf.DUMMYFUNCTION("IF(F916 = H916,C916/FILTER('Base Stats'!$C$2:$C1000, LOWER('Base Stats'!$B$2:$B1000) = LOWER($A916)), """")"),"#N/A")</f>
        <v>#N/A</v>
      </c>
      <c r="K916" t="str">
        <f t="shared" ca="1" si="1"/>
        <v/>
      </c>
      <c r="L916" t="str">
        <f ca="1">IFERROR(__xludf.DUMMYFUNCTION("IF(AND(NOT(K916 = """"), G916 &gt;= 15),K916/FILTER('Base Stats'!$C$2:$C1000, LOWER('Base Stats'!$B$2:$B1000) = LOWER($A916)), """")"),"#N/A")</f>
        <v>#N/A</v>
      </c>
      <c r="M916" t="str">
        <f ca="1">IFERROR(__xludf.DUMMYFUNCTION("1.15 + 0.02 * FILTER('Base Stats'!$C$2:$C1000, LOWER('Base Stats'!$B$2:$B1000) = LOWER($A916))"),"1.15")</f>
        <v>1.15</v>
      </c>
      <c r="N916" t="s">
        <v>527</v>
      </c>
    </row>
    <row r="917" spans="1:14" ht="12.75" x14ac:dyDescent="0.2">
      <c r="A917">
        <f>'Form Responses (Pokemon Stats)'!B877</f>
        <v>0</v>
      </c>
      <c r="B917">
        <f>'Form Responses (Pokemon Stats)'!D877</f>
        <v>0</v>
      </c>
      <c r="C917">
        <f>'Form Responses (Pokemon Stats)'!C877</f>
        <v>0</v>
      </c>
      <c r="F917">
        <f>'Form Responses (Pokemon Stats)'!E877</f>
        <v>0</v>
      </c>
      <c r="G917" t="str">
        <f ca="1">IFERROR(__xludf.DUMMYFUNCTION("ROUND(B917/ FILTER('Pokemon CP/HP'!$M$2:$M1000, LOWER('Pokemon CP/HP'!$B$2:$B1000)=LOWER(A917)))"),"#DIV/0!")</f>
        <v>#DIV/0!</v>
      </c>
      <c r="H917" t="str">
        <f ca="1">IFERROR(__xludf.DUMMYFUNCTION("FILTER('Leveling Info'!$B$2:$B1000, 'Leveling Info'!$A$2:$A1000 =G917)"),"#N/A")</f>
        <v>#N/A</v>
      </c>
      <c r="I917" s="29" t="e">
        <f t="shared" ca="1" si="0"/>
        <v>#VALUE!</v>
      </c>
      <c r="J917" s="29" t="str">
        <f ca="1">IFERROR(__xludf.DUMMYFUNCTION("IF(F917 = H917,C917/FILTER('Base Stats'!$C$2:$C1000, LOWER('Base Stats'!$B$2:$B1000) = LOWER($A917)), """")"),"#N/A")</f>
        <v>#N/A</v>
      </c>
      <c r="K917" t="str">
        <f t="shared" ca="1" si="1"/>
        <v/>
      </c>
      <c r="L917" t="str">
        <f ca="1">IFERROR(__xludf.DUMMYFUNCTION("IF(AND(NOT(K917 = """"), G917 &gt;= 15),K917/FILTER('Base Stats'!$C$2:$C1000, LOWER('Base Stats'!$B$2:$B1000) = LOWER($A917)), """")"),"#N/A")</f>
        <v>#N/A</v>
      </c>
      <c r="M917" t="str">
        <f ca="1">IFERROR(__xludf.DUMMYFUNCTION("1.15 + 0.02 * FILTER('Base Stats'!$C$2:$C1000, LOWER('Base Stats'!$B$2:$B1000) = LOWER($A917))"),"1.15")</f>
        <v>1.15</v>
      </c>
      <c r="N917" t="s">
        <v>527</v>
      </c>
    </row>
    <row r="918" spans="1:14" ht="12.75" x14ac:dyDescent="0.2">
      <c r="A918">
        <f>'Form Responses (Pokemon Stats)'!B878</f>
        <v>0</v>
      </c>
      <c r="B918">
        <f>'Form Responses (Pokemon Stats)'!D878</f>
        <v>0</v>
      </c>
      <c r="C918">
        <f>'Form Responses (Pokemon Stats)'!C878</f>
        <v>0</v>
      </c>
      <c r="F918">
        <f>'Form Responses (Pokemon Stats)'!E878</f>
        <v>0</v>
      </c>
      <c r="G918" t="str">
        <f ca="1">IFERROR(__xludf.DUMMYFUNCTION("ROUND(B918/ FILTER('Pokemon CP/HP'!$M$2:$M1000, LOWER('Pokemon CP/HP'!$B$2:$B1000)=LOWER(A918)))"),"#DIV/0!")</f>
        <v>#DIV/0!</v>
      </c>
      <c r="H918" t="str">
        <f ca="1">IFERROR(__xludf.DUMMYFUNCTION("FILTER('Leveling Info'!$B$2:$B1000, 'Leveling Info'!$A$2:$A1000 =G918)"),"#N/A")</f>
        <v>#N/A</v>
      </c>
      <c r="I918" s="29" t="e">
        <f t="shared" ca="1" si="0"/>
        <v>#VALUE!</v>
      </c>
      <c r="J918" s="29" t="str">
        <f ca="1">IFERROR(__xludf.DUMMYFUNCTION("IF(F918 = H918,C918/FILTER('Base Stats'!$C$2:$C1000, LOWER('Base Stats'!$B$2:$B1000) = LOWER($A918)), """")"),"#N/A")</f>
        <v>#N/A</v>
      </c>
      <c r="K918" t="str">
        <f t="shared" ca="1" si="1"/>
        <v/>
      </c>
      <c r="L918" t="str">
        <f ca="1">IFERROR(__xludf.DUMMYFUNCTION("IF(AND(NOT(K918 = """"), G918 &gt;= 15),K918/FILTER('Base Stats'!$C$2:$C1000, LOWER('Base Stats'!$B$2:$B1000) = LOWER($A918)), """")"),"#N/A")</f>
        <v>#N/A</v>
      </c>
      <c r="M918" t="str">
        <f ca="1">IFERROR(__xludf.DUMMYFUNCTION("1.15 + 0.02 * FILTER('Base Stats'!$C$2:$C1000, LOWER('Base Stats'!$B$2:$B1000) = LOWER($A918))"),"1.15")</f>
        <v>1.15</v>
      </c>
      <c r="N918" t="s">
        <v>527</v>
      </c>
    </row>
    <row r="919" spans="1:14" ht="12.75" x14ac:dyDescent="0.2">
      <c r="A919">
        <f>'Form Responses (Pokemon Stats)'!B879</f>
        <v>0</v>
      </c>
      <c r="B919">
        <f>'Form Responses (Pokemon Stats)'!D879</f>
        <v>0</v>
      </c>
      <c r="C919">
        <f>'Form Responses (Pokemon Stats)'!C879</f>
        <v>0</v>
      </c>
      <c r="F919">
        <f>'Form Responses (Pokemon Stats)'!E879</f>
        <v>0</v>
      </c>
      <c r="G919" t="str">
        <f ca="1">IFERROR(__xludf.DUMMYFUNCTION("ROUND(B919/ FILTER('Pokemon CP/HP'!$M$2:$M1000, LOWER('Pokemon CP/HP'!$B$2:$B1000)=LOWER(A919)))"),"#DIV/0!")</f>
        <v>#DIV/0!</v>
      </c>
      <c r="H919" t="str">
        <f ca="1">IFERROR(__xludf.DUMMYFUNCTION("FILTER('Leveling Info'!$B$2:$B1000, 'Leveling Info'!$A$2:$A1000 =G919)"),"#N/A")</f>
        <v>#N/A</v>
      </c>
      <c r="I919" s="29" t="e">
        <f t="shared" ca="1" si="0"/>
        <v>#VALUE!</v>
      </c>
      <c r="J919" s="29" t="str">
        <f ca="1">IFERROR(__xludf.DUMMYFUNCTION("IF(F919 = H919,C919/FILTER('Base Stats'!$C$2:$C1000, LOWER('Base Stats'!$B$2:$B1000) = LOWER($A919)), """")"),"#N/A")</f>
        <v>#N/A</v>
      </c>
      <c r="K919" t="str">
        <f t="shared" ca="1" si="1"/>
        <v/>
      </c>
      <c r="L919" t="str">
        <f ca="1">IFERROR(__xludf.DUMMYFUNCTION("IF(AND(NOT(K919 = """"), G919 &gt;= 15),K919/FILTER('Base Stats'!$C$2:$C1000, LOWER('Base Stats'!$B$2:$B1000) = LOWER($A919)), """")"),"#N/A")</f>
        <v>#N/A</v>
      </c>
      <c r="M919" t="str">
        <f ca="1">IFERROR(__xludf.DUMMYFUNCTION("1.15 + 0.02 * FILTER('Base Stats'!$C$2:$C1000, LOWER('Base Stats'!$B$2:$B1000) = LOWER($A919))"),"1.15")</f>
        <v>1.15</v>
      </c>
      <c r="N919" t="s">
        <v>527</v>
      </c>
    </row>
    <row r="920" spans="1:14" ht="12.75" x14ac:dyDescent="0.2">
      <c r="A920">
        <f>'Form Responses (Pokemon Stats)'!B880</f>
        <v>0</v>
      </c>
      <c r="B920">
        <f>'Form Responses (Pokemon Stats)'!D880</f>
        <v>0</v>
      </c>
      <c r="C920">
        <f>'Form Responses (Pokemon Stats)'!C880</f>
        <v>0</v>
      </c>
      <c r="F920">
        <f>'Form Responses (Pokemon Stats)'!E880</f>
        <v>0</v>
      </c>
      <c r="G920" t="str">
        <f ca="1">IFERROR(__xludf.DUMMYFUNCTION("ROUND(B920/ FILTER('Pokemon CP/HP'!$M$2:$M1000, LOWER('Pokemon CP/HP'!$B$2:$B1000)=LOWER(A920)))"),"#DIV/0!")</f>
        <v>#DIV/0!</v>
      </c>
      <c r="H920" t="str">
        <f ca="1">IFERROR(__xludf.DUMMYFUNCTION("FILTER('Leveling Info'!$B$2:$B1000, 'Leveling Info'!$A$2:$A1000 =G920)"),"#N/A")</f>
        <v>#N/A</v>
      </c>
      <c r="I920" s="29" t="e">
        <f t="shared" ca="1" si="0"/>
        <v>#VALUE!</v>
      </c>
      <c r="J920" s="29" t="str">
        <f ca="1">IFERROR(__xludf.DUMMYFUNCTION("IF(F920 = H920,C920/FILTER('Base Stats'!$C$2:$C1000, LOWER('Base Stats'!$B$2:$B1000) = LOWER($A920)), """")"),"#N/A")</f>
        <v>#N/A</v>
      </c>
      <c r="K920" t="str">
        <f t="shared" ca="1" si="1"/>
        <v/>
      </c>
      <c r="L920" t="str">
        <f ca="1">IFERROR(__xludf.DUMMYFUNCTION("IF(AND(NOT(K920 = """"), G920 &gt;= 15),K920/FILTER('Base Stats'!$C$2:$C1000, LOWER('Base Stats'!$B$2:$B1000) = LOWER($A920)), """")"),"#N/A")</f>
        <v>#N/A</v>
      </c>
      <c r="M920" t="str">
        <f ca="1">IFERROR(__xludf.DUMMYFUNCTION("1.15 + 0.02 * FILTER('Base Stats'!$C$2:$C1000, LOWER('Base Stats'!$B$2:$B1000) = LOWER($A920))"),"1.15")</f>
        <v>1.15</v>
      </c>
      <c r="N920" t="s">
        <v>527</v>
      </c>
    </row>
    <row r="921" spans="1:14" ht="12.75" x14ac:dyDescent="0.2">
      <c r="A921">
        <f>'Form Responses (Pokemon Stats)'!B881</f>
        <v>0</v>
      </c>
      <c r="B921">
        <f>'Form Responses (Pokemon Stats)'!D881</f>
        <v>0</v>
      </c>
      <c r="C921">
        <f>'Form Responses (Pokemon Stats)'!C881</f>
        <v>0</v>
      </c>
      <c r="F921">
        <f>'Form Responses (Pokemon Stats)'!E881</f>
        <v>0</v>
      </c>
      <c r="G921" t="str">
        <f ca="1">IFERROR(__xludf.DUMMYFUNCTION("ROUND(B921/ FILTER('Pokemon CP/HP'!$M$2:$M1000, LOWER('Pokemon CP/HP'!$B$2:$B1000)=LOWER(A921)))"),"#DIV/0!")</f>
        <v>#DIV/0!</v>
      </c>
      <c r="H921" t="str">
        <f ca="1">IFERROR(__xludf.DUMMYFUNCTION("FILTER('Leveling Info'!$B$2:$B1000, 'Leveling Info'!$A$2:$A1000 =G921)"),"#N/A")</f>
        <v>#N/A</v>
      </c>
      <c r="I921" s="29" t="e">
        <f t="shared" ca="1" si="0"/>
        <v>#VALUE!</v>
      </c>
      <c r="J921" s="29" t="str">
        <f ca="1">IFERROR(__xludf.DUMMYFUNCTION("IF(F921 = H921,C921/FILTER('Base Stats'!$C$2:$C1000, LOWER('Base Stats'!$B$2:$B1000) = LOWER($A921)), """")"),"#N/A")</f>
        <v>#N/A</v>
      </c>
      <c r="K921" t="str">
        <f t="shared" ca="1" si="1"/>
        <v/>
      </c>
      <c r="L921" t="str">
        <f ca="1">IFERROR(__xludf.DUMMYFUNCTION("IF(AND(NOT(K921 = """"), G921 &gt;= 15),K921/FILTER('Base Stats'!$C$2:$C1000, LOWER('Base Stats'!$B$2:$B1000) = LOWER($A921)), """")"),"#N/A")</f>
        <v>#N/A</v>
      </c>
      <c r="M921" t="str">
        <f ca="1">IFERROR(__xludf.DUMMYFUNCTION("1.15 + 0.02 * FILTER('Base Stats'!$C$2:$C1000, LOWER('Base Stats'!$B$2:$B1000) = LOWER($A921))"),"1.15")</f>
        <v>1.15</v>
      </c>
      <c r="N921" t="s">
        <v>527</v>
      </c>
    </row>
    <row r="922" spans="1:14" ht="12.75" x14ac:dyDescent="0.2">
      <c r="A922">
        <f>'Form Responses (Pokemon Stats)'!B882</f>
        <v>0</v>
      </c>
      <c r="B922">
        <f>'Form Responses (Pokemon Stats)'!D882</f>
        <v>0</v>
      </c>
      <c r="C922">
        <f>'Form Responses (Pokemon Stats)'!C882</f>
        <v>0</v>
      </c>
      <c r="F922">
        <f>'Form Responses (Pokemon Stats)'!E882</f>
        <v>0</v>
      </c>
      <c r="G922" t="str">
        <f ca="1">IFERROR(__xludf.DUMMYFUNCTION("ROUND(B922/ FILTER('Pokemon CP/HP'!$M$2:$M1000, LOWER('Pokemon CP/HP'!$B$2:$B1000)=LOWER(A922)))"),"#DIV/0!")</f>
        <v>#DIV/0!</v>
      </c>
      <c r="H922" t="str">
        <f ca="1">IFERROR(__xludf.DUMMYFUNCTION("FILTER('Leveling Info'!$B$2:$B1000, 'Leveling Info'!$A$2:$A1000 =G922)"),"#N/A")</f>
        <v>#N/A</v>
      </c>
      <c r="I922" s="29" t="e">
        <f t="shared" ca="1" si="0"/>
        <v>#VALUE!</v>
      </c>
      <c r="J922" s="29" t="str">
        <f ca="1">IFERROR(__xludf.DUMMYFUNCTION("IF(F922 = H922,C922/FILTER('Base Stats'!$C$2:$C1000, LOWER('Base Stats'!$B$2:$B1000) = LOWER($A922)), """")"),"#N/A")</f>
        <v>#N/A</v>
      </c>
      <c r="K922" t="str">
        <f t="shared" ca="1" si="1"/>
        <v/>
      </c>
      <c r="L922" t="str">
        <f ca="1">IFERROR(__xludf.DUMMYFUNCTION("IF(AND(NOT(K922 = """"), G922 &gt;= 15),K922/FILTER('Base Stats'!$C$2:$C1000, LOWER('Base Stats'!$B$2:$B1000) = LOWER($A922)), """")"),"#N/A")</f>
        <v>#N/A</v>
      </c>
      <c r="M922" t="str">
        <f ca="1">IFERROR(__xludf.DUMMYFUNCTION("1.15 + 0.02 * FILTER('Base Stats'!$C$2:$C1000, LOWER('Base Stats'!$B$2:$B1000) = LOWER($A922))"),"1.15")</f>
        <v>1.15</v>
      </c>
      <c r="N922" t="s">
        <v>527</v>
      </c>
    </row>
    <row r="923" spans="1:14" ht="12.75" x14ac:dyDescent="0.2">
      <c r="A923">
        <f>'Form Responses (Pokemon Stats)'!B883</f>
        <v>0</v>
      </c>
      <c r="B923">
        <f>'Form Responses (Pokemon Stats)'!D883</f>
        <v>0</v>
      </c>
      <c r="C923">
        <f>'Form Responses (Pokemon Stats)'!C883</f>
        <v>0</v>
      </c>
      <c r="F923">
        <f>'Form Responses (Pokemon Stats)'!E883</f>
        <v>0</v>
      </c>
      <c r="G923" t="str">
        <f ca="1">IFERROR(__xludf.DUMMYFUNCTION("ROUND(B923/ FILTER('Pokemon CP/HP'!$M$2:$M1000, LOWER('Pokemon CP/HP'!$B$2:$B1000)=LOWER(A923)))"),"#DIV/0!")</f>
        <v>#DIV/0!</v>
      </c>
      <c r="H923" t="str">
        <f ca="1">IFERROR(__xludf.DUMMYFUNCTION("FILTER('Leveling Info'!$B$2:$B1000, 'Leveling Info'!$A$2:$A1000 =G923)"),"#N/A")</f>
        <v>#N/A</v>
      </c>
      <c r="I923" s="29" t="e">
        <f t="shared" ca="1" si="0"/>
        <v>#VALUE!</v>
      </c>
      <c r="J923" s="29" t="str">
        <f ca="1">IFERROR(__xludf.DUMMYFUNCTION("IF(F923 = H923,C923/FILTER('Base Stats'!$C$2:$C1000, LOWER('Base Stats'!$B$2:$B1000) = LOWER($A923)), """")"),"#N/A")</f>
        <v>#N/A</v>
      </c>
      <c r="K923" t="str">
        <f t="shared" ca="1" si="1"/>
        <v/>
      </c>
      <c r="L923" t="str">
        <f ca="1">IFERROR(__xludf.DUMMYFUNCTION("IF(AND(NOT(K923 = """"), G923 &gt;= 15),K923/FILTER('Base Stats'!$C$2:$C1000, LOWER('Base Stats'!$B$2:$B1000) = LOWER($A923)), """")"),"#N/A")</f>
        <v>#N/A</v>
      </c>
      <c r="M923" t="str">
        <f ca="1">IFERROR(__xludf.DUMMYFUNCTION("1.15 + 0.02 * FILTER('Base Stats'!$C$2:$C1000, LOWER('Base Stats'!$B$2:$B1000) = LOWER($A923))"),"1.15")</f>
        <v>1.15</v>
      </c>
      <c r="N923" t="s">
        <v>527</v>
      </c>
    </row>
    <row r="924" spans="1:14" ht="12.75" x14ac:dyDescent="0.2">
      <c r="A924">
        <f>'Form Responses (Pokemon Stats)'!B884</f>
        <v>0</v>
      </c>
      <c r="B924">
        <f>'Form Responses (Pokemon Stats)'!D884</f>
        <v>0</v>
      </c>
      <c r="C924">
        <f>'Form Responses (Pokemon Stats)'!C884</f>
        <v>0</v>
      </c>
      <c r="F924">
        <f>'Form Responses (Pokemon Stats)'!E884</f>
        <v>0</v>
      </c>
      <c r="G924" t="str">
        <f ca="1">IFERROR(__xludf.DUMMYFUNCTION("ROUND(B924/ FILTER('Pokemon CP/HP'!$M$2:$M1000, LOWER('Pokemon CP/HP'!$B$2:$B1000)=LOWER(A924)))"),"#DIV/0!")</f>
        <v>#DIV/0!</v>
      </c>
      <c r="H924" t="str">
        <f ca="1">IFERROR(__xludf.DUMMYFUNCTION("FILTER('Leveling Info'!$B$2:$B1000, 'Leveling Info'!$A$2:$A1000 =G924)"),"#N/A")</f>
        <v>#N/A</v>
      </c>
      <c r="I924" s="29" t="e">
        <f t="shared" ca="1" si="0"/>
        <v>#VALUE!</v>
      </c>
      <c r="J924" s="29" t="str">
        <f ca="1">IFERROR(__xludf.DUMMYFUNCTION("IF(F924 = H924,C924/FILTER('Base Stats'!$C$2:$C1000, LOWER('Base Stats'!$B$2:$B1000) = LOWER($A924)), """")"),"#N/A")</f>
        <v>#N/A</v>
      </c>
      <c r="K924" t="str">
        <f t="shared" ca="1" si="1"/>
        <v/>
      </c>
      <c r="L924" t="str">
        <f ca="1">IFERROR(__xludf.DUMMYFUNCTION("IF(AND(NOT(K924 = """"), G924 &gt;= 15),K924/FILTER('Base Stats'!$C$2:$C1000, LOWER('Base Stats'!$B$2:$B1000) = LOWER($A924)), """")"),"#N/A")</f>
        <v>#N/A</v>
      </c>
      <c r="M924" t="str">
        <f ca="1">IFERROR(__xludf.DUMMYFUNCTION("1.15 + 0.02 * FILTER('Base Stats'!$C$2:$C1000, LOWER('Base Stats'!$B$2:$B1000) = LOWER($A924))"),"1.15")</f>
        <v>1.15</v>
      </c>
      <c r="N924" t="s">
        <v>527</v>
      </c>
    </row>
    <row r="925" spans="1:14" ht="12.75" x14ac:dyDescent="0.2">
      <c r="A925">
        <f>'Form Responses (Pokemon Stats)'!B885</f>
        <v>0</v>
      </c>
      <c r="B925">
        <f>'Form Responses (Pokemon Stats)'!D885</f>
        <v>0</v>
      </c>
      <c r="C925">
        <f>'Form Responses (Pokemon Stats)'!C885</f>
        <v>0</v>
      </c>
      <c r="F925">
        <f>'Form Responses (Pokemon Stats)'!E885</f>
        <v>0</v>
      </c>
      <c r="G925" t="str">
        <f ca="1">IFERROR(__xludf.DUMMYFUNCTION("ROUND(B925/ FILTER('Pokemon CP/HP'!$M$2:$M1000, LOWER('Pokemon CP/HP'!$B$2:$B1000)=LOWER(A925)))"),"#DIV/0!")</f>
        <v>#DIV/0!</v>
      </c>
      <c r="H925" t="str">
        <f ca="1">IFERROR(__xludf.DUMMYFUNCTION("FILTER('Leveling Info'!$B$2:$B1000, 'Leveling Info'!$A$2:$A1000 =G925)"),"#N/A")</f>
        <v>#N/A</v>
      </c>
      <c r="I925" s="29" t="e">
        <f t="shared" ca="1" si="0"/>
        <v>#VALUE!</v>
      </c>
      <c r="J925" s="29" t="str">
        <f ca="1">IFERROR(__xludf.DUMMYFUNCTION("IF(F925 = H925,C925/FILTER('Base Stats'!$C$2:$C1000, LOWER('Base Stats'!$B$2:$B1000) = LOWER($A925)), """")"),"#N/A")</f>
        <v>#N/A</v>
      </c>
      <c r="K925" t="str">
        <f t="shared" ca="1" si="1"/>
        <v/>
      </c>
      <c r="L925" t="str">
        <f ca="1">IFERROR(__xludf.DUMMYFUNCTION("IF(AND(NOT(K925 = """"), G925 &gt;= 15),K925/FILTER('Base Stats'!$C$2:$C1000, LOWER('Base Stats'!$B$2:$B1000) = LOWER($A925)), """")"),"#N/A")</f>
        <v>#N/A</v>
      </c>
      <c r="M925" t="str">
        <f ca="1">IFERROR(__xludf.DUMMYFUNCTION("1.15 + 0.02 * FILTER('Base Stats'!$C$2:$C1000, LOWER('Base Stats'!$B$2:$B1000) = LOWER($A925))"),"1.15")</f>
        <v>1.15</v>
      </c>
      <c r="N925" t="s">
        <v>527</v>
      </c>
    </row>
    <row r="926" spans="1:14" ht="12.75" x14ac:dyDescent="0.2">
      <c r="A926">
        <f>'Form Responses (Pokemon Stats)'!B886</f>
        <v>0</v>
      </c>
      <c r="B926">
        <f>'Form Responses (Pokemon Stats)'!D886</f>
        <v>0</v>
      </c>
      <c r="C926">
        <f>'Form Responses (Pokemon Stats)'!C886</f>
        <v>0</v>
      </c>
      <c r="F926">
        <f>'Form Responses (Pokemon Stats)'!E886</f>
        <v>0</v>
      </c>
      <c r="G926" t="str">
        <f ca="1">IFERROR(__xludf.DUMMYFUNCTION("ROUND(B926/ FILTER('Pokemon CP/HP'!$M$2:$M1000, LOWER('Pokemon CP/HP'!$B$2:$B1000)=LOWER(A926)))"),"#DIV/0!")</f>
        <v>#DIV/0!</v>
      </c>
      <c r="H926" t="str">
        <f ca="1">IFERROR(__xludf.DUMMYFUNCTION("FILTER('Leveling Info'!$B$2:$B1000, 'Leveling Info'!$A$2:$A1000 =G926)"),"#N/A")</f>
        <v>#N/A</v>
      </c>
      <c r="I926" s="29" t="e">
        <f t="shared" ca="1" si="0"/>
        <v>#VALUE!</v>
      </c>
      <c r="J926" s="29" t="str">
        <f ca="1">IFERROR(__xludf.DUMMYFUNCTION("IF(F926 = H926,C926/FILTER('Base Stats'!$C$2:$C1000, LOWER('Base Stats'!$B$2:$B1000) = LOWER($A926)), """")"),"#N/A")</f>
        <v>#N/A</v>
      </c>
      <c r="K926" t="str">
        <f t="shared" ca="1" si="1"/>
        <v/>
      </c>
      <c r="L926" t="str">
        <f ca="1">IFERROR(__xludf.DUMMYFUNCTION("IF(AND(NOT(K926 = """"), G926 &gt;= 15),K926/FILTER('Base Stats'!$C$2:$C1000, LOWER('Base Stats'!$B$2:$B1000) = LOWER($A926)), """")"),"#N/A")</f>
        <v>#N/A</v>
      </c>
      <c r="M926" t="str">
        <f ca="1">IFERROR(__xludf.DUMMYFUNCTION("1.15 + 0.02 * FILTER('Base Stats'!$C$2:$C1000, LOWER('Base Stats'!$B$2:$B1000) = LOWER($A926))"),"1.15")</f>
        <v>1.15</v>
      </c>
      <c r="N926" t="s">
        <v>527</v>
      </c>
    </row>
    <row r="927" spans="1:14" ht="12.75" x14ac:dyDescent="0.2">
      <c r="A927">
        <f>'Form Responses (Pokemon Stats)'!B887</f>
        <v>0</v>
      </c>
      <c r="B927">
        <f>'Form Responses (Pokemon Stats)'!D887</f>
        <v>0</v>
      </c>
      <c r="C927">
        <f>'Form Responses (Pokemon Stats)'!C887</f>
        <v>0</v>
      </c>
      <c r="F927">
        <f>'Form Responses (Pokemon Stats)'!E887</f>
        <v>0</v>
      </c>
      <c r="G927" t="str">
        <f ca="1">IFERROR(__xludf.DUMMYFUNCTION("ROUND(B927/ FILTER('Pokemon CP/HP'!$M$2:$M1000, LOWER('Pokemon CP/HP'!$B$2:$B1000)=LOWER(A927)))"),"#DIV/0!")</f>
        <v>#DIV/0!</v>
      </c>
      <c r="H927" t="str">
        <f ca="1">IFERROR(__xludf.DUMMYFUNCTION("FILTER('Leveling Info'!$B$2:$B1000, 'Leveling Info'!$A$2:$A1000 =G927)"),"#N/A")</f>
        <v>#N/A</v>
      </c>
      <c r="I927" s="29" t="e">
        <f t="shared" ca="1" si="0"/>
        <v>#VALUE!</v>
      </c>
      <c r="J927" s="29" t="str">
        <f ca="1">IFERROR(__xludf.DUMMYFUNCTION("IF(F927 = H927,C927/FILTER('Base Stats'!$C$2:$C1000, LOWER('Base Stats'!$B$2:$B1000) = LOWER($A927)), """")"),"#N/A")</f>
        <v>#N/A</v>
      </c>
      <c r="K927" t="str">
        <f t="shared" ca="1" si="1"/>
        <v/>
      </c>
      <c r="L927" t="str">
        <f ca="1">IFERROR(__xludf.DUMMYFUNCTION("IF(AND(NOT(K927 = """"), G927 &gt;= 15),K927/FILTER('Base Stats'!$C$2:$C1000, LOWER('Base Stats'!$B$2:$B1000) = LOWER($A927)), """")"),"#N/A")</f>
        <v>#N/A</v>
      </c>
      <c r="M927" t="str">
        <f ca="1">IFERROR(__xludf.DUMMYFUNCTION("1.15 + 0.02 * FILTER('Base Stats'!$C$2:$C1000, LOWER('Base Stats'!$B$2:$B1000) = LOWER($A927))"),"1.15")</f>
        <v>1.15</v>
      </c>
      <c r="N927" t="s">
        <v>527</v>
      </c>
    </row>
    <row r="928" spans="1:14" ht="12.75" x14ac:dyDescent="0.2">
      <c r="A928">
        <f>'Form Responses (Pokemon Stats)'!B888</f>
        <v>0</v>
      </c>
      <c r="B928">
        <f>'Form Responses (Pokemon Stats)'!D888</f>
        <v>0</v>
      </c>
      <c r="C928">
        <f>'Form Responses (Pokemon Stats)'!C888</f>
        <v>0</v>
      </c>
      <c r="F928">
        <f>'Form Responses (Pokemon Stats)'!E888</f>
        <v>0</v>
      </c>
      <c r="G928" t="str">
        <f ca="1">IFERROR(__xludf.DUMMYFUNCTION("ROUND(B928/ FILTER('Pokemon CP/HP'!$M$2:$M1000, LOWER('Pokemon CP/HP'!$B$2:$B1000)=LOWER(A928)))"),"#DIV/0!")</f>
        <v>#DIV/0!</v>
      </c>
      <c r="H928" t="str">
        <f ca="1">IFERROR(__xludf.DUMMYFUNCTION("FILTER('Leveling Info'!$B$2:$B1000, 'Leveling Info'!$A$2:$A1000 =G928)"),"#N/A")</f>
        <v>#N/A</v>
      </c>
      <c r="I928" s="29" t="e">
        <f t="shared" ca="1" si="0"/>
        <v>#VALUE!</v>
      </c>
      <c r="J928" s="29" t="str">
        <f ca="1">IFERROR(__xludf.DUMMYFUNCTION("IF(F928 = H928,C928/FILTER('Base Stats'!$C$2:$C1000, LOWER('Base Stats'!$B$2:$B1000) = LOWER($A928)), """")"),"#N/A")</f>
        <v>#N/A</v>
      </c>
      <c r="K928" t="str">
        <f t="shared" ca="1" si="1"/>
        <v/>
      </c>
      <c r="L928" t="str">
        <f ca="1">IFERROR(__xludf.DUMMYFUNCTION("IF(AND(NOT(K928 = """"), G928 &gt;= 15),K928/FILTER('Base Stats'!$C$2:$C1000, LOWER('Base Stats'!$B$2:$B1000) = LOWER($A928)), """")"),"#N/A")</f>
        <v>#N/A</v>
      </c>
      <c r="M928" t="str">
        <f ca="1">IFERROR(__xludf.DUMMYFUNCTION("1.15 + 0.02 * FILTER('Base Stats'!$C$2:$C1000, LOWER('Base Stats'!$B$2:$B1000) = LOWER($A928))"),"1.15")</f>
        <v>1.15</v>
      </c>
      <c r="N928" t="s">
        <v>527</v>
      </c>
    </row>
    <row r="929" spans="1:14" ht="12.75" x14ac:dyDescent="0.2">
      <c r="A929">
        <f>'Form Responses (Pokemon Stats)'!B889</f>
        <v>0</v>
      </c>
      <c r="B929">
        <f>'Form Responses (Pokemon Stats)'!D889</f>
        <v>0</v>
      </c>
      <c r="C929">
        <f>'Form Responses (Pokemon Stats)'!C889</f>
        <v>0</v>
      </c>
      <c r="F929">
        <f>'Form Responses (Pokemon Stats)'!E889</f>
        <v>0</v>
      </c>
      <c r="G929" t="str">
        <f ca="1">IFERROR(__xludf.DUMMYFUNCTION("ROUND(B929/ FILTER('Pokemon CP/HP'!$M$2:$M1000, LOWER('Pokemon CP/HP'!$B$2:$B1000)=LOWER(A929)))"),"#DIV/0!")</f>
        <v>#DIV/0!</v>
      </c>
      <c r="H929" t="str">
        <f ca="1">IFERROR(__xludf.DUMMYFUNCTION("FILTER('Leveling Info'!$B$2:$B1000, 'Leveling Info'!$A$2:$A1000 =G929)"),"#N/A")</f>
        <v>#N/A</v>
      </c>
      <c r="I929" s="29" t="e">
        <f t="shared" ca="1" si="0"/>
        <v>#VALUE!</v>
      </c>
      <c r="J929" s="29" t="str">
        <f ca="1">IFERROR(__xludf.DUMMYFUNCTION("IF(F929 = H929,C929/FILTER('Base Stats'!$C$2:$C1000, LOWER('Base Stats'!$B$2:$B1000) = LOWER($A929)), """")"),"#N/A")</f>
        <v>#N/A</v>
      </c>
      <c r="K929" t="str">
        <f t="shared" ca="1" si="1"/>
        <v/>
      </c>
      <c r="L929" t="str">
        <f ca="1">IFERROR(__xludf.DUMMYFUNCTION("IF(AND(NOT(K929 = """"), G929 &gt;= 15),K929/FILTER('Base Stats'!$C$2:$C1000, LOWER('Base Stats'!$B$2:$B1000) = LOWER($A929)), """")"),"#N/A")</f>
        <v>#N/A</v>
      </c>
      <c r="M929" t="str">
        <f ca="1">IFERROR(__xludf.DUMMYFUNCTION("1.15 + 0.02 * FILTER('Base Stats'!$C$2:$C1000, LOWER('Base Stats'!$B$2:$B1000) = LOWER($A929))"),"1.15")</f>
        <v>1.15</v>
      </c>
      <c r="N929" t="s">
        <v>527</v>
      </c>
    </row>
    <row r="930" spans="1:14" ht="12.75" x14ac:dyDescent="0.2">
      <c r="A930">
        <f>'Form Responses (Pokemon Stats)'!B890</f>
        <v>0</v>
      </c>
      <c r="B930">
        <f>'Form Responses (Pokemon Stats)'!D890</f>
        <v>0</v>
      </c>
      <c r="C930">
        <f>'Form Responses (Pokemon Stats)'!C890</f>
        <v>0</v>
      </c>
      <c r="F930">
        <f>'Form Responses (Pokemon Stats)'!E890</f>
        <v>0</v>
      </c>
      <c r="G930" t="str">
        <f ca="1">IFERROR(__xludf.DUMMYFUNCTION("ROUND(B930/ FILTER('Pokemon CP/HP'!$M$2:$M1000, LOWER('Pokemon CP/HP'!$B$2:$B1000)=LOWER(A930)))"),"#DIV/0!")</f>
        <v>#DIV/0!</v>
      </c>
      <c r="H930" t="str">
        <f ca="1">IFERROR(__xludf.DUMMYFUNCTION("FILTER('Leveling Info'!$B$2:$B1000, 'Leveling Info'!$A$2:$A1000 =G930)"),"#N/A")</f>
        <v>#N/A</v>
      </c>
      <c r="I930" s="29" t="e">
        <f t="shared" ca="1" si="0"/>
        <v>#VALUE!</v>
      </c>
      <c r="J930" s="29" t="str">
        <f ca="1">IFERROR(__xludf.DUMMYFUNCTION("IF(F930 = H930,C930/FILTER('Base Stats'!$C$2:$C1000, LOWER('Base Stats'!$B$2:$B1000) = LOWER($A930)), """")"),"#N/A")</f>
        <v>#N/A</v>
      </c>
      <c r="K930" t="str">
        <f t="shared" ca="1" si="1"/>
        <v/>
      </c>
      <c r="L930" t="str">
        <f ca="1">IFERROR(__xludf.DUMMYFUNCTION("IF(AND(NOT(K930 = """"), G930 &gt;= 15),K930/FILTER('Base Stats'!$C$2:$C1000, LOWER('Base Stats'!$B$2:$B1000) = LOWER($A930)), """")"),"#N/A")</f>
        <v>#N/A</v>
      </c>
      <c r="M930" t="str">
        <f ca="1">IFERROR(__xludf.DUMMYFUNCTION("1.15 + 0.02 * FILTER('Base Stats'!$C$2:$C1000, LOWER('Base Stats'!$B$2:$B1000) = LOWER($A930))"),"1.15")</f>
        <v>1.15</v>
      </c>
      <c r="N930" t="s">
        <v>527</v>
      </c>
    </row>
    <row r="931" spans="1:14" ht="12.75" x14ac:dyDescent="0.2">
      <c r="A931">
        <f>'Form Responses (Pokemon Stats)'!B891</f>
        <v>0</v>
      </c>
      <c r="B931">
        <f>'Form Responses (Pokemon Stats)'!D891</f>
        <v>0</v>
      </c>
      <c r="C931">
        <f>'Form Responses (Pokemon Stats)'!C891</f>
        <v>0</v>
      </c>
      <c r="F931">
        <f>'Form Responses (Pokemon Stats)'!E891</f>
        <v>0</v>
      </c>
      <c r="G931" t="str">
        <f ca="1">IFERROR(__xludf.DUMMYFUNCTION("ROUND(B931/ FILTER('Pokemon CP/HP'!$M$2:$M1000, LOWER('Pokemon CP/HP'!$B$2:$B1000)=LOWER(A931)))"),"#DIV/0!")</f>
        <v>#DIV/0!</v>
      </c>
      <c r="H931" t="str">
        <f ca="1">IFERROR(__xludf.DUMMYFUNCTION("FILTER('Leveling Info'!$B$2:$B1000, 'Leveling Info'!$A$2:$A1000 =G931)"),"#N/A")</f>
        <v>#N/A</v>
      </c>
      <c r="I931" s="29" t="e">
        <f t="shared" ca="1" si="0"/>
        <v>#VALUE!</v>
      </c>
      <c r="J931" s="29" t="str">
        <f ca="1">IFERROR(__xludf.DUMMYFUNCTION("IF(F931 = H931,C931/FILTER('Base Stats'!$C$2:$C1000, LOWER('Base Stats'!$B$2:$B1000) = LOWER($A931)), """")"),"#N/A")</f>
        <v>#N/A</v>
      </c>
      <c r="K931" t="str">
        <f t="shared" ca="1" si="1"/>
        <v/>
      </c>
      <c r="L931" t="str">
        <f ca="1">IFERROR(__xludf.DUMMYFUNCTION("IF(AND(NOT(K931 = """"), G931 &gt;= 15),K931/FILTER('Base Stats'!$C$2:$C1000, LOWER('Base Stats'!$B$2:$B1000) = LOWER($A931)), """")"),"#N/A")</f>
        <v>#N/A</v>
      </c>
      <c r="M931" t="str">
        <f ca="1">IFERROR(__xludf.DUMMYFUNCTION("1.15 + 0.02 * FILTER('Base Stats'!$C$2:$C1000, LOWER('Base Stats'!$B$2:$B1000) = LOWER($A931))"),"1.15")</f>
        <v>1.15</v>
      </c>
      <c r="N931" t="s">
        <v>527</v>
      </c>
    </row>
    <row r="932" spans="1:14" ht="12.75" x14ac:dyDescent="0.2">
      <c r="A932">
        <f>'Form Responses (Pokemon Stats)'!B892</f>
        <v>0</v>
      </c>
      <c r="B932">
        <f>'Form Responses (Pokemon Stats)'!D892</f>
        <v>0</v>
      </c>
      <c r="C932">
        <f>'Form Responses (Pokemon Stats)'!C892</f>
        <v>0</v>
      </c>
      <c r="F932">
        <f>'Form Responses (Pokemon Stats)'!E892</f>
        <v>0</v>
      </c>
      <c r="G932" t="str">
        <f ca="1">IFERROR(__xludf.DUMMYFUNCTION("ROUND(B932/ FILTER('Pokemon CP/HP'!$M$2:$M1000, LOWER('Pokemon CP/HP'!$B$2:$B1000)=LOWER(A932)))"),"#DIV/0!")</f>
        <v>#DIV/0!</v>
      </c>
      <c r="H932" t="str">
        <f ca="1">IFERROR(__xludf.DUMMYFUNCTION("FILTER('Leveling Info'!$B$2:$B1000, 'Leveling Info'!$A$2:$A1000 =G932)"),"#N/A")</f>
        <v>#N/A</v>
      </c>
      <c r="I932" s="29" t="e">
        <f t="shared" ca="1" si="0"/>
        <v>#VALUE!</v>
      </c>
      <c r="J932" s="29" t="str">
        <f ca="1">IFERROR(__xludf.DUMMYFUNCTION("IF(F932 = H932,C932/FILTER('Base Stats'!$C$2:$C1000, LOWER('Base Stats'!$B$2:$B1000) = LOWER($A932)), """")"),"#N/A")</f>
        <v>#N/A</v>
      </c>
      <c r="K932" t="str">
        <f t="shared" ca="1" si="1"/>
        <v/>
      </c>
      <c r="L932" t="str">
        <f ca="1">IFERROR(__xludf.DUMMYFUNCTION("IF(AND(NOT(K932 = """"), G932 &gt;= 15),K932/FILTER('Base Stats'!$C$2:$C1000, LOWER('Base Stats'!$B$2:$B1000) = LOWER($A932)), """")"),"#N/A")</f>
        <v>#N/A</v>
      </c>
      <c r="M932" t="str">
        <f ca="1">IFERROR(__xludf.DUMMYFUNCTION("1.15 + 0.02 * FILTER('Base Stats'!$C$2:$C1000, LOWER('Base Stats'!$B$2:$B1000) = LOWER($A932))"),"1.15")</f>
        <v>1.15</v>
      </c>
      <c r="N932" t="s">
        <v>527</v>
      </c>
    </row>
    <row r="933" spans="1:14" ht="12.75" x14ac:dyDescent="0.2">
      <c r="A933">
        <f>'Form Responses (Pokemon Stats)'!B893</f>
        <v>0</v>
      </c>
      <c r="B933">
        <f>'Form Responses (Pokemon Stats)'!D893</f>
        <v>0</v>
      </c>
      <c r="C933">
        <f>'Form Responses (Pokemon Stats)'!C893</f>
        <v>0</v>
      </c>
      <c r="F933">
        <f>'Form Responses (Pokemon Stats)'!E893</f>
        <v>0</v>
      </c>
      <c r="G933" t="str">
        <f ca="1">IFERROR(__xludf.DUMMYFUNCTION("ROUND(B933/ FILTER('Pokemon CP/HP'!$M$2:$M1000, LOWER('Pokemon CP/HP'!$B$2:$B1000)=LOWER(A933)))"),"#DIV/0!")</f>
        <v>#DIV/0!</v>
      </c>
      <c r="H933" t="str">
        <f ca="1">IFERROR(__xludf.DUMMYFUNCTION("FILTER('Leveling Info'!$B$2:$B1000, 'Leveling Info'!$A$2:$A1000 =G933)"),"#N/A")</f>
        <v>#N/A</v>
      </c>
      <c r="I933" s="29" t="e">
        <f t="shared" ca="1" si="0"/>
        <v>#VALUE!</v>
      </c>
      <c r="J933" s="29" t="str">
        <f ca="1">IFERROR(__xludf.DUMMYFUNCTION("IF(F933 = H933,C933/FILTER('Base Stats'!$C$2:$C1000, LOWER('Base Stats'!$B$2:$B1000) = LOWER($A933)), """")"),"#N/A")</f>
        <v>#N/A</v>
      </c>
      <c r="K933" t="str">
        <f t="shared" ca="1" si="1"/>
        <v/>
      </c>
      <c r="L933" t="str">
        <f ca="1">IFERROR(__xludf.DUMMYFUNCTION("IF(AND(NOT(K933 = """"), G933 &gt;= 15),K933/FILTER('Base Stats'!$C$2:$C1000, LOWER('Base Stats'!$B$2:$B1000) = LOWER($A933)), """")"),"#N/A")</f>
        <v>#N/A</v>
      </c>
      <c r="M933" t="str">
        <f ca="1">IFERROR(__xludf.DUMMYFUNCTION("1.15 + 0.02 * FILTER('Base Stats'!$C$2:$C1000, LOWER('Base Stats'!$B$2:$B1000) = LOWER($A933))"),"1.15")</f>
        <v>1.15</v>
      </c>
      <c r="N933" t="s">
        <v>527</v>
      </c>
    </row>
    <row r="934" spans="1:14" ht="12.75" x14ac:dyDescent="0.2">
      <c r="A934">
        <f>'Form Responses (Pokemon Stats)'!B894</f>
        <v>0</v>
      </c>
      <c r="B934">
        <f>'Form Responses (Pokemon Stats)'!D894</f>
        <v>0</v>
      </c>
      <c r="C934">
        <f>'Form Responses (Pokemon Stats)'!C894</f>
        <v>0</v>
      </c>
      <c r="F934">
        <f>'Form Responses (Pokemon Stats)'!E894</f>
        <v>0</v>
      </c>
      <c r="G934" t="str">
        <f ca="1">IFERROR(__xludf.DUMMYFUNCTION("ROUND(B934/ FILTER('Pokemon CP/HP'!$M$2:$M1000, LOWER('Pokemon CP/HP'!$B$2:$B1000)=LOWER(A934)))"),"#DIV/0!")</f>
        <v>#DIV/0!</v>
      </c>
      <c r="H934" t="str">
        <f ca="1">IFERROR(__xludf.DUMMYFUNCTION("FILTER('Leveling Info'!$B$2:$B1000, 'Leveling Info'!$A$2:$A1000 =G934)"),"#N/A")</f>
        <v>#N/A</v>
      </c>
      <c r="I934" s="29" t="e">
        <f t="shared" ca="1" si="0"/>
        <v>#VALUE!</v>
      </c>
      <c r="J934" s="29" t="str">
        <f ca="1">IFERROR(__xludf.DUMMYFUNCTION("IF(F934 = H934,C934/FILTER('Base Stats'!$C$2:$C1000, LOWER('Base Stats'!$B$2:$B1000) = LOWER($A934)), """")"),"#N/A")</f>
        <v>#N/A</v>
      </c>
      <c r="K934" t="str">
        <f t="shared" ca="1" si="1"/>
        <v/>
      </c>
      <c r="L934" t="str">
        <f ca="1">IFERROR(__xludf.DUMMYFUNCTION("IF(AND(NOT(K934 = """"), G934 &gt;= 15),K934/FILTER('Base Stats'!$C$2:$C1000, LOWER('Base Stats'!$B$2:$B1000) = LOWER($A934)), """")"),"#N/A")</f>
        <v>#N/A</v>
      </c>
      <c r="M934" t="str">
        <f ca="1">IFERROR(__xludf.DUMMYFUNCTION("1.15 + 0.02 * FILTER('Base Stats'!$C$2:$C1000, LOWER('Base Stats'!$B$2:$B1000) = LOWER($A934))"),"1.15")</f>
        <v>1.15</v>
      </c>
      <c r="N934" t="s">
        <v>527</v>
      </c>
    </row>
    <row r="935" spans="1:14" ht="12.75" x14ac:dyDescent="0.2">
      <c r="A935">
        <f>'Form Responses (Pokemon Stats)'!B895</f>
        <v>0</v>
      </c>
      <c r="B935">
        <f>'Form Responses (Pokemon Stats)'!D895</f>
        <v>0</v>
      </c>
      <c r="C935">
        <f>'Form Responses (Pokemon Stats)'!C895</f>
        <v>0</v>
      </c>
      <c r="F935">
        <f>'Form Responses (Pokemon Stats)'!E895</f>
        <v>0</v>
      </c>
      <c r="G935" t="str">
        <f ca="1">IFERROR(__xludf.DUMMYFUNCTION("ROUND(B935/ FILTER('Pokemon CP/HP'!$M$2:$M1000, LOWER('Pokemon CP/HP'!$B$2:$B1000)=LOWER(A935)))"),"#DIV/0!")</f>
        <v>#DIV/0!</v>
      </c>
      <c r="H935" t="str">
        <f ca="1">IFERROR(__xludf.DUMMYFUNCTION("FILTER('Leveling Info'!$B$2:$B1000, 'Leveling Info'!$A$2:$A1000 =G935)"),"#N/A")</f>
        <v>#N/A</v>
      </c>
      <c r="I935" s="29" t="e">
        <f t="shared" ca="1" si="0"/>
        <v>#VALUE!</v>
      </c>
      <c r="J935" s="29" t="str">
        <f ca="1">IFERROR(__xludf.DUMMYFUNCTION("IF(F935 = H935,C935/FILTER('Base Stats'!$C$2:$C1000, LOWER('Base Stats'!$B$2:$B1000) = LOWER($A935)), """")"),"#N/A")</f>
        <v>#N/A</v>
      </c>
      <c r="K935" t="str">
        <f t="shared" ca="1" si="1"/>
        <v/>
      </c>
      <c r="L935" t="str">
        <f ca="1">IFERROR(__xludf.DUMMYFUNCTION("IF(AND(NOT(K935 = """"), G935 &gt;= 15),K935/FILTER('Base Stats'!$C$2:$C1000, LOWER('Base Stats'!$B$2:$B1000) = LOWER($A935)), """")"),"#N/A")</f>
        <v>#N/A</v>
      </c>
      <c r="M935" t="str">
        <f ca="1">IFERROR(__xludf.DUMMYFUNCTION("1.15 + 0.02 * FILTER('Base Stats'!$C$2:$C1000, LOWER('Base Stats'!$B$2:$B1000) = LOWER($A935))"),"1.15")</f>
        <v>1.15</v>
      </c>
      <c r="N935" t="s">
        <v>527</v>
      </c>
    </row>
    <row r="936" spans="1:14" ht="12.75" x14ac:dyDescent="0.2">
      <c r="A936">
        <f>'Form Responses (Pokemon Stats)'!B896</f>
        <v>0</v>
      </c>
      <c r="B936">
        <f>'Form Responses (Pokemon Stats)'!D896</f>
        <v>0</v>
      </c>
      <c r="C936">
        <f>'Form Responses (Pokemon Stats)'!C896</f>
        <v>0</v>
      </c>
      <c r="F936">
        <f>'Form Responses (Pokemon Stats)'!E896</f>
        <v>0</v>
      </c>
      <c r="G936" t="str">
        <f ca="1">IFERROR(__xludf.DUMMYFUNCTION("ROUND(B936/ FILTER('Pokemon CP/HP'!$M$2:$M1000, LOWER('Pokemon CP/HP'!$B$2:$B1000)=LOWER(A936)))"),"#DIV/0!")</f>
        <v>#DIV/0!</v>
      </c>
      <c r="H936" t="str">
        <f ca="1">IFERROR(__xludf.DUMMYFUNCTION("FILTER('Leveling Info'!$B$2:$B1000, 'Leveling Info'!$A$2:$A1000 =G936)"),"#N/A")</f>
        <v>#N/A</v>
      </c>
      <c r="I936" s="29" t="e">
        <f t="shared" ca="1" si="0"/>
        <v>#VALUE!</v>
      </c>
      <c r="J936" s="29" t="str">
        <f ca="1">IFERROR(__xludf.DUMMYFUNCTION("IF(F936 = H936,C936/FILTER('Base Stats'!$C$2:$C1000, LOWER('Base Stats'!$B$2:$B1000) = LOWER($A936)), """")"),"#N/A")</f>
        <v>#N/A</v>
      </c>
      <c r="K936" t="str">
        <f t="shared" ca="1" si="1"/>
        <v/>
      </c>
      <c r="L936" t="str">
        <f ca="1">IFERROR(__xludf.DUMMYFUNCTION("IF(AND(NOT(K936 = """"), G936 &gt;= 15),K936/FILTER('Base Stats'!$C$2:$C1000, LOWER('Base Stats'!$B$2:$B1000) = LOWER($A936)), """")"),"#N/A")</f>
        <v>#N/A</v>
      </c>
      <c r="M936" t="str">
        <f ca="1">IFERROR(__xludf.DUMMYFUNCTION("1.15 + 0.02 * FILTER('Base Stats'!$C$2:$C1000, LOWER('Base Stats'!$B$2:$B1000) = LOWER($A936))"),"1.15")</f>
        <v>1.15</v>
      </c>
      <c r="N936" t="s">
        <v>527</v>
      </c>
    </row>
    <row r="937" spans="1:14" ht="12.75" x14ac:dyDescent="0.2">
      <c r="A937">
        <f>'Form Responses (Pokemon Stats)'!B897</f>
        <v>0</v>
      </c>
      <c r="B937">
        <f>'Form Responses (Pokemon Stats)'!D897</f>
        <v>0</v>
      </c>
      <c r="C937">
        <f>'Form Responses (Pokemon Stats)'!C897</f>
        <v>0</v>
      </c>
      <c r="F937">
        <f>'Form Responses (Pokemon Stats)'!E897</f>
        <v>0</v>
      </c>
      <c r="G937" t="str">
        <f ca="1">IFERROR(__xludf.DUMMYFUNCTION("ROUND(B937/ FILTER('Pokemon CP/HP'!$M$2:$M1000, LOWER('Pokemon CP/HP'!$B$2:$B1000)=LOWER(A937)))"),"#DIV/0!")</f>
        <v>#DIV/0!</v>
      </c>
      <c r="H937" t="str">
        <f ca="1">IFERROR(__xludf.DUMMYFUNCTION("FILTER('Leveling Info'!$B$2:$B1000, 'Leveling Info'!$A$2:$A1000 =G937)"),"#N/A")</f>
        <v>#N/A</v>
      </c>
      <c r="I937" s="29" t="e">
        <f t="shared" ca="1" si="0"/>
        <v>#VALUE!</v>
      </c>
      <c r="J937" s="29" t="str">
        <f ca="1">IFERROR(__xludf.DUMMYFUNCTION("IF(F937 = H937,C937/FILTER('Base Stats'!$C$2:$C1000, LOWER('Base Stats'!$B$2:$B1000) = LOWER($A937)), """")"),"#N/A")</f>
        <v>#N/A</v>
      </c>
      <c r="K937" t="str">
        <f t="shared" ca="1" si="1"/>
        <v/>
      </c>
      <c r="L937" t="str">
        <f ca="1">IFERROR(__xludf.DUMMYFUNCTION("IF(AND(NOT(K937 = """"), G937 &gt;= 15),K937/FILTER('Base Stats'!$C$2:$C1000, LOWER('Base Stats'!$B$2:$B1000) = LOWER($A937)), """")"),"#N/A")</f>
        <v>#N/A</v>
      </c>
      <c r="M937" t="str">
        <f ca="1">IFERROR(__xludf.DUMMYFUNCTION("1.15 + 0.02 * FILTER('Base Stats'!$C$2:$C1000, LOWER('Base Stats'!$B$2:$B1000) = LOWER($A937))"),"1.15")</f>
        <v>1.15</v>
      </c>
      <c r="N937" t="s">
        <v>527</v>
      </c>
    </row>
    <row r="938" spans="1:14" ht="12.75" x14ac:dyDescent="0.2">
      <c r="A938">
        <f>'Form Responses (Pokemon Stats)'!B898</f>
        <v>0</v>
      </c>
      <c r="B938">
        <f>'Form Responses (Pokemon Stats)'!D898</f>
        <v>0</v>
      </c>
      <c r="C938">
        <f>'Form Responses (Pokemon Stats)'!C898</f>
        <v>0</v>
      </c>
      <c r="F938">
        <f>'Form Responses (Pokemon Stats)'!E898</f>
        <v>0</v>
      </c>
      <c r="G938" t="str">
        <f ca="1">IFERROR(__xludf.DUMMYFUNCTION("ROUND(B938/ FILTER('Pokemon CP/HP'!$M$2:$M1000, LOWER('Pokemon CP/HP'!$B$2:$B1000)=LOWER(A938)))"),"#DIV/0!")</f>
        <v>#DIV/0!</v>
      </c>
      <c r="H938" t="str">
        <f ca="1">IFERROR(__xludf.DUMMYFUNCTION("FILTER('Leveling Info'!$B$2:$B1000, 'Leveling Info'!$A$2:$A1000 =G938)"),"#N/A")</f>
        <v>#N/A</v>
      </c>
      <c r="I938" s="29" t="e">
        <f t="shared" ca="1" si="0"/>
        <v>#VALUE!</v>
      </c>
      <c r="J938" s="29" t="str">
        <f ca="1">IFERROR(__xludf.DUMMYFUNCTION("IF(F938 = H938,C938/FILTER('Base Stats'!$C$2:$C1000, LOWER('Base Stats'!$B$2:$B1000) = LOWER($A938)), """")"),"#N/A")</f>
        <v>#N/A</v>
      </c>
      <c r="K938" t="str">
        <f t="shared" ca="1" si="1"/>
        <v/>
      </c>
      <c r="L938" t="str">
        <f ca="1">IFERROR(__xludf.DUMMYFUNCTION("IF(AND(NOT(K938 = """"), G938 &gt;= 15),K938/FILTER('Base Stats'!$C$2:$C1000, LOWER('Base Stats'!$B$2:$B1000) = LOWER($A938)), """")"),"#N/A")</f>
        <v>#N/A</v>
      </c>
      <c r="M938" t="str">
        <f ca="1">IFERROR(__xludf.DUMMYFUNCTION("1.15 + 0.02 * FILTER('Base Stats'!$C$2:$C1000, LOWER('Base Stats'!$B$2:$B1000) = LOWER($A938))"),"1.15")</f>
        <v>1.15</v>
      </c>
      <c r="N938" t="s">
        <v>527</v>
      </c>
    </row>
    <row r="939" spans="1:14" ht="12.75" x14ac:dyDescent="0.2">
      <c r="A939">
        <f>'Form Responses (Pokemon Stats)'!B899</f>
        <v>0</v>
      </c>
      <c r="B939">
        <f>'Form Responses (Pokemon Stats)'!D899</f>
        <v>0</v>
      </c>
      <c r="C939">
        <f>'Form Responses (Pokemon Stats)'!C899</f>
        <v>0</v>
      </c>
      <c r="F939">
        <f>'Form Responses (Pokemon Stats)'!E899</f>
        <v>0</v>
      </c>
      <c r="G939" t="str">
        <f ca="1">IFERROR(__xludf.DUMMYFUNCTION("ROUND(B939/ FILTER('Pokemon CP/HP'!$M$2:$M1000, LOWER('Pokemon CP/HP'!$B$2:$B1000)=LOWER(A939)))"),"#DIV/0!")</f>
        <v>#DIV/0!</v>
      </c>
      <c r="H939" t="str">
        <f ca="1">IFERROR(__xludf.DUMMYFUNCTION("FILTER('Leveling Info'!$B$2:$B1000, 'Leveling Info'!$A$2:$A1000 =G939)"),"#N/A")</f>
        <v>#N/A</v>
      </c>
      <c r="I939" s="29" t="e">
        <f t="shared" ca="1" si="0"/>
        <v>#VALUE!</v>
      </c>
      <c r="J939" s="29" t="str">
        <f ca="1">IFERROR(__xludf.DUMMYFUNCTION("IF(F939 = H939,C939/FILTER('Base Stats'!$C$2:$C1000, LOWER('Base Stats'!$B$2:$B1000) = LOWER($A939)), """")"),"#N/A")</f>
        <v>#N/A</v>
      </c>
      <c r="K939" t="str">
        <f t="shared" ca="1" si="1"/>
        <v/>
      </c>
      <c r="L939" t="str">
        <f ca="1">IFERROR(__xludf.DUMMYFUNCTION("IF(AND(NOT(K939 = """"), G939 &gt;= 15),K939/FILTER('Base Stats'!$C$2:$C1000, LOWER('Base Stats'!$B$2:$B1000) = LOWER($A939)), """")"),"#N/A")</f>
        <v>#N/A</v>
      </c>
      <c r="M939" t="str">
        <f ca="1">IFERROR(__xludf.DUMMYFUNCTION("1.15 + 0.02 * FILTER('Base Stats'!$C$2:$C1000, LOWER('Base Stats'!$B$2:$B1000) = LOWER($A939))"),"1.15")</f>
        <v>1.15</v>
      </c>
      <c r="N939" t="s">
        <v>527</v>
      </c>
    </row>
    <row r="940" spans="1:14" ht="12.75" x14ac:dyDescent="0.2">
      <c r="A940">
        <f>'Form Responses (Pokemon Stats)'!B900</f>
        <v>0</v>
      </c>
      <c r="B940">
        <f>'Form Responses (Pokemon Stats)'!D900</f>
        <v>0</v>
      </c>
      <c r="C940">
        <f>'Form Responses (Pokemon Stats)'!C900</f>
        <v>0</v>
      </c>
      <c r="F940">
        <f>'Form Responses (Pokemon Stats)'!E900</f>
        <v>0</v>
      </c>
      <c r="G940" t="str">
        <f ca="1">IFERROR(__xludf.DUMMYFUNCTION("ROUND(B940/ FILTER('Pokemon CP/HP'!$M$2:$M1000, LOWER('Pokemon CP/HP'!$B$2:$B1000)=LOWER(A940)))"),"#DIV/0!")</f>
        <v>#DIV/0!</v>
      </c>
      <c r="H940" t="str">
        <f ca="1">IFERROR(__xludf.DUMMYFUNCTION("FILTER('Leveling Info'!$B$2:$B1000, 'Leveling Info'!$A$2:$A1000 =G940)"),"#N/A")</f>
        <v>#N/A</v>
      </c>
      <c r="I940" s="29" t="e">
        <f t="shared" ca="1" si="0"/>
        <v>#VALUE!</v>
      </c>
      <c r="J940" s="29" t="str">
        <f ca="1">IFERROR(__xludf.DUMMYFUNCTION("IF(F940 = H940,C940/FILTER('Base Stats'!$C$2:$C1000, LOWER('Base Stats'!$B$2:$B1000) = LOWER($A940)), """")"),"#N/A")</f>
        <v>#N/A</v>
      </c>
      <c r="K940" t="str">
        <f t="shared" ca="1" si="1"/>
        <v/>
      </c>
      <c r="L940" t="str">
        <f ca="1">IFERROR(__xludf.DUMMYFUNCTION("IF(AND(NOT(K940 = """"), G940 &gt;= 15),K940/FILTER('Base Stats'!$C$2:$C1000, LOWER('Base Stats'!$B$2:$B1000) = LOWER($A940)), """")"),"#N/A")</f>
        <v>#N/A</v>
      </c>
      <c r="M940" t="str">
        <f ca="1">IFERROR(__xludf.DUMMYFUNCTION("1.15 + 0.02 * FILTER('Base Stats'!$C$2:$C1000, LOWER('Base Stats'!$B$2:$B1000) = LOWER($A940))"),"1.15")</f>
        <v>1.15</v>
      </c>
      <c r="N940" t="s">
        <v>527</v>
      </c>
    </row>
    <row r="941" spans="1:14" ht="12.75" x14ac:dyDescent="0.2">
      <c r="A941">
        <f>'Form Responses (Pokemon Stats)'!B901</f>
        <v>0</v>
      </c>
      <c r="B941">
        <f>'Form Responses (Pokemon Stats)'!D901</f>
        <v>0</v>
      </c>
      <c r="C941">
        <f>'Form Responses (Pokemon Stats)'!C901</f>
        <v>0</v>
      </c>
      <c r="F941">
        <f>'Form Responses (Pokemon Stats)'!E901</f>
        <v>0</v>
      </c>
      <c r="G941" t="str">
        <f ca="1">IFERROR(__xludf.DUMMYFUNCTION("ROUND(B941/ FILTER('Pokemon CP/HP'!$M$2:$M1000, LOWER('Pokemon CP/HP'!$B$2:$B1000)=LOWER(A941)))"),"#DIV/0!")</f>
        <v>#DIV/0!</v>
      </c>
      <c r="H941" t="str">
        <f ca="1">IFERROR(__xludf.DUMMYFUNCTION("FILTER('Leveling Info'!$B$2:$B1000, 'Leveling Info'!$A$2:$A1000 =G941)"),"#N/A")</f>
        <v>#N/A</v>
      </c>
      <c r="I941" s="29" t="e">
        <f t="shared" ca="1" si="0"/>
        <v>#VALUE!</v>
      </c>
      <c r="J941" s="29" t="str">
        <f ca="1">IFERROR(__xludf.DUMMYFUNCTION("IF(F941 = H941,C941/FILTER('Base Stats'!$C$2:$C1000, LOWER('Base Stats'!$B$2:$B1000) = LOWER($A941)), """")"),"#N/A")</f>
        <v>#N/A</v>
      </c>
      <c r="K941" t="str">
        <f t="shared" ca="1" si="1"/>
        <v/>
      </c>
      <c r="L941" t="str">
        <f ca="1">IFERROR(__xludf.DUMMYFUNCTION("IF(AND(NOT(K941 = """"), G941 &gt;= 15),K941/FILTER('Base Stats'!$C$2:$C1000, LOWER('Base Stats'!$B$2:$B1000) = LOWER($A941)), """")"),"#N/A")</f>
        <v>#N/A</v>
      </c>
      <c r="M941" t="str">
        <f ca="1">IFERROR(__xludf.DUMMYFUNCTION("1.15 + 0.02 * FILTER('Base Stats'!$C$2:$C1000, LOWER('Base Stats'!$B$2:$B1000) = LOWER($A941))"),"1.15")</f>
        <v>1.15</v>
      </c>
      <c r="N941" t="s">
        <v>527</v>
      </c>
    </row>
    <row r="942" spans="1:14" ht="12.75" x14ac:dyDescent="0.2">
      <c r="A942">
        <f>'Form Responses (Pokemon Stats)'!B902</f>
        <v>0</v>
      </c>
      <c r="B942">
        <f>'Form Responses (Pokemon Stats)'!D902</f>
        <v>0</v>
      </c>
      <c r="C942">
        <f>'Form Responses (Pokemon Stats)'!C902</f>
        <v>0</v>
      </c>
      <c r="F942">
        <f>'Form Responses (Pokemon Stats)'!E902</f>
        <v>0</v>
      </c>
      <c r="G942" t="str">
        <f ca="1">IFERROR(__xludf.DUMMYFUNCTION("ROUND(B942/ FILTER('Pokemon CP/HP'!$M$2:$M1000, LOWER('Pokemon CP/HP'!$B$2:$B1000)=LOWER(A942)))"),"#DIV/0!")</f>
        <v>#DIV/0!</v>
      </c>
      <c r="H942" t="str">
        <f ca="1">IFERROR(__xludf.DUMMYFUNCTION("FILTER('Leveling Info'!$B$2:$B1000, 'Leveling Info'!$A$2:$A1000 =G942)"),"#N/A")</f>
        <v>#N/A</v>
      </c>
      <c r="I942" s="29" t="e">
        <f t="shared" ca="1" si="0"/>
        <v>#VALUE!</v>
      </c>
      <c r="J942" s="29" t="str">
        <f ca="1">IFERROR(__xludf.DUMMYFUNCTION("IF(F942 = H942,C942/FILTER('Base Stats'!$C$2:$C1000, LOWER('Base Stats'!$B$2:$B1000) = LOWER($A942)), """")"),"#N/A")</f>
        <v>#N/A</v>
      </c>
      <c r="K942" t="str">
        <f t="shared" ca="1" si="1"/>
        <v/>
      </c>
      <c r="L942" t="str">
        <f ca="1">IFERROR(__xludf.DUMMYFUNCTION("IF(AND(NOT(K942 = """"), G942 &gt;= 15),K942/FILTER('Base Stats'!$C$2:$C1000, LOWER('Base Stats'!$B$2:$B1000) = LOWER($A942)), """")"),"#N/A")</f>
        <v>#N/A</v>
      </c>
      <c r="M942" t="str">
        <f ca="1">IFERROR(__xludf.DUMMYFUNCTION("1.15 + 0.02 * FILTER('Base Stats'!$C$2:$C1000, LOWER('Base Stats'!$B$2:$B1000) = LOWER($A942))"),"1.15")</f>
        <v>1.15</v>
      </c>
      <c r="N942" t="s">
        <v>527</v>
      </c>
    </row>
    <row r="943" spans="1:14" ht="12.75" x14ac:dyDescent="0.2">
      <c r="A943">
        <f>'Form Responses (Pokemon Stats)'!B903</f>
        <v>0</v>
      </c>
      <c r="B943">
        <f>'Form Responses (Pokemon Stats)'!D903</f>
        <v>0</v>
      </c>
      <c r="C943">
        <f>'Form Responses (Pokemon Stats)'!C903</f>
        <v>0</v>
      </c>
      <c r="F943">
        <f>'Form Responses (Pokemon Stats)'!E903</f>
        <v>0</v>
      </c>
      <c r="G943" t="str">
        <f ca="1">IFERROR(__xludf.DUMMYFUNCTION("ROUND(B943/ FILTER('Pokemon CP/HP'!$M$2:$M1000, LOWER('Pokemon CP/HP'!$B$2:$B1000)=LOWER(A943)))"),"#DIV/0!")</f>
        <v>#DIV/0!</v>
      </c>
      <c r="H943" t="str">
        <f ca="1">IFERROR(__xludf.DUMMYFUNCTION("FILTER('Leveling Info'!$B$2:$B1000, 'Leveling Info'!$A$2:$A1000 =G943)"),"#N/A")</f>
        <v>#N/A</v>
      </c>
      <c r="I943" s="29" t="e">
        <f t="shared" ca="1" si="0"/>
        <v>#VALUE!</v>
      </c>
      <c r="J943" s="29" t="str">
        <f ca="1">IFERROR(__xludf.DUMMYFUNCTION("IF(F943 = H943,C943/FILTER('Base Stats'!$C$2:$C1000, LOWER('Base Stats'!$B$2:$B1000) = LOWER($A943)), """")"),"#N/A")</f>
        <v>#N/A</v>
      </c>
      <c r="K943" t="str">
        <f t="shared" ca="1" si="1"/>
        <v/>
      </c>
      <c r="L943" t="str">
        <f ca="1">IFERROR(__xludf.DUMMYFUNCTION("IF(AND(NOT(K943 = """"), G943 &gt;= 15),K943/FILTER('Base Stats'!$C$2:$C1000, LOWER('Base Stats'!$B$2:$B1000) = LOWER($A943)), """")"),"#N/A")</f>
        <v>#N/A</v>
      </c>
      <c r="M943" t="str">
        <f ca="1">IFERROR(__xludf.DUMMYFUNCTION("1.15 + 0.02 * FILTER('Base Stats'!$C$2:$C1000, LOWER('Base Stats'!$B$2:$B1000) = LOWER($A943))"),"1.15")</f>
        <v>1.15</v>
      </c>
      <c r="N943" t="s">
        <v>527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4.42578125" customWidth="1"/>
  </cols>
  <sheetData>
    <row r="1" spans="1:14" ht="15.75" customHeight="1" x14ac:dyDescent="0.2">
      <c r="A1" s="2" t="s">
        <v>4</v>
      </c>
      <c r="B1" s="2" t="s">
        <v>7</v>
      </c>
      <c r="C1" s="2" t="s">
        <v>536</v>
      </c>
      <c r="D1" s="2" t="s">
        <v>18</v>
      </c>
      <c r="E1" s="2" t="s">
        <v>19</v>
      </c>
      <c r="F1" s="2" t="s">
        <v>558</v>
      </c>
      <c r="G1" s="2" t="s">
        <v>559</v>
      </c>
      <c r="H1" s="2" t="s">
        <v>560</v>
      </c>
      <c r="I1" s="2" t="s">
        <v>561</v>
      </c>
      <c r="J1" s="2" t="s">
        <v>551</v>
      </c>
      <c r="K1" s="1"/>
      <c r="L1" s="1"/>
      <c r="M1" s="1"/>
      <c r="N1" s="1"/>
    </row>
    <row r="2" spans="1:14" ht="15.75" customHeight="1" x14ac:dyDescent="0.2">
      <c r="A2" s="11">
        <v>1</v>
      </c>
      <c r="B2" s="2" t="s">
        <v>23</v>
      </c>
      <c r="C2" s="11">
        <v>45</v>
      </c>
      <c r="D2" s="11">
        <v>49</v>
      </c>
      <c r="E2" s="11">
        <v>49</v>
      </c>
      <c r="F2" s="11">
        <v>65</v>
      </c>
      <c r="G2" s="11">
        <v>65</v>
      </c>
      <c r="H2" s="11">
        <v>45</v>
      </c>
      <c r="I2" s="11">
        <v>318</v>
      </c>
      <c r="J2" s="11">
        <v>53</v>
      </c>
      <c r="K2" s="15"/>
      <c r="L2" s="1"/>
      <c r="M2" s="1"/>
      <c r="N2" s="1"/>
    </row>
    <row r="3" spans="1:14" ht="15.75" customHeight="1" x14ac:dyDescent="0.2">
      <c r="A3" s="11">
        <v>2</v>
      </c>
      <c r="B3" s="2" t="s">
        <v>26</v>
      </c>
      <c r="C3" s="11">
        <v>60</v>
      </c>
      <c r="D3" s="11">
        <v>62</v>
      </c>
      <c r="E3" s="11">
        <v>63</v>
      </c>
      <c r="F3" s="11">
        <v>80</v>
      </c>
      <c r="G3" s="11">
        <v>80</v>
      </c>
      <c r="H3" s="11">
        <v>60</v>
      </c>
      <c r="I3" s="11">
        <v>405</v>
      </c>
      <c r="J3" s="11">
        <v>67.5</v>
      </c>
      <c r="K3" s="15"/>
      <c r="L3" s="1"/>
      <c r="M3" s="1"/>
      <c r="N3" s="1"/>
    </row>
    <row r="4" spans="1:14" ht="15.75" customHeight="1" x14ac:dyDescent="0.2">
      <c r="A4" s="11">
        <v>3</v>
      </c>
      <c r="B4" s="2" t="s">
        <v>28</v>
      </c>
      <c r="C4" s="11">
        <v>80</v>
      </c>
      <c r="D4" s="11">
        <v>82</v>
      </c>
      <c r="E4" s="11">
        <v>83</v>
      </c>
      <c r="F4" s="11">
        <v>100</v>
      </c>
      <c r="G4" s="11">
        <v>100</v>
      </c>
      <c r="H4" s="11">
        <v>80</v>
      </c>
      <c r="I4" s="11">
        <v>525</v>
      </c>
      <c r="J4" s="11">
        <v>87.5</v>
      </c>
      <c r="K4" s="15"/>
      <c r="L4" s="1"/>
      <c r="M4" s="1"/>
      <c r="N4" s="1"/>
    </row>
    <row r="5" spans="1:14" ht="15.75" customHeight="1" x14ac:dyDescent="0.2">
      <c r="A5" s="11">
        <v>4</v>
      </c>
      <c r="B5" s="2" t="s">
        <v>29</v>
      </c>
      <c r="C5" s="11">
        <v>39</v>
      </c>
      <c r="D5" s="11">
        <v>52</v>
      </c>
      <c r="E5" s="11">
        <v>43</v>
      </c>
      <c r="F5" s="11">
        <v>60</v>
      </c>
      <c r="G5" s="11">
        <v>50</v>
      </c>
      <c r="H5" s="11">
        <v>65</v>
      </c>
      <c r="I5" s="11">
        <v>309</v>
      </c>
      <c r="J5" s="11">
        <v>51.5</v>
      </c>
      <c r="K5" s="15"/>
      <c r="L5" s="1"/>
      <c r="M5" s="1"/>
      <c r="N5" s="1"/>
    </row>
    <row r="6" spans="1:14" ht="15.75" customHeight="1" x14ac:dyDescent="0.2">
      <c r="A6" s="11">
        <v>5</v>
      </c>
      <c r="B6" s="2" t="s">
        <v>31</v>
      </c>
      <c r="C6" s="11">
        <v>58</v>
      </c>
      <c r="D6" s="11">
        <v>64</v>
      </c>
      <c r="E6" s="11">
        <v>58</v>
      </c>
      <c r="F6" s="11">
        <v>80</v>
      </c>
      <c r="G6" s="11">
        <v>65</v>
      </c>
      <c r="H6" s="11">
        <v>80</v>
      </c>
      <c r="I6" s="11">
        <v>405</v>
      </c>
      <c r="J6" s="11">
        <v>67.5</v>
      </c>
      <c r="K6" s="15"/>
      <c r="L6" s="1"/>
      <c r="M6" s="1"/>
      <c r="N6" s="1"/>
    </row>
    <row r="7" spans="1:14" ht="15.75" customHeight="1" x14ac:dyDescent="0.2">
      <c r="A7" s="11">
        <v>6</v>
      </c>
      <c r="B7" s="2" t="s">
        <v>33</v>
      </c>
      <c r="C7" s="11">
        <v>78</v>
      </c>
      <c r="D7" s="11">
        <v>84</v>
      </c>
      <c r="E7" s="11">
        <v>78</v>
      </c>
      <c r="F7" s="11">
        <v>109</v>
      </c>
      <c r="G7" s="11">
        <v>85</v>
      </c>
      <c r="H7" s="11">
        <v>100</v>
      </c>
      <c r="I7" s="11">
        <v>534</v>
      </c>
      <c r="J7" s="11">
        <v>89</v>
      </c>
      <c r="K7" s="15"/>
      <c r="L7" s="1"/>
      <c r="M7" s="1"/>
      <c r="N7" s="1"/>
    </row>
    <row r="8" spans="1:14" ht="15.75" customHeight="1" x14ac:dyDescent="0.2">
      <c r="A8" s="11">
        <v>7</v>
      </c>
      <c r="B8" s="2" t="s">
        <v>34</v>
      </c>
      <c r="C8" s="11">
        <v>44</v>
      </c>
      <c r="D8" s="11">
        <v>48</v>
      </c>
      <c r="E8" s="11">
        <v>65</v>
      </c>
      <c r="F8" s="11">
        <v>50</v>
      </c>
      <c r="G8" s="11">
        <v>64</v>
      </c>
      <c r="H8" s="11">
        <v>43</v>
      </c>
      <c r="I8" s="11">
        <v>314</v>
      </c>
      <c r="J8" s="11">
        <v>52.33</v>
      </c>
      <c r="K8" s="15"/>
      <c r="L8" s="1"/>
      <c r="M8" s="1"/>
      <c r="N8" s="1"/>
    </row>
    <row r="9" spans="1:14" ht="15.75" customHeight="1" x14ac:dyDescent="0.2">
      <c r="A9" s="11">
        <v>8</v>
      </c>
      <c r="B9" s="2" t="s">
        <v>35</v>
      </c>
      <c r="C9" s="11">
        <v>59</v>
      </c>
      <c r="D9" s="11">
        <v>63</v>
      </c>
      <c r="E9" s="11">
        <v>80</v>
      </c>
      <c r="F9" s="11">
        <v>65</v>
      </c>
      <c r="G9" s="11">
        <v>80</v>
      </c>
      <c r="H9" s="11">
        <v>58</v>
      </c>
      <c r="I9" s="11">
        <v>405</v>
      </c>
      <c r="J9" s="11">
        <v>67.5</v>
      </c>
      <c r="K9" s="15"/>
      <c r="L9" s="1"/>
      <c r="M9" s="1"/>
      <c r="N9" s="1"/>
    </row>
    <row r="10" spans="1:14" ht="15.75" customHeight="1" x14ac:dyDescent="0.2">
      <c r="A10" s="11">
        <v>9</v>
      </c>
      <c r="B10" s="2" t="s">
        <v>37</v>
      </c>
      <c r="C10" s="11">
        <v>79</v>
      </c>
      <c r="D10" s="11">
        <v>83</v>
      </c>
      <c r="E10" s="11">
        <v>100</v>
      </c>
      <c r="F10" s="11">
        <v>85</v>
      </c>
      <c r="G10" s="11">
        <v>105</v>
      </c>
      <c r="H10" s="11">
        <v>78</v>
      </c>
      <c r="I10" s="11">
        <v>530</v>
      </c>
      <c r="J10" s="11">
        <v>88.33</v>
      </c>
      <c r="K10" s="15"/>
      <c r="L10" s="1"/>
      <c r="M10" s="1"/>
      <c r="N10" s="1"/>
    </row>
    <row r="11" spans="1:14" ht="15.75" customHeight="1" x14ac:dyDescent="0.2">
      <c r="A11" s="11">
        <v>10</v>
      </c>
      <c r="B11" s="2" t="s">
        <v>38</v>
      </c>
      <c r="C11" s="11">
        <v>45</v>
      </c>
      <c r="D11" s="11">
        <v>30</v>
      </c>
      <c r="E11" s="11">
        <v>35</v>
      </c>
      <c r="F11" s="11">
        <v>20</v>
      </c>
      <c r="G11" s="11">
        <v>20</v>
      </c>
      <c r="H11" s="11">
        <v>45</v>
      </c>
      <c r="I11" s="11">
        <v>195</v>
      </c>
      <c r="J11" s="11">
        <v>32.5</v>
      </c>
      <c r="K11" s="15"/>
      <c r="L11" s="1"/>
      <c r="M11" s="1"/>
      <c r="N11" s="1"/>
    </row>
    <row r="12" spans="1:14" ht="15.75" customHeight="1" x14ac:dyDescent="0.2">
      <c r="A12" s="11">
        <v>11</v>
      </c>
      <c r="B12" s="2" t="s">
        <v>39</v>
      </c>
      <c r="C12" s="11">
        <v>50</v>
      </c>
      <c r="D12" s="11">
        <v>20</v>
      </c>
      <c r="E12" s="11">
        <v>55</v>
      </c>
      <c r="F12" s="11">
        <v>25</v>
      </c>
      <c r="G12" s="11">
        <v>25</v>
      </c>
      <c r="H12" s="11">
        <v>30</v>
      </c>
      <c r="I12" s="11">
        <v>205</v>
      </c>
      <c r="J12" s="11">
        <v>34.17</v>
      </c>
      <c r="K12" s="15"/>
      <c r="L12" s="1"/>
      <c r="M12" s="1"/>
      <c r="N12" s="1"/>
    </row>
    <row r="13" spans="1:14" ht="15.75" customHeight="1" x14ac:dyDescent="0.2">
      <c r="A13" s="11">
        <v>12</v>
      </c>
      <c r="B13" s="2" t="s">
        <v>40</v>
      </c>
      <c r="C13" s="11">
        <v>60</v>
      </c>
      <c r="D13" s="11">
        <v>45</v>
      </c>
      <c r="E13" s="11">
        <v>50</v>
      </c>
      <c r="F13" s="11">
        <v>90</v>
      </c>
      <c r="G13" s="11">
        <v>80</v>
      </c>
      <c r="H13" s="11">
        <v>70</v>
      </c>
      <c r="I13" s="11">
        <v>395</v>
      </c>
      <c r="J13" s="11">
        <v>65.83</v>
      </c>
      <c r="K13" s="15"/>
      <c r="L13" s="1"/>
      <c r="M13" s="1"/>
      <c r="N13" s="1"/>
    </row>
    <row r="14" spans="1:14" ht="15.75" customHeight="1" x14ac:dyDescent="0.2">
      <c r="A14" s="11">
        <v>13</v>
      </c>
      <c r="B14" s="2" t="s">
        <v>41</v>
      </c>
      <c r="C14" s="11">
        <v>40</v>
      </c>
      <c r="D14" s="11">
        <v>35</v>
      </c>
      <c r="E14" s="11">
        <v>30</v>
      </c>
      <c r="F14" s="11">
        <v>20</v>
      </c>
      <c r="G14" s="11">
        <v>20</v>
      </c>
      <c r="H14" s="11">
        <v>50</v>
      </c>
      <c r="I14" s="11">
        <v>195</v>
      </c>
      <c r="J14" s="11">
        <v>32.5</v>
      </c>
      <c r="K14" s="15"/>
      <c r="L14" s="1"/>
      <c r="M14" s="1"/>
      <c r="N14" s="1"/>
    </row>
    <row r="15" spans="1:14" ht="15.75" customHeight="1" x14ac:dyDescent="0.2">
      <c r="A15" s="11">
        <v>14</v>
      </c>
      <c r="B15" s="2" t="s">
        <v>44</v>
      </c>
      <c r="C15" s="11">
        <v>45</v>
      </c>
      <c r="D15" s="11">
        <v>25</v>
      </c>
      <c r="E15" s="11">
        <v>50</v>
      </c>
      <c r="F15" s="11">
        <v>25</v>
      </c>
      <c r="G15" s="11">
        <v>25</v>
      </c>
      <c r="H15" s="11">
        <v>35</v>
      </c>
      <c r="I15" s="11">
        <v>205</v>
      </c>
      <c r="J15" s="11">
        <v>34.17</v>
      </c>
      <c r="K15" s="15"/>
      <c r="L15" s="1"/>
      <c r="M15" s="1"/>
      <c r="N15" s="1"/>
    </row>
    <row r="16" spans="1:14" ht="15.75" customHeight="1" x14ac:dyDescent="0.2">
      <c r="A16" s="11">
        <v>15</v>
      </c>
      <c r="B16" s="2" t="s">
        <v>48</v>
      </c>
      <c r="C16" s="11">
        <v>65</v>
      </c>
      <c r="D16" s="11">
        <v>90</v>
      </c>
      <c r="E16" s="11">
        <v>40</v>
      </c>
      <c r="F16" s="11">
        <v>45</v>
      </c>
      <c r="G16" s="11">
        <v>80</v>
      </c>
      <c r="H16" s="11">
        <v>75</v>
      </c>
      <c r="I16" s="11">
        <v>395</v>
      </c>
      <c r="J16" s="11">
        <v>65.83</v>
      </c>
      <c r="K16" s="15"/>
      <c r="L16" s="1"/>
      <c r="M16" s="1"/>
      <c r="N16" s="1"/>
    </row>
    <row r="17" spans="1:14" ht="15.75" customHeight="1" x14ac:dyDescent="0.2">
      <c r="A17" s="11">
        <v>16</v>
      </c>
      <c r="B17" s="2" t="s">
        <v>49</v>
      </c>
      <c r="C17" s="11">
        <v>40</v>
      </c>
      <c r="D17" s="11">
        <v>45</v>
      </c>
      <c r="E17" s="11">
        <v>40</v>
      </c>
      <c r="F17" s="11">
        <v>35</v>
      </c>
      <c r="G17" s="11">
        <v>35</v>
      </c>
      <c r="H17" s="11">
        <v>56</v>
      </c>
      <c r="I17" s="11">
        <v>251</v>
      </c>
      <c r="J17" s="11">
        <v>41.83</v>
      </c>
      <c r="K17" s="15"/>
      <c r="L17" s="1"/>
      <c r="M17" s="1"/>
      <c r="N17" s="1"/>
    </row>
    <row r="18" spans="1:14" ht="15.75" customHeight="1" x14ac:dyDescent="0.2">
      <c r="A18" s="11">
        <v>17</v>
      </c>
      <c r="B18" s="2" t="s">
        <v>50</v>
      </c>
      <c r="C18" s="11">
        <v>63</v>
      </c>
      <c r="D18" s="11">
        <v>60</v>
      </c>
      <c r="E18" s="11">
        <v>55</v>
      </c>
      <c r="F18" s="11">
        <v>50</v>
      </c>
      <c r="G18" s="11">
        <v>50</v>
      </c>
      <c r="H18" s="11">
        <v>71</v>
      </c>
      <c r="I18" s="11">
        <v>349</v>
      </c>
      <c r="J18" s="11">
        <v>58.17</v>
      </c>
      <c r="K18" s="15"/>
      <c r="L18" s="1"/>
      <c r="M18" s="1"/>
      <c r="N18" s="1"/>
    </row>
    <row r="19" spans="1:14" ht="15.75" customHeight="1" x14ac:dyDescent="0.2">
      <c r="A19" s="11">
        <v>18</v>
      </c>
      <c r="B19" s="2" t="s">
        <v>51</v>
      </c>
      <c r="C19" s="11">
        <v>83</v>
      </c>
      <c r="D19" s="11">
        <v>80</v>
      </c>
      <c r="E19" s="11">
        <v>75</v>
      </c>
      <c r="F19" s="11">
        <v>70</v>
      </c>
      <c r="G19" s="11">
        <v>70</v>
      </c>
      <c r="H19" s="11">
        <v>101</v>
      </c>
      <c r="I19" s="11">
        <v>479</v>
      </c>
      <c r="J19" s="11">
        <v>79.83</v>
      </c>
      <c r="K19" s="15"/>
      <c r="L19" s="1"/>
      <c r="M19" s="1"/>
      <c r="N19" s="1"/>
    </row>
    <row r="20" spans="1:14" ht="15.75" customHeight="1" x14ac:dyDescent="0.2">
      <c r="A20" s="11">
        <v>19</v>
      </c>
      <c r="B20" s="2" t="s">
        <v>52</v>
      </c>
      <c r="C20" s="11">
        <v>30</v>
      </c>
      <c r="D20" s="11">
        <v>56</v>
      </c>
      <c r="E20" s="11">
        <v>35</v>
      </c>
      <c r="F20" s="11">
        <v>25</v>
      </c>
      <c r="G20" s="11">
        <v>35</v>
      </c>
      <c r="H20" s="11">
        <v>72</v>
      </c>
      <c r="I20" s="11">
        <v>253</v>
      </c>
      <c r="J20" s="11">
        <v>42.17</v>
      </c>
      <c r="K20" s="15"/>
      <c r="L20" s="1"/>
      <c r="M20" s="1"/>
      <c r="N20" s="1"/>
    </row>
    <row r="21" spans="1:14" ht="15.75" customHeight="1" x14ac:dyDescent="0.2">
      <c r="A21" s="11">
        <v>20</v>
      </c>
      <c r="B21" s="2" t="s">
        <v>53</v>
      </c>
      <c r="C21" s="11">
        <v>55</v>
      </c>
      <c r="D21" s="11">
        <v>81</v>
      </c>
      <c r="E21" s="11">
        <v>60</v>
      </c>
      <c r="F21" s="11">
        <v>50</v>
      </c>
      <c r="G21" s="11">
        <v>70</v>
      </c>
      <c r="H21" s="11">
        <v>97</v>
      </c>
      <c r="I21" s="11">
        <v>413</v>
      </c>
      <c r="J21" s="11">
        <v>68.83</v>
      </c>
      <c r="K21" s="15"/>
      <c r="L21" s="1"/>
      <c r="M21" s="1"/>
      <c r="N21" s="1"/>
    </row>
    <row r="22" spans="1:14" ht="15.75" customHeight="1" x14ac:dyDescent="0.2">
      <c r="A22" s="11">
        <v>21</v>
      </c>
      <c r="B22" s="2" t="s">
        <v>54</v>
      </c>
      <c r="C22" s="11">
        <v>40</v>
      </c>
      <c r="D22" s="11">
        <v>60</v>
      </c>
      <c r="E22" s="11">
        <v>30</v>
      </c>
      <c r="F22" s="11">
        <v>31</v>
      </c>
      <c r="G22" s="11">
        <v>31</v>
      </c>
      <c r="H22" s="11">
        <v>70</v>
      </c>
      <c r="I22" s="11">
        <v>262</v>
      </c>
      <c r="J22" s="11">
        <v>43.67</v>
      </c>
      <c r="K22" s="15"/>
      <c r="L22" s="1"/>
      <c r="M22" s="1"/>
      <c r="N22" s="1"/>
    </row>
    <row r="23" spans="1:14" ht="15.75" customHeight="1" x14ac:dyDescent="0.2">
      <c r="A23" s="11">
        <v>22</v>
      </c>
      <c r="B23" s="2" t="s">
        <v>55</v>
      </c>
      <c r="C23" s="11">
        <v>65</v>
      </c>
      <c r="D23" s="11">
        <v>90</v>
      </c>
      <c r="E23" s="11">
        <v>65</v>
      </c>
      <c r="F23" s="11">
        <v>61</v>
      </c>
      <c r="G23" s="11">
        <v>61</v>
      </c>
      <c r="H23" s="11">
        <v>100</v>
      </c>
      <c r="I23" s="11">
        <v>442</v>
      </c>
      <c r="J23" s="11">
        <v>73.67</v>
      </c>
      <c r="K23" s="15"/>
      <c r="L23" s="1"/>
      <c r="M23" s="1"/>
      <c r="N23" s="1"/>
    </row>
    <row r="24" spans="1:14" ht="15.75" customHeight="1" x14ac:dyDescent="0.2">
      <c r="A24" s="11">
        <v>23</v>
      </c>
      <c r="B24" s="2" t="s">
        <v>56</v>
      </c>
      <c r="C24" s="11">
        <v>35</v>
      </c>
      <c r="D24" s="11">
        <v>60</v>
      </c>
      <c r="E24" s="11">
        <v>44</v>
      </c>
      <c r="F24" s="11">
        <v>40</v>
      </c>
      <c r="G24" s="11">
        <v>54</v>
      </c>
      <c r="H24" s="11">
        <v>55</v>
      </c>
      <c r="I24" s="11">
        <v>288</v>
      </c>
      <c r="J24" s="11">
        <v>48</v>
      </c>
      <c r="K24" s="15"/>
      <c r="L24" s="1"/>
      <c r="M24" s="1"/>
      <c r="N24" s="1"/>
    </row>
    <row r="25" spans="1:14" ht="15.75" customHeight="1" x14ac:dyDescent="0.2">
      <c r="A25" s="11">
        <v>24</v>
      </c>
      <c r="B25" s="2" t="s">
        <v>57</v>
      </c>
      <c r="C25" s="11">
        <v>60</v>
      </c>
      <c r="D25" s="11">
        <v>85</v>
      </c>
      <c r="E25" s="11">
        <v>69</v>
      </c>
      <c r="F25" s="11">
        <v>65</v>
      </c>
      <c r="G25" s="11">
        <v>79</v>
      </c>
      <c r="H25" s="11">
        <v>80</v>
      </c>
      <c r="I25" s="11">
        <v>438</v>
      </c>
      <c r="J25" s="11">
        <v>73</v>
      </c>
      <c r="K25" s="15"/>
      <c r="L25" s="1"/>
      <c r="M25" s="1"/>
      <c r="N25" s="1"/>
    </row>
    <row r="26" spans="1:14" ht="15.75" customHeight="1" x14ac:dyDescent="0.2">
      <c r="A26" s="11">
        <v>25</v>
      </c>
      <c r="B26" s="2" t="s">
        <v>58</v>
      </c>
      <c r="C26" s="11">
        <v>35</v>
      </c>
      <c r="D26" s="11">
        <v>55</v>
      </c>
      <c r="E26" s="11">
        <v>40</v>
      </c>
      <c r="F26" s="11">
        <v>50</v>
      </c>
      <c r="G26" s="11">
        <v>50</v>
      </c>
      <c r="H26" s="11">
        <v>90</v>
      </c>
      <c r="I26" s="11">
        <v>320</v>
      </c>
      <c r="J26" s="11">
        <v>53.33</v>
      </c>
      <c r="K26" s="15"/>
      <c r="L26" s="1"/>
      <c r="M26" s="1"/>
      <c r="N26" s="1"/>
    </row>
    <row r="27" spans="1:14" ht="15.75" customHeight="1" x14ac:dyDescent="0.2">
      <c r="A27" s="11">
        <v>26</v>
      </c>
      <c r="B27" s="2" t="s">
        <v>59</v>
      </c>
      <c r="C27" s="11">
        <v>60</v>
      </c>
      <c r="D27" s="11">
        <v>90</v>
      </c>
      <c r="E27" s="11">
        <v>55</v>
      </c>
      <c r="F27" s="11">
        <v>90</v>
      </c>
      <c r="G27" s="11">
        <v>80</v>
      </c>
      <c r="H27" s="11">
        <v>110</v>
      </c>
      <c r="I27" s="11">
        <v>485</v>
      </c>
      <c r="J27" s="11">
        <v>80.83</v>
      </c>
      <c r="K27" s="15"/>
      <c r="L27" s="1"/>
      <c r="M27" s="1"/>
      <c r="N27" s="1"/>
    </row>
    <row r="28" spans="1:14" ht="15.75" customHeight="1" x14ac:dyDescent="0.2">
      <c r="A28" s="11">
        <v>27</v>
      </c>
      <c r="B28" s="2" t="s">
        <v>60</v>
      </c>
      <c r="C28" s="11">
        <v>50</v>
      </c>
      <c r="D28" s="11">
        <v>75</v>
      </c>
      <c r="E28" s="11">
        <v>85</v>
      </c>
      <c r="F28" s="11">
        <v>20</v>
      </c>
      <c r="G28" s="11">
        <v>30</v>
      </c>
      <c r="H28" s="11">
        <v>40</v>
      </c>
      <c r="I28" s="11">
        <v>300</v>
      </c>
      <c r="J28" s="11">
        <v>50</v>
      </c>
      <c r="K28" s="15"/>
      <c r="L28" s="1"/>
      <c r="M28" s="1"/>
      <c r="N28" s="1"/>
    </row>
    <row r="29" spans="1:14" ht="15.75" customHeight="1" x14ac:dyDescent="0.2">
      <c r="A29" s="11">
        <v>28</v>
      </c>
      <c r="B29" s="2" t="s">
        <v>61</v>
      </c>
      <c r="C29" s="11">
        <v>75</v>
      </c>
      <c r="D29" s="11">
        <v>100</v>
      </c>
      <c r="E29" s="11">
        <v>110</v>
      </c>
      <c r="F29" s="11">
        <v>45</v>
      </c>
      <c r="G29" s="11">
        <v>55</v>
      </c>
      <c r="H29" s="11">
        <v>65</v>
      </c>
      <c r="I29" s="11">
        <v>450</v>
      </c>
      <c r="J29" s="11">
        <v>75</v>
      </c>
      <c r="K29" s="15"/>
      <c r="L29" s="1"/>
      <c r="M29" s="1"/>
      <c r="N29" s="1"/>
    </row>
    <row r="30" spans="1:14" ht="15.75" customHeight="1" x14ac:dyDescent="0.2">
      <c r="A30" s="11">
        <v>29</v>
      </c>
      <c r="B30" s="9" t="s">
        <v>62</v>
      </c>
      <c r="C30" s="11">
        <v>55</v>
      </c>
      <c r="D30" s="11">
        <v>47</v>
      </c>
      <c r="E30" s="11">
        <v>52</v>
      </c>
      <c r="F30" s="11">
        <v>40</v>
      </c>
      <c r="G30" s="11">
        <v>40</v>
      </c>
      <c r="H30" s="11">
        <v>41</v>
      </c>
      <c r="I30" s="11">
        <v>275</v>
      </c>
      <c r="J30" s="11">
        <v>45.83</v>
      </c>
      <c r="K30" s="15"/>
      <c r="L30" s="1"/>
      <c r="M30" s="1"/>
      <c r="N30" s="1"/>
    </row>
    <row r="31" spans="1:14" ht="12.75" x14ac:dyDescent="0.2">
      <c r="A31" s="11">
        <v>30</v>
      </c>
      <c r="B31" s="2" t="s">
        <v>63</v>
      </c>
      <c r="C31" s="11">
        <v>70</v>
      </c>
      <c r="D31" s="11">
        <v>62</v>
      </c>
      <c r="E31" s="11">
        <v>67</v>
      </c>
      <c r="F31" s="11">
        <v>55</v>
      </c>
      <c r="G31" s="11">
        <v>55</v>
      </c>
      <c r="H31" s="11">
        <v>56</v>
      </c>
      <c r="I31" s="11">
        <v>365</v>
      </c>
      <c r="J31" s="11">
        <v>60.83</v>
      </c>
      <c r="K31" s="15"/>
      <c r="L31" s="1"/>
      <c r="M31" s="1"/>
      <c r="N31" s="1"/>
    </row>
    <row r="32" spans="1:14" ht="12.75" x14ac:dyDescent="0.2">
      <c r="A32" s="11">
        <v>31</v>
      </c>
      <c r="B32" s="2" t="s">
        <v>64</v>
      </c>
      <c r="C32" s="11">
        <v>90</v>
      </c>
      <c r="D32" s="11">
        <v>92</v>
      </c>
      <c r="E32" s="11">
        <v>87</v>
      </c>
      <c r="F32" s="11">
        <v>75</v>
      </c>
      <c r="G32" s="11">
        <v>85</v>
      </c>
      <c r="H32" s="11">
        <v>76</v>
      </c>
      <c r="I32" s="11">
        <v>505</v>
      </c>
      <c r="J32" s="11">
        <v>84.17</v>
      </c>
      <c r="K32" s="15"/>
      <c r="L32" s="1"/>
      <c r="M32" s="1"/>
      <c r="N32" s="1"/>
    </row>
    <row r="33" spans="1:14" ht="12.75" x14ac:dyDescent="0.2">
      <c r="A33" s="11">
        <v>32</v>
      </c>
      <c r="B33" s="9" t="s">
        <v>65</v>
      </c>
      <c r="C33" s="11">
        <v>46</v>
      </c>
      <c r="D33" s="11">
        <v>57</v>
      </c>
      <c r="E33" s="11">
        <v>40</v>
      </c>
      <c r="F33" s="11">
        <v>40</v>
      </c>
      <c r="G33" s="11">
        <v>40</v>
      </c>
      <c r="H33" s="11">
        <v>50</v>
      </c>
      <c r="I33" s="11">
        <v>273</v>
      </c>
      <c r="J33" s="11">
        <v>45.5</v>
      </c>
      <c r="K33" s="15"/>
      <c r="L33" s="1"/>
      <c r="M33" s="1"/>
      <c r="N33" s="1"/>
    </row>
    <row r="34" spans="1:14" ht="12.75" x14ac:dyDescent="0.2">
      <c r="A34" s="11">
        <v>33</v>
      </c>
      <c r="B34" s="2" t="s">
        <v>66</v>
      </c>
      <c r="C34" s="11">
        <v>61</v>
      </c>
      <c r="D34" s="11">
        <v>72</v>
      </c>
      <c r="E34" s="11">
        <v>57</v>
      </c>
      <c r="F34" s="11">
        <v>55</v>
      </c>
      <c r="G34" s="11">
        <v>55</v>
      </c>
      <c r="H34" s="11">
        <v>65</v>
      </c>
      <c r="I34" s="11">
        <v>365</v>
      </c>
      <c r="J34" s="11">
        <v>60.83</v>
      </c>
      <c r="K34" s="15"/>
      <c r="L34" s="1"/>
      <c r="M34" s="1"/>
      <c r="N34" s="1"/>
    </row>
    <row r="35" spans="1:14" ht="12.75" x14ac:dyDescent="0.2">
      <c r="A35" s="11">
        <v>34</v>
      </c>
      <c r="B35" s="2" t="s">
        <v>67</v>
      </c>
      <c r="C35" s="11">
        <v>81</v>
      </c>
      <c r="D35" s="11">
        <v>102</v>
      </c>
      <c r="E35" s="11">
        <v>77</v>
      </c>
      <c r="F35" s="11">
        <v>85</v>
      </c>
      <c r="G35" s="11">
        <v>75</v>
      </c>
      <c r="H35" s="11">
        <v>85</v>
      </c>
      <c r="I35" s="11">
        <v>505</v>
      </c>
      <c r="J35" s="11">
        <v>84.17</v>
      </c>
      <c r="K35" s="15"/>
      <c r="L35" s="1"/>
      <c r="M35" s="1"/>
      <c r="N35" s="1"/>
    </row>
    <row r="36" spans="1:14" ht="12.75" x14ac:dyDescent="0.2">
      <c r="A36" s="11">
        <v>35</v>
      </c>
      <c r="B36" s="2" t="s">
        <v>68</v>
      </c>
      <c r="C36" s="11">
        <v>70</v>
      </c>
      <c r="D36" s="11">
        <v>45</v>
      </c>
      <c r="E36" s="11">
        <v>48</v>
      </c>
      <c r="F36" s="11">
        <v>60</v>
      </c>
      <c r="G36" s="11">
        <v>65</v>
      </c>
      <c r="H36" s="11">
        <v>35</v>
      </c>
      <c r="I36" s="11">
        <v>323</v>
      </c>
      <c r="J36" s="11">
        <v>53.83</v>
      </c>
      <c r="K36" s="15"/>
      <c r="L36" s="1"/>
      <c r="M36" s="1"/>
      <c r="N36" s="1"/>
    </row>
    <row r="37" spans="1:14" ht="12.75" x14ac:dyDescent="0.2">
      <c r="A37" s="11">
        <v>36</v>
      </c>
      <c r="B37" s="2" t="s">
        <v>69</v>
      </c>
      <c r="C37" s="11">
        <v>95</v>
      </c>
      <c r="D37" s="11">
        <v>70</v>
      </c>
      <c r="E37" s="11">
        <v>73</v>
      </c>
      <c r="F37" s="11">
        <v>95</v>
      </c>
      <c r="G37" s="11">
        <v>90</v>
      </c>
      <c r="H37" s="11">
        <v>60</v>
      </c>
      <c r="I37" s="11">
        <v>483</v>
      </c>
      <c r="J37" s="11">
        <v>80.5</v>
      </c>
      <c r="K37" s="15"/>
      <c r="L37" s="1"/>
      <c r="M37" s="1"/>
      <c r="N37" s="1"/>
    </row>
    <row r="38" spans="1:14" ht="12.75" x14ac:dyDescent="0.2">
      <c r="A38" s="11">
        <v>37</v>
      </c>
      <c r="B38" s="2" t="s">
        <v>70</v>
      </c>
      <c r="C38" s="11">
        <v>38</v>
      </c>
      <c r="D38" s="11">
        <v>41</v>
      </c>
      <c r="E38" s="11">
        <v>40</v>
      </c>
      <c r="F38" s="11">
        <v>50</v>
      </c>
      <c r="G38" s="11">
        <v>65</v>
      </c>
      <c r="H38" s="11">
        <v>65</v>
      </c>
      <c r="I38" s="11">
        <v>299</v>
      </c>
      <c r="J38" s="11">
        <v>49.83</v>
      </c>
      <c r="K38" s="15"/>
      <c r="L38" s="1"/>
      <c r="M38" s="1"/>
      <c r="N38" s="1"/>
    </row>
    <row r="39" spans="1:14" ht="12.75" x14ac:dyDescent="0.2">
      <c r="A39" s="11">
        <v>38</v>
      </c>
      <c r="B39" s="2" t="s">
        <v>71</v>
      </c>
      <c r="C39" s="11">
        <v>73</v>
      </c>
      <c r="D39" s="11">
        <v>76</v>
      </c>
      <c r="E39" s="11">
        <v>75</v>
      </c>
      <c r="F39" s="11">
        <v>81</v>
      </c>
      <c r="G39" s="11">
        <v>100</v>
      </c>
      <c r="H39" s="11">
        <v>100</v>
      </c>
      <c r="I39" s="11">
        <v>505</v>
      </c>
      <c r="J39" s="11">
        <v>84.17</v>
      </c>
      <c r="K39" s="15"/>
      <c r="L39" s="1"/>
      <c r="M39" s="1"/>
      <c r="N39" s="1"/>
    </row>
    <row r="40" spans="1:14" ht="12.75" x14ac:dyDescent="0.2">
      <c r="A40" s="11">
        <v>39</v>
      </c>
      <c r="B40" s="2" t="s">
        <v>72</v>
      </c>
      <c r="C40" s="11">
        <v>115</v>
      </c>
      <c r="D40" s="11">
        <v>45</v>
      </c>
      <c r="E40" s="11">
        <v>20</v>
      </c>
      <c r="F40" s="11">
        <v>45</v>
      </c>
      <c r="G40" s="11">
        <v>25</v>
      </c>
      <c r="H40" s="11">
        <v>20</v>
      </c>
      <c r="I40" s="11">
        <v>270</v>
      </c>
      <c r="J40" s="11">
        <v>45</v>
      </c>
      <c r="K40" s="15"/>
      <c r="L40" s="1"/>
      <c r="M40" s="1"/>
      <c r="N40" s="1"/>
    </row>
    <row r="41" spans="1:14" ht="12.75" x14ac:dyDescent="0.2">
      <c r="A41" s="11">
        <v>40</v>
      </c>
      <c r="B41" s="2" t="s">
        <v>73</v>
      </c>
      <c r="C41" s="11">
        <v>140</v>
      </c>
      <c r="D41" s="11">
        <v>70</v>
      </c>
      <c r="E41" s="11">
        <v>45</v>
      </c>
      <c r="F41" s="11">
        <v>85</v>
      </c>
      <c r="G41" s="11">
        <v>50</v>
      </c>
      <c r="H41" s="11">
        <v>45</v>
      </c>
      <c r="I41" s="11">
        <v>435</v>
      </c>
      <c r="J41" s="11">
        <v>72.5</v>
      </c>
      <c r="K41" s="15"/>
      <c r="L41" s="1"/>
      <c r="M41" s="1"/>
      <c r="N41" s="1"/>
    </row>
    <row r="42" spans="1:14" ht="12.75" x14ac:dyDescent="0.2">
      <c r="A42" s="11">
        <v>41</v>
      </c>
      <c r="B42" s="2" t="s">
        <v>74</v>
      </c>
      <c r="C42" s="11">
        <v>40</v>
      </c>
      <c r="D42" s="11">
        <v>45</v>
      </c>
      <c r="E42" s="11">
        <v>35</v>
      </c>
      <c r="F42" s="11">
        <v>30</v>
      </c>
      <c r="G42" s="11">
        <v>40</v>
      </c>
      <c r="H42" s="11">
        <v>55</v>
      </c>
      <c r="I42" s="11">
        <v>245</v>
      </c>
      <c r="J42" s="11">
        <v>40.83</v>
      </c>
      <c r="K42" s="15"/>
      <c r="L42" s="1"/>
      <c r="M42" s="1"/>
      <c r="N42" s="1"/>
    </row>
    <row r="43" spans="1:14" ht="12.75" x14ac:dyDescent="0.2">
      <c r="A43" s="11">
        <v>42</v>
      </c>
      <c r="B43" s="2" t="s">
        <v>75</v>
      </c>
      <c r="C43" s="11">
        <v>75</v>
      </c>
      <c r="D43" s="11">
        <v>80</v>
      </c>
      <c r="E43" s="11">
        <v>70</v>
      </c>
      <c r="F43" s="11">
        <v>65</v>
      </c>
      <c r="G43" s="11">
        <v>75</v>
      </c>
      <c r="H43" s="11">
        <v>90</v>
      </c>
      <c r="I43" s="11">
        <v>455</v>
      </c>
      <c r="J43" s="11">
        <v>75.83</v>
      </c>
      <c r="K43" s="15"/>
      <c r="L43" s="1"/>
      <c r="M43" s="1"/>
      <c r="N43" s="1"/>
    </row>
    <row r="44" spans="1:14" ht="12.75" x14ac:dyDescent="0.2">
      <c r="A44" s="11">
        <v>43</v>
      </c>
      <c r="B44" s="2" t="s">
        <v>76</v>
      </c>
      <c r="C44" s="11">
        <v>45</v>
      </c>
      <c r="D44" s="11">
        <v>50</v>
      </c>
      <c r="E44" s="11">
        <v>55</v>
      </c>
      <c r="F44" s="11">
        <v>75</v>
      </c>
      <c r="G44" s="11">
        <v>65</v>
      </c>
      <c r="H44" s="11">
        <v>30</v>
      </c>
      <c r="I44" s="11">
        <v>320</v>
      </c>
      <c r="J44" s="11">
        <v>53.33</v>
      </c>
      <c r="K44" s="15"/>
      <c r="L44" s="1"/>
      <c r="M44" s="1"/>
      <c r="N44" s="1"/>
    </row>
    <row r="45" spans="1:14" ht="12.75" x14ac:dyDescent="0.2">
      <c r="A45" s="11">
        <v>44</v>
      </c>
      <c r="B45" s="2" t="s">
        <v>77</v>
      </c>
      <c r="C45" s="11">
        <v>60</v>
      </c>
      <c r="D45" s="11">
        <v>65</v>
      </c>
      <c r="E45" s="11">
        <v>70</v>
      </c>
      <c r="F45" s="11">
        <v>85</v>
      </c>
      <c r="G45" s="11">
        <v>75</v>
      </c>
      <c r="H45" s="11">
        <v>40</v>
      </c>
      <c r="I45" s="11">
        <v>395</v>
      </c>
      <c r="J45" s="11">
        <v>65.83</v>
      </c>
      <c r="K45" s="15"/>
      <c r="L45" s="1"/>
      <c r="M45" s="1"/>
      <c r="N45" s="1"/>
    </row>
    <row r="46" spans="1:14" ht="12.75" x14ac:dyDescent="0.2">
      <c r="A46" s="11">
        <v>45</v>
      </c>
      <c r="B46" s="2" t="s">
        <v>78</v>
      </c>
      <c r="C46" s="11">
        <v>75</v>
      </c>
      <c r="D46" s="11">
        <v>80</v>
      </c>
      <c r="E46" s="11">
        <v>85</v>
      </c>
      <c r="F46" s="11">
        <v>110</v>
      </c>
      <c r="G46" s="11">
        <v>90</v>
      </c>
      <c r="H46" s="11">
        <v>50</v>
      </c>
      <c r="I46" s="11">
        <v>490</v>
      </c>
      <c r="J46" s="11">
        <v>81.67</v>
      </c>
      <c r="K46" s="15"/>
      <c r="L46" s="1"/>
      <c r="M46" s="1"/>
      <c r="N46" s="1"/>
    </row>
    <row r="47" spans="1:14" ht="12.75" x14ac:dyDescent="0.2">
      <c r="A47" s="11">
        <v>46</v>
      </c>
      <c r="B47" s="2" t="s">
        <v>79</v>
      </c>
      <c r="C47" s="11">
        <v>35</v>
      </c>
      <c r="D47" s="11">
        <v>70</v>
      </c>
      <c r="E47" s="11">
        <v>55</v>
      </c>
      <c r="F47" s="11">
        <v>45</v>
      </c>
      <c r="G47" s="11">
        <v>55</v>
      </c>
      <c r="H47" s="11">
        <v>25</v>
      </c>
      <c r="I47" s="11">
        <v>285</v>
      </c>
      <c r="J47" s="11">
        <v>47.5</v>
      </c>
      <c r="K47" s="15"/>
      <c r="L47" s="1"/>
      <c r="M47" s="1"/>
      <c r="N47" s="1"/>
    </row>
    <row r="48" spans="1:14" ht="12.75" x14ac:dyDescent="0.2">
      <c r="A48" s="11">
        <v>47</v>
      </c>
      <c r="B48" s="2" t="s">
        <v>80</v>
      </c>
      <c r="C48" s="11">
        <v>60</v>
      </c>
      <c r="D48" s="11">
        <v>95</v>
      </c>
      <c r="E48" s="11">
        <v>80</v>
      </c>
      <c r="F48" s="11">
        <v>60</v>
      </c>
      <c r="G48" s="11">
        <v>80</v>
      </c>
      <c r="H48" s="11">
        <v>30</v>
      </c>
      <c r="I48" s="11">
        <v>405</v>
      </c>
      <c r="J48" s="11">
        <v>67.5</v>
      </c>
      <c r="K48" s="15"/>
      <c r="L48" s="1"/>
      <c r="M48" s="1"/>
      <c r="N48" s="1"/>
    </row>
    <row r="49" spans="1:14" ht="12.75" x14ac:dyDescent="0.2">
      <c r="A49" s="11">
        <v>48</v>
      </c>
      <c r="B49" s="2" t="s">
        <v>81</v>
      </c>
      <c r="C49" s="11">
        <v>60</v>
      </c>
      <c r="D49" s="11">
        <v>55</v>
      </c>
      <c r="E49" s="11">
        <v>50</v>
      </c>
      <c r="F49" s="11">
        <v>40</v>
      </c>
      <c r="G49" s="11">
        <v>55</v>
      </c>
      <c r="H49" s="11">
        <v>45</v>
      </c>
      <c r="I49" s="11">
        <v>305</v>
      </c>
      <c r="J49" s="11">
        <v>50.83</v>
      </c>
      <c r="K49" s="15"/>
      <c r="L49" s="1"/>
      <c r="M49" s="1"/>
      <c r="N49" s="1"/>
    </row>
    <row r="50" spans="1:14" ht="12.75" x14ac:dyDescent="0.2">
      <c r="A50" s="11">
        <v>49</v>
      </c>
      <c r="B50" s="2" t="s">
        <v>82</v>
      </c>
      <c r="C50" s="11">
        <v>70</v>
      </c>
      <c r="D50" s="11">
        <v>65</v>
      </c>
      <c r="E50" s="11">
        <v>60</v>
      </c>
      <c r="F50" s="11">
        <v>90</v>
      </c>
      <c r="G50" s="11">
        <v>75</v>
      </c>
      <c r="H50" s="11">
        <v>90</v>
      </c>
      <c r="I50" s="11">
        <v>450</v>
      </c>
      <c r="J50" s="11">
        <v>75</v>
      </c>
      <c r="K50" s="15"/>
      <c r="L50" s="1"/>
      <c r="M50" s="1"/>
      <c r="N50" s="1"/>
    </row>
    <row r="51" spans="1:14" ht="12.75" x14ac:dyDescent="0.2">
      <c r="A51" s="11">
        <v>50</v>
      </c>
      <c r="B51" s="2" t="s">
        <v>83</v>
      </c>
      <c r="C51" s="11">
        <v>10</v>
      </c>
      <c r="D51" s="11">
        <v>55</v>
      </c>
      <c r="E51" s="11">
        <v>25</v>
      </c>
      <c r="F51" s="11">
        <v>35</v>
      </c>
      <c r="G51" s="11">
        <v>45</v>
      </c>
      <c r="H51" s="11">
        <v>95</v>
      </c>
      <c r="I51" s="11">
        <v>265</v>
      </c>
      <c r="J51" s="11">
        <v>44.17</v>
      </c>
      <c r="K51" s="15"/>
      <c r="L51" s="1"/>
      <c r="M51" s="1"/>
      <c r="N51" s="1"/>
    </row>
    <row r="52" spans="1:14" ht="12.75" x14ac:dyDescent="0.2">
      <c r="A52" s="11">
        <v>51</v>
      </c>
      <c r="B52" s="2" t="s">
        <v>84</v>
      </c>
      <c r="C52" s="11">
        <v>35</v>
      </c>
      <c r="D52" s="11">
        <v>80</v>
      </c>
      <c r="E52" s="11">
        <v>50</v>
      </c>
      <c r="F52" s="11">
        <v>50</v>
      </c>
      <c r="G52" s="11">
        <v>70</v>
      </c>
      <c r="H52" s="11">
        <v>120</v>
      </c>
      <c r="I52" s="11">
        <v>405</v>
      </c>
      <c r="J52" s="11">
        <v>67.5</v>
      </c>
      <c r="K52" s="15"/>
      <c r="L52" s="1"/>
      <c r="M52" s="1"/>
      <c r="N52" s="1"/>
    </row>
    <row r="53" spans="1:14" ht="12.75" x14ac:dyDescent="0.2">
      <c r="A53" s="11">
        <v>52</v>
      </c>
      <c r="B53" s="2" t="s">
        <v>85</v>
      </c>
      <c r="C53" s="11">
        <v>40</v>
      </c>
      <c r="D53" s="11">
        <v>45</v>
      </c>
      <c r="E53" s="11">
        <v>35</v>
      </c>
      <c r="F53" s="11">
        <v>40</v>
      </c>
      <c r="G53" s="11">
        <v>40</v>
      </c>
      <c r="H53" s="11">
        <v>90</v>
      </c>
      <c r="I53" s="11">
        <v>290</v>
      </c>
      <c r="J53" s="11">
        <v>48.33</v>
      </c>
      <c r="K53" s="15"/>
      <c r="L53" s="1"/>
      <c r="M53" s="1"/>
      <c r="N53" s="1"/>
    </row>
    <row r="54" spans="1:14" ht="12.75" x14ac:dyDescent="0.2">
      <c r="A54" s="11">
        <v>53</v>
      </c>
      <c r="B54" s="2" t="s">
        <v>86</v>
      </c>
      <c r="C54" s="11">
        <v>65</v>
      </c>
      <c r="D54" s="11">
        <v>70</v>
      </c>
      <c r="E54" s="11">
        <v>60</v>
      </c>
      <c r="F54" s="11">
        <v>65</v>
      </c>
      <c r="G54" s="11">
        <v>65</v>
      </c>
      <c r="H54" s="11">
        <v>115</v>
      </c>
      <c r="I54" s="11">
        <v>440</v>
      </c>
      <c r="J54" s="11">
        <v>73.33</v>
      </c>
      <c r="K54" s="15"/>
      <c r="L54" s="1"/>
      <c r="M54" s="1"/>
      <c r="N54" s="1"/>
    </row>
    <row r="55" spans="1:14" ht="12.75" x14ac:dyDescent="0.2">
      <c r="A55" s="11">
        <v>54</v>
      </c>
      <c r="B55" s="2" t="s">
        <v>87</v>
      </c>
      <c r="C55" s="11">
        <v>50</v>
      </c>
      <c r="D55" s="11">
        <v>52</v>
      </c>
      <c r="E55" s="11">
        <v>48</v>
      </c>
      <c r="F55" s="11">
        <v>65</v>
      </c>
      <c r="G55" s="11">
        <v>50</v>
      </c>
      <c r="H55" s="11">
        <v>55</v>
      </c>
      <c r="I55" s="11">
        <v>320</v>
      </c>
      <c r="J55" s="11">
        <v>53.33</v>
      </c>
      <c r="K55" s="15"/>
      <c r="L55" s="1"/>
      <c r="M55" s="1"/>
      <c r="N55" s="1"/>
    </row>
    <row r="56" spans="1:14" ht="12.75" x14ac:dyDescent="0.2">
      <c r="A56" s="11">
        <v>55</v>
      </c>
      <c r="B56" s="2" t="s">
        <v>88</v>
      </c>
      <c r="C56" s="11">
        <v>80</v>
      </c>
      <c r="D56" s="11">
        <v>82</v>
      </c>
      <c r="E56" s="11">
        <v>78</v>
      </c>
      <c r="F56" s="11">
        <v>95</v>
      </c>
      <c r="G56" s="11">
        <v>80</v>
      </c>
      <c r="H56" s="11">
        <v>85</v>
      </c>
      <c r="I56" s="11">
        <v>500</v>
      </c>
      <c r="J56" s="11">
        <v>83.33</v>
      </c>
      <c r="K56" s="15"/>
      <c r="L56" s="1"/>
      <c r="M56" s="1"/>
      <c r="N56" s="1"/>
    </row>
    <row r="57" spans="1:14" ht="12.75" x14ac:dyDescent="0.2">
      <c r="A57" s="11">
        <v>56</v>
      </c>
      <c r="B57" s="2" t="s">
        <v>89</v>
      </c>
      <c r="C57" s="11">
        <v>40</v>
      </c>
      <c r="D57" s="11">
        <v>80</v>
      </c>
      <c r="E57" s="11">
        <v>35</v>
      </c>
      <c r="F57" s="11">
        <v>35</v>
      </c>
      <c r="G57" s="11">
        <v>45</v>
      </c>
      <c r="H57" s="11">
        <v>70</v>
      </c>
      <c r="I57" s="11">
        <v>305</v>
      </c>
      <c r="J57" s="11">
        <v>50.83</v>
      </c>
      <c r="K57" s="15"/>
      <c r="L57" s="1"/>
      <c r="M57" s="1"/>
      <c r="N57" s="1"/>
    </row>
    <row r="58" spans="1:14" ht="12.75" x14ac:dyDescent="0.2">
      <c r="A58" s="11">
        <v>57</v>
      </c>
      <c r="B58" s="2" t="s">
        <v>90</v>
      </c>
      <c r="C58" s="11">
        <v>65</v>
      </c>
      <c r="D58" s="11">
        <v>105</v>
      </c>
      <c r="E58" s="11">
        <v>60</v>
      </c>
      <c r="F58" s="11">
        <v>60</v>
      </c>
      <c r="G58" s="11">
        <v>70</v>
      </c>
      <c r="H58" s="11">
        <v>95</v>
      </c>
      <c r="I58" s="11">
        <v>455</v>
      </c>
      <c r="J58" s="11">
        <v>75.83</v>
      </c>
      <c r="K58" s="15"/>
      <c r="L58" s="1"/>
      <c r="M58" s="1"/>
      <c r="N58" s="1"/>
    </row>
    <row r="59" spans="1:14" ht="12.75" x14ac:dyDescent="0.2">
      <c r="A59" s="11">
        <v>58</v>
      </c>
      <c r="B59" s="2" t="s">
        <v>91</v>
      </c>
      <c r="C59" s="11">
        <v>55</v>
      </c>
      <c r="D59" s="11">
        <v>70</v>
      </c>
      <c r="E59" s="11">
        <v>45</v>
      </c>
      <c r="F59" s="11">
        <v>70</v>
      </c>
      <c r="G59" s="11">
        <v>50</v>
      </c>
      <c r="H59" s="11">
        <v>60</v>
      </c>
      <c r="I59" s="11">
        <v>350</v>
      </c>
      <c r="J59" s="11">
        <v>58.33</v>
      </c>
      <c r="K59" s="15"/>
      <c r="L59" s="1"/>
      <c r="M59" s="1"/>
      <c r="N59" s="1"/>
    </row>
    <row r="60" spans="1:14" ht="12.75" x14ac:dyDescent="0.2">
      <c r="A60" s="11">
        <v>59</v>
      </c>
      <c r="B60" s="2" t="s">
        <v>92</v>
      </c>
      <c r="C60" s="11">
        <v>90</v>
      </c>
      <c r="D60" s="11">
        <v>110</v>
      </c>
      <c r="E60" s="11">
        <v>80</v>
      </c>
      <c r="F60" s="11">
        <v>100</v>
      </c>
      <c r="G60" s="11">
        <v>80</v>
      </c>
      <c r="H60" s="11">
        <v>95</v>
      </c>
      <c r="I60" s="11">
        <v>555</v>
      </c>
      <c r="J60" s="11">
        <v>92.5</v>
      </c>
      <c r="K60" s="15"/>
      <c r="L60" s="1"/>
      <c r="M60" s="1"/>
      <c r="N60" s="1"/>
    </row>
    <row r="61" spans="1:14" ht="12.75" x14ac:dyDescent="0.2">
      <c r="A61" s="11">
        <v>60</v>
      </c>
      <c r="B61" s="2" t="s">
        <v>93</v>
      </c>
      <c r="C61" s="11">
        <v>40</v>
      </c>
      <c r="D61" s="11">
        <v>50</v>
      </c>
      <c r="E61" s="11">
        <v>40</v>
      </c>
      <c r="F61" s="11">
        <v>40</v>
      </c>
      <c r="G61" s="11">
        <v>40</v>
      </c>
      <c r="H61" s="11">
        <v>90</v>
      </c>
      <c r="I61" s="11">
        <v>300</v>
      </c>
      <c r="J61" s="11">
        <v>50</v>
      </c>
      <c r="K61" s="15"/>
      <c r="L61" s="1"/>
      <c r="M61" s="1"/>
      <c r="N61" s="1"/>
    </row>
    <row r="62" spans="1:14" ht="12.75" x14ac:dyDescent="0.2">
      <c r="A62" s="11">
        <v>61</v>
      </c>
      <c r="B62" s="2" t="s">
        <v>94</v>
      </c>
      <c r="C62" s="11">
        <v>65</v>
      </c>
      <c r="D62" s="11">
        <v>65</v>
      </c>
      <c r="E62" s="11">
        <v>65</v>
      </c>
      <c r="F62" s="11">
        <v>50</v>
      </c>
      <c r="G62" s="11">
        <v>50</v>
      </c>
      <c r="H62" s="11">
        <v>90</v>
      </c>
      <c r="I62" s="11">
        <v>385</v>
      </c>
      <c r="J62" s="11">
        <v>64.17</v>
      </c>
      <c r="K62" s="15"/>
      <c r="L62" s="1"/>
      <c r="M62" s="1"/>
      <c r="N62" s="1"/>
    </row>
    <row r="63" spans="1:14" ht="12.75" x14ac:dyDescent="0.2">
      <c r="A63" s="11">
        <v>62</v>
      </c>
      <c r="B63" s="2" t="s">
        <v>95</v>
      </c>
      <c r="C63" s="11">
        <v>90</v>
      </c>
      <c r="D63" s="11">
        <v>95</v>
      </c>
      <c r="E63" s="11">
        <v>95</v>
      </c>
      <c r="F63" s="11">
        <v>70</v>
      </c>
      <c r="G63" s="11">
        <v>90</v>
      </c>
      <c r="H63" s="11">
        <v>70</v>
      </c>
      <c r="I63" s="11">
        <v>510</v>
      </c>
      <c r="J63" s="11">
        <v>85</v>
      </c>
      <c r="K63" s="15"/>
      <c r="L63" s="1"/>
      <c r="M63" s="1"/>
      <c r="N63" s="1"/>
    </row>
    <row r="64" spans="1:14" ht="12.75" x14ac:dyDescent="0.2">
      <c r="A64" s="11">
        <v>63</v>
      </c>
      <c r="B64" s="2" t="s">
        <v>96</v>
      </c>
      <c r="C64" s="11">
        <v>25</v>
      </c>
      <c r="D64" s="11">
        <v>20</v>
      </c>
      <c r="E64" s="11">
        <v>15</v>
      </c>
      <c r="F64" s="11">
        <v>105</v>
      </c>
      <c r="G64" s="11">
        <v>55</v>
      </c>
      <c r="H64" s="11">
        <v>90</v>
      </c>
      <c r="I64" s="11">
        <v>310</v>
      </c>
      <c r="J64" s="11">
        <v>51.67</v>
      </c>
      <c r="K64" s="15"/>
      <c r="L64" s="1"/>
      <c r="M64" s="1"/>
      <c r="N64" s="1"/>
    </row>
    <row r="65" spans="1:14" ht="12.75" x14ac:dyDescent="0.2">
      <c r="A65" s="11">
        <v>64</v>
      </c>
      <c r="B65" s="2" t="s">
        <v>97</v>
      </c>
      <c r="C65" s="11">
        <v>40</v>
      </c>
      <c r="D65" s="11">
        <v>35</v>
      </c>
      <c r="E65" s="11">
        <v>30</v>
      </c>
      <c r="F65" s="11">
        <v>120</v>
      </c>
      <c r="G65" s="11">
        <v>70</v>
      </c>
      <c r="H65" s="11">
        <v>105</v>
      </c>
      <c r="I65" s="11">
        <v>400</v>
      </c>
      <c r="J65" s="11">
        <v>66.67</v>
      </c>
      <c r="K65" s="15"/>
      <c r="L65" s="1"/>
      <c r="M65" s="1"/>
      <c r="N65" s="1"/>
    </row>
    <row r="66" spans="1:14" ht="12.75" x14ac:dyDescent="0.2">
      <c r="A66" s="11">
        <v>65</v>
      </c>
      <c r="B66" s="2" t="s">
        <v>98</v>
      </c>
      <c r="C66" s="11">
        <v>55</v>
      </c>
      <c r="D66" s="11">
        <v>50</v>
      </c>
      <c r="E66" s="11">
        <v>45</v>
      </c>
      <c r="F66" s="11">
        <v>135</v>
      </c>
      <c r="G66" s="11">
        <v>95</v>
      </c>
      <c r="H66" s="11">
        <v>120</v>
      </c>
      <c r="I66" s="11">
        <v>500</v>
      </c>
      <c r="J66" s="11">
        <v>83.33</v>
      </c>
      <c r="K66" s="15"/>
      <c r="L66" s="1"/>
      <c r="M66" s="1"/>
      <c r="N66" s="1"/>
    </row>
    <row r="67" spans="1:14" ht="12.75" x14ac:dyDescent="0.2">
      <c r="A67" s="11">
        <v>66</v>
      </c>
      <c r="B67" s="2" t="s">
        <v>99</v>
      </c>
      <c r="C67" s="11">
        <v>70</v>
      </c>
      <c r="D67" s="11">
        <v>80</v>
      </c>
      <c r="E67" s="11">
        <v>50</v>
      </c>
      <c r="F67" s="11">
        <v>35</v>
      </c>
      <c r="G67" s="11">
        <v>35</v>
      </c>
      <c r="H67" s="11">
        <v>35</v>
      </c>
      <c r="I67" s="11">
        <v>305</v>
      </c>
      <c r="J67" s="11">
        <v>50.83</v>
      </c>
      <c r="K67" s="15"/>
      <c r="L67" s="1"/>
      <c r="M67" s="1"/>
      <c r="N67" s="1"/>
    </row>
    <row r="68" spans="1:14" ht="12.75" x14ac:dyDescent="0.2">
      <c r="A68" s="11">
        <v>67</v>
      </c>
      <c r="B68" s="2" t="s">
        <v>100</v>
      </c>
      <c r="C68" s="11">
        <v>80</v>
      </c>
      <c r="D68" s="11">
        <v>100</v>
      </c>
      <c r="E68" s="11">
        <v>70</v>
      </c>
      <c r="F68" s="11">
        <v>50</v>
      </c>
      <c r="G68" s="11">
        <v>60</v>
      </c>
      <c r="H68" s="11">
        <v>45</v>
      </c>
      <c r="I68" s="11">
        <v>405</v>
      </c>
      <c r="J68" s="11">
        <v>67.5</v>
      </c>
      <c r="K68" s="15"/>
      <c r="L68" s="1"/>
      <c r="M68" s="1"/>
      <c r="N68" s="1"/>
    </row>
    <row r="69" spans="1:14" ht="12.75" x14ac:dyDescent="0.2">
      <c r="A69" s="11">
        <v>68</v>
      </c>
      <c r="B69" s="2" t="s">
        <v>101</v>
      </c>
      <c r="C69" s="11">
        <v>90</v>
      </c>
      <c r="D69" s="11">
        <v>130</v>
      </c>
      <c r="E69" s="11">
        <v>80</v>
      </c>
      <c r="F69" s="11">
        <v>65</v>
      </c>
      <c r="G69" s="11">
        <v>85</v>
      </c>
      <c r="H69" s="11">
        <v>55</v>
      </c>
      <c r="I69" s="11">
        <v>505</v>
      </c>
      <c r="J69" s="11">
        <v>84.17</v>
      </c>
      <c r="K69" s="15"/>
      <c r="L69" s="1"/>
      <c r="M69" s="1"/>
      <c r="N69" s="1"/>
    </row>
    <row r="70" spans="1:14" ht="12.75" x14ac:dyDescent="0.2">
      <c r="A70" s="11">
        <v>69</v>
      </c>
      <c r="B70" s="2" t="s">
        <v>102</v>
      </c>
      <c r="C70" s="11">
        <v>50</v>
      </c>
      <c r="D70" s="11">
        <v>75</v>
      </c>
      <c r="E70" s="11">
        <v>35</v>
      </c>
      <c r="F70" s="11">
        <v>70</v>
      </c>
      <c r="G70" s="11">
        <v>30</v>
      </c>
      <c r="H70" s="11">
        <v>40</v>
      </c>
      <c r="I70" s="11">
        <v>300</v>
      </c>
      <c r="J70" s="11">
        <v>50</v>
      </c>
      <c r="K70" s="15"/>
      <c r="L70" s="1"/>
      <c r="M70" s="1"/>
      <c r="N70" s="1"/>
    </row>
    <row r="71" spans="1:14" ht="12.75" x14ac:dyDescent="0.2">
      <c r="A71" s="11">
        <v>70</v>
      </c>
      <c r="B71" s="2" t="s">
        <v>103</v>
      </c>
      <c r="C71" s="11">
        <v>65</v>
      </c>
      <c r="D71" s="11">
        <v>90</v>
      </c>
      <c r="E71" s="11">
        <v>50</v>
      </c>
      <c r="F71" s="11">
        <v>85</v>
      </c>
      <c r="G71" s="11">
        <v>45</v>
      </c>
      <c r="H71" s="11">
        <v>55</v>
      </c>
      <c r="I71" s="11">
        <v>390</v>
      </c>
      <c r="J71" s="11">
        <v>65</v>
      </c>
      <c r="K71" s="15"/>
      <c r="L71" s="1"/>
      <c r="M71" s="1"/>
      <c r="N71" s="1"/>
    </row>
    <row r="72" spans="1:14" ht="12.75" x14ac:dyDescent="0.2">
      <c r="A72" s="11">
        <v>71</v>
      </c>
      <c r="B72" s="2" t="s">
        <v>104</v>
      </c>
      <c r="C72" s="11">
        <v>80</v>
      </c>
      <c r="D72" s="11">
        <v>105</v>
      </c>
      <c r="E72" s="11">
        <v>65</v>
      </c>
      <c r="F72" s="11">
        <v>100</v>
      </c>
      <c r="G72" s="11">
        <v>70</v>
      </c>
      <c r="H72" s="11">
        <v>70</v>
      </c>
      <c r="I72" s="11">
        <v>490</v>
      </c>
      <c r="J72" s="11">
        <v>81.67</v>
      </c>
      <c r="K72" s="15"/>
      <c r="L72" s="1"/>
      <c r="M72" s="1"/>
      <c r="N72" s="1"/>
    </row>
    <row r="73" spans="1:14" ht="12.75" x14ac:dyDescent="0.2">
      <c r="A73" s="11">
        <v>72</v>
      </c>
      <c r="B73" s="2" t="s">
        <v>105</v>
      </c>
      <c r="C73" s="11">
        <v>40</v>
      </c>
      <c r="D73" s="11">
        <v>40</v>
      </c>
      <c r="E73" s="11">
        <v>35</v>
      </c>
      <c r="F73" s="11">
        <v>50</v>
      </c>
      <c r="G73" s="11">
        <v>100</v>
      </c>
      <c r="H73" s="11">
        <v>70</v>
      </c>
      <c r="I73" s="11">
        <v>335</v>
      </c>
      <c r="J73" s="11">
        <v>55.83</v>
      </c>
      <c r="K73" s="15"/>
      <c r="L73" s="1"/>
      <c r="M73" s="1"/>
      <c r="N73" s="1"/>
    </row>
    <row r="74" spans="1:14" ht="12.75" x14ac:dyDescent="0.2">
      <c r="A74" s="11">
        <v>73</v>
      </c>
      <c r="B74" s="2" t="s">
        <v>106</v>
      </c>
      <c r="C74" s="11">
        <v>80</v>
      </c>
      <c r="D74" s="11">
        <v>70</v>
      </c>
      <c r="E74" s="11">
        <v>65</v>
      </c>
      <c r="F74" s="11">
        <v>80</v>
      </c>
      <c r="G74" s="11">
        <v>120</v>
      </c>
      <c r="H74" s="11">
        <v>100</v>
      </c>
      <c r="I74" s="11">
        <v>515</v>
      </c>
      <c r="J74" s="11">
        <v>85.83</v>
      </c>
      <c r="K74" s="15"/>
      <c r="L74" s="1"/>
      <c r="M74" s="1"/>
      <c r="N74" s="1"/>
    </row>
    <row r="75" spans="1:14" ht="12.75" x14ac:dyDescent="0.2">
      <c r="A75" s="11">
        <v>74</v>
      </c>
      <c r="B75" s="2" t="s">
        <v>107</v>
      </c>
      <c r="C75" s="11">
        <v>40</v>
      </c>
      <c r="D75" s="11">
        <v>80</v>
      </c>
      <c r="E75" s="11">
        <v>100</v>
      </c>
      <c r="F75" s="11">
        <v>30</v>
      </c>
      <c r="G75" s="11">
        <v>30</v>
      </c>
      <c r="H75" s="11">
        <v>20</v>
      </c>
      <c r="I75" s="11">
        <v>300</v>
      </c>
      <c r="J75" s="11">
        <v>50</v>
      </c>
      <c r="K75" s="15"/>
      <c r="L75" s="1"/>
      <c r="M75" s="1"/>
      <c r="N75" s="1"/>
    </row>
    <row r="76" spans="1:14" ht="12.75" x14ac:dyDescent="0.2">
      <c r="A76" s="11">
        <v>75</v>
      </c>
      <c r="B76" s="2" t="s">
        <v>108</v>
      </c>
      <c r="C76" s="11">
        <v>55</v>
      </c>
      <c r="D76" s="11">
        <v>95</v>
      </c>
      <c r="E76" s="11">
        <v>115</v>
      </c>
      <c r="F76" s="11">
        <v>45</v>
      </c>
      <c r="G76" s="11">
        <v>45</v>
      </c>
      <c r="H76" s="11">
        <v>35</v>
      </c>
      <c r="I76" s="11">
        <v>390</v>
      </c>
      <c r="J76" s="11">
        <v>65</v>
      </c>
      <c r="K76" s="15"/>
      <c r="L76" s="1"/>
      <c r="M76" s="1"/>
      <c r="N76" s="1"/>
    </row>
    <row r="77" spans="1:14" ht="12.75" x14ac:dyDescent="0.2">
      <c r="A77" s="11">
        <v>76</v>
      </c>
      <c r="B77" s="2" t="s">
        <v>109</v>
      </c>
      <c r="C77" s="11">
        <v>80</v>
      </c>
      <c r="D77" s="11">
        <v>120</v>
      </c>
      <c r="E77" s="11">
        <v>130</v>
      </c>
      <c r="F77" s="11">
        <v>55</v>
      </c>
      <c r="G77" s="11">
        <v>65</v>
      </c>
      <c r="H77" s="11">
        <v>45</v>
      </c>
      <c r="I77" s="11">
        <v>495</v>
      </c>
      <c r="J77" s="11">
        <v>82.5</v>
      </c>
      <c r="K77" s="15"/>
      <c r="L77" s="1"/>
      <c r="M77" s="1"/>
      <c r="N77" s="1"/>
    </row>
    <row r="78" spans="1:14" ht="12.75" x14ac:dyDescent="0.2">
      <c r="A78" s="11">
        <v>77</v>
      </c>
      <c r="B78" s="2" t="s">
        <v>110</v>
      </c>
      <c r="C78" s="11">
        <v>50</v>
      </c>
      <c r="D78" s="11">
        <v>85</v>
      </c>
      <c r="E78" s="11">
        <v>55</v>
      </c>
      <c r="F78" s="11">
        <v>65</v>
      </c>
      <c r="G78" s="11">
        <v>65</v>
      </c>
      <c r="H78" s="11">
        <v>90</v>
      </c>
      <c r="I78" s="11">
        <v>410</v>
      </c>
      <c r="J78" s="11">
        <v>68.33</v>
      </c>
      <c r="K78" s="15"/>
      <c r="L78" s="1"/>
      <c r="M78" s="1"/>
      <c r="N78" s="1"/>
    </row>
    <row r="79" spans="1:14" ht="12.75" x14ac:dyDescent="0.2">
      <c r="A79" s="11">
        <v>78</v>
      </c>
      <c r="B79" s="2" t="s">
        <v>111</v>
      </c>
      <c r="C79" s="11">
        <v>65</v>
      </c>
      <c r="D79" s="11">
        <v>100</v>
      </c>
      <c r="E79" s="11">
        <v>70</v>
      </c>
      <c r="F79" s="11">
        <v>80</v>
      </c>
      <c r="G79" s="11">
        <v>80</v>
      </c>
      <c r="H79" s="11">
        <v>105</v>
      </c>
      <c r="I79" s="11">
        <v>500</v>
      </c>
      <c r="J79" s="11">
        <v>83.33</v>
      </c>
      <c r="K79" s="15"/>
      <c r="L79" s="1"/>
      <c r="M79" s="1"/>
      <c r="N79" s="1"/>
    </row>
    <row r="80" spans="1:14" ht="12.75" x14ac:dyDescent="0.2">
      <c r="A80" s="11">
        <v>79</v>
      </c>
      <c r="B80" s="2" t="s">
        <v>112</v>
      </c>
      <c r="C80" s="11">
        <v>90</v>
      </c>
      <c r="D80" s="11">
        <v>65</v>
      </c>
      <c r="E80" s="11">
        <v>65</v>
      </c>
      <c r="F80" s="11">
        <v>40</v>
      </c>
      <c r="G80" s="11">
        <v>40</v>
      </c>
      <c r="H80" s="11">
        <v>15</v>
      </c>
      <c r="I80" s="11">
        <v>315</v>
      </c>
      <c r="J80" s="11">
        <v>52.5</v>
      </c>
      <c r="K80" s="15"/>
      <c r="L80" s="1"/>
      <c r="M80" s="1"/>
      <c r="N80" s="1"/>
    </row>
    <row r="81" spans="1:14" ht="12.75" x14ac:dyDescent="0.2">
      <c r="A81" s="11">
        <v>80</v>
      </c>
      <c r="B81" s="2" t="s">
        <v>113</v>
      </c>
      <c r="C81" s="11">
        <v>95</v>
      </c>
      <c r="D81" s="11">
        <v>75</v>
      </c>
      <c r="E81" s="11">
        <v>110</v>
      </c>
      <c r="F81" s="11">
        <v>100</v>
      </c>
      <c r="G81" s="11">
        <v>80</v>
      </c>
      <c r="H81" s="11">
        <v>30</v>
      </c>
      <c r="I81" s="11">
        <v>490</v>
      </c>
      <c r="J81" s="11">
        <v>81.67</v>
      </c>
      <c r="K81" s="15"/>
      <c r="L81" s="1"/>
      <c r="M81" s="1"/>
      <c r="N81" s="1"/>
    </row>
    <row r="82" spans="1:14" ht="12.75" x14ac:dyDescent="0.2">
      <c r="A82" s="11">
        <v>81</v>
      </c>
      <c r="B82" s="2" t="s">
        <v>114</v>
      </c>
      <c r="C82" s="11">
        <v>25</v>
      </c>
      <c r="D82" s="11">
        <v>35</v>
      </c>
      <c r="E82" s="11">
        <v>70</v>
      </c>
      <c r="F82" s="11">
        <v>95</v>
      </c>
      <c r="G82" s="11">
        <v>55</v>
      </c>
      <c r="H82" s="11">
        <v>45</v>
      </c>
      <c r="I82" s="11">
        <v>325</v>
      </c>
      <c r="J82" s="11">
        <v>54.17</v>
      </c>
      <c r="K82" s="15"/>
      <c r="L82" s="1"/>
      <c r="M82" s="1"/>
      <c r="N82" s="1"/>
    </row>
    <row r="83" spans="1:14" ht="12.75" x14ac:dyDescent="0.2">
      <c r="A83" s="11">
        <v>82</v>
      </c>
      <c r="B83" s="2" t="s">
        <v>115</v>
      </c>
      <c r="C83" s="11">
        <v>50</v>
      </c>
      <c r="D83" s="11">
        <v>60</v>
      </c>
      <c r="E83" s="11">
        <v>95</v>
      </c>
      <c r="F83" s="11">
        <v>120</v>
      </c>
      <c r="G83" s="11">
        <v>70</v>
      </c>
      <c r="H83" s="11">
        <v>70</v>
      </c>
      <c r="I83" s="11">
        <v>465</v>
      </c>
      <c r="J83" s="11">
        <v>77.5</v>
      </c>
      <c r="K83" s="15"/>
      <c r="L83" s="1"/>
      <c r="M83" s="1"/>
      <c r="N83" s="1"/>
    </row>
    <row r="84" spans="1:14" ht="12.75" x14ac:dyDescent="0.2">
      <c r="A84" s="11">
        <v>83</v>
      </c>
      <c r="B84" s="2" t="s">
        <v>116</v>
      </c>
      <c r="C84" s="11">
        <v>52</v>
      </c>
      <c r="D84" s="11">
        <v>65</v>
      </c>
      <c r="E84" s="11">
        <v>55</v>
      </c>
      <c r="F84" s="11">
        <v>58</v>
      </c>
      <c r="G84" s="11">
        <v>62</v>
      </c>
      <c r="H84" s="11">
        <v>60</v>
      </c>
      <c r="I84" s="11">
        <v>352</v>
      </c>
      <c r="J84" s="11">
        <v>58.67</v>
      </c>
      <c r="K84" s="15"/>
      <c r="L84" s="1"/>
      <c r="M84" s="1"/>
      <c r="N84" s="1"/>
    </row>
    <row r="85" spans="1:14" ht="12.75" x14ac:dyDescent="0.2">
      <c r="A85" s="11">
        <v>84</v>
      </c>
      <c r="B85" s="2" t="s">
        <v>117</v>
      </c>
      <c r="C85" s="11">
        <v>35</v>
      </c>
      <c r="D85" s="11">
        <v>85</v>
      </c>
      <c r="E85" s="11">
        <v>45</v>
      </c>
      <c r="F85" s="11">
        <v>35</v>
      </c>
      <c r="G85" s="11">
        <v>35</v>
      </c>
      <c r="H85" s="11">
        <v>75</v>
      </c>
      <c r="I85" s="11">
        <v>310</v>
      </c>
      <c r="J85" s="11">
        <v>51.67</v>
      </c>
      <c r="K85" s="15"/>
      <c r="L85" s="1"/>
      <c r="M85" s="1"/>
      <c r="N85" s="1"/>
    </row>
    <row r="86" spans="1:14" ht="12.75" x14ac:dyDescent="0.2">
      <c r="A86" s="11">
        <v>85</v>
      </c>
      <c r="B86" s="2" t="s">
        <v>118</v>
      </c>
      <c r="C86" s="11">
        <v>60</v>
      </c>
      <c r="D86" s="11">
        <v>110</v>
      </c>
      <c r="E86" s="11">
        <v>70</v>
      </c>
      <c r="F86" s="11">
        <v>60</v>
      </c>
      <c r="G86" s="11">
        <v>60</v>
      </c>
      <c r="H86" s="11">
        <v>100</v>
      </c>
      <c r="I86" s="11">
        <v>460</v>
      </c>
      <c r="J86" s="11">
        <v>76.67</v>
      </c>
      <c r="K86" s="15"/>
      <c r="L86" s="1"/>
      <c r="M86" s="1"/>
      <c r="N86" s="1"/>
    </row>
    <row r="87" spans="1:14" ht="12.75" x14ac:dyDescent="0.2">
      <c r="A87" s="11">
        <v>86</v>
      </c>
      <c r="B87" s="2" t="s">
        <v>119</v>
      </c>
      <c r="C87" s="11">
        <v>65</v>
      </c>
      <c r="D87" s="11">
        <v>45</v>
      </c>
      <c r="E87" s="11">
        <v>55</v>
      </c>
      <c r="F87" s="11">
        <v>45</v>
      </c>
      <c r="G87" s="11">
        <v>70</v>
      </c>
      <c r="H87" s="11">
        <v>45</v>
      </c>
      <c r="I87" s="11">
        <v>325</v>
      </c>
      <c r="J87" s="11">
        <v>54.17</v>
      </c>
      <c r="K87" s="15"/>
      <c r="L87" s="1"/>
      <c r="M87" s="1"/>
      <c r="N87" s="1"/>
    </row>
    <row r="88" spans="1:14" ht="12.75" x14ac:dyDescent="0.2">
      <c r="A88" s="11">
        <v>87</v>
      </c>
      <c r="B88" s="2" t="s">
        <v>120</v>
      </c>
      <c r="C88" s="11">
        <v>90</v>
      </c>
      <c r="D88" s="11">
        <v>70</v>
      </c>
      <c r="E88" s="11">
        <v>80</v>
      </c>
      <c r="F88" s="11">
        <v>70</v>
      </c>
      <c r="G88" s="11">
        <v>95</v>
      </c>
      <c r="H88" s="11">
        <v>70</v>
      </c>
      <c r="I88" s="11">
        <v>475</v>
      </c>
      <c r="J88" s="11">
        <v>79.17</v>
      </c>
      <c r="K88" s="15"/>
      <c r="L88" s="1"/>
      <c r="M88" s="1"/>
      <c r="N88" s="1"/>
    </row>
    <row r="89" spans="1:14" ht="12.75" x14ac:dyDescent="0.2">
      <c r="A89" s="11">
        <v>88</v>
      </c>
      <c r="B89" s="2" t="s">
        <v>121</v>
      </c>
      <c r="C89" s="11">
        <v>80</v>
      </c>
      <c r="D89" s="11">
        <v>80</v>
      </c>
      <c r="E89" s="11">
        <v>50</v>
      </c>
      <c r="F89" s="11">
        <v>40</v>
      </c>
      <c r="G89" s="11">
        <v>50</v>
      </c>
      <c r="H89" s="11">
        <v>25</v>
      </c>
      <c r="I89" s="11">
        <v>325</v>
      </c>
      <c r="J89" s="11">
        <v>54.17</v>
      </c>
      <c r="K89" s="15"/>
      <c r="L89" s="1"/>
      <c r="M89" s="1"/>
      <c r="N89" s="1"/>
    </row>
    <row r="90" spans="1:14" ht="12.75" x14ac:dyDescent="0.2">
      <c r="A90" s="11">
        <v>89</v>
      </c>
      <c r="B90" s="2" t="s">
        <v>122</v>
      </c>
      <c r="C90" s="11">
        <v>105</v>
      </c>
      <c r="D90" s="11">
        <v>105</v>
      </c>
      <c r="E90" s="11">
        <v>75</v>
      </c>
      <c r="F90" s="11">
        <v>65</v>
      </c>
      <c r="G90" s="11">
        <v>100</v>
      </c>
      <c r="H90" s="11">
        <v>50</v>
      </c>
      <c r="I90" s="11">
        <v>500</v>
      </c>
      <c r="J90" s="11">
        <v>83.33</v>
      </c>
      <c r="K90" s="15"/>
      <c r="L90" s="1"/>
      <c r="M90" s="1"/>
      <c r="N90" s="1"/>
    </row>
    <row r="91" spans="1:14" ht="12.75" x14ac:dyDescent="0.2">
      <c r="A91" s="11">
        <v>90</v>
      </c>
      <c r="B91" s="2" t="s">
        <v>123</v>
      </c>
      <c r="C91" s="11">
        <v>30</v>
      </c>
      <c r="D91" s="11">
        <v>65</v>
      </c>
      <c r="E91" s="11">
        <v>100</v>
      </c>
      <c r="F91" s="11">
        <v>45</v>
      </c>
      <c r="G91" s="11">
        <v>25</v>
      </c>
      <c r="H91" s="11">
        <v>40</v>
      </c>
      <c r="I91" s="11">
        <v>305</v>
      </c>
      <c r="J91" s="11">
        <v>50.83</v>
      </c>
      <c r="K91" s="15"/>
      <c r="L91" s="1"/>
      <c r="M91" s="1"/>
      <c r="N91" s="1"/>
    </row>
    <row r="92" spans="1:14" ht="12.75" x14ac:dyDescent="0.2">
      <c r="A92" s="11">
        <v>91</v>
      </c>
      <c r="B92" s="2" t="s">
        <v>124</v>
      </c>
      <c r="C92" s="11">
        <v>50</v>
      </c>
      <c r="D92" s="11">
        <v>95</v>
      </c>
      <c r="E92" s="11">
        <v>180</v>
      </c>
      <c r="F92" s="11">
        <v>85</v>
      </c>
      <c r="G92" s="11">
        <v>45</v>
      </c>
      <c r="H92" s="11">
        <v>70</v>
      </c>
      <c r="I92" s="11">
        <v>525</v>
      </c>
      <c r="J92" s="11">
        <v>87.5</v>
      </c>
      <c r="K92" s="15"/>
      <c r="L92" s="1"/>
      <c r="M92" s="1"/>
      <c r="N92" s="1"/>
    </row>
    <row r="93" spans="1:14" ht="12.75" x14ac:dyDescent="0.2">
      <c r="A93" s="11">
        <v>92</v>
      </c>
      <c r="B93" s="2" t="s">
        <v>125</v>
      </c>
      <c r="C93" s="11">
        <v>30</v>
      </c>
      <c r="D93" s="11">
        <v>35</v>
      </c>
      <c r="E93" s="11">
        <v>30</v>
      </c>
      <c r="F93" s="11">
        <v>100</v>
      </c>
      <c r="G93" s="11">
        <v>35</v>
      </c>
      <c r="H93" s="11">
        <v>80</v>
      </c>
      <c r="I93" s="11">
        <v>310</v>
      </c>
      <c r="J93" s="11">
        <v>51.67</v>
      </c>
      <c r="K93" s="15"/>
      <c r="L93" s="1"/>
      <c r="M93" s="1"/>
      <c r="N93" s="1"/>
    </row>
    <row r="94" spans="1:14" ht="12.75" x14ac:dyDescent="0.2">
      <c r="A94" s="11">
        <v>93</v>
      </c>
      <c r="B94" s="2" t="s">
        <v>126</v>
      </c>
      <c r="C94" s="11">
        <v>45</v>
      </c>
      <c r="D94" s="11">
        <v>50</v>
      </c>
      <c r="E94" s="11">
        <v>45</v>
      </c>
      <c r="F94" s="11">
        <v>115</v>
      </c>
      <c r="G94" s="11">
        <v>55</v>
      </c>
      <c r="H94" s="11">
        <v>95</v>
      </c>
      <c r="I94" s="11">
        <v>405</v>
      </c>
      <c r="J94" s="11">
        <v>67.5</v>
      </c>
      <c r="K94" s="15"/>
      <c r="L94" s="1"/>
      <c r="M94" s="1"/>
      <c r="N94" s="1"/>
    </row>
    <row r="95" spans="1:14" ht="12.75" x14ac:dyDescent="0.2">
      <c r="A95" s="11">
        <v>94</v>
      </c>
      <c r="B95" s="2" t="s">
        <v>127</v>
      </c>
      <c r="C95" s="11">
        <v>60</v>
      </c>
      <c r="D95" s="11">
        <v>65</v>
      </c>
      <c r="E95" s="11">
        <v>60</v>
      </c>
      <c r="F95" s="11">
        <v>130</v>
      </c>
      <c r="G95" s="11">
        <v>75</v>
      </c>
      <c r="H95" s="11">
        <v>110</v>
      </c>
      <c r="I95" s="11">
        <v>500</v>
      </c>
      <c r="J95" s="11">
        <v>83.33</v>
      </c>
      <c r="K95" s="15"/>
      <c r="L95" s="1"/>
      <c r="M95" s="1"/>
      <c r="N95" s="1"/>
    </row>
    <row r="96" spans="1:14" ht="12.75" x14ac:dyDescent="0.2">
      <c r="A96" s="11">
        <v>95</v>
      </c>
      <c r="B96" s="2" t="s">
        <v>128</v>
      </c>
      <c r="C96" s="11">
        <v>35</v>
      </c>
      <c r="D96" s="11">
        <v>45</v>
      </c>
      <c r="E96" s="11">
        <v>160</v>
      </c>
      <c r="F96" s="11">
        <v>30</v>
      </c>
      <c r="G96" s="11">
        <v>45</v>
      </c>
      <c r="H96" s="11">
        <v>70</v>
      </c>
      <c r="I96" s="11">
        <v>385</v>
      </c>
      <c r="J96" s="11">
        <v>64.17</v>
      </c>
      <c r="K96" s="15"/>
      <c r="L96" s="1"/>
      <c r="M96" s="1"/>
      <c r="N96" s="1"/>
    </row>
    <row r="97" spans="1:14" ht="12.75" x14ac:dyDescent="0.2">
      <c r="A97" s="11">
        <v>96</v>
      </c>
      <c r="B97" s="2" t="s">
        <v>129</v>
      </c>
      <c r="C97" s="11">
        <v>60</v>
      </c>
      <c r="D97" s="11">
        <v>48</v>
      </c>
      <c r="E97" s="11">
        <v>45</v>
      </c>
      <c r="F97" s="11">
        <v>43</v>
      </c>
      <c r="G97" s="11">
        <v>90</v>
      </c>
      <c r="H97" s="11">
        <v>42</v>
      </c>
      <c r="I97" s="11">
        <v>328</v>
      </c>
      <c r="J97" s="11">
        <v>54.67</v>
      </c>
      <c r="K97" s="15"/>
      <c r="L97" s="1"/>
      <c r="M97" s="1"/>
      <c r="N97" s="1"/>
    </row>
    <row r="98" spans="1:14" ht="12.75" x14ac:dyDescent="0.2">
      <c r="A98" s="11">
        <v>97</v>
      </c>
      <c r="B98" s="2" t="s">
        <v>130</v>
      </c>
      <c r="C98" s="11">
        <v>85</v>
      </c>
      <c r="D98" s="11">
        <v>73</v>
      </c>
      <c r="E98" s="11">
        <v>70</v>
      </c>
      <c r="F98" s="11">
        <v>73</v>
      </c>
      <c r="G98" s="11">
        <v>115</v>
      </c>
      <c r="H98" s="11">
        <v>67</v>
      </c>
      <c r="I98" s="11">
        <v>483</v>
      </c>
      <c r="J98" s="11">
        <v>80.5</v>
      </c>
      <c r="K98" s="15"/>
      <c r="L98" s="1"/>
      <c r="M98" s="1"/>
      <c r="N98" s="1"/>
    </row>
    <row r="99" spans="1:14" ht="12.75" x14ac:dyDescent="0.2">
      <c r="A99" s="11">
        <v>98</v>
      </c>
      <c r="B99" s="2" t="s">
        <v>131</v>
      </c>
      <c r="C99" s="11">
        <v>30</v>
      </c>
      <c r="D99" s="11">
        <v>105</v>
      </c>
      <c r="E99" s="11">
        <v>90</v>
      </c>
      <c r="F99" s="11">
        <v>25</v>
      </c>
      <c r="G99" s="11">
        <v>25</v>
      </c>
      <c r="H99" s="11">
        <v>50</v>
      </c>
      <c r="I99" s="11">
        <v>325</v>
      </c>
      <c r="J99" s="11">
        <v>54.17</v>
      </c>
      <c r="K99" s="15"/>
      <c r="L99" s="1"/>
      <c r="M99" s="1"/>
      <c r="N99" s="1"/>
    </row>
    <row r="100" spans="1:14" ht="12.75" x14ac:dyDescent="0.2">
      <c r="A100" s="11">
        <v>99</v>
      </c>
      <c r="B100" s="2" t="s">
        <v>132</v>
      </c>
      <c r="C100" s="11">
        <v>55</v>
      </c>
      <c r="D100" s="11">
        <v>130</v>
      </c>
      <c r="E100" s="11">
        <v>115</v>
      </c>
      <c r="F100" s="11">
        <v>50</v>
      </c>
      <c r="G100" s="11">
        <v>50</v>
      </c>
      <c r="H100" s="11">
        <v>75</v>
      </c>
      <c r="I100" s="11">
        <v>475</v>
      </c>
      <c r="J100" s="11">
        <v>79.17</v>
      </c>
      <c r="K100" s="15"/>
      <c r="L100" s="1"/>
      <c r="M100" s="1"/>
      <c r="N100" s="1"/>
    </row>
    <row r="101" spans="1:14" ht="12.75" x14ac:dyDescent="0.2">
      <c r="A101" s="11">
        <v>100</v>
      </c>
      <c r="B101" s="2" t="s">
        <v>133</v>
      </c>
      <c r="C101" s="11">
        <v>40</v>
      </c>
      <c r="D101" s="11">
        <v>30</v>
      </c>
      <c r="E101" s="11">
        <v>50</v>
      </c>
      <c r="F101" s="11">
        <v>55</v>
      </c>
      <c r="G101" s="11">
        <v>55</v>
      </c>
      <c r="H101" s="11">
        <v>100</v>
      </c>
      <c r="I101" s="11">
        <v>330</v>
      </c>
      <c r="J101" s="11">
        <v>55</v>
      </c>
      <c r="K101" s="15"/>
      <c r="L101" s="1"/>
      <c r="M101" s="1"/>
      <c r="N101" s="1"/>
    </row>
    <row r="102" spans="1:14" ht="12.75" x14ac:dyDescent="0.2">
      <c r="A102" s="11">
        <v>101</v>
      </c>
      <c r="B102" s="2" t="s">
        <v>134</v>
      </c>
      <c r="C102" s="11">
        <v>60</v>
      </c>
      <c r="D102" s="11">
        <v>50</v>
      </c>
      <c r="E102" s="11">
        <v>70</v>
      </c>
      <c r="F102" s="11">
        <v>80</v>
      </c>
      <c r="G102" s="11">
        <v>80</v>
      </c>
      <c r="H102" s="11">
        <v>140</v>
      </c>
      <c r="I102" s="11">
        <v>480</v>
      </c>
      <c r="J102" s="11">
        <v>80</v>
      </c>
      <c r="K102" s="15"/>
      <c r="L102" s="1"/>
      <c r="M102" s="1"/>
      <c r="N102" s="1"/>
    </row>
    <row r="103" spans="1:14" ht="12.75" x14ac:dyDescent="0.2">
      <c r="A103" s="11">
        <v>102</v>
      </c>
      <c r="B103" s="2" t="s">
        <v>135</v>
      </c>
      <c r="C103" s="11">
        <v>60</v>
      </c>
      <c r="D103" s="11">
        <v>40</v>
      </c>
      <c r="E103" s="11">
        <v>80</v>
      </c>
      <c r="F103" s="11">
        <v>60</v>
      </c>
      <c r="G103" s="11">
        <v>45</v>
      </c>
      <c r="H103" s="11">
        <v>40</v>
      </c>
      <c r="I103" s="11">
        <v>325</v>
      </c>
      <c r="J103" s="11">
        <v>54.17</v>
      </c>
      <c r="K103" s="15"/>
      <c r="L103" s="1"/>
      <c r="M103" s="1"/>
      <c r="N103" s="1"/>
    </row>
    <row r="104" spans="1:14" ht="12.75" x14ac:dyDescent="0.2">
      <c r="A104" s="11">
        <v>103</v>
      </c>
      <c r="B104" s="2" t="s">
        <v>136</v>
      </c>
      <c r="C104" s="11">
        <v>95</v>
      </c>
      <c r="D104" s="11">
        <v>95</v>
      </c>
      <c r="E104" s="11">
        <v>85</v>
      </c>
      <c r="F104" s="11">
        <v>125</v>
      </c>
      <c r="G104" s="11">
        <v>65</v>
      </c>
      <c r="H104" s="11">
        <v>55</v>
      </c>
      <c r="I104" s="11">
        <v>520</v>
      </c>
      <c r="J104" s="11">
        <v>86.67</v>
      </c>
      <c r="K104" s="15"/>
      <c r="L104" s="1"/>
      <c r="M104" s="1"/>
      <c r="N104" s="1"/>
    </row>
    <row r="105" spans="1:14" ht="12.75" x14ac:dyDescent="0.2">
      <c r="A105" s="11">
        <v>104</v>
      </c>
      <c r="B105" s="2" t="s">
        <v>137</v>
      </c>
      <c r="C105" s="11">
        <v>50</v>
      </c>
      <c r="D105" s="11">
        <v>50</v>
      </c>
      <c r="E105" s="11">
        <v>95</v>
      </c>
      <c r="F105" s="11">
        <v>40</v>
      </c>
      <c r="G105" s="11">
        <v>50</v>
      </c>
      <c r="H105" s="11">
        <v>35</v>
      </c>
      <c r="I105" s="11">
        <v>320</v>
      </c>
      <c r="J105" s="11">
        <v>53.33</v>
      </c>
      <c r="K105" s="15"/>
      <c r="L105" s="1"/>
      <c r="M105" s="1"/>
      <c r="N105" s="1"/>
    </row>
    <row r="106" spans="1:14" ht="12.75" x14ac:dyDescent="0.2">
      <c r="A106" s="11">
        <v>105</v>
      </c>
      <c r="B106" s="2" t="s">
        <v>138</v>
      </c>
      <c r="C106" s="11">
        <v>60</v>
      </c>
      <c r="D106" s="11">
        <v>80</v>
      </c>
      <c r="E106" s="11">
        <v>110</v>
      </c>
      <c r="F106" s="11">
        <v>50</v>
      </c>
      <c r="G106" s="11">
        <v>80</v>
      </c>
      <c r="H106" s="11">
        <v>45</v>
      </c>
      <c r="I106" s="11">
        <v>425</v>
      </c>
      <c r="J106" s="11">
        <v>70.83</v>
      </c>
      <c r="K106" s="15"/>
      <c r="L106" s="1"/>
      <c r="M106" s="1"/>
      <c r="N106" s="1"/>
    </row>
    <row r="107" spans="1:14" ht="12.75" x14ac:dyDescent="0.2">
      <c r="A107" s="11">
        <v>106</v>
      </c>
      <c r="B107" s="2" t="s">
        <v>139</v>
      </c>
      <c r="C107" s="11">
        <v>50</v>
      </c>
      <c r="D107" s="11">
        <v>120</v>
      </c>
      <c r="E107" s="11">
        <v>53</v>
      </c>
      <c r="F107" s="11">
        <v>35</v>
      </c>
      <c r="G107" s="11">
        <v>110</v>
      </c>
      <c r="H107" s="11">
        <v>87</v>
      </c>
      <c r="I107" s="11">
        <v>455</v>
      </c>
      <c r="J107" s="11">
        <v>75.83</v>
      </c>
      <c r="K107" s="15"/>
      <c r="L107" s="1"/>
      <c r="M107" s="1"/>
      <c r="N107" s="1"/>
    </row>
    <row r="108" spans="1:14" ht="12.75" x14ac:dyDescent="0.2">
      <c r="A108" s="11">
        <v>107</v>
      </c>
      <c r="B108" s="2" t="s">
        <v>140</v>
      </c>
      <c r="C108" s="11">
        <v>50</v>
      </c>
      <c r="D108" s="11">
        <v>105</v>
      </c>
      <c r="E108" s="11">
        <v>79</v>
      </c>
      <c r="F108" s="11">
        <v>35</v>
      </c>
      <c r="G108" s="11">
        <v>110</v>
      </c>
      <c r="H108" s="11">
        <v>76</v>
      </c>
      <c r="I108" s="11">
        <v>455</v>
      </c>
      <c r="J108" s="11">
        <v>75.83</v>
      </c>
      <c r="K108" s="15"/>
      <c r="L108" s="1"/>
      <c r="M108" s="1"/>
      <c r="N108" s="1"/>
    </row>
    <row r="109" spans="1:14" ht="12.75" x14ac:dyDescent="0.2">
      <c r="A109" s="11">
        <v>108</v>
      </c>
      <c r="B109" s="2" t="s">
        <v>141</v>
      </c>
      <c r="C109" s="11">
        <v>90</v>
      </c>
      <c r="D109" s="11">
        <v>55</v>
      </c>
      <c r="E109" s="11">
        <v>75</v>
      </c>
      <c r="F109" s="11">
        <v>60</v>
      </c>
      <c r="G109" s="11">
        <v>75</v>
      </c>
      <c r="H109" s="11">
        <v>30</v>
      </c>
      <c r="I109" s="11">
        <v>385</v>
      </c>
      <c r="J109" s="11">
        <v>64.17</v>
      </c>
      <c r="K109" s="15"/>
      <c r="L109" s="1"/>
      <c r="M109" s="1"/>
      <c r="N109" s="1"/>
    </row>
    <row r="110" spans="1:14" ht="12.75" x14ac:dyDescent="0.2">
      <c r="A110" s="11">
        <v>109</v>
      </c>
      <c r="B110" s="2" t="s">
        <v>142</v>
      </c>
      <c r="C110" s="11">
        <v>40</v>
      </c>
      <c r="D110" s="11">
        <v>65</v>
      </c>
      <c r="E110" s="11">
        <v>95</v>
      </c>
      <c r="F110" s="11">
        <v>60</v>
      </c>
      <c r="G110" s="11">
        <v>45</v>
      </c>
      <c r="H110" s="11">
        <v>35</v>
      </c>
      <c r="I110" s="11">
        <v>340</v>
      </c>
      <c r="J110" s="11">
        <v>56.67</v>
      </c>
      <c r="K110" s="15"/>
      <c r="L110" s="1"/>
      <c r="M110" s="1"/>
      <c r="N110" s="1"/>
    </row>
    <row r="111" spans="1:14" ht="12.75" x14ac:dyDescent="0.2">
      <c r="A111" s="11">
        <v>110</v>
      </c>
      <c r="B111" s="2" t="s">
        <v>143</v>
      </c>
      <c r="C111" s="11">
        <v>65</v>
      </c>
      <c r="D111" s="11">
        <v>90</v>
      </c>
      <c r="E111" s="11">
        <v>120</v>
      </c>
      <c r="F111" s="11">
        <v>85</v>
      </c>
      <c r="G111" s="11">
        <v>70</v>
      </c>
      <c r="H111" s="11">
        <v>60</v>
      </c>
      <c r="I111" s="11">
        <v>490</v>
      </c>
      <c r="J111" s="11">
        <v>81.67</v>
      </c>
      <c r="K111" s="15"/>
      <c r="L111" s="1"/>
      <c r="M111" s="1"/>
      <c r="N111" s="1"/>
    </row>
    <row r="112" spans="1:14" ht="12.75" x14ac:dyDescent="0.2">
      <c r="A112" s="11">
        <v>111</v>
      </c>
      <c r="B112" s="2" t="s">
        <v>144</v>
      </c>
      <c r="C112" s="11">
        <v>80</v>
      </c>
      <c r="D112" s="11">
        <v>85</v>
      </c>
      <c r="E112" s="11">
        <v>95</v>
      </c>
      <c r="F112" s="11">
        <v>30</v>
      </c>
      <c r="G112" s="11">
        <v>30</v>
      </c>
      <c r="H112" s="11">
        <v>25</v>
      </c>
      <c r="I112" s="11">
        <v>345</v>
      </c>
      <c r="J112" s="11">
        <v>57.5</v>
      </c>
      <c r="K112" s="15"/>
      <c r="L112" s="1"/>
      <c r="M112" s="1"/>
      <c r="N112" s="1"/>
    </row>
    <row r="113" spans="1:14" ht="12.75" x14ac:dyDescent="0.2">
      <c r="A113" s="11">
        <v>112</v>
      </c>
      <c r="B113" s="2" t="s">
        <v>145</v>
      </c>
      <c r="C113" s="11">
        <v>105</v>
      </c>
      <c r="D113" s="11">
        <v>130</v>
      </c>
      <c r="E113" s="11">
        <v>120</v>
      </c>
      <c r="F113" s="11">
        <v>45</v>
      </c>
      <c r="G113" s="11">
        <v>45</v>
      </c>
      <c r="H113" s="11">
        <v>40</v>
      </c>
      <c r="I113" s="11">
        <v>485</v>
      </c>
      <c r="J113" s="11">
        <v>80.83</v>
      </c>
      <c r="K113" s="15"/>
      <c r="L113" s="1"/>
      <c r="M113" s="1"/>
      <c r="N113" s="1"/>
    </row>
    <row r="114" spans="1:14" ht="12.75" x14ac:dyDescent="0.2">
      <c r="A114" s="11">
        <v>113</v>
      </c>
      <c r="B114" s="2" t="s">
        <v>146</v>
      </c>
      <c r="C114" s="11">
        <v>250</v>
      </c>
      <c r="D114" s="11">
        <v>5</v>
      </c>
      <c r="E114" s="11">
        <v>5</v>
      </c>
      <c r="F114" s="11">
        <v>35</v>
      </c>
      <c r="G114" s="11">
        <v>105</v>
      </c>
      <c r="H114" s="11">
        <v>50</v>
      </c>
      <c r="I114" s="11">
        <v>450</v>
      </c>
      <c r="J114" s="11">
        <v>75</v>
      </c>
      <c r="K114" s="15"/>
      <c r="L114" s="1"/>
      <c r="M114" s="1"/>
      <c r="N114" s="1"/>
    </row>
    <row r="115" spans="1:14" ht="12.75" x14ac:dyDescent="0.2">
      <c r="A115" s="11">
        <v>114</v>
      </c>
      <c r="B115" s="2" t="s">
        <v>147</v>
      </c>
      <c r="C115" s="11">
        <v>65</v>
      </c>
      <c r="D115" s="11">
        <v>55</v>
      </c>
      <c r="E115" s="11">
        <v>115</v>
      </c>
      <c r="F115" s="11">
        <v>100</v>
      </c>
      <c r="G115" s="11">
        <v>40</v>
      </c>
      <c r="H115" s="11">
        <v>60</v>
      </c>
      <c r="I115" s="11">
        <v>435</v>
      </c>
      <c r="J115" s="11">
        <v>72.5</v>
      </c>
      <c r="K115" s="15"/>
      <c r="L115" s="1"/>
      <c r="M115" s="1"/>
      <c r="N115" s="1"/>
    </row>
    <row r="116" spans="1:14" ht="12.75" x14ac:dyDescent="0.2">
      <c r="A116" s="11">
        <v>115</v>
      </c>
      <c r="B116" s="2" t="s">
        <v>148</v>
      </c>
      <c r="C116" s="11">
        <v>105</v>
      </c>
      <c r="D116" s="11">
        <v>95</v>
      </c>
      <c r="E116" s="11">
        <v>80</v>
      </c>
      <c r="F116" s="11">
        <v>40</v>
      </c>
      <c r="G116" s="11">
        <v>80</v>
      </c>
      <c r="H116" s="11">
        <v>90</v>
      </c>
      <c r="I116" s="11">
        <v>490</v>
      </c>
      <c r="J116" s="11">
        <v>81.67</v>
      </c>
      <c r="K116" s="15"/>
      <c r="L116" s="1"/>
      <c r="M116" s="1"/>
      <c r="N116" s="1"/>
    </row>
    <row r="117" spans="1:14" ht="12.75" x14ac:dyDescent="0.2">
      <c r="A117" s="11">
        <v>116</v>
      </c>
      <c r="B117" s="2" t="s">
        <v>149</v>
      </c>
      <c r="C117" s="11">
        <v>30</v>
      </c>
      <c r="D117" s="11">
        <v>40</v>
      </c>
      <c r="E117" s="11">
        <v>70</v>
      </c>
      <c r="F117" s="11">
        <v>70</v>
      </c>
      <c r="G117" s="11">
        <v>25</v>
      </c>
      <c r="H117" s="11">
        <v>60</v>
      </c>
      <c r="I117" s="11">
        <v>295</v>
      </c>
      <c r="J117" s="11">
        <v>49.17</v>
      </c>
      <c r="K117" s="15"/>
      <c r="L117" s="1"/>
      <c r="M117" s="1"/>
      <c r="N117" s="1"/>
    </row>
    <row r="118" spans="1:14" ht="12.75" x14ac:dyDescent="0.2">
      <c r="A118" s="11">
        <v>117</v>
      </c>
      <c r="B118" s="2" t="s">
        <v>150</v>
      </c>
      <c r="C118" s="11">
        <v>55</v>
      </c>
      <c r="D118" s="11">
        <v>65</v>
      </c>
      <c r="E118" s="11">
        <v>95</v>
      </c>
      <c r="F118" s="11">
        <v>95</v>
      </c>
      <c r="G118" s="11">
        <v>45</v>
      </c>
      <c r="H118" s="11">
        <v>85</v>
      </c>
      <c r="I118" s="11">
        <v>440</v>
      </c>
      <c r="J118" s="11">
        <v>73.33</v>
      </c>
      <c r="K118" s="15"/>
      <c r="L118" s="1"/>
      <c r="M118" s="1"/>
      <c r="N118" s="1"/>
    </row>
    <row r="119" spans="1:14" ht="12.75" x14ac:dyDescent="0.2">
      <c r="A119" s="11">
        <v>118</v>
      </c>
      <c r="B119" s="2" t="s">
        <v>151</v>
      </c>
      <c r="C119" s="11">
        <v>45</v>
      </c>
      <c r="D119" s="11">
        <v>67</v>
      </c>
      <c r="E119" s="11">
        <v>60</v>
      </c>
      <c r="F119" s="11">
        <v>35</v>
      </c>
      <c r="G119" s="11">
        <v>50</v>
      </c>
      <c r="H119" s="11">
        <v>63</v>
      </c>
      <c r="I119" s="11">
        <v>320</v>
      </c>
      <c r="J119" s="11">
        <v>53.33</v>
      </c>
      <c r="K119" s="15"/>
      <c r="L119" s="1"/>
      <c r="M119" s="1"/>
      <c r="N119" s="1"/>
    </row>
    <row r="120" spans="1:14" ht="12.75" x14ac:dyDescent="0.2">
      <c r="A120" s="11">
        <v>119</v>
      </c>
      <c r="B120" s="2" t="s">
        <v>152</v>
      </c>
      <c r="C120" s="11">
        <v>80</v>
      </c>
      <c r="D120" s="11">
        <v>92</v>
      </c>
      <c r="E120" s="11">
        <v>65</v>
      </c>
      <c r="F120" s="11">
        <v>65</v>
      </c>
      <c r="G120" s="11">
        <v>80</v>
      </c>
      <c r="H120" s="11">
        <v>68</v>
      </c>
      <c r="I120" s="11">
        <v>450</v>
      </c>
      <c r="J120" s="11">
        <v>75</v>
      </c>
      <c r="K120" s="15"/>
      <c r="L120" s="1"/>
      <c r="M120" s="1"/>
      <c r="N120" s="1"/>
    </row>
    <row r="121" spans="1:14" ht="12.75" x14ac:dyDescent="0.2">
      <c r="A121" s="11">
        <v>120</v>
      </c>
      <c r="B121" s="2" t="s">
        <v>153</v>
      </c>
      <c r="C121" s="11">
        <v>30</v>
      </c>
      <c r="D121" s="11">
        <v>45</v>
      </c>
      <c r="E121" s="11">
        <v>55</v>
      </c>
      <c r="F121" s="11">
        <v>70</v>
      </c>
      <c r="G121" s="11">
        <v>55</v>
      </c>
      <c r="H121" s="11">
        <v>85</v>
      </c>
      <c r="I121" s="11">
        <v>340</v>
      </c>
      <c r="J121" s="11">
        <v>56.67</v>
      </c>
      <c r="K121" s="15"/>
      <c r="L121" s="1"/>
      <c r="M121" s="1"/>
      <c r="N121" s="1"/>
    </row>
    <row r="122" spans="1:14" ht="12.75" x14ac:dyDescent="0.2">
      <c r="A122" s="11">
        <v>121</v>
      </c>
      <c r="B122" s="2" t="s">
        <v>154</v>
      </c>
      <c r="C122" s="11">
        <v>60</v>
      </c>
      <c r="D122" s="11">
        <v>75</v>
      </c>
      <c r="E122" s="11">
        <v>85</v>
      </c>
      <c r="F122" s="11">
        <v>100</v>
      </c>
      <c r="G122" s="11">
        <v>85</v>
      </c>
      <c r="H122" s="11">
        <v>115</v>
      </c>
      <c r="I122" s="11">
        <v>520</v>
      </c>
      <c r="J122" s="11">
        <v>86.67</v>
      </c>
      <c r="K122" s="15"/>
      <c r="L122" s="1"/>
      <c r="M122" s="1"/>
      <c r="N122" s="1"/>
    </row>
    <row r="123" spans="1:14" ht="12.75" x14ac:dyDescent="0.2">
      <c r="A123" s="11">
        <v>122</v>
      </c>
      <c r="B123" s="2" t="s">
        <v>155</v>
      </c>
      <c r="C123" s="11">
        <v>40</v>
      </c>
      <c r="D123" s="11">
        <v>45</v>
      </c>
      <c r="E123" s="11">
        <v>65</v>
      </c>
      <c r="F123" s="11">
        <v>100</v>
      </c>
      <c r="G123" s="11">
        <v>120</v>
      </c>
      <c r="H123" s="11">
        <v>90</v>
      </c>
      <c r="I123" s="11">
        <v>460</v>
      </c>
      <c r="J123" s="11">
        <v>76.67</v>
      </c>
      <c r="K123" s="15"/>
      <c r="L123" s="1"/>
      <c r="M123" s="1"/>
      <c r="N123" s="1"/>
    </row>
    <row r="124" spans="1:14" ht="12.75" x14ac:dyDescent="0.2">
      <c r="A124" s="11">
        <v>123</v>
      </c>
      <c r="B124" s="2" t="s">
        <v>156</v>
      </c>
      <c r="C124" s="11">
        <v>70</v>
      </c>
      <c r="D124" s="11">
        <v>110</v>
      </c>
      <c r="E124" s="11">
        <v>80</v>
      </c>
      <c r="F124" s="11">
        <v>55</v>
      </c>
      <c r="G124" s="11">
        <v>80</v>
      </c>
      <c r="H124" s="11">
        <v>105</v>
      </c>
      <c r="I124" s="11">
        <v>500</v>
      </c>
      <c r="J124" s="11">
        <v>83.33</v>
      </c>
      <c r="K124" s="15"/>
      <c r="L124" s="1"/>
      <c r="M124" s="1"/>
      <c r="N124" s="1"/>
    </row>
    <row r="125" spans="1:14" ht="12.75" x14ac:dyDescent="0.2">
      <c r="A125" s="11">
        <v>124</v>
      </c>
      <c r="B125" s="2" t="s">
        <v>157</v>
      </c>
      <c r="C125" s="11">
        <v>65</v>
      </c>
      <c r="D125" s="11">
        <v>50</v>
      </c>
      <c r="E125" s="11">
        <v>35</v>
      </c>
      <c r="F125" s="11">
        <v>115</v>
      </c>
      <c r="G125" s="11">
        <v>95</v>
      </c>
      <c r="H125" s="11">
        <v>95</v>
      </c>
      <c r="I125" s="11">
        <v>455</v>
      </c>
      <c r="J125" s="11">
        <v>75.83</v>
      </c>
      <c r="K125" s="15"/>
      <c r="L125" s="1"/>
      <c r="M125" s="1"/>
      <c r="N125" s="1"/>
    </row>
    <row r="126" spans="1:14" ht="12.75" x14ac:dyDescent="0.2">
      <c r="A126" s="11">
        <v>125</v>
      </c>
      <c r="B126" s="2" t="s">
        <v>158</v>
      </c>
      <c r="C126" s="11">
        <v>65</v>
      </c>
      <c r="D126" s="11">
        <v>83</v>
      </c>
      <c r="E126" s="11">
        <v>57</v>
      </c>
      <c r="F126" s="11">
        <v>95</v>
      </c>
      <c r="G126" s="11">
        <v>85</v>
      </c>
      <c r="H126" s="11">
        <v>105</v>
      </c>
      <c r="I126" s="11">
        <v>490</v>
      </c>
      <c r="J126" s="11">
        <v>81.67</v>
      </c>
      <c r="K126" s="15"/>
      <c r="L126" s="1"/>
      <c r="M126" s="1"/>
      <c r="N126" s="1"/>
    </row>
    <row r="127" spans="1:14" ht="12.75" x14ac:dyDescent="0.2">
      <c r="A127" s="11">
        <v>126</v>
      </c>
      <c r="B127" s="2" t="s">
        <v>159</v>
      </c>
      <c r="C127" s="11">
        <v>65</v>
      </c>
      <c r="D127" s="11">
        <v>95</v>
      </c>
      <c r="E127" s="11">
        <v>57</v>
      </c>
      <c r="F127" s="11">
        <v>100</v>
      </c>
      <c r="G127" s="11">
        <v>85</v>
      </c>
      <c r="H127" s="11">
        <v>93</v>
      </c>
      <c r="I127" s="11">
        <v>495</v>
      </c>
      <c r="J127" s="11">
        <v>82.5</v>
      </c>
      <c r="K127" s="15"/>
      <c r="L127" s="1"/>
      <c r="M127" s="1"/>
      <c r="N127" s="1"/>
    </row>
    <row r="128" spans="1:14" ht="12.75" x14ac:dyDescent="0.2">
      <c r="A128" s="11">
        <v>127</v>
      </c>
      <c r="B128" s="2" t="s">
        <v>160</v>
      </c>
      <c r="C128" s="11">
        <v>65</v>
      </c>
      <c r="D128" s="11">
        <v>125</v>
      </c>
      <c r="E128" s="11">
        <v>100</v>
      </c>
      <c r="F128" s="11">
        <v>55</v>
      </c>
      <c r="G128" s="11">
        <v>70</v>
      </c>
      <c r="H128" s="11">
        <v>85</v>
      </c>
      <c r="I128" s="11">
        <v>500</v>
      </c>
      <c r="J128" s="11">
        <v>83.33</v>
      </c>
      <c r="K128" s="15"/>
      <c r="L128" s="1"/>
      <c r="M128" s="1"/>
      <c r="N128" s="1"/>
    </row>
    <row r="129" spans="1:14" ht="12.75" x14ac:dyDescent="0.2">
      <c r="A129" s="11">
        <v>128</v>
      </c>
      <c r="B129" s="2" t="s">
        <v>161</v>
      </c>
      <c r="C129" s="11">
        <v>75</v>
      </c>
      <c r="D129" s="11">
        <v>100</v>
      </c>
      <c r="E129" s="11">
        <v>95</v>
      </c>
      <c r="F129" s="11">
        <v>40</v>
      </c>
      <c r="G129" s="11">
        <v>70</v>
      </c>
      <c r="H129" s="11">
        <v>110</v>
      </c>
      <c r="I129" s="11">
        <v>490</v>
      </c>
      <c r="J129" s="11">
        <v>81.67</v>
      </c>
      <c r="K129" s="15"/>
      <c r="L129" s="1"/>
      <c r="M129" s="1"/>
      <c r="N129" s="1"/>
    </row>
    <row r="130" spans="1:14" ht="12.75" x14ac:dyDescent="0.2">
      <c r="A130" s="11">
        <v>129</v>
      </c>
      <c r="B130" s="2" t="s">
        <v>162</v>
      </c>
      <c r="C130" s="11">
        <v>20</v>
      </c>
      <c r="D130" s="11">
        <v>10</v>
      </c>
      <c r="E130" s="11">
        <v>55</v>
      </c>
      <c r="F130" s="11">
        <v>15</v>
      </c>
      <c r="G130" s="11">
        <v>20</v>
      </c>
      <c r="H130" s="11">
        <v>80</v>
      </c>
      <c r="I130" s="11">
        <v>200</v>
      </c>
      <c r="J130" s="11">
        <v>33.33</v>
      </c>
      <c r="K130" s="15"/>
      <c r="L130" s="1"/>
      <c r="M130" s="1"/>
      <c r="N130" s="1"/>
    </row>
    <row r="131" spans="1:14" ht="12.75" x14ac:dyDescent="0.2">
      <c r="A131" s="11">
        <v>130</v>
      </c>
      <c r="B131" s="2" t="s">
        <v>163</v>
      </c>
      <c r="C131" s="11">
        <v>95</v>
      </c>
      <c r="D131" s="11">
        <v>125</v>
      </c>
      <c r="E131" s="11">
        <v>79</v>
      </c>
      <c r="F131" s="11">
        <v>60</v>
      </c>
      <c r="G131" s="11">
        <v>100</v>
      </c>
      <c r="H131" s="11">
        <v>81</v>
      </c>
      <c r="I131" s="11">
        <v>540</v>
      </c>
      <c r="J131" s="11">
        <v>90</v>
      </c>
      <c r="K131" s="15"/>
      <c r="L131" s="1"/>
      <c r="M131" s="1"/>
      <c r="N131" s="1"/>
    </row>
    <row r="132" spans="1:14" ht="12.75" x14ac:dyDescent="0.2">
      <c r="A132" s="11">
        <v>131</v>
      </c>
      <c r="B132" s="2" t="s">
        <v>164</v>
      </c>
      <c r="C132" s="11">
        <v>130</v>
      </c>
      <c r="D132" s="11">
        <v>85</v>
      </c>
      <c r="E132" s="11">
        <v>80</v>
      </c>
      <c r="F132" s="11">
        <v>85</v>
      </c>
      <c r="G132" s="11">
        <v>95</v>
      </c>
      <c r="H132" s="11">
        <v>60</v>
      </c>
      <c r="I132" s="11">
        <v>535</v>
      </c>
      <c r="J132" s="11">
        <v>89.17</v>
      </c>
      <c r="K132" s="15"/>
      <c r="L132" s="1"/>
      <c r="M132" s="1"/>
      <c r="N132" s="1"/>
    </row>
    <row r="133" spans="1:14" ht="12.75" x14ac:dyDescent="0.2">
      <c r="A133" s="11">
        <v>132</v>
      </c>
      <c r="B133" s="2" t="s">
        <v>165</v>
      </c>
      <c r="C133" s="11">
        <v>48</v>
      </c>
      <c r="D133" s="11">
        <v>48</v>
      </c>
      <c r="E133" s="11">
        <v>48</v>
      </c>
      <c r="F133" s="11">
        <v>48</v>
      </c>
      <c r="G133" s="11">
        <v>48</v>
      </c>
      <c r="H133" s="11">
        <v>48</v>
      </c>
      <c r="I133" s="11">
        <v>288</v>
      </c>
      <c r="J133" s="11">
        <v>48</v>
      </c>
      <c r="K133" s="15"/>
      <c r="L133" s="1"/>
      <c r="M133" s="1"/>
      <c r="N133" s="1"/>
    </row>
    <row r="134" spans="1:14" ht="12.75" x14ac:dyDescent="0.2">
      <c r="A134" s="11">
        <v>133</v>
      </c>
      <c r="B134" s="2" t="s">
        <v>166</v>
      </c>
      <c r="C134" s="11">
        <v>55</v>
      </c>
      <c r="D134" s="11">
        <v>55</v>
      </c>
      <c r="E134" s="11">
        <v>50</v>
      </c>
      <c r="F134" s="11">
        <v>45</v>
      </c>
      <c r="G134" s="11">
        <v>65</v>
      </c>
      <c r="H134" s="11">
        <v>55</v>
      </c>
      <c r="I134" s="11">
        <v>325</v>
      </c>
      <c r="J134" s="11">
        <v>54.17</v>
      </c>
      <c r="K134" s="15"/>
      <c r="L134" s="1"/>
      <c r="M134" s="1"/>
      <c r="N134" s="1"/>
    </row>
    <row r="135" spans="1:14" ht="12.75" x14ac:dyDescent="0.2">
      <c r="A135" s="11">
        <v>134</v>
      </c>
      <c r="B135" s="2" t="s">
        <v>167</v>
      </c>
      <c r="C135" s="11">
        <v>130</v>
      </c>
      <c r="D135" s="11">
        <v>65</v>
      </c>
      <c r="E135" s="11">
        <v>60</v>
      </c>
      <c r="F135" s="11">
        <v>110</v>
      </c>
      <c r="G135" s="11">
        <v>95</v>
      </c>
      <c r="H135" s="11">
        <v>65</v>
      </c>
      <c r="I135" s="11">
        <v>525</v>
      </c>
      <c r="J135" s="11">
        <v>87.5</v>
      </c>
      <c r="K135" s="15"/>
      <c r="L135" s="1"/>
      <c r="M135" s="1"/>
      <c r="N135" s="1"/>
    </row>
    <row r="136" spans="1:14" ht="12.75" x14ac:dyDescent="0.2">
      <c r="A136" s="11">
        <v>135</v>
      </c>
      <c r="B136" s="2" t="s">
        <v>168</v>
      </c>
      <c r="C136" s="11">
        <v>65</v>
      </c>
      <c r="D136" s="11">
        <v>65</v>
      </c>
      <c r="E136" s="11">
        <v>60</v>
      </c>
      <c r="F136" s="11">
        <v>110</v>
      </c>
      <c r="G136" s="11">
        <v>95</v>
      </c>
      <c r="H136" s="11">
        <v>130</v>
      </c>
      <c r="I136" s="11">
        <v>525</v>
      </c>
      <c r="J136" s="11">
        <v>87.5</v>
      </c>
      <c r="K136" s="15"/>
      <c r="L136" s="1"/>
      <c r="M136" s="1"/>
      <c r="N136" s="1"/>
    </row>
    <row r="137" spans="1:14" ht="12.75" x14ac:dyDescent="0.2">
      <c r="A137" s="11">
        <v>136</v>
      </c>
      <c r="B137" s="2" t="s">
        <v>169</v>
      </c>
      <c r="C137" s="11">
        <v>65</v>
      </c>
      <c r="D137" s="11">
        <v>130</v>
      </c>
      <c r="E137" s="11">
        <v>60</v>
      </c>
      <c r="F137" s="11">
        <v>95</v>
      </c>
      <c r="G137" s="11">
        <v>110</v>
      </c>
      <c r="H137" s="11">
        <v>65</v>
      </c>
      <c r="I137" s="11">
        <v>525</v>
      </c>
      <c r="J137" s="11">
        <v>87.5</v>
      </c>
      <c r="K137" s="15"/>
      <c r="L137" s="1"/>
      <c r="M137" s="1"/>
      <c r="N137" s="1"/>
    </row>
    <row r="138" spans="1:14" ht="12.75" x14ac:dyDescent="0.2">
      <c r="A138" s="11">
        <v>137</v>
      </c>
      <c r="B138" s="2" t="s">
        <v>170</v>
      </c>
      <c r="C138" s="11">
        <v>65</v>
      </c>
      <c r="D138" s="11">
        <v>60</v>
      </c>
      <c r="E138" s="11">
        <v>70</v>
      </c>
      <c r="F138" s="11">
        <v>85</v>
      </c>
      <c r="G138" s="11">
        <v>75</v>
      </c>
      <c r="H138" s="11">
        <v>40</v>
      </c>
      <c r="I138" s="11">
        <v>395</v>
      </c>
      <c r="J138" s="11">
        <v>65.83</v>
      </c>
      <c r="K138" s="15"/>
      <c r="L138" s="1"/>
      <c r="M138" s="1"/>
      <c r="N138" s="1"/>
    </row>
    <row r="139" spans="1:14" ht="12.75" x14ac:dyDescent="0.2">
      <c r="A139" s="11">
        <v>138</v>
      </c>
      <c r="B139" s="2" t="s">
        <v>171</v>
      </c>
      <c r="C139" s="11">
        <v>35</v>
      </c>
      <c r="D139" s="11">
        <v>40</v>
      </c>
      <c r="E139" s="11">
        <v>100</v>
      </c>
      <c r="F139" s="11">
        <v>90</v>
      </c>
      <c r="G139" s="11">
        <v>55</v>
      </c>
      <c r="H139" s="11">
        <v>35</v>
      </c>
      <c r="I139" s="11">
        <v>355</v>
      </c>
      <c r="J139" s="11">
        <v>59.17</v>
      </c>
      <c r="K139" s="15"/>
      <c r="L139" s="1"/>
      <c r="M139" s="1"/>
      <c r="N139" s="1"/>
    </row>
    <row r="140" spans="1:14" ht="12.75" x14ac:dyDescent="0.2">
      <c r="A140" s="11">
        <v>139</v>
      </c>
      <c r="B140" s="2" t="s">
        <v>172</v>
      </c>
      <c r="C140" s="11">
        <v>70</v>
      </c>
      <c r="D140" s="11">
        <v>60</v>
      </c>
      <c r="E140" s="11">
        <v>125</v>
      </c>
      <c r="F140" s="11">
        <v>115</v>
      </c>
      <c r="G140" s="11">
        <v>70</v>
      </c>
      <c r="H140" s="11">
        <v>55</v>
      </c>
      <c r="I140" s="11">
        <v>495</v>
      </c>
      <c r="J140" s="11">
        <v>82.5</v>
      </c>
      <c r="K140" s="15"/>
      <c r="L140" s="1"/>
      <c r="M140" s="1"/>
      <c r="N140" s="1"/>
    </row>
    <row r="141" spans="1:14" ht="12.75" x14ac:dyDescent="0.2">
      <c r="A141" s="11">
        <v>140</v>
      </c>
      <c r="B141" s="2" t="s">
        <v>173</v>
      </c>
      <c r="C141" s="11">
        <v>30</v>
      </c>
      <c r="D141" s="11">
        <v>80</v>
      </c>
      <c r="E141" s="11">
        <v>90</v>
      </c>
      <c r="F141" s="11">
        <v>55</v>
      </c>
      <c r="G141" s="11">
        <v>45</v>
      </c>
      <c r="H141" s="11">
        <v>55</v>
      </c>
      <c r="I141" s="11">
        <v>355</v>
      </c>
      <c r="J141" s="11">
        <v>59.17</v>
      </c>
      <c r="K141" s="15"/>
      <c r="L141" s="1"/>
      <c r="M141" s="1"/>
      <c r="N141" s="1"/>
    </row>
    <row r="142" spans="1:14" ht="12.75" x14ac:dyDescent="0.2">
      <c r="A142" s="11">
        <v>141</v>
      </c>
      <c r="B142" s="2" t="s">
        <v>174</v>
      </c>
      <c r="C142" s="11">
        <v>60</v>
      </c>
      <c r="D142" s="11">
        <v>115</v>
      </c>
      <c r="E142" s="11">
        <v>105</v>
      </c>
      <c r="F142" s="11">
        <v>65</v>
      </c>
      <c r="G142" s="11">
        <v>70</v>
      </c>
      <c r="H142" s="11">
        <v>80</v>
      </c>
      <c r="I142" s="11">
        <v>495</v>
      </c>
      <c r="J142" s="11">
        <v>82.5</v>
      </c>
      <c r="K142" s="15"/>
      <c r="L142" s="1"/>
      <c r="M142" s="1"/>
      <c r="N142" s="1"/>
    </row>
    <row r="143" spans="1:14" ht="12.75" x14ac:dyDescent="0.2">
      <c r="A143" s="11">
        <v>142</v>
      </c>
      <c r="B143" s="2" t="s">
        <v>175</v>
      </c>
      <c r="C143" s="11">
        <v>80</v>
      </c>
      <c r="D143" s="11">
        <v>105</v>
      </c>
      <c r="E143" s="11">
        <v>65</v>
      </c>
      <c r="F143" s="11">
        <v>60</v>
      </c>
      <c r="G143" s="11">
        <v>75</v>
      </c>
      <c r="H143" s="11">
        <v>130</v>
      </c>
      <c r="I143" s="11">
        <v>515</v>
      </c>
      <c r="J143" s="11">
        <v>85.83</v>
      </c>
      <c r="K143" s="15"/>
      <c r="L143" s="1"/>
      <c r="M143" s="1"/>
      <c r="N143" s="1"/>
    </row>
    <row r="144" spans="1:14" ht="12.75" x14ac:dyDescent="0.2">
      <c r="A144" s="11">
        <v>143</v>
      </c>
      <c r="B144" s="2" t="s">
        <v>176</v>
      </c>
      <c r="C144" s="11">
        <v>160</v>
      </c>
      <c r="D144" s="11">
        <v>110</v>
      </c>
      <c r="E144" s="11">
        <v>65</v>
      </c>
      <c r="F144" s="11">
        <v>65</v>
      </c>
      <c r="G144" s="11">
        <v>110</v>
      </c>
      <c r="H144" s="11">
        <v>30</v>
      </c>
      <c r="I144" s="11">
        <v>540</v>
      </c>
      <c r="J144" s="11">
        <v>90</v>
      </c>
      <c r="K144" s="15"/>
      <c r="L144" s="1"/>
      <c r="M144" s="1"/>
      <c r="N144" s="1"/>
    </row>
    <row r="145" spans="1:14" ht="12.75" x14ac:dyDescent="0.2">
      <c r="A145" s="11">
        <v>144</v>
      </c>
      <c r="B145" s="2" t="s">
        <v>177</v>
      </c>
      <c r="C145" s="11">
        <v>90</v>
      </c>
      <c r="D145" s="11">
        <v>85</v>
      </c>
      <c r="E145" s="11">
        <v>100</v>
      </c>
      <c r="F145" s="11">
        <v>95</v>
      </c>
      <c r="G145" s="11">
        <v>125</v>
      </c>
      <c r="H145" s="11">
        <v>85</v>
      </c>
      <c r="I145" s="11">
        <v>580</v>
      </c>
      <c r="J145" s="11">
        <v>96.67</v>
      </c>
      <c r="K145" s="15"/>
      <c r="L145" s="1"/>
      <c r="M145" s="1"/>
      <c r="N145" s="1"/>
    </row>
    <row r="146" spans="1:14" ht="12.75" x14ac:dyDescent="0.2">
      <c r="A146" s="11">
        <v>145</v>
      </c>
      <c r="B146" s="2" t="s">
        <v>178</v>
      </c>
      <c r="C146" s="11">
        <v>90</v>
      </c>
      <c r="D146" s="11">
        <v>90</v>
      </c>
      <c r="E146" s="11">
        <v>85</v>
      </c>
      <c r="F146" s="11">
        <v>125</v>
      </c>
      <c r="G146" s="11">
        <v>90</v>
      </c>
      <c r="H146" s="11">
        <v>100</v>
      </c>
      <c r="I146" s="11">
        <v>580</v>
      </c>
      <c r="J146" s="11">
        <v>96.67</v>
      </c>
      <c r="K146" s="15"/>
      <c r="L146" s="1"/>
      <c r="M146" s="1"/>
      <c r="N146" s="1"/>
    </row>
    <row r="147" spans="1:14" ht="12.75" x14ac:dyDescent="0.2">
      <c r="A147" s="11">
        <v>146</v>
      </c>
      <c r="B147" s="2" t="s">
        <v>179</v>
      </c>
      <c r="C147" s="11">
        <v>90</v>
      </c>
      <c r="D147" s="11">
        <v>100</v>
      </c>
      <c r="E147" s="11">
        <v>90</v>
      </c>
      <c r="F147" s="11">
        <v>125</v>
      </c>
      <c r="G147" s="11">
        <v>85</v>
      </c>
      <c r="H147" s="11">
        <v>90</v>
      </c>
      <c r="I147" s="11">
        <v>580</v>
      </c>
      <c r="J147" s="11">
        <v>96.67</v>
      </c>
      <c r="K147" s="15"/>
      <c r="L147" s="1"/>
      <c r="M147" s="1"/>
      <c r="N147" s="1"/>
    </row>
    <row r="148" spans="1:14" ht="12.75" x14ac:dyDescent="0.2">
      <c r="A148" s="11">
        <v>147</v>
      </c>
      <c r="B148" s="2" t="s">
        <v>180</v>
      </c>
      <c r="C148" s="11">
        <v>41</v>
      </c>
      <c r="D148" s="11">
        <v>64</v>
      </c>
      <c r="E148" s="11">
        <v>45</v>
      </c>
      <c r="F148" s="11">
        <v>50</v>
      </c>
      <c r="G148" s="11">
        <v>50</v>
      </c>
      <c r="H148" s="11">
        <v>50</v>
      </c>
      <c r="I148" s="11">
        <v>300</v>
      </c>
      <c r="J148" s="11">
        <v>50</v>
      </c>
      <c r="K148" s="15"/>
      <c r="L148" s="1"/>
      <c r="M148" s="1"/>
      <c r="N148" s="1"/>
    </row>
    <row r="149" spans="1:14" ht="12.75" x14ac:dyDescent="0.2">
      <c r="A149" s="11">
        <v>148</v>
      </c>
      <c r="B149" s="2" t="s">
        <v>181</v>
      </c>
      <c r="C149" s="11">
        <v>61</v>
      </c>
      <c r="D149" s="11">
        <v>84</v>
      </c>
      <c r="E149" s="11">
        <v>65</v>
      </c>
      <c r="F149" s="11">
        <v>70</v>
      </c>
      <c r="G149" s="11">
        <v>70</v>
      </c>
      <c r="H149" s="11">
        <v>70</v>
      </c>
      <c r="I149" s="11">
        <v>420</v>
      </c>
      <c r="J149" s="11">
        <v>70</v>
      </c>
      <c r="K149" s="15"/>
      <c r="L149" s="1"/>
      <c r="M149" s="1"/>
      <c r="N149" s="1"/>
    </row>
    <row r="150" spans="1:14" ht="12.75" x14ac:dyDescent="0.2">
      <c r="A150" s="11">
        <v>149</v>
      </c>
      <c r="B150" s="2" t="s">
        <v>182</v>
      </c>
      <c r="C150" s="11">
        <v>91</v>
      </c>
      <c r="D150" s="11">
        <v>134</v>
      </c>
      <c r="E150" s="11">
        <v>95</v>
      </c>
      <c r="F150" s="11">
        <v>100</v>
      </c>
      <c r="G150" s="11">
        <v>100</v>
      </c>
      <c r="H150" s="11">
        <v>80</v>
      </c>
      <c r="I150" s="11">
        <v>600</v>
      </c>
      <c r="J150" s="11">
        <v>100</v>
      </c>
      <c r="K150" s="15"/>
      <c r="L150" s="1"/>
      <c r="M150" s="1"/>
      <c r="N150" s="1"/>
    </row>
    <row r="151" spans="1:14" ht="12.75" x14ac:dyDescent="0.2">
      <c r="A151" s="11">
        <v>150</v>
      </c>
      <c r="B151" s="2" t="s">
        <v>183</v>
      </c>
      <c r="C151" s="11">
        <v>106</v>
      </c>
      <c r="D151" s="11">
        <v>110</v>
      </c>
      <c r="E151" s="11">
        <v>90</v>
      </c>
      <c r="F151" s="11">
        <v>154</v>
      </c>
      <c r="G151" s="11">
        <v>90</v>
      </c>
      <c r="H151" s="11">
        <v>130</v>
      </c>
      <c r="I151" s="11">
        <v>680</v>
      </c>
      <c r="J151" s="11">
        <v>113.33</v>
      </c>
      <c r="K151" s="15"/>
      <c r="L151" s="1"/>
      <c r="M151" s="1"/>
      <c r="N151" s="1"/>
    </row>
    <row r="152" spans="1:14" ht="12.75" x14ac:dyDescent="0.2">
      <c r="A152" s="2" t="s">
        <v>562</v>
      </c>
      <c r="B152" s="2" t="s">
        <v>563</v>
      </c>
      <c r="C152" s="11">
        <v>80</v>
      </c>
      <c r="D152" s="11">
        <v>100</v>
      </c>
      <c r="E152" s="11">
        <v>123</v>
      </c>
      <c r="F152" s="11">
        <v>122</v>
      </c>
      <c r="G152" s="11">
        <v>120</v>
      </c>
      <c r="H152" s="11">
        <v>80</v>
      </c>
      <c r="I152" s="11">
        <v>625</v>
      </c>
      <c r="J152" s="11">
        <v>104.17</v>
      </c>
      <c r="K152" s="15"/>
      <c r="L152" s="1"/>
      <c r="M152" s="1"/>
      <c r="N152" s="1"/>
    </row>
    <row r="153" spans="1:14" ht="12.75" x14ac:dyDescent="0.2">
      <c r="A153" s="2" t="s">
        <v>564</v>
      </c>
      <c r="B153" s="2" t="s">
        <v>565</v>
      </c>
      <c r="C153" s="11">
        <v>78</v>
      </c>
      <c r="D153" s="11">
        <v>130</v>
      </c>
      <c r="E153" s="11">
        <v>111</v>
      </c>
      <c r="F153" s="11">
        <v>130</v>
      </c>
      <c r="G153" s="11">
        <v>85</v>
      </c>
      <c r="H153" s="11">
        <v>100</v>
      </c>
      <c r="I153" s="11">
        <v>634</v>
      </c>
      <c r="J153" s="11">
        <v>105.67</v>
      </c>
      <c r="K153" s="15"/>
      <c r="L153" s="1"/>
      <c r="M153" s="1"/>
      <c r="N153" s="1"/>
    </row>
    <row r="154" spans="1:14" ht="12.75" x14ac:dyDescent="0.2">
      <c r="A154" s="2" t="s">
        <v>566</v>
      </c>
      <c r="B154" s="2" t="s">
        <v>567</v>
      </c>
      <c r="C154" s="11">
        <v>78</v>
      </c>
      <c r="D154" s="11">
        <v>104</v>
      </c>
      <c r="E154" s="11">
        <v>78</v>
      </c>
      <c r="F154" s="11">
        <v>159</v>
      </c>
      <c r="G154" s="11">
        <v>115</v>
      </c>
      <c r="H154" s="11">
        <v>100</v>
      </c>
      <c r="I154" s="11">
        <v>634</v>
      </c>
      <c r="J154" s="11">
        <v>105.67</v>
      </c>
      <c r="K154" s="15"/>
      <c r="L154" s="1"/>
      <c r="M154" s="1"/>
      <c r="N154" s="1"/>
    </row>
    <row r="155" spans="1:14" ht="12.75" x14ac:dyDescent="0.2">
      <c r="A155" s="2" t="s">
        <v>568</v>
      </c>
      <c r="B155" s="2" t="s">
        <v>569</v>
      </c>
      <c r="C155" s="11">
        <v>79</v>
      </c>
      <c r="D155" s="11">
        <v>103</v>
      </c>
      <c r="E155" s="11">
        <v>120</v>
      </c>
      <c r="F155" s="11">
        <v>135</v>
      </c>
      <c r="G155" s="11">
        <v>115</v>
      </c>
      <c r="H155" s="11">
        <v>78</v>
      </c>
      <c r="I155" s="11">
        <v>630</v>
      </c>
      <c r="J155" s="11">
        <v>105</v>
      </c>
      <c r="K155" s="15"/>
      <c r="L155" s="1"/>
      <c r="M155" s="1"/>
      <c r="N155" s="1"/>
    </row>
    <row r="156" spans="1:14" ht="12.75" x14ac:dyDescent="0.2">
      <c r="A156" s="2" t="s">
        <v>570</v>
      </c>
      <c r="B156" s="2" t="s">
        <v>571</v>
      </c>
      <c r="C156" s="11">
        <v>65</v>
      </c>
      <c r="D156" s="11">
        <v>150</v>
      </c>
      <c r="E156" s="11">
        <v>40</v>
      </c>
      <c r="F156" s="11">
        <v>15</v>
      </c>
      <c r="G156" s="11">
        <v>80</v>
      </c>
      <c r="H156" s="11">
        <v>145</v>
      </c>
      <c r="I156" s="11">
        <v>495</v>
      </c>
      <c r="J156" s="11">
        <v>82.5</v>
      </c>
      <c r="K156" s="15"/>
      <c r="L156" s="1"/>
      <c r="M156" s="1"/>
      <c r="N156" s="1"/>
    </row>
    <row r="157" spans="1:14" ht="12.75" x14ac:dyDescent="0.2">
      <c r="A157" s="2" t="s">
        <v>572</v>
      </c>
      <c r="B157" s="2" t="s">
        <v>573</v>
      </c>
      <c r="C157" s="11">
        <v>83</v>
      </c>
      <c r="D157" s="11">
        <v>80</v>
      </c>
      <c r="E157" s="11">
        <v>80</v>
      </c>
      <c r="F157" s="11">
        <v>135</v>
      </c>
      <c r="G157" s="11">
        <v>80</v>
      </c>
      <c r="H157" s="11">
        <v>121</v>
      </c>
      <c r="I157" s="11">
        <v>579</v>
      </c>
      <c r="J157" s="11">
        <v>96.5</v>
      </c>
      <c r="K157" s="15"/>
      <c r="L157" s="1"/>
      <c r="M157" s="1"/>
      <c r="N157" s="1"/>
    </row>
    <row r="158" spans="1:14" ht="12.75" x14ac:dyDescent="0.2">
      <c r="A158" s="2" t="s">
        <v>574</v>
      </c>
      <c r="B158" s="2" t="s">
        <v>575</v>
      </c>
      <c r="C158" s="11">
        <v>55</v>
      </c>
      <c r="D158" s="11">
        <v>50</v>
      </c>
      <c r="E158" s="11">
        <v>65</v>
      </c>
      <c r="F158" s="11">
        <v>175</v>
      </c>
      <c r="G158" s="11">
        <v>95</v>
      </c>
      <c r="H158" s="11">
        <v>150</v>
      </c>
      <c r="I158" s="11">
        <v>590</v>
      </c>
      <c r="J158" s="11">
        <v>98.33</v>
      </c>
      <c r="K158" s="15"/>
      <c r="L158" s="1"/>
      <c r="M158" s="1"/>
      <c r="N158" s="1"/>
    </row>
    <row r="159" spans="1:14" ht="12.75" x14ac:dyDescent="0.2">
      <c r="A159" s="2" t="s">
        <v>576</v>
      </c>
      <c r="B159" s="2" t="s">
        <v>577</v>
      </c>
      <c r="C159" s="11">
        <v>95</v>
      </c>
      <c r="D159" s="11">
        <v>75</v>
      </c>
      <c r="E159" s="11">
        <v>180</v>
      </c>
      <c r="F159" s="11">
        <v>130</v>
      </c>
      <c r="G159" s="11">
        <v>80</v>
      </c>
      <c r="H159" s="11">
        <v>30</v>
      </c>
      <c r="I159" s="11">
        <v>590</v>
      </c>
      <c r="J159" s="11">
        <v>98.33</v>
      </c>
      <c r="K159" s="15"/>
      <c r="L159" s="1"/>
      <c r="M159" s="1"/>
      <c r="N159" s="1"/>
    </row>
    <row r="160" spans="1:14" ht="12.75" x14ac:dyDescent="0.2">
      <c r="A160" s="2" t="s">
        <v>578</v>
      </c>
      <c r="B160" s="2" t="s">
        <v>579</v>
      </c>
      <c r="C160" s="11">
        <v>60</v>
      </c>
      <c r="D160" s="11">
        <v>65</v>
      </c>
      <c r="E160" s="11">
        <v>80</v>
      </c>
      <c r="F160" s="11">
        <v>170</v>
      </c>
      <c r="G160" s="11">
        <v>95</v>
      </c>
      <c r="H160" s="11">
        <v>130</v>
      </c>
      <c r="I160" s="11">
        <v>600</v>
      </c>
      <c r="J160" s="11">
        <v>100</v>
      </c>
      <c r="K160" s="15"/>
      <c r="L160" s="1"/>
      <c r="M160" s="1"/>
      <c r="N160" s="1"/>
    </row>
    <row r="161" spans="1:14" ht="12.75" x14ac:dyDescent="0.2">
      <c r="A161" s="2" t="s">
        <v>580</v>
      </c>
      <c r="B161" s="2" t="s">
        <v>581</v>
      </c>
      <c r="C161" s="11">
        <v>105</v>
      </c>
      <c r="D161" s="11">
        <v>125</v>
      </c>
      <c r="E161" s="11">
        <v>100</v>
      </c>
      <c r="F161" s="11">
        <v>60</v>
      </c>
      <c r="G161" s="11">
        <v>100</v>
      </c>
      <c r="H161" s="11">
        <v>100</v>
      </c>
      <c r="I161" s="11">
        <v>590</v>
      </c>
      <c r="J161" s="11">
        <v>98.33</v>
      </c>
      <c r="K161" s="15"/>
      <c r="L161" s="1"/>
      <c r="M161" s="1"/>
      <c r="N161" s="1"/>
    </row>
    <row r="162" spans="1:14" ht="12.75" x14ac:dyDescent="0.2">
      <c r="A162" s="2" t="s">
        <v>582</v>
      </c>
      <c r="B162" s="2" t="s">
        <v>583</v>
      </c>
      <c r="C162" s="11">
        <v>65</v>
      </c>
      <c r="D162" s="11">
        <v>155</v>
      </c>
      <c r="E162" s="11">
        <v>120</v>
      </c>
      <c r="F162" s="11">
        <v>65</v>
      </c>
      <c r="G162" s="11">
        <v>90</v>
      </c>
      <c r="H162" s="11">
        <v>105</v>
      </c>
      <c r="I162" s="11">
        <v>600</v>
      </c>
      <c r="J162" s="11">
        <v>100</v>
      </c>
      <c r="K162" s="15"/>
      <c r="L162" s="1"/>
      <c r="M162" s="1"/>
      <c r="N162" s="1"/>
    </row>
    <row r="163" spans="1:14" ht="12.75" x14ac:dyDescent="0.2">
      <c r="A163" s="2" t="s">
        <v>584</v>
      </c>
      <c r="B163" s="2" t="s">
        <v>585</v>
      </c>
      <c r="C163" s="11">
        <v>95</v>
      </c>
      <c r="D163" s="11">
        <v>155</v>
      </c>
      <c r="E163" s="11">
        <v>109</v>
      </c>
      <c r="F163" s="11">
        <v>70</v>
      </c>
      <c r="G163" s="11">
        <v>130</v>
      </c>
      <c r="H163" s="11">
        <v>81</v>
      </c>
      <c r="I163" s="11">
        <v>640</v>
      </c>
      <c r="J163" s="11">
        <v>106.67</v>
      </c>
      <c r="K163" s="15"/>
      <c r="L163" s="1"/>
      <c r="M163" s="1"/>
      <c r="N163" s="1"/>
    </row>
    <row r="164" spans="1:14" ht="12.75" x14ac:dyDescent="0.2">
      <c r="A164" s="2" t="s">
        <v>586</v>
      </c>
      <c r="B164" s="2" t="s">
        <v>587</v>
      </c>
      <c r="C164" s="11">
        <v>80</v>
      </c>
      <c r="D164" s="11">
        <v>135</v>
      </c>
      <c r="E164" s="11">
        <v>85</v>
      </c>
      <c r="F164" s="11">
        <v>70</v>
      </c>
      <c r="G164" s="11">
        <v>95</v>
      </c>
      <c r="H164" s="11">
        <v>150</v>
      </c>
      <c r="I164" s="11">
        <v>615</v>
      </c>
      <c r="J164" s="11">
        <v>102.5</v>
      </c>
      <c r="K164" s="15"/>
      <c r="L164" s="1"/>
      <c r="M164" s="1"/>
      <c r="N164" s="1"/>
    </row>
    <row r="165" spans="1:14" ht="12.75" x14ac:dyDescent="0.2">
      <c r="A165" s="9">
        <v>151</v>
      </c>
      <c r="B165" s="9" t="s">
        <v>184</v>
      </c>
      <c r="C165" s="9">
        <v>100</v>
      </c>
      <c r="D165" s="9">
        <v>100</v>
      </c>
      <c r="E165" s="9">
        <v>100</v>
      </c>
      <c r="F165" s="9">
        <v>100</v>
      </c>
      <c r="G165" s="9">
        <v>100</v>
      </c>
      <c r="H165" s="9">
        <v>100</v>
      </c>
      <c r="I165" s="9">
        <v>600</v>
      </c>
      <c r="J165" s="1">
        <v>100</v>
      </c>
      <c r="L165" s="1"/>
    </row>
    <row r="166" spans="1:14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</row>
    <row r="167" spans="1:14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</row>
    <row r="168" spans="1:14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</row>
    <row r="169" spans="1:14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</row>
    <row r="170" spans="1:14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</row>
    <row r="171" spans="1:14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</row>
    <row r="172" spans="1:14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</row>
    <row r="173" spans="1:14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</row>
    <row r="174" spans="1:14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</row>
    <row r="175" spans="1:14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</row>
    <row r="176" spans="1:14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</row>
    <row r="177" spans="1:10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</row>
    <row r="178" spans="1:10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</row>
    <row r="179" spans="1:10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</row>
    <row r="180" spans="1:10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</row>
    <row r="181" spans="1:10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</row>
    <row r="182" spans="1:10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</row>
    <row r="183" spans="1:10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</row>
    <row r="184" spans="1:10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</row>
    <row r="185" spans="1:10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</row>
    <row r="186" spans="1:10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</row>
    <row r="187" spans="1:10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</row>
    <row r="188" spans="1:10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</row>
    <row r="189" spans="1:10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</row>
    <row r="190" spans="1:10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</row>
    <row r="191" spans="1:10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</row>
    <row r="192" spans="1:10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</row>
    <row r="193" spans="1:10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</row>
    <row r="194" spans="1:10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</row>
    <row r="195" spans="1:10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</row>
    <row r="196" spans="1:10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</row>
    <row r="197" spans="1:10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</row>
    <row r="198" spans="1:10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</row>
    <row r="199" spans="1:10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</row>
    <row r="200" spans="1:10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</row>
    <row r="201" spans="1:10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</row>
    <row r="202" spans="1:10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</row>
    <row r="203" spans="1:10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</row>
    <row r="204" spans="1:10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</row>
    <row r="205" spans="1:10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</row>
    <row r="206" spans="1:10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</row>
    <row r="207" spans="1:10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</row>
    <row r="208" spans="1:10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</row>
    <row r="209" spans="1:10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</row>
    <row r="210" spans="1:10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</row>
    <row r="211" spans="1:10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</row>
    <row r="212" spans="1:10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</row>
    <row r="213" spans="1:10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</row>
    <row r="214" spans="1:10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</row>
    <row r="215" spans="1:10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</row>
    <row r="216" spans="1:10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</row>
    <row r="217" spans="1:10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</row>
    <row r="218" spans="1:10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</row>
    <row r="219" spans="1:10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</row>
    <row r="220" spans="1:10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</row>
    <row r="221" spans="1:10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</row>
    <row r="222" spans="1:10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</row>
    <row r="223" spans="1:10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</row>
    <row r="224" spans="1:10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</row>
    <row r="225" spans="1:10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</row>
    <row r="226" spans="1:10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</row>
    <row r="227" spans="1:10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</row>
    <row r="228" spans="1:10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</row>
    <row r="229" spans="1:10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</row>
    <row r="230" spans="1:10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</row>
    <row r="231" spans="1:10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</row>
    <row r="232" spans="1:10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</row>
    <row r="233" spans="1:10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</row>
    <row r="234" spans="1:10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</row>
    <row r="235" spans="1:10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</row>
    <row r="236" spans="1:10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</row>
    <row r="237" spans="1:10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</row>
    <row r="238" spans="1:10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</row>
    <row r="239" spans="1:10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</row>
    <row r="240" spans="1:10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</row>
    <row r="241" spans="1:10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</row>
    <row r="242" spans="1:10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</row>
    <row r="243" spans="1:10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</row>
    <row r="244" spans="1:10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</row>
    <row r="245" spans="1:10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</row>
    <row r="246" spans="1:10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</row>
    <row r="247" spans="1:10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</row>
    <row r="248" spans="1:10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</row>
    <row r="249" spans="1:10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</row>
    <row r="250" spans="1:10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</row>
    <row r="251" spans="1:10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</row>
    <row r="252" spans="1:10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</row>
    <row r="253" spans="1:10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</row>
    <row r="254" spans="1:10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</row>
    <row r="255" spans="1:10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</row>
    <row r="256" spans="1:10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</row>
    <row r="257" spans="1:10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</row>
    <row r="258" spans="1:10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</row>
    <row r="259" spans="1:10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</row>
    <row r="260" spans="1:10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</row>
    <row r="261" spans="1:10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</row>
    <row r="262" spans="1:10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</row>
    <row r="263" spans="1:10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</row>
    <row r="264" spans="1:10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</row>
    <row r="265" spans="1:10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</row>
    <row r="266" spans="1:10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</row>
    <row r="267" spans="1:10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</row>
    <row r="268" spans="1:10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</row>
    <row r="269" spans="1:10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</row>
    <row r="270" spans="1:10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</row>
    <row r="271" spans="1:10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</row>
    <row r="272" spans="1:10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</row>
    <row r="273" spans="1:10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</row>
    <row r="274" spans="1:10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</row>
    <row r="275" spans="1:10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</row>
    <row r="276" spans="1:10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</row>
    <row r="277" spans="1:10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</row>
    <row r="278" spans="1:10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</row>
    <row r="279" spans="1:10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</row>
    <row r="280" spans="1:10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</row>
    <row r="281" spans="1:10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</row>
    <row r="282" spans="1:10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</row>
    <row r="283" spans="1:10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</row>
    <row r="284" spans="1:10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</row>
    <row r="285" spans="1:10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</row>
    <row r="286" spans="1:10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</row>
    <row r="287" spans="1:10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</row>
    <row r="288" spans="1:10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</row>
    <row r="289" spans="1:10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</row>
    <row r="290" spans="1:10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</row>
    <row r="291" spans="1:10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</row>
    <row r="292" spans="1:10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</row>
    <row r="293" spans="1:10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</row>
    <row r="294" spans="1:10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</row>
    <row r="295" spans="1:10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</row>
    <row r="296" spans="1:10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</row>
    <row r="297" spans="1:10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</row>
    <row r="298" spans="1:10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</row>
    <row r="299" spans="1:10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</row>
    <row r="300" spans="1:10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</row>
    <row r="301" spans="1:10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</row>
    <row r="302" spans="1:10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</row>
    <row r="303" spans="1:10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</row>
    <row r="304" spans="1:10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</row>
    <row r="305" spans="1:10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</row>
    <row r="306" spans="1:10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</row>
    <row r="307" spans="1:10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</row>
    <row r="308" spans="1:10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</row>
    <row r="309" spans="1:10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</row>
    <row r="310" spans="1:10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</row>
    <row r="311" spans="1:10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</row>
    <row r="312" spans="1:10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</row>
    <row r="313" spans="1:10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</row>
    <row r="314" spans="1:10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</row>
    <row r="315" spans="1:10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</row>
    <row r="316" spans="1:10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</row>
    <row r="317" spans="1:10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</row>
    <row r="318" spans="1:10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</row>
    <row r="319" spans="1:10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</row>
    <row r="320" spans="1:10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</row>
    <row r="321" spans="1:10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</row>
    <row r="322" spans="1:10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</row>
    <row r="323" spans="1:10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</row>
    <row r="324" spans="1:10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</row>
    <row r="325" spans="1:10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</row>
    <row r="326" spans="1:10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</row>
    <row r="327" spans="1:10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</row>
    <row r="328" spans="1:10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</row>
    <row r="329" spans="1:10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</row>
    <row r="330" spans="1:10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</row>
    <row r="331" spans="1:10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</row>
    <row r="332" spans="1:10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</row>
    <row r="333" spans="1:10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</row>
    <row r="334" spans="1:10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</row>
    <row r="335" spans="1:10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</row>
    <row r="336" spans="1:10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</row>
    <row r="337" spans="1:10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</row>
    <row r="338" spans="1:10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</row>
    <row r="339" spans="1:10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</row>
    <row r="340" spans="1:10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</row>
    <row r="341" spans="1:10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</row>
    <row r="342" spans="1:10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</row>
    <row r="343" spans="1:10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</row>
    <row r="344" spans="1:10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</row>
    <row r="345" spans="1:10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</row>
    <row r="346" spans="1:10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</row>
    <row r="347" spans="1:10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</row>
    <row r="348" spans="1:10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</row>
    <row r="349" spans="1:10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</row>
    <row r="350" spans="1:10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</row>
    <row r="351" spans="1:10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</row>
    <row r="352" spans="1:10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</row>
    <row r="353" spans="1:10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</row>
    <row r="354" spans="1:10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</row>
    <row r="355" spans="1:10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</row>
    <row r="356" spans="1:10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</row>
    <row r="357" spans="1:10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</row>
    <row r="358" spans="1:10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</row>
    <row r="359" spans="1:10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</row>
    <row r="360" spans="1:10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</row>
    <row r="361" spans="1:10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</row>
    <row r="362" spans="1:10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</row>
    <row r="363" spans="1:10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</row>
    <row r="364" spans="1:10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</row>
    <row r="365" spans="1:10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</row>
    <row r="366" spans="1:10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</row>
    <row r="367" spans="1:10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</row>
    <row r="368" spans="1:10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</row>
    <row r="369" spans="1:10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</row>
    <row r="370" spans="1:10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</row>
    <row r="371" spans="1:10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</row>
    <row r="372" spans="1:10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</row>
    <row r="373" spans="1:10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</row>
    <row r="374" spans="1:10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</row>
    <row r="375" spans="1:10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</row>
    <row r="376" spans="1:10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</row>
    <row r="377" spans="1:10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</row>
    <row r="378" spans="1:10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</row>
    <row r="379" spans="1:10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</row>
    <row r="380" spans="1:10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</row>
    <row r="381" spans="1:10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</row>
    <row r="382" spans="1:10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</row>
    <row r="383" spans="1:10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</row>
    <row r="384" spans="1:10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</row>
    <row r="385" spans="1:10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</row>
    <row r="386" spans="1:10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</row>
    <row r="387" spans="1:10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</row>
    <row r="388" spans="1:10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</row>
    <row r="389" spans="1:10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</row>
    <row r="390" spans="1:10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</row>
    <row r="391" spans="1:10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</row>
    <row r="392" spans="1:10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</row>
    <row r="393" spans="1:10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</row>
    <row r="394" spans="1:10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</row>
    <row r="395" spans="1:10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</row>
    <row r="396" spans="1:10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</row>
    <row r="397" spans="1:10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</row>
    <row r="398" spans="1:10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</row>
    <row r="399" spans="1:10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</row>
    <row r="400" spans="1:10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</row>
    <row r="401" spans="1:10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</row>
    <row r="402" spans="1:10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</row>
    <row r="403" spans="1:10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</row>
    <row r="404" spans="1:10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</row>
    <row r="405" spans="1:10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</row>
    <row r="406" spans="1:10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</row>
    <row r="407" spans="1:10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</row>
    <row r="408" spans="1:10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</row>
    <row r="409" spans="1:10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</row>
    <row r="410" spans="1:10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</row>
    <row r="411" spans="1:10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</row>
    <row r="412" spans="1:10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</row>
    <row r="413" spans="1:10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</row>
    <row r="414" spans="1:10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</row>
    <row r="415" spans="1:10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</row>
    <row r="416" spans="1:10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</row>
    <row r="417" spans="1:10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</row>
    <row r="418" spans="1:10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</row>
    <row r="419" spans="1:10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</row>
    <row r="420" spans="1:10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</row>
    <row r="421" spans="1:10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</row>
    <row r="422" spans="1:10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</row>
    <row r="423" spans="1:10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</row>
    <row r="424" spans="1:10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</row>
    <row r="425" spans="1:10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</row>
    <row r="426" spans="1:10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</row>
    <row r="427" spans="1:10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</row>
    <row r="428" spans="1:10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</row>
    <row r="429" spans="1:10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</row>
    <row r="430" spans="1:10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</row>
    <row r="431" spans="1:10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</row>
    <row r="432" spans="1:10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</row>
    <row r="433" spans="1:10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</row>
    <row r="434" spans="1:10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</row>
    <row r="435" spans="1:10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</row>
    <row r="436" spans="1:10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</row>
    <row r="437" spans="1:10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</row>
    <row r="438" spans="1:10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</row>
    <row r="439" spans="1:10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</row>
    <row r="440" spans="1:10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</row>
    <row r="441" spans="1:10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</row>
    <row r="442" spans="1:10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</row>
    <row r="443" spans="1:10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</row>
    <row r="444" spans="1:10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</row>
    <row r="445" spans="1:10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</row>
    <row r="446" spans="1:10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</row>
    <row r="447" spans="1:10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</row>
    <row r="448" spans="1:10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</row>
    <row r="449" spans="1:10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</row>
    <row r="450" spans="1:10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</row>
    <row r="451" spans="1:10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</row>
    <row r="452" spans="1:10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</row>
    <row r="453" spans="1:10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</row>
    <row r="454" spans="1:10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</row>
    <row r="455" spans="1:10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</row>
    <row r="456" spans="1:10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</row>
    <row r="457" spans="1:10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</row>
    <row r="458" spans="1:10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</row>
    <row r="459" spans="1:10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</row>
    <row r="460" spans="1:10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</row>
    <row r="461" spans="1:10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</row>
    <row r="462" spans="1:10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</row>
    <row r="463" spans="1:10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</row>
    <row r="464" spans="1:10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</row>
    <row r="465" spans="1:10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</row>
    <row r="466" spans="1:10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</row>
    <row r="467" spans="1:10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</row>
    <row r="468" spans="1:10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</row>
    <row r="469" spans="1:10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</row>
    <row r="470" spans="1:10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</row>
    <row r="471" spans="1:10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</row>
    <row r="472" spans="1:10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</row>
    <row r="473" spans="1:10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</row>
    <row r="474" spans="1:10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</row>
    <row r="475" spans="1:10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</row>
    <row r="476" spans="1:10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</row>
    <row r="477" spans="1:10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</row>
    <row r="478" spans="1:10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</row>
    <row r="479" spans="1:10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</row>
    <row r="480" spans="1:10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</row>
    <row r="481" spans="1:10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</row>
    <row r="482" spans="1:10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</row>
    <row r="483" spans="1:10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</row>
    <row r="484" spans="1:10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</row>
    <row r="485" spans="1:10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</row>
    <row r="486" spans="1:10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</row>
    <row r="487" spans="1:10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</row>
    <row r="488" spans="1:10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</row>
    <row r="489" spans="1:10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</row>
    <row r="490" spans="1:10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</row>
    <row r="491" spans="1:10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</row>
    <row r="492" spans="1:10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</row>
    <row r="493" spans="1:10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</row>
    <row r="494" spans="1:10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</row>
    <row r="495" spans="1:10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</row>
    <row r="496" spans="1:10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</row>
    <row r="497" spans="1:10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</row>
    <row r="498" spans="1:10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</row>
    <row r="499" spans="1:10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</row>
    <row r="500" spans="1:10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</row>
    <row r="501" spans="1:10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</row>
    <row r="502" spans="1:10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</row>
    <row r="503" spans="1:10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</row>
    <row r="504" spans="1:10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</row>
    <row r="505" spans="1:10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</row>
    <row r="506" spans="1:10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</row>
    <row r="507" spans="1:10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</row>
    <row r="508" spans="1:10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</row>
    <row r="509" spans="1:10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</row>
    <row r="510" spans="1:10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</row>
    <row r="511" spans="1:10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</row>
    <row r="512" spans="1:10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</row>
    <row r="513" spans="1:10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</row>
    <row r="514" spans="1:10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</row>
    <row r="515" spans="1:10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</row>
    <row r="516" spans="1:10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</row>
    <row r="517" spans="1:10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</row>
    <row r="518" spans="1:10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</row>
    <row r="519" spans="1:10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</row>
    <row r="520" spans="1:10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</row>
    <row r="521" spans="1:10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</row>
    <row r="522" spans="1:10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</row>
    <row r="523" spans="1:10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</row>
    <row r="524" spans="1:10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</row>
    <row r="525" spans="1:10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</row>
    <row r="526" spans="1:10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</row>
    <row r="527" spans="1:10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</row>
    <row r="528" spans="1:10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</row>
    <row r="529" spans="1:10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</row>
    <row r="530" spans="1:10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</row>
    <row r="531" spans="1:10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</row>
    <row r="532" spans="1:10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</row>
    <row r="533" spans="1:10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</row>
    <row r="534" spans="1:10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</row>
    <row r="535" spans="1:10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</row>
    <row r="536" spans="1:10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</row>
    <row r="537" spans="1:10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</row>
    <row r="538" spans="1:10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</row>
    <row r="539" spans="1:10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</row>
    <row r="540" spans="1:10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</row>
    <row r="541" spans="1:10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</row>
    <row r="542" spans="1:10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</row>
    <row r="543" spans="1:10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</row>
    <row r="544" spans="1:10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</row>
    <row r="545" spans="1:10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</row>
    <row r="546" spans="1:10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</row>
    <row r="547" spans="1:10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</row>
    <row r="548" spans="1:10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</row>
    <row r="549" spans="1:10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</row>
    <row r="550" spans="1:10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</row>
    <row r="551" spans="1:10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</row>
    <row r="552" spans="1:10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</row>
    <row r="553" spans="1:10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</row>
    <row r="554" spans="1:10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</row>
    <row r="555" spans="1:10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</row>
    <row r="556" spans="1:10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</row>
    <row r="557" spans="1:10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</row>
    <row r="558" spans="1:10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</row>
    <row r="559" spans="1:10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</row>
    <row r="560" spans="1:10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</row>
    <row r="561" spans="1:10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</row>
    <row r="562" spans="1:10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</row>
    <row r="563" spans="1:10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</row>
    <row r="564" spans="1:10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</row>
    <row r="565" spans="1:10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</row>
    <row r="566" spans="1:10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</row>
    <row r="567" spans="1:10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</row>
    <row r="568" spans="1:10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</row>
    <row r="569" spans="1:10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</row>
    <row r="570" spans="1:10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</row>
    <row r="571" spans="1:10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</row>
    <row r="572" spans="1:10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</row>
    <row r="573" spans="1:10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</row>
    <row r="574" spans="1:10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</row>
    <row r="575" spans="1:10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</row>
    <row r="576" spans="1:10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</row>
    <row r="577" spans="1:10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</row>
    <row r="578" spans="1:10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</row>
    <row r="579" spans="1:10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</row>
    <row r="580" spans="1:10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</row>
    <row r="581" spans="1:10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</row>
    <row r="582" spans="1:10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</row>
    <row r="583" spans="1:10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</row>
    <row r="584" spans="1:10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</row>
    <row r="585" spans="1:10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</row>
    <row r="586" spans="1:10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</row>
    <row r="587" spans="1:10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</row>
    <row r="588" spans="1:10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</row>
    <row r="589" spans="1:10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</row>
    <row r="590" spans="1:10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</row>
    <row r="591" spans="1:10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</row>
    <row r="592" spans="1:10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</row>
    <row r="593" spans="1:10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</row>
    <row r="594" spans="1:10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</row>
    <row r="595" spans="1:10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</row>
    <row r="596" spans="1:10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</row>
    <row r="597" spans="1:10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</row>
    <row r="598" spans="1:10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</row>
    <row r="599" spans="1:10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</row>
    <row r="600" spans="1:10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</row>
    <row r="601" spans="1:10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</row>
    <row r="602" spans="1:10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</row>
    <row r="603" spans="1:10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</row>
    <row r="604" spans="1:10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</row>
    <row r="605" spans="1:10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</row>
    <row r="606" spans="1:10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</row>
    <row r="607" spans="1:10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</row>
    <row r="608" spans="1:10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</row>
    <row r="609" spans="1:10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</row>
    <row r="610" spans="1:10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</row>
    <row r="611" spans="1:10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</row>
    <row r="612" spans="1:10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</row>
    <row r="613" spans="1:10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</row>
    <row r="614" spans="1:10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</row>
    <row r="615" spans="1:10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</row>
    <row r="616" spans="1:10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</row>
    <row r="617" spans="1:10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</row>
    <row r="618" spans="1:10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</row>
    <row r="619" spans="1:10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</row>
    <row r="620" spans="1:10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</row>
    <row r="621" spans="1:10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</row>
    <row r="622" spans="1:10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</row>
    <row r="623" spans="1:10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</row>
    <row r="624" spans="1:10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</row>
    <row r="625" spans="1:10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</row>
    <row r="626" spans="1:10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</row>
    <row r="627" spans="1:10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</row>
    <row r="628" spans="1:10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</row>
    <row r="629" spans="1:10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</row>
    <row r="630" spans="1:10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</row>
    <row r="631" spans="1:10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</row>
    <row r="632" spans="1:10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</row>
    <row r="633" spans="1:10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</row>
    <row r="634" spans="1:10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</row>
    <row r="635" spans="1:10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</row>
    <row r="636" spans="1:10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</row>
    <row r="637" spans="1:10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</row>
    <row r="638" spans="1:10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</row>
    <row r="639" spans="1:10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</row>
    <row r="640" spans="1:10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</row>
    <row r="641" spans="1:10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</row>
    <row r="642" spans="1:10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</row>
    <row r="643" spans="1:10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</row>
    <row r="644" spans="1:10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</row>
    <row r="645" spans="1:10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</row>
    <row r="646" spans="1:10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</row>
    <row r="647" spans="1:10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</row>
    <row r="648" spans="1:10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</row>
    <row r="649" spans="1:10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</row>
    <row r="650" spans="1:10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</row>
    <row r="651" spans="1:10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</row>
    <row r="652" spans="1:10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</row>
    <row r="653" spans="1:10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</row>
    <row r="654" spans="1:10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</row>
    <row r="655" spans="1:10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</row>
    <row r="656" spans="1:10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</row>
    <row r="657" spans="1:10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</row>
    <row r="658" spans="1:10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</row>
    <row r="659" spans="1:10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</row>
    <row r="660" spans="1:10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</row>
    <row r="661" spans="1:10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</row>
    <row r="662" spans="1:10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</row>
    <row r="663" spans="1:10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</row>
    <row r="664" spans="1:10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</row>
    <row r="665" spans="1:10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</row>
    <row r="666" spans="1:10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</row>
    <row r="667" spans="1:10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</row>
    <row r="668" spans="1:10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</row>
    <row r="669" spans="1:10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</row>
    <row r="670" spans="1:10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</row>
    <row r="671" spans="1:10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</row>
    <row r="672" spans="1:10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</row>
    <row r="673" spans="1:10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</row>
    <row r="674" spans="1:10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</row>
    <row r="675" spans="1:10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</row>
    <row r="676" spans="1:10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</row>
    <row r="677" spans="1:10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</row>
    <row r="678" spans="1:10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</row>
    <row r="679" spans="1:10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</row>
    <row r="680" spans="1:10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</row>
    <row r="681" spans="1:10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</row>
    <row r="682" spans="1:10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</row>
    <row r="683" spans="1:10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</row>
    <row r="684" spans="1:10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</row>
    <row r="685" spans="1:10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</row>
    <row r="686" spans="1:10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</row>
    <row r="687" spans="1:10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</row>
    <row r="688" spans="1:10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</row>
    <row r="689" spans="1:10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</row>
    <row r="690" spans="1:10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</row>
    <row r="691" spans="1:10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</row>
    <row r="692" spans="1:10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</row>
    <row r="693" spans="1:10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</row>
    <row r="694" spans="1:10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</row>
    <row r="695" spans="1:10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</row>
    <row r="696" spans="1:10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</row>
    <row r="697" spans="1:10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</row>
    <row r="698" spans="1:10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</row>
    <row r="699" spans="1:10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</row>
    <row r="700" spans="1:10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</row>
    <row r="701" spans="1:10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</row>
    <row r="702" spans="1:10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</row>
    <row r="703" spans="1:10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</row>
    <row r="704" spans="1:10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</row>
    <row r="705" spans="1:10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</row>
    <row r="706" spans="1:10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</row>
    <row r="707" spans="1:10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</row>
    <row r="708" spans="1:10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</row>
    <row r="709" spans="1:10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</row>
    <row r="710" spans="1:10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</row>
    <row r="711" spans="1:10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</row>
    <row r="712" spans="1:10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</row>
    <row r="713" spans="1:10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</row>
    <row r="714" spans="1:10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</row>
    <row r="715" spans="1:10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</row>
    <row r="716" spans="1:10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</row>
    <row r="717" spans="1:10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</row>
    <row r="718" spans="1:10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</row>
    <row r="719" spans="1:10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</row>
    <row r="720" spans="1:10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</row>
    <row r="721" spans="1:10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</row>
    <row r="722" spans="1:10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</row>
    <row r="723" spans="1:10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</row>
    <row r="724" spans="1:10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</row>
    <row r="725" spans="1:10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</row>
    <row r="726" spans="1:10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</row>
    <row r="727" spans="1:10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</row>
    <row r="728" spans="1:10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</row>
    <row r="729" spans="1:10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</row>
    <row r="730" spans="1:10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</row>
    <row r="731" spans="1:10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</row>
    <row r="732" spans="1:10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</row>
    <row r="733" spans="1:10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</row>
    <row r="734" spans="1:10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</row>
    <row r="735" spans="1:10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</row>
    <row r="736" spans="1:10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</row>
    <row r="737" spans="1:10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</row>
    <row r="738" spans="1:10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</row>
    <row r="739" spans="1:10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</row>
    <row r="740" spans="1:10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</row>
    <row r="741" spans="1:10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</row>
    <row r="742" spans="1:10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</row>
    <row r="743" spans="1:10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</row>
    <row r="744" spans="1:10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</row>
    <row r="745" spans="1:10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</row>
    <row r="746" spans="1:10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</row>
    <row r="747" spans="1:10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</row>
    <row r="748" spans="1:10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</row>
    <row r="749" spans="1:10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</row>
    <row r="750" spans="1:10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</row>
    <row r="751" spans="1:10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</row>
    <row r="752" spans="1:10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</row>
    <row r="753" spans="1:10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</row>
    <row r="754" spans="1:10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</row>
    <row r="755" spans="1:10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</row>
    <row r="756" spans="1:10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</row>
    <row r="757" spans="1:10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</row>
    <row r="758" spans="1:10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</row>
    <row r="759" spans="1:10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</row>
    <row r="760" spans="1:10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</row>
    <row r="761" spans="1:10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</row>
    <row r="762" spans="1:10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</row>
    <row r="763" spans="1:10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</row>
    <row r="764" spans="1:10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</row>
    <row r="765" spans="1:10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</row>
    <row r="766" spans="1:10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</row>
    <row r="767" spans="1:10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</row>
    <row r="768" spans="1:10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</row>
    <row r="769" spans="1:10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</row>
    <row r="770" spans="1:10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</row>
    <row r="771" spans="1:10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</row>
    <row r="772" spans="1:10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</row>
    <row r="773" spans="1:10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</row>
    <row r="774" spans="1:10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</row>
    <row r="775" spans="1:10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</row>
    <row r="776" spans="1:10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</row>
    <row r="777" spans="1:10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</row>
    <row r="778" spans="1:10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</row>
    <row r="779" spans="1:10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</row>
    <row r="780" spans="1:10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</row>
    <row r="781" spans="1:10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</row>
    <row r="782" spans="1:10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</row>
    <row r="783" spans="1:10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</row>
    <row r="784" spans="1:10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</row>
    <row r="785" spans="1:10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</row>
    <row r="786" spans="1:10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</row>
    <row r="787" spans="1:10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</row>
    <row r="788" spans="1:10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</row>
    <row r="789" spans="1:10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</row>
    <row r="790" spans="1:10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</row>
    <row r="791" spans="1:10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</row>
    <row r="792" spans="1:10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</row>
    <row r="793" spans="1:10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</row>
    <row r="794" spans="1:10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</row>
    <row r="795" spans="1:10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</row>
    <row r="796" spans="1:10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</row>
    <row r="797" spans="1:10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</row>
    <row r="798" spans="1:10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</row>
    <row r="799" spans="1:10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  <row r="800" spans="1:10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</row>
    <row r="801" spans="1:10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</row>
    <row r="802" spans="1:10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</row>
    <row r="803" spans="1:10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</row>
    <row r="804" spans="1:10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</row>
    <row r="805" spans="1:10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</row>
    <row r="806" spans="1:10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</row>
    <row r="807" spans="1:10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</row>
    <row r="808" spans="1:10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</row>
    <row r="809" spans="1:10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</row>
    <row r="810" spans="1:10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</row>
    <row r="811" spans="1:10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</row>
    <row r="812" spans="1:10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</row>
    <row r="813" spans="1:10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</row>
    <row r="814" spans="1:10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</row>
    <row r="815" spans="1:10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</row>
    <row r="816" spans="1:10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</row>
    <row r="817" spans="1:10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</row>
    <row r="818" spans="1:10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</row>
    <row r="819" spans="1:10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</row>
    <row r="820" spans="1:10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</row>
    <row r="821" spans="1:10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</row>
    <row r="822" spans="1:10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</row>
    <row r="823" spans="1:10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</row>
    <row r="824" spans="1:10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</row>
    <row r="825" spans="1:10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</row>
    <row r="826" spans="1:10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</row>
    <row r="827" spans="1:10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</row>
    <row r="828" spans="1:10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</row>
    <row r="829" spans="1:10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</row>
    <row r="830" spans="1:10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</row>
    <row r="831" spans="1:10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</row>
    <row r="832" spans="1:10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</row>
    <row r="833" spans="1:10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</row>
    <row r="834" spans="1:10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</row>
    <row r="835" spans="1:10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</row>
    <row r="836" spans="1:10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</row>
    <row r="837" spans="1:10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</row>
    <row r="838" spans="1:10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</row>
    <row r="839" spans="1:10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</row>
    <row r="840" spans="1:10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</row>
    <row r="841" spans="1:10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</row>
    <row r="842" spans="1:10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</row>
    <row r="843" spans="1:10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</row>
    <row r="844" spans="1:10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</row>
    <row r="845" spans="1:10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</row>
    <row r="846" spans="1:10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</row>
    <row r="847" spans="1:10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</row>
    <row r="848" spans="1:10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</row>
    <row r="849" spans="1:10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</row>
    <row r="850" spans="1:10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</row>
    <row r="851" spans="1:10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</row>
    <row r="852" spans="1:10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</row>
    <row r="853" spans="1:10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</row>
    <row r="854" spans="1:10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</row>
    <row r="855" spans="1:10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</row>
    <row r="856" spans="1:10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</row>
    <row r="857" spans="1:10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</row>
    <row r="858" spans="1:10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</row>
    <row r="859" spans="1:10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</row>
    <row r="860" spans="1:10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</row>
    <row r="861" spans="1:10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</row>
    <row r="862" spans="1:10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</row>
    <row r="863" spans="1:10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</row>
    <row r="864" spans="1:10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</row>
    <row r="865" spans="1:10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</row>
    <row r="866" spans="1:10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</row>
    <row r="867" spans="1:10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</row>
    <row r="868" spans="1:10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</row>
    <row r="869" spans="1:10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</row>
    <row r="870" spans="1:10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</row>
    <row r="871" spans="1:10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</row>
    <row r="872" spans="1:10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</row>
    <row r="873" spans="1:10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</row>
    <row r="874" spans="1:10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</row>
    <row r="875" spans="1:10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</row>
    <row r="876" spans="1:10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</row>
    <row r="877" spans="1:10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</row>
    <row r="878" spans="1:10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</row>
    <row r="879" spans="1:10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</row>
    <row r="880" spans="1:10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</row>
    <row r="881" spans="1:10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</row>
    <row r="882" spans="1:10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</row>
    <row r="883" spans="1:10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</row>
    <row r="884" spans="1:10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</row>
    <row r="885" spans="1:10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</row>
    <row r="886" spans="1:10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</row>
    <row r="887" spans="1:10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</row>
    <row r="888" spans="1:10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</row>
    <row r="889" spans="1:10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</row>
    <row r="890" spans="1:10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</row>
    <row r="891" spans="1:10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</row>
    <row r="892" spans="1:10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</row>
    <row r="893" spans="1:10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</row>
    <row r="894" spans="1:10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</row>
    <row r="895" spans="1:10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</row>
    <row r="896" spans="1:10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</row>
    <row r="897" spans="1:10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</row>
    <row r="898" spans="1:10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</row>
    <row r="899" spans="1:10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</row>
    <row r="900" spans="1:10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</row>
    <row r="901" spans="1:10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</row>
    <row r="902" spans="1:10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</row>
    <row r="903" spans="1:10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</row>
    <row r="904" spans="1:10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</row>
    <row r="905" spans="1:10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</row>
    <row r="906" spans="1:10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</row>
    <row r="907" spans="1:10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</row>
    <row r="908" spans="1:10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</row>
    <row r="909" spans="1:10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</row>
    <row r="910" spans="1:10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</row>
    <row r="911" spans="1:10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</row>
    <row r="912" spans="1:10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</row>
    <row r="913" spans="1:10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</row>
    <row r="914" spans="1:10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</row>
    <row r="915" spans="1:10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</row>
    <row r="916" spans="1:10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</row>
    <row r="917" spans="1:10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</row>
    <row r="918" spans="1:10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</row>
    <row r="919" spans="1:10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</row>
    <row r="920" spans="1:10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</row>
    <row r="921" spans="1:10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</row>
    <row r="922" spans="1:10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</row>
    <row r="923" spans="1:10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</row>
    <row r="924" spans="1:10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</row>
    <row r="925" spans="1:10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</row>
    <row r="926" spans="1:10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</row>
    <row r="927" spans="1:10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</row>
    <row r="928" spans="1:10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</row>
    <row r="929" spans="1:10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</row>
    <row r="930" spans="1:10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</row>
    <row r="931" spans="1:10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</row>
    <row r="932" spans="1:10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</row>
    <row r="933" spans="1:10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</row>
    <row r="934" spans="1:10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</row>
    <row r="935" spans="1:10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</row>
    <row r="936" spans="1:10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</row>
    <row r="937" spans="1:10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</row>
    <row r="938" spans="1:10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</row>
    <row r="939" spans="1:10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</row>
    <row r="940" spans="1:10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</row>
    <row r="941" spans="1:10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</row>
    <row r="942" spans="1:10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</row>
    <row r="943" spans="1:10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</row>
    <row r="944" spans="1:10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</row>
    <row r="945" spans="1:10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</row>
    <row r="946" spans="1:10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</row>
    <row r="947" spans="1:10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</row>
    <row r="948" spans="1:10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</row>
    <row r="949" spans="1:10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</row>
    <row r="950" spans="1:10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</row>
    <row r="951" spans="1:10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</row>
    <row r="952" spans="1:10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</row>
    <row r="953" spans="1:10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</row>
    <row r="954" spans="1:10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</row>
    <row r="955" spans="1:10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</row>
    <row r="956" spans="1:10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</row>
    <row r="957" spans="1:10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</row>
    <row r="958" spans="1:10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</row>
    <row r="959" spans="1:10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</row>
    <row r="960" spans="1:10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</row>
    <row r="961" spans="1:10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</row>
    <row r="962" spans="1:10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</row>
    <row r="963" spans="1:10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</row>
    <row r="964" spans="1:10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</row>
    <row r="965" spans="1:10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</row>
    <row r="966" spans="1:10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</row>
    <row r="967" spans="1:10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</row>
    <row r="968" spans="1:10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</row>
    <row r="969" spans="1:10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</row>
    <row r="970" spans="1:10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</row>
    <row r="971" spans="1:10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</row>
    <row r="972" spans="1:10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</row>
    <row r="973" spans="1:10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</row>
    <row r="974" spans="1:10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</row>
    <row r="975" spans="1:10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</row>
    <row r="976" spans="1:10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</row>
    <row r="977" spans="1:10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</row>
    <row r="978" spans="1:10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</row>
    <row r="979" spans="1:10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</row>
    <row r="980" spans="1:10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</row>
    <row r="981" spans="1:10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</row>
    <row r="982" spans="1:10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</row>
    <row r="983" spans="1:10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</row>
    <row r="984" spans="1:10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</row>
    <row r="985" spans="1:10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</row>
    <row r="986" spans="1:10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</row>
    <row r="987" spans="1:10" ht="12.75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</row>
    <row r="988" spans="1:10" ht="12.75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</row>
    <row r="989" spans="1:10" ht="12.75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</row>
    <row r="990" spans="1:10" ht="12.75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</row>
    <row r="991" spans="1:10" ht="12.75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</row>
    <row r="992" spans="1:10" ht="12.75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</row>
    <row r="993" spans="1:10" ht="12.75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</row>
    <row r="994" spans="1:10" ht="12.75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</row>
    <row r="995" spans="1:10" ht="12.75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</row>
    <row r="996" spans="1:10" ht="12.75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</row>
    <row r="997" spans="1:10" ht="12.75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</row>
    <row r="998" spans="1:10" ht="12.75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</row>
    <row r="999" spans="1:10" ht="12.75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3.140625" customWidth="1"/>
    <col min="2" max="3" width="7.85546875" customWidth="1"/>
    <col min="4" max="4" width="17.7109375" customWidth="1"/>
    <col min="5" max="6" width="17.5703125" customWidth="1"/>
    <col min="7" max="8" width="16.5703125" customWidth="1"/>
    <col min="9" max="9" width="13.140625" customWidth="1"/>
    <col min="10" max="11" width="18.4257812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3" t="s">
        <v>6</v>
      </c>
      <c r="G1" s="1" t="s">
        <v>10</v>
      </c>
      <c r="H1" s="1" t="s">
        <v>11</v>
      </c>
      <c r="I1" s="1" t="s">
        <v>12</v>
      </c>
      <c r="J1" s="5" t="s">
        <v>13</v>
      </c>
      <c r="K1" s="1"/>
    </row>
    <row r="2" spans="1:11" ht="15.75" customHeight="1" x14ac:dyDescent="0.2">
      <c r="A2" s="1">
        <v>1</v>
      </c>
      <c r="B2" s="1">
        <v>200</v>
      </c>
      <c r="C2" s="1">
        <v>1</v>
      </c>
      <c r="D2" s="1">
        <v>0</v>
      </c>
      <c r="E2" s="1">
        <v>0</v>
      </c>
      <c r="F2" s="7">
        <v>9.4E-2</v>
      </c>
      <c r="G2" s="17">
        <f t="shared" ref="G2:G81" si="0">F2^2</f>
        <v>8.8360000000000001E-3</v>
      </c>
      <c r="I2" s="1">
        <v>1</v>
      </c>
      <c r="J2" s="19"/>
      <c r="K2" s="21"/>
    </row>
    <row r="3" spans="1:11" ht="15.75" customHeight="1" x14ac:dyDescent="0.2">
      <c r="A3" s="1">
        <f t="shared" ref="A3:A81" si="1">A2+1</f>
        <v>2</v>
      </c>
      <c r="B3" s="1">
        <v>200</v>
      </c>
      <c r="C3" s="1">
        <v>1</v>
      </c>
      <c r="D3">
        <f t="shared" ref="D3:E3" si="2">SUM(B$2:B2)</f>
        <v>200</v>
      </c>
      <c r="E3">
        <f t="shared" si="2"/>
        <v>1</v>
      </c>
      <c r="F3" s="7">
        <v>0.13513743178499601</v>
      </c>
      <c r="G3" s="17">
        <f t="shared" si="0"/>
        <v>1.8262125469444453E-2</v>
      </c>
      <c r="H3" s="17">
        <f t="shared" ref="H3:H81" si="3">G3-G2</f>
        <v>9.4261254694444525E-3</v>
      </c>
      <c r="I3" s="1">
        <v>1</v>
      </c>
      <c r="J3" s="22"/>
      <c r="K3" s="21"/>
    </row>
    <row r="4" spans="1:11" ht="15.75" customHeight="1" x14ac:dyDescent="0.2">
      <c r="A4" s="1">
        <f t="shared" si="1"/>
        <v>3</v>
      </c>
      <c r="B4" s="1">
        <v>200</v>
      </c>
      <c r="C4" s="1">
        <v>1</v>
      </c>
      <c r="D4">
        <f t="shared" ref="D4:E4" si="4">SUM(B$2:B3)</f>
        <v>400</v>
      </c>
      <c r="E4">
        <f t="shared" si="4"/>
        <v>2</v>
      </c>
      <c r="F4" s="7">
        <v>0.16639787</v>
      </c>
      <c r="G4" s="17">
        <f t="shared" si="0"/>
        <v>2.7688251140536902E-2</v>
      </c>
      <c r="H4" s="17">
        <f t="shared" si="3"/>
        <v>9.4261256710924494E-3</v>
      </c>
      <c r="I4" s="1">
        <f t="shared" ref="I4:I81" si="5">I2+1</f>
        <v>2</v>
      </c>
      <c r="J4" s="23"/>
      <c r="K4" s="21"/>
    </row>
    <row r="5" spans="1:11" ht="15.75" customHeight="1" x14ac:dyDescent="0.2">
      <c r="A5" s="1">
        <f t="shared" si="1"/>
        <v>4</v>
      </c>
      <c r="B5" s="1">
        <v>200</v>
      </c>
      <c r="C5" s="1">
        <v>1</v>
      </c>
      <c r="D5">
        <f t="shared" ref="D5:E5" si="6">SUM(B$2:B4)</f>
        <v>600</v>
      </c>
      <c r="E5">
        <f t="shared" si="6"/>
        <v>3</v>
      </c>
      <c r="F5" s="7">
        <v>0.19265091904785026</v>
      </c>
      <c r="G5" s="17">
        <f t="shared" si="0"/>
        <v>3.7114376609981355E-2</v>
      </c>
      <c r="H5" s="17">
        <f t="shared" si="3"/>
        <v>9.4261254694444525E-3</v>
      </c>
      <c r="I5" s="1">
        <f t="shared" si="5"/>
        <v>2</v>
      </c>
      <c r="J5" s="22"/>
      <c r="K5" s="21"/>
    </row>
    <row r="6" spans="1:11" ht="15.75" customHeight="1" x14ac:dyDescent="0.2">
      <c r="A6" s="1">
        <f t="shared" si="1"/>
        <v>5</v>
      </c>
      <c r="B6" s="1">
        <v>400</v>
      </c>
      <c r="C6" s="1">
        <v>1</v>
      </c>
      <c r="D6">
        <f t="shared" ref="D6:E6" si="7">SUM(B$2:B5)</f>
        <v>800</v>
      </c>
      <c r="E6">
        <f t="shared" si="7"/>
        <v>4</v>
      </c>
      <c r="F6" s="7">
        <v>0.21573247000000001</v>
      </c>
      <c r="G6" s="17">
        <f t="shared" si="0"/>
        <v>4.6540498612300904E-2</v>
      </c>
      <c r="H6" s="17">
        <f t="shared" si="3"/>
        <v>9.4261220023195494E-3</v>
      </c>
      <c r="I6" s="1">
        <f t="shared" si="5"/>
        <v>3</v>
      </c>
      <c r="J6" s="23"/>
      <c r="K6" s="21"/>
    </row>
    <row r="7" spans="1:11" ht="15.75" customHeight="1" x14ac:dyDescent="0.2">
      <c r="A7" s="1">
        <f t="shared" si="1"/>
        <v>6</v>
      </c>
      <c r="B7" s="1">
        <v>400</v>
      </c>
      <c r="C7" s="1">
        <v>1</v>
      </c>
      <c r="D7">
        <f t="shared" ref="D7:E7" si="8">SUM(B$2:B6)</f>
        <v>1200</v>
      </c>
      <c r="E7">
        <f t="shared" si="8"/>
        <v>5</v>
      </c>
      <c r="F7" s="7">
        <v>0.23657266131517682</v>
      </c>
      <c r="G7" s="17">
        <f t="shared" si="0"/>
        <v>5.596662408174536E-2</v>
      </c>
      <c r="H7" s="17">
        <f t="shared" si="3"/>
        <v>9.426125469444456E-3</v>
      </c>
      <c r="I7" s="1">
        <f t="shared" si="5"/>
        <v>3</v>
      </c>
      <c r="J7" s="22"/>
      <c r="K7" s="21"/>
    </row>
    <row r="8" spans="1:11" ht="15.75" customHeight="1" x14ac:dyDescent="0.2">
      <c r="A8" s="1">
        <f t="shared" si="1"/>
        <v>7</v>
      </c>
      <c r="B8" s="1">
        <v>400</v>
      </c>
      <c r="C8" s="1">
        <v>1</v>
      </c>
      <c r="D8">
        <f t="shared" ref="D8:E8" si="9">SUM(B$2:B7)</f>
        <v>1600</v>
      </c>
      <c r="E8">
        <f t="shared" si="9"/>
        <v>6</v>
      </c>
      <c r="F8" s="7">
        <v>0.25572004999999998</v>
      </c>
      <c r="G8" s="17">
        <f t="shared" si="0"/>
        <v>6.5392743972002482E-2</v>
      </c>
      <c r="H8" s="17">
        <f t="shared" si="3"/>
        <v>9.4261198902571217E-3</v>
      </c>
      <c r="I8" s="1">
        <f t="shared" si="5"/>
        <v>4</v>
      </c>
      <c r="J8" s="23"/>
      <c r="K8" s="21"/>
    </row>
    <row r="9" spans="1:11" ht="15.75" customHeight="1" x14ac:dyDescent="0.2">
      <c r="A9" s="1">
        <f t="shared" si="1"/>
        <v>8</v>
      </c>
      <c r="B9" s="1">
        <v>400</v>
      </c>
      <c r="C9" s="1">
        <v>1</v>
      </c>
      <c r="D9">
        <f t="shared" ref="D9:E9" si="10">SUM(B$2:B8)</f>
        <v>2000</v>
      </c>
      <c r="E9">
        <f t="shared" si="10"/>
        <v>7</v>
      </c>
      <c r="F9" s="7">
        <v>0.27353038120371004</v>
      </c>
      <c r="G9" s="17">
        <f t="shared" si="0"/>
        <v>7.4818869441446931E-2</v>
      </c>
      <c r="H9" s="17">
        <f t="shared" si="3"/>
        <v>9.4261254694444491E-3</v>
      </c>
      <c r="I9" s="1">
        <f t="shared" si="5"/>
        <v>4</v>
      </c>
      <c r="J9" s="22"/>
      <c r="K9" s="21"/>
    </row>
    <row r="10" spans="1:11" ht="15.75" customHeight="1" x14ac:dyDescent="0.2">
      <c r="A10" s="1">
        <f t="shared" si="1"/>
        <v>9</v>
      </c>
      <c r="B10" s="1">
        <v>600</v>
      </c>
      <c r="C10" s="1">
        <v>1</v>
      </c>
      <c r="D10">
        <f t="shared" ref="D10:E10" si="11">SUM(B$2:B9)</f>
        <v>2400</v>
      </c>
      <c r="E10">
        <f t="shared" si="11"/>
        <v>8</v>
      </c>
      <c r="F10" s="7">
        <v>0.29024988000000002</v>
      </c>
      <c r="G10" s="17">
        <f t="shared" si="0"/>
        <v>8.424499284001441E-2</v>
      </c>
      <c r="H10" s="17">
        <f t="shared" si="3"/>
        <v>9.4261233985674792E-3</v>
      </c>
      <c r="I10" s="1">
        <f t="shared" si="5"/>
        <v>5</v>
      </c>
      <c r="J10" s="23"/>
      <c r="K10" s="21"/>
    </row>
    <row r="11" spans="1:11" ht="15.75" customHeight="1" x14ac:dyDescent="0.2">
      <c r="A11" s="1">
        <f t="shared" si="1"/>
        <v>10</v>
      </c>
      <c r="B11" s="1">
        <v>600</v>
      </c>
      <c r="C11" s="1">
        <v>1</v>
      </c>
      <c r="D11">
        <f t="shared" ref="D11:E11" si="12">SUM(B$2:B10)</f>
        <v>3000</v>
      </c>
      <c r="E11">
        <f t="shared" si="12"/>
        <v>9</v>
      </c>
      <c r="F11" s="7">
        <v>0.30605737747922179</v>
      </c>
      <c r="G11" s="17">
        <f t="shared" si="0"/>
        <v>9.3671118309458859E-2</v>
      </c>
      <c r="H11" s="17">
        <f t="shared" si="3"/>
        <v>9.4261254694444491E-3</v>
      </c>
      <c r="I11" s="1">
        <f t="shared" si="5"/>
        <v>5</v>
      </c>
      <c r="J11" s="22"/>
      <c r="K11" s="21"/>
    </row>
    <row r="12" spans="1:11" ht="15.75" customHeight="1" x14ac:dyDescent="0.2">
      <c r="A12" s="1">
        <f t="shared" si="1"/>
        <v>11</v>
      </c>
      <c r="B12" s="1">
        <v>600</v>
      </c>
      <c r="C12" s="1">
        <v>1</v>
      </c>
      <c r="D12">
        <f t="shared" ref="D12:E12" si="13">SUM(B$2:B11)</f>
        <v>3600</v>
      </c>
      <c r="E12">
        <f t="shared" si="13"/>
        <v>10</v>
      </c>
      <c r="F12" s="25">
        <v>0.32108759999999997</v>
      </c>
      <c r="G12" s="17">
        <f t="shared" si="0"/>
        <v>0.10309724687375998</v>
      </c>
      <c r="H12" s="17">
        <f t="shared" si="3"/>
        <v>9.4261285643011256E-3</v>
      </c>
      <c r="I12" s="1">
        <f t="shared" si="5"/>
        <v>6</v>
      </c>
      <c r="J12" s="22"/>
      <c r="K12" s="21"/>
    </row>
    <row r="13" spans="1:11" ht="15.75" customHeight="1" x14ac:dyDescent="0.2">
      <c r="A13" s="1">
        <f t="shared" si="1"/>
        <v>12</v>
      </c>
      <c r="B13" s="1">
        <v>600</v>
      </c>
      <c r="C13" s="1">
        <v>1</v>
      </c>
      <c r="D13">
        <f t="shared" ref="D13:E13" si="14">SUM(B$2:B12)</f>
        <v>4200</v>
      </c>
      <c r="E13">
        <f t="shared" si="14"/>
        <v>11</v>
      </c>
      <c r="F13" s="7">
        <v>0.33544503624767563</v>
      </c>
      <c r="G13" s="17">
        <f t="shared" si="0"/>
        <v>0.11252337234320442</v>
      </c>
      <c r="H13" s="17">
        <f t="shared" si="3"/>
        <v>9.4261254694444352E-3</v>
      </c>
      <c r="I13" s="1">
        <f t="shared" si="5"/>
        <v>6</v>
      </c>
      <c r="J13" s="22"/>
      <c r="K13" s="21"/>
    </row>
    <row r="14" spans="1:11" ht="15.75" customHeight="1" x14ac:dyDescent="0.2">
      <c r="A14" s="1">
        <f t="shared" si="1"/>
        <v>13</v>
      </c>
      <c r="B14" s="1">
        <v>800</v>
      </c>
      <c r="C14" s="1">
        <v>1</v>
      </c>
      <c r="D14">
        <f t="shared" ref="D14:E14" si="15">SUM(B$2:B13)</f>
        <v>4800</v>
      </c>
      <c r="E14">
        <f t="shared" si="15"/>
        <v>12</v>
      </c>
      <c r="F14" s="25">
        <v>0.34921268</v>
      </c>
      <c r="G14" s="17">
        <f t="shared" si="0"/>
        <v>0.12194949587278239</v>
      </c>
      <c r="H14" s="17">
        <f t="shared" si="3"/>
        <v>9.4261235295779733E-3</v>
      </c>
      <c r="I14" s="1">
        <f t="shared" si="5"/>
        <v>7</v>
      </c>
      <c r="J14" s="23"/>
      <c r="K14" s="21"/>
    </row>
    <row r="15" spans="1:11" ht="15.75" customHeight="1" x14ac:dyDescent="0.2">
      <c r="A15" s="1">
        <f t="shared" si="1"/>
        <v>14</v>
      </c>
      <c r="B15" s="1">
        <v>800</v>
      </c>
      <c r="C15" s="1">
        <v>1</v>
      </c>
      <c r="D15">
        <f t="shared" ref="D15:E15" si="16">SUM(B$2:B14)</f>
        <v>5600</v>
      </c>
      <c r="E15">
        <f t="shared" si="16"/>
        <v>13</v>
      </c>
      <c r="F15" s="7">
        <v>0.3624577511134599</v>
      </c>
      <c r="G15" s="17">
        <f t="shared" si="0"/>
        <v>0.13137562134222686</v>
      </c>
      <c r="H15" s="17">
        <f t="shared" si="3"/>
        <v>9.4261254694444629E-3</v>
      </c>
      <c r="I15" s="1">
        <f t="shared" si="5"/>
        <v>7</v>
      </c>
      <c r="J15" s="22"/>
      <c r="K15" s="21"/>
    </row>
    <row r="16" spans="1:11" ht="15.75" customHeight="1" x14ac:dyDescent="0.2">
      <c r="A16" s="1">
        <f t="shared" si="1"/>
        <v>15</v>
      </c>
      <c r="B16" s="1">
        <v>800</v>
      </c>
      <c r="C16" s="1">
        <v>1</v>
      </c>
      <c r="D16">
        <f t="shared" ref="D16:E16" si="17">SUM(B$2:B15)</f>
        <v>6400</v>
      </c>
      <c r="E16">
        <f t="shared" si="17"/>
        <v>14</v>
      </c>
      <c r="F16" s="25">
        <v>0.37523559000000001</v>
      </c>
      <c r="G16" s="17">
        <f t="shared" si="0"/>
        <v>0.14080174800264811</v>
      </c>
      <c r="H16" s="17">
        <f t="shared" si="3"/>
        <v>9.4261266604212524E-3</v>
      </c>
      <c r="I16" s="1">
        <f t="shared" si="5"/>
        <v>8</v>
      </c>
      <c r="J16" s="23"/>
      <c r="K16" s="21"/>
    </row>
    <row r="17" spans="1:11" ht="15.75" customHeight="1" x14ac:dyDescent="0.2">
      <c r="A17" s="1">
        <f t="shared" si="1"/>
        <v>16</v>
      </c>
      <c r="B17" s="1">
        <v>800</v>
      </c>
      <c r="C17" s="1">
        <v>1</v>
      </c>
      <c r="D17">
        <f t="shared" ref="D17:E17" si="18">SUM(B$2:B16)</f>
        <v>7200</v>
      </c>
      <c r="E17">
        <f t="shared" si="18"/>
        <v>15</v>
      </c>
      <c r="F17" s="7">
        <v>0.3875924063653628</v>
      </c>
      <c r="G17" s="17">
        <f t="shared" si="0"/>
        <v>0.15022787347209252</v>
      </c>
      <c r="H17" s="17">
        <f t="shared" si="3"/>
        <v>9.4261254694444074E-3</v>
      </c>
      <c r="I17" s="1">
        <f t="shared" si="5"/>
        <v>8</v>
      </c>
      <c r="J17" s="22"/>
      <c r="K17" s="21"/>
    </row>
    <row r="18" spans="1:11" ht="15.75" customHeight="1" x14ac:dyDescent="0.2">
      <c r="A18" s="1">
        <f t="shared" si="1"/>
        <v>17</v>
      </c>
      <c r="B18" s="1">
        <v>1000</v>
      </c>
      <c r="C18" s="1">
        <v>1</v>
      </c>
      <c r="D18">
        <f t="shared" ref="D18:E18" si="19">SUM(B$2:B17)</f>
        <v>8000</v>
      </c>
      <c r="E18">
        <f t="shared" si="19"/>
        <v>16</v>
      </c>
      <c r="F18" s="25">
        <v>0.39956728000000002</v>
      </c>
      <c r="G18" s="17">
        <f t="shared" si="0"/>
        <v>0.15965401124659842</v>
      </c>
      <c r="H18" s="17">
        <f t="shared" si="3"/>
        <v>9.426137774505905E-3</v>
      </c>
      <c r="I18" s="1">
        <f t="shared" si="5"/>
        <v>9</v>
      </c>
      <c r="J18" s="23"/>
      <c r="K18" s="21"/>
    </row>
    <row r="19" spans="1:11" ht="15.75" customHeight="1" x14ac:dyDescent="0.2">
      <c r="A19" s="1">
        <f t="shared" si="1"/>
        <v>18</v>
      </c>
      <c r="B19" s="1">
        <v>1000</v>
      </c>
      <c r="C19" s="1">
        <v>1</v>
      </c>
      <c r="D19">
        <f t="shared" ref="D19:E19" si="20">SUM(B$2:B18)</f>
        <v>9000</v>
      </c>
      <c r="E19">
        <f t="shared" si="20"/>
        <v>17</v>
      </c>
      <c r="F19" s="7">
        <v>0.41119355140376762</v>
      </c>
      <c r="G19" s="17">
        <f t="shared" si="0"/>
        <v>0.16908013671604288</v>
      </c>
      <c r="H19" s="17">
        <f t="shared" si="3"/>
        <v>9.4261254694444629E-3</v>
      </c>
      <c r="I19" s="1">
        <f t="shared" si="5"/>
        <v>9</v>
      </c>
      <c r="J19" s="22"/>
      <c r="K19" s="1"/>
    </row>
    <row r="20" spans="1:11" ht="15.75" customHeight="1" x14ac:dyDescent="0.2">
      <c r="A20" s="1">
        <f t="shared" si="1"/>
        <v>19</v>
      </c>
      <c r="B20" s="1">
        <v>1000</v>
      </c>
      <c r="C20" s="1">
        <v>1</v>
      </c>
      <c r="D20">
        <f t="shared" ref="D20:E20" si="21">SUM(B$2:B19)</f>
        <v>10000</v>
      </c>
      <c r="E20">
        <f t="shared" si="21"/>
        <v>18</v>
      </c>
      <c r="F20" s="25">
        <v>0.42250000999999998</v>
      </c>
      <c r="G20" s="17">
        <f t="shared" si="0"/>
        <v>0.17850625845000009</v>
      </c>
      <c r="H20" s="17">
        <f t="shared" si="3"/>
        <v>9.4261217339572101E-3</v>
      </c>
      <c r="I20" s="1">
        <f t="shared" si="5"/>
        <v>10</v>
      </c>
      <c r="J20" s="19"/>
      <c r="K20" s="21"/>
    </row>
    <row r="21" spans="1:11" ht="15.75" customHeight="1" x14ac:dyDescent="0.2">
      <c r="A21" s="1">
        <f t="shared" si="1"/>
        <v>20</v>
      </c>
      <c r="B21" s="1">
        <v>1000</v>
      </c>
      <c r="C21" s="1">
        <v>1</v>
      </c>
      <c r="D21">
        <f t="shared" ref="D21:E21" si="22">SUM(B$2:B20)</f>
        <v>11000</v>
      </c>
      <c r="E21">
        <f t="shared" si="22"/>
        <v>19</v>
      </c>
      <c r="F21" s="7">
        <v>0.43292643716918006</v>
      </c>
      <c r="G21" s="17">
        <f t="shared" si="0"/>
        <v>0.18742530000000002</v>
      </c>
      <c r="H21" s="17">
        <f t="shared" si="3"/>
        <v>8.9190415499999232E-3</v>
      </c>
      <c r="I21" s="1">
        <f t="shared" si="5"/>
        <v>10</v>
      </c>
      <c r="J21" s="22"/>
      <c r="K21" s="1"/>
    </row>
    <row r="22" spans="1:11" ht="15.75" customHeight="1" x14ac:dyDescent="0.2">
      <c r="A22" s="1">
        <f t="shared" si="1"/>
        <v>21</v>
      </c>
      <c r="B22" s="1">
        <v>1300</v>
      </c>
      <c r="C22" s="1">
        <v>2</v>
      </c>
      <c r="D22">
        <f t="shared" ref="D22:E22" si="23">SUM(B$2:B21)</f>
        <v>12000</v>
      </c>
      <c r="E22">
        <f t="shared" si="23"/>
        <v>20</v>
      </c>
      <c r="F22" s="25">
        <v>0.44310755000000002</v>
      </c>
      <c r="G22" s="17">
        <f t="shared" si="0"/>
        <v>0.19634430086700252</v>
      </c>
      <c r="H22" s="17">
        <f t="shared" si="3"/>
        <v>8.9190008670025078E-3</v>
      </c>
      <c r="I22" s="1">
        <f t="shared" si="5"/>
        <v>11</v>
      </c>
      <c r="J22" s="23"/>
      <c r="K22" s="21"/>
    </row>
    <row r="23" spans="1:11" ht="15.75" customHeight="1" x14ac:dyDescent="0.2">
      <c r="A23" s="1">
        <f t="shared" si="1"/>
        <v>22</v>
      </c>
      <c r="B23" s="1">
        <v>1300</v>
      </c>
      <c r="C23" s="1">
        <v>2</v>
      </c>
      <c r="D23">
        <f t="shared" ref="D23:E23" si="24">SUM(B$2:B22)</f>
        <v>13300</v>
      </c>
      <c r="E23">
        <f t="shared" si="24"/>
        <v>22</v>
      </c>
      <c r="F23" s="7">
        <v>0.45305995910243768</v>
      </c>
      <c r="G23" s="17">
        <f t="shared" si="0"/>
        <v>0.20526332654190249</v>
      </c>
      <c r="H23" s="17">
        <f t="shared" si="3"/>
        <v>8.9190256748999663E-3</v>
      </c>
      <c r="I23" s="1">
        <f t="shared" si="5"/>
        <v>11</v>
      </c>
      <c r="K23" s="1"/>
    </row>
    <row r="24" spans="1:11" ht="15.75" customHeight="1" x14ac:dyDescent="0.2">
      <c r="A24" s="1">
        <f t="shared" si="1"/>
        <v>23</v>
      </c>
      <c r="B24" s="1">
        <v>1300</v>
      </c>
      <c r="C24" s="1">
        <v>2</v>
      </c>
      <c r="D24">
        <f t="shared" ref="D24:E24" si="25">SUM(B$2:B23)</f>
        <v>14600</v>
      </c>
      <c r="E24">
        <f t="shared" si="25"/>
        <v>24</v>
      </c>
      <c r="F24" s="25">
        <v>0.46279839</v>
      </c>
      <c r="G24" s="17">
        <f t="shared" si="0"/>
        <v>0.21418234978659209</v>
      </c>
      <c r="H24" s="17">
        <f t="shared" si="3"/>
        <v>8.9190232446896001E-3</v>
      </c>
      <c r="I24" s="1">
        <f t="shared" si="5"/>
        <v>12</v>
      </c>
      <c r="J24" s="23"/>
      <c r="K24" s="21"/>
    </row>
    <row r="25" spans="1:11" ht="15.75" customHeight="1" x14ac:dyDescent="0.2">
      <c r="A25" s="1">
        <f t="shared" si="1"/>
        <v>24</v>
      </c>
      <c r="B25" s="1">
        <v>1300</v>
      </c>
      <c r="C25" s="1">
        <v>2</v>
      </c>
      <c r="D25">
        <f t="shared" ref="D25:E25" si="26">SUM(B$2:B24)</f>
        <v>15900</v>
      </c>
      <c r="E25">
        <f t="shared" si="26"/>
        <v>26</v>
      </c>
      <c r="F25" s="7">
        <v>0.47233608316694597</v>
      </c>
      <c r="G25" s="17">
        <f t="shared" si="0"/>
        <v>0.22310137546149211</v>
      </c>
      <c r="H25" s="17">
        <f t="shared" si="3"/>
        <v>8.9190256749000218E-3</v>
      </c>
      <c r="I25" s="1">
        <f t="shared" si="5"/>
        <v>12</v>
      </c>
      <c r="J25" s="7"/>
      <c r="K25" s="1"/>
    </row>
    <row r="26" spans="1:11" ht="15.75" customHeight="1" x14ac:dyDescent="0.2">
      <c r="A26" s="1">
        <f t="shared" si="1"/>
        <v>25</v>
      </c>
      <c r="B26" s="1">
        <v>1600</v>
      </c>
      <c r="C26" s="1">
        <v>2</v>
      </c>
      <c r="D26">
        <f t="shared" ref="D26:E26" si="27">SUM(B$2:B25)</f>
        <v>17200</v>
      </c>
      <c r="E26">
        <f t="shared" si="27"/>
        <v>28</v>
      </c>
      <c r="F26" s="25">
        <v>0.48168495</v>
      </c>
      <c r="G26" s="17">
        <f t="shared" si="0"/>
        <v>0.23202039105650249</v>
      </c>
      <c r="H26" s="17">
        <f t="shared" si="3"/>
        <v>8.9190155950103767E-3</v>
      </c>
      <c r="I26" s="1">
        <f t="shared" si="5"/>
        <v>13</v>
      </c>
      <c r="J26" s="19"/>
      <c r="K26" s="21"/>
    </row>
    <row r="27" spans="1:11" ht="15.75" customHeight="1" x14ac:dyDescent="0.2">
      <c r="A27" s="1">
        <f t="shared" si="1"/>
        <v>26</v>
      </c>
      <c r="B27" s="1">
        <v>1600</v>
      </c>
      <c r="C27" s="1">
        <v>2</v>
      </c>
      <c r="D27">
        <f t="shared" ref="D27:E27" si="28">SUM(B$2:B26)</f>
        <v>18800</v>
      </c>
      <c r="E27">
        <f t="shared" si="28"/>
        <v>30</v>
      </c>
      <c r="F27" s="7">
        <v>0.49085580034405468</v>
      </c>
      <c r="G27" s="17">
        <f t="shared" si="0"/>
        <v>0.24093941673140248</v>
      </c>
      <c r="H27" s="17">
        <f t="shared" si="3"/>
        <v>8.9190256748999941E-3</v>
      </c>
      <c r="I27" s="1">
        <f t="shared" si="5"/>
        <v>13</v>
      </c>
      <c r="J27" s="22"/>
      <c r="K27" s="1"/>
    </row>
    <row r="28" spans="1:11" ht="15.75" customHeight="1" x14ac:dyDescent="0.2">
      <c r="A28" s="1">
        <f t="shared" si="1"/>
        <v>27</v>
      </c>
      <c r="B28" s="1">
        <v>1600</v>
      </c>
      <c r="C28" s="1">
        <v>2</v>
      </c>
      <c r="D28">
        <f t="shared" ref="D28:E28" si="29">SUM(B$2:B27)</f>
        <v>20400</v>
      </c>
      <c r="E28">
        <f t="shared" si="29"/>
        <v>32</v>
      </c>
      <c r="F28" s="25">
        <v>0.49985844000000001</v>
      </c>
      <c r="G28" s="17">
        <f t="shared" si="0"/>
        <v>0.24985846003923362</v>
      </c>
      <c r="H28" s="17">
        <f t="shared" si="3"/>
        <v>8.9190433078311371E-3</v>
      </c>
      <c r="I28" s="1">
        <f t="shared" si="5"/>
        <v>14</v>
      </c>
      <c r="J28" s="19"/>
      <c r="K28" s="21"/>
    </row>
    <row r="29" spans="1:11" ht="15.75" customHeight="1" x14ac:dyDescent="0.2">
      <c r="A29" s="1">
        <f t="shared" si="1"/>
        <v>28</v>
      </c>
      <c r="B29" s="1">
        <v>1600</v>
      </c>
      <c r="C29" s="1">
        <v>2</v>
      </c>
      <c r="D29">
        <f t="shared" ref="D29:E29" si="30">SUM(B$2:B28)</f>
        <v>22000</v>
      </c>
      <c r="E29">
        <f t="shared" si="30"/>
        <v>34</v>
      </c>
      <c r="F29" s="7">
        <v>0.50870176500001807</v>
      </c>
      <c r="G29" s="17">
        <f t="shared" si="0"/>
        <v>0.25877748571413361</v>
      </c>
      <c r="H29" s="17">
        <f t="shared" si="3"/>
        <v>8.9190256748999941E-3</v>
      </c>
      <c r="I29" s="1">
        <f t="shared" si="5"/>
        <v>14</v>
      </c>
      <c r="J29" s="22"/>
      <c r="K29" s="1"/>
    </row>
    <row r="30" spans="1:11" ht="15.75" customHeight="1" x14ac:dyDescent="0.2">
      <c r="A30" s="1">
        <f t="shared" si="1"/>
        <v>29</v>
      </c>
      <c r="B30" s="1">
        <v>1900</v>
      </c>
      <c r="C30" s="1">
        <v>2</v>
      </c>
      <c r="D30">
        <f t="shared" ref="D30:E30" si="31">SUM(B$2:B29)</f>
        <v>23600</v>
      </c>
      <c r="E30">
        <f t="shared" si="31"/>
        <v>36</v>
      </c>
      <c r="F30" s="25">
        <v>0.51739394999999999</v>
      </c>
      <c r="G30" s="17">
        <f t="shared" si="0"/>
        <v>0.26769649949660251</v>
      </c>
      <c r="H30" s="17">
        <f t="shared" si="3"/>
        <v>8.9190137824688986E-3</v>
      </c>
      <c r="I30" s="1">
        <f t="shared" si="5"/>
        <v>15</v>
      </c>
      <c r="J30" s="19"/>
      <c r="K30" s="21"/>
    </row>
    <row r="31" spans="1:11" ht="12.75" x14ac:dyDescent="0.2">
      <c r="A31" s="1">
        <f t="shared" si="1"/>
        <v>30</v>
      </c>
      <c r="B31" s="1">
        <v>1900</v>
      </c>
      <c r="C31" s="1">
        <v>2</v>
      </c>
      <c r="D31">
        <f t="shared" ref="D31:E31" si="32">SUM(B$2:B30)</f>
        <v>25500</v>
      </c>
      <c r="E31">
        <f t="shared" si="32"/>
        <v>38</v>
      </c>
      <c r="F31" s="7">
        <v>0.52594251127999014</v>
      </c>
      <c r="G31" s="17">
        <f t="shared" si="0"/>
        <v>0.27661552517150256</v>
      </c>
      <c r="H31" s="17">
        <f t="shared" si="3"/>
        <v>8.9190256749000496E-3</v>
      </c>
      <c r="I31" s="1">
        <f t="shared" si="5"/>
        <v>15</v>
      </c>
      <c r="J31" s="22"/>
      <c r="K31" s="1"/>
    </row>
    <row r="32" spans="1:11" ht="12.75" x14ac:dyDescent="0.2">
      <c r="A32" s="1">
        <f t="shared" si="1"/>
        <v>31</v>
      </c>
      <c r="B32" s="1">
        <v>1900</v>
      </c>
      <c r="C32" s="1">
        <v>2</v>
      </c>
      <c r="D32">
        <f t="shared" ref="D32:E32" si="33">SUM(B$2:B31)</f>
        <v>27400</v>
      </c>
      <c r="E32">
        <f t="shared" si="33"/>
        <v>40</v>
      </c>
      <c r="F32" s="7">
        <v>0.53435432999999999</v>
      </c>
      <c r="G32" s="17">
        <f t="shared" si="0"/>
        <v>0.28553454998974886</v>
      </c>
      <c r="H32" s="17">
        <f t="shared" si="3"/>
        <v>8.9190248182463017E-3</v>
      </c>
      <c r="I32" s="1">
        <f t="shared" si="5"/>
        <v>16</v>
      </c>
      <c r="J32" s="19"/>
      <c r="K32" s="21"/>
    </row>
    <row r="33" spans="1:11" ht="12.75" x14ac:dyDescent="0.2">
      <c r="A33" s="1">
        <f t="shared" si="1"/>
        <v>32</v>
      </c>
      <c r="B33" s="1">
        <v>1900</v>
      </c>
      <c r="C33" s="1">
        <v>2</v>
      </c>
      <c r="D33">
        <f t="shared" ref="D33:E33" si="34">SUM(B$2:B32)</f>
        <v>29300</v>
      </c>
      <c r="E33">
        <f t="shared" si="34"/>
        <v>42</v>
      </c>
      <c r="F33" s="7">
        <v>0.54263576703406569</v>
      </c>
      <c r="G33" s="17">
        <f t="shared" si="0"/>
        <v>0.2944535756646488</v>
      </c>
      <c r="H33" s="17">
        <f t="shared" si="3"/>
        <v>8.9190256748999386E-3</v>
      </c>
      <c r="I33" s="1">
        <f t="shared" si="5"/>
        <v>16</v>
      </c>
      <c r="J33" s="22"/>
      <c r="K33" s="1"/>
    </row>
    <row r="34" spans="1:11" ht="12.75" x14ac:dyDescent="0.2">
      <c r="A34" s="1">
        <f t="shared" si="1"/>
        <v>33</v>
      </c>
      <c r="B34" s="1">
        <v>2200</v>
      </c>
      <c r="C34" s="1">
        <v>2</v>
      </c>
      <c r="D34">
        <f t="shared" ref="D34:E34" si="35">SUM(B$2:B33)</f>
        <v>31200</v>
      </c>
      <c r="E34">
        <f t="shared" si="35"/>
        <v>44</v>
      </c>
      <c r="F34" s="7">
        <v>0.55079268999999997</v>
      </c>
      <c r="G34" s="17">
        <f t="shared" si="0"/>
        <v>0.30337258735743605</v>
      </c>
      <c r="H34" s="17">
        <f t="shared" si="3"/>
        <v>8.9190116927872487E-3</v>
      </c>
      <c r="I34" s="1">
        <f t="shared" si="5"/>
        <v>17</v>
      </c>
      <c r="J34" s="19"/>
      <c r="K34" s="21"/>
    </row>
    <row r="35" spans="1:11" ht="12.75" x14ac:dyDescent="0.2">
      <c r="A35" s="1">
        <f t="shared" si="1"/>
        <v>34</v>
      </c>
      <c r="B35" s="1">
        <v>2200</v>
      </c>
      <c r="C35" s="1">
        <v>2</v>
      </c>
      <c r="D35">
        <f t="shared" ref="D35:E35" si="36">SUM(B$2:B34)</f>
        <v>33400</v>
      </c>
      <c r="E35">
        <f t="shared" si="36"/>
        <v>46</v>
      </c>
      <c r="F35" s="7">
        <v>0.55883057632196187</v>
      </c>
      <c r="G35" s="17">
        <f t="shared" si="0"/>
        <v>0.31229161303233605</v>
      </c>
      <c r="H35" s="17">
        <f t="shared" si="3"/>
        <v>8.9190256748999941E-3</v>
      </c>
      <c r="I35" s="1">
        <f t="shared" si="5"/>
        <v>17</v>
      </c>
      <c r="J35" s="22"/>
      <c r="K35" s="1"/>
    </row>
    <row r="36" spans="1:11" ht="12.75" x14ac:dyDescent="0.2">
      <c r="A36" s="1">
        <f t="shared" si="1"/>
        <v>35</v>
      </c>
      <c r="B36" s="1">
        <v>2200</v>
      </c>
      <c r="C36" s="1">
        <v>2</v>
      </c>
      <c r="D36">
        <f t="shared" ref="D36:E36" si="37">SUM(B$2:B35)</f>
        <v>35600</v>
      </c>
      <c r="E36">
        <f t="shared" si="37"/>
        <v>48</v>
      </c>
      <c r="F36" s="25">
        <v>0.56675452000000004</v>
      </c>
      <c r="G36" s="17">
        <f t="shared" si="0"/>
        <v>0.32121068594043045</v>
      </c>
      <c r="H36" s="17">
        <f t="shared" si="3"/>
        <v>8.9190729080944053E-3</v>
      </c>
      <c r="I36" s="1">
        <f t="shared" si="5"/>
        <v>18</v>
      </c>
      <c r="J36" s="19"/>
      <c r="K36" s="21"/>
    </row>
    <row r="37" spans="1:11" ht="12.75" x14ac:dyDescent="0.2">
      <c r="A37" s="1">
        <f t="shared" si="1"/>
        <v>36</v>
      </c>
      <c r="B37" s="1">
        <v>2200</v>
      </c>
      <c r="C37" s="1">
        <v>2</v>
      </c>
      <c r="D37">
        <f t="shared" ref="D37:E37" si="38">SUM(B$2:B36)</f>
        <v>37800</v>
      </c>
      <c r="E37">
        <f t="shared" si="38"/>
        <v>50</v>
      </c>
      <c r="F37" s="7">
        <v>0.57456915303149581</v>
      </c>
      <c r="G37" s="17">
        <f t="shared" si="0"/>
        <v>0.33012971161533045</v>
      </c>
      <c r="H37" s="17">
        <f t="shared" si="3"/>
        <v>8.9190256748999941E-3</v>
      </c>
      <c r="I37" s="1">
        <f t="shared" si="5"/>
        <v>18</v>
      </c>
      <c r="J37" s="22"/>
      <c r="K37" s="1"/>
    </row>
    <row r="38" spans="1:11" ht="12.75" x14ac:dyDescent="0.2">
      <c r="A38" s="1">
        <f t="shared" si="1"/>
        <v>37</v>
      </c>
      <c r="B38" s="1">
        <v>2500</v>
      </c>
      <c r="C38" s="1">
        <v>2</v>
      </c>
      <c r="D38">
        <f t="shared" ref="D38:E38" si="39">SUM(B$2:B37)</f>
        <v>40000</v>
      </c>
      <c r="E38">
        <f t="shared" si="39"/>
        <v>52</v>
      </c>
      <c r="F38" s="25">
        <v>0.58227890999999998</v>
      </c>
      <c r="G38" s="17">
        <f t="shared" si="0"/>
        <v>0.33904872903078809</v>
      </c>
      <c r="H38" s="17">
        <f t="shared" si="3"/>
        <v>8.9190174154576418E-3</v>
      </c>
      <c r="I38" s="1">
        <f t="shared" si="5"/>
        <v>19</v>
      </c>
      <c r="J38" s="19"/>
      <c r="K38" s="21"/>
    </row>
    <row r="39" spans="1:11" ht="12.75" x14ac:dyDescent="0.2">
      <c r="A39" s="1">
        <f t="shared" si="1"/>
        <v>38</v>
      </c>
      <c r="B39" s="1">
        <v>2500</v>
      </c>
      <c r="C39" s="1">
        <v>2</v>
      </c>
      <c r="D39">
        <f t="shared" ref="D39:E39" si="40">SUM(B$2:B38)</f>
        <v>42500</v>
      </c>
      <c r="E39">
        <f t="shared" si="40"/>
        <v>54</v>
      </c>
      <c r="F39" s="7">
        <v>0.58988791707042798</v>
      </c>
      <c r="G39" s="17">
        <f t="shared" si="0"/>
        <v>0.34796775470568814</v>
      </c>
      <c r="H39" s="17">
        <f t="shared" si="3"/>
        <v>8.9190256749000496E-3</v>
      </c>
      <c r="I39" s="1">
        <f t="shared" si="5"/>
        <v>19</v>
      </c>
      <c r="J39" s="22"/>
      <c r="K39" s="1"/>
    </row>
    <row r="40" spans="1:11" ht="12.75" x14ac:dyDescent="0.2">
      <c r="A40" s="1">
        <f t="shared" si="1"/>
        <v>39</v>
      </c>
      <c r="B40" s="1">
        <v>2500</v>
      </c>
      <c r="C40" s="1">
        <v>2</v>
      </c>
      <c r="D40">
        <f t="shared" ref="D40:E40" si="41">SUM(B$2:B39)</f>
        <v>45000</v>
      </c>
      <c r="E40">
        <f t="shared" si="41"/>
        <v>56</v>
      </c>
      <c r="F40" s="25">
        <v>0.59740000999999998</v>
      </c>
      <c r="G40" s="17">
        <f t="shared" si="0"/>
        <v>0.35688677194800006</v>
      </c>
      <c r="H40" s="17">
        <f t="shared" si="3"/>
        <v>8.9190172423119218E-3</v>
      </c>
      <c r="I40" s="1">
        <f t="shared" si="5"/>
        <v>20</v>
      </c>
      <c r="J40" s="23" t="s">
        <v>185</v>
      </c>
      <c r="K40" s="21"/>
    </row>
    <row r="41" spans="1:11" ht="12.75" x14ac:dyDescent="0.2">
      <c r="A41" s="1">
        <f t="shared" si="1"/>
        <v>40</v>
      </c>
      <c r="B41" s="1">
        <v>2500</v>
      </c>
      <c r="C41" s="1">
        <v>2</v>
      </c>
      <c r="D41">
        <f t="shared" ref="D41:E41" si="42">SUM(B$2:B40)</f>
        <v>47500</v>
      </c>
      <c r="E41">
        <f t="shared" si="42"/>
        <v>58</v>
      </c>
      <c r="F41" s="7">
        <v>0.60481881387974368</v>
      </c>
      <c r="G41" s="17">
        <f t="shared" si="0"/>
        <v>0.3658057976229</v>
      </c>
      <c r="H41" s="17">
        <f t="shared" si="3"/>
        <v>8.9190256748999386E-3</v>
      </c>
      <c r="I41" s="1">
        <f t="shared" si="5"/>
        <v>20</v>
      </c>
      <c r="K41" s="1"/>
    </row>
    <row r="42" spans="1:11" ht="12.75" x14ac:dyDescent="0.2">
      <c r="A42" s="1">
        <f t="shared" si="1"/>
        <v>41</v>
      </c>
      <c r="B42" s="1">
        <v>3000</v>
      </c>
      <c r="C42" s="1">
        <v>3</v>
      </c>
      <c r="D42">
        <f t="shared" ref="D42:E42" si="43">SUM(B$2:B41)</f>
        <v>50000</v>
      </c>
      <c r="E42">
        <f t="shared" si="43"/>
        <v>60</v>
      </c>
      <c r="F42" s="25">
        <v>0.61215728999999997</v>
      </c>
      <c r="G42" s="17">
        <f t="shared" si="0"/>
        <v>0.37473654770014408</v>
      </c>
      <c r="H42" s="17">
        <f t="shared" si="3"/>
        <v>8.9307500772440873E-3</v>
      </c>
      <c r="I42" s="1">
        <f t="shared" si="5"/>
        <v>21</v>
      </c>
      <c r="J42" s="19"/>
      <c r="K42" s="21"/>
    </row>
    <row r="43" spans="1:11" ht="12.75" x14ac:dyDescent="0.2">
      <c r="A43" s="1">
        <f t="shared" si="1"/>
        <v>42</v>
      </c>
      <c r="B43" s="1">
        <v>3000</v>
      </c>
      <c r="C43" s="1">
        <v>3</v>
      </c>
      <c r="D43">
        <f t="shared" ref="D43:E43" si="44">SUM(B$2:B42)</f>
        <v>53000</v>
      </c>
      <c r="E43">
        <f t="shared" si="44"/>
        <v>63</v>
      </c>
      <c r="F43" s="7">
        <v>0.6194041117095882</v>
      </c>
      <c r="G43" s="17">
        <f t="shared" si="0"/>
        <v>0.38366145360274401</v>
      </c>
      <c r="H43" s="17">
        <f t="shared" si="3"/>
        <v>8.9249059025999222E-3</v>
      </c>
      <c r="I43" s="1">
        <f t="shared" si="5"/>
        <v>21</v>
      </c>
      <c r="J43" s="22"/>
    </row>
    <row r="44" spans="1:11" ht="12.75" x14ac:dyDescent="0.2">
      <c r="A44" s="1">
        <f t="shared" si="1"/>
        <v>43</v>
      </c>
      <c r="B44" s="1">
        <v>3000</v>
      </c>
      <c r="C44" s="1">
        <v>3</v>
      </c>
      <c r="D44">
        <f t="shared" ref="D44:E44" si="45">SUM(B$2:B43)</f>
        <v>56000</v>
      </c>
      <c r="E44">
        <f t="shared" si="45"/>
        <v>66</v>
      </c>
      <c r="F44" s="25">
        <v>0.62656712999999997</v>
      </c>
      <c r="G44" s="17">
        <f t="shared" si="0"/>
        <v>0.39258636839643685</v>
      </c>
      <c r="H44" s="17">
        <f t="shared" si="3"/>
        <v>8.9249147936928397E-3</v>
      </c>
      <c r="I44" s="1">
        <f t="shared" si="5"/>
        <v>22</v>
      </c>
      <c r="J44" s="19"/>
      <c r="K44" s="21"/>
    </row>
    <row r="45" spans="1:11" ht="12.75" x14ac:dyDescent="0.2">
      <c r="A45" s="1">
        <f t="shared" si="1"/>
        <v>44</v>
      </c>
      <c r="B45" s="1">
        <v>3000</v>
      </c>
      <c r="C45" s="1">
        <v>3</v>
      </c>
      <c r="D45">
        <f t="shared" ref="D45:E45" si="46">SUM(B$2:B44)</f>
        <v>59000</v>
      </c>
      <c r="E45">
        <f t="shared" si="46"/>
        <v>69</v>
      </c>
      <c r="F45" s="7">
        <v>0.63364917288594069</v>
      </c>
      <c r="G45" s="17">
        <f t="shared" si="0"/>
        <v>0.40151127429903677</v>
      </c>
      <c r="H45" s="17">
        <f t="shared" si="3"/>
        <v>8.9249059025999222E-3</v>
      </c>
      <c r="I45" s="1">
        <f t="shared" si="5"/>
        <v>22</v>
      </c>
      <c r="J45" s="35"/>
    </row>
    <row r="46" spans="1:11" ht="12.75" x14ac:dyDescent="0.2">
      <c r="A46" s="1">
        <f t="shared" si="1"/>
        <v>45</v>
      </c>
      <c r="B46" s="1">
        <v>3500</v>
      </c>
      <c r="C46" s="1">
        <v>3</v>
      </c>
      <c r="D46">
        <f t="shared" ref="D46:E46" si="47">SUM(B$2:B45)</f>
        <v>62000</v>
      </c>
      <c r="E46">
        <f t="shared" si="47"/>
        <v>72</v>
      </c>
      <c r="F46" s="25">
        <v>0.64065295</v>
      </c>
      <c r="G46" s="17">
        <f t="shared" si="0"/>
        <v>0.41043620234370248</v>
      </c>
      <c r="H46" s="17">
        <f t="shared" si="3"/>
        <v>8.9249280446657142E-3</v>
      </c>
      <c r="I46" s="1">
        <f t="shared" si="5"/>
        <v>23</v>
      </c>
      <c r="J46" s="19"/>
      <c r="K46" s="21"/>
    </row>
    <row r="47" spans="1:11" ht="12.75" x14ac:dyDescent="0.2">
      <c r="A47" s="1">
        <f t="shared" si="1"/>
        <v>46</v>
      </c>
      <c r="B47" s="1">
        <v>3500</v>
      </c>
      <c r="C47" s="1">
        <v>3</v>
      </c>
      <c r="D47">
        <f t="shared" ref="D47:E47" si="48">SUM(B$2:B46)</f>
        <v>65500</v>
      </c>
      <c r="E47">
        <f t="shared" si="48"/>
        <v>75</v>
      </c>
      <c r="F47" s="7">
        <v>0.64758096655653996</v>
      </c>
      <c r="G47" s="17">
        <f t="shared" si="0"/>
        <v>0.41936110824630252</v>
      </c>
      <c r="H47" s="17">
        <f t="shared" si="3"/>
        <v>8.9249059026000332E-3</v>
      </c>
      <c r="I47" s="1">
        <f t="shared" si="5"/>
        <v>23</v>
      </c>
      <c r="J47" s="35"/>
      <c r="K47" s="21"/>
    </row>
    <row r="48" spans="1:11" ht="12.75" x14ac:dyDescent="0.2">
      <c r="A48" s="1">
        <f t="shared" si="1"/>
        <v>47</v>
      </c>
      <c r="B48" s="1">
        <v>3500</v>
      </c>
      <c r="C48" s="1">
        <v>3</v>
      </c>
      <c r="D48">
        <f t="shared" ref="D48:E48" si="49">SUM(B$2:B47)</f>
        <v>69000</v>
      </c>
      <c r="E48">
        <f t="shared" si="49"/>
        <v>78</v>
      </c>
      <c r="F48" s="25">
        <v>0.65443563000000005</v>
      </c>
      <c r="G48" s="17">
        <f t="shared" si="0"/>
        <v>0.42828599381349697</v>
      </c>
      <c r="H48" s="17">
        <f t="shared" si="3"/>
        <v>8.9248855671944516E-3</v>
      </c>
      <c r="I48" s="1">
        <f t="shared" si="5"/>
        <v>24</v>
      </c>
      <c r="J48" s="19"/>
      <c r="K48" s="21"/>
    </row>
    <row r="49" spans="1:11" ht="12.75" x14ac:dyDescent="0.2">
      <c r="A49" s="1">
        <f t="shared" si="1"/>
        <v>48</v>
      </c>
      <c r="B49" s="1">
        <v>3500</v>
      </c>
      <c r="C49" s="1">
        <v>3</v>
      </c>
      <c r="D49">
        <f t="shared" ref="D49:E49" si="50">SUM(B$2:B48)</f>
        <v>72500</v>
      </c>
      <c r="E49">
        <f t="shared" si="50"/>
        <v>81</v>
      </c>
      <c r="F49" s="7">
        <v>0.66121925237858659</v>
      </c>
      <c r="G49" s="17">
        <f t="shared" si="0"/>
        <v>0.437210899716097</v>
      </c>
      <c r="H49" s="17">
        <f t="shared" si="3"/>
        <v>8.9249059026000332E-3</v>
      </c>
      <c r="I49" s="1">
        <f t="shared" si="5"/>
        <v>24</v>
      </c>
      <c r="J49" s="35"/>
      <c r="K49" s="21"/>
    </row>
    <row r="50" spans="1:11" ht="12.75" x14ac:dyDescent="0.2">
      <c r="A50" s="1">
        <f t="shared" si="1"/>
        <v>49</v>
      </c>
      <c r="B50" s="1">
        <v>4000</v>
      </c>
      <c r="C50" s="1">
        <v>3</v>
      </c>
      <c r="D50">
        <f t="shared" ref="D50:E50" si="51">SUM(B$2:B49)</f>
        <v>76000</v>
      </c>
      <c r="E50">
        <f t="shared" si="51"/>
        <v>84</v>
      </c>
      <c r="F50" s="25">
        <v>0.66793400000000003</v>
      </c>
      <c r="G50" s="17">
        <f t="shared" si="0"/>
        <v>0.44613582835600002</v>
      </c>
      <c r="H50" s="17">
        <f t="shared" si="3"/>
        <v>8.9249286399030181E-3</v>
      </c>
      <c r="I50" s="1">
        <f t="shared" si="5"/>
        <v>25</v>
      </c>
      <c r="J50" s="19"/>
      <c r="K50" s="21"/>
    </row>
    <row r="51" spans="1:11" ht="12.75" x14ac:dyDescent="0.2">
      <c r="A51" s="1">
        <f t="shared" si="1"/>
        <v>50</v>
      </c>
      <c r="B51" s="1">
        <v>4000</v>
      </c>
      <c r="C51" s="1">
        <v>3</v>
      </c>
      <c r="D51">
        <f t="shared" ref="D51:E51" si="52">SUM(B$2:B50)</f>
        <v>80000</v>
      </c>
      <c r="E51">
        <f t="shared" si="52"/>
        <v>87</v>
      </c>
      <c r="F51" s="7">
        <v>0.67458189588707462</v>
      </c>
      <c r="G51" s="17">
        <f t="shared" si="0"/>
        <v>0.4550607342586</v>
      </c>
      <c r="H51" s="17">
        <f t="shared" si="3"/>
        <v>8.9249059025999777E-3</v>
      </c>
      <c r="I51" s="1">
        <f t="shared" si="5"/>
        <v>25</v>
      </c>
      <c r="J51" s="35"/>
      <c r="K51" s="21"/>
    </row>
    <row r="52" spans="1:11" ht="12.75" x14ac:dyDescent="0.2">
      <c r="A52" s="1">
        <f t="shared" si="1"/>
        <v>51</v>
      </c>
      <c r="B52" s="1">
        <v>4000</v>
      </c>
      <c r="C52" s="1">
        <v>4</v>
      </c>
      <c r="D52">
        <f t="shared" ref="D52:E52" si="53">SUM(B$2:B51)</f>
        <v>84000</v>
      </c>
      <c r="E52">
        <f t="shared" si="53"/>
        <v>90</v>
      </c>
      <c r="F52" s="25">
        <v>0.68116491999999995</v>
      </c>
      <c r="G52" s="17">
        <f t="shared" si="0"/>
        <v>0.46398564823860633</v>
      </c>
      <c r="H52" s="17">
        <f t="shared" si="3"/>
        <v>8.9249139800063326E-3</v>
      </c>
      <c r="I52" s="1">
        <f t="shared" si="5"/>
        <v>26</v>
      </c>
      <c r="J52" s="19"/>
      <c r="K52" s="21"/>
    </row>
    <row r="53" spans="1:11" ht="12.75" x14ac:dyDescent="0.2">
      <c r="A53" s="1">
        <f t="shared" si="1"/>
        <v>52</v>
      </c>
      <c r="B53" s="1">
        <v>4000</v>
      </c>
      <c r="C53" s="1">
        <v>4</v>
      </c>
      <c r="D53">
        <f t="shared" ref="D53:E53" si="54">SUM(B$2:B52)</f>
        <v>88000</v>
      </c>
      <c r="E53">
        <f t="shared" si="54"/>
        <v>94</v>
      </c>
      <c r="F53" s="7">
        <v>0.6876849235959781</v>
      </c>
      <c r="G53" s="17">
        <f t="shared" si="0"/>
        <v>0.47291055414120625</v>
      </c>
      <c r="H53" s="17">
        <f t="shared" si="3"/>
        <v>8.9249059025999222E-3</v>
      </c>
      <c r="I53" s="1">
        <f t="shared" si="5"/>
        <v>26</v>
      </c>
      <c r="J53" s="35"/>
      <c r="K53" s="21"/>
    </row>
    <row r="54" spans="1:11" ht="12.75" x14ac:dyDescent="0.2">
      <c r="A54" s="1">
        <f t="shared" si="1"/>
        <v>53</v>
      </c>
      <c r="B54" s="1">
        <v>4500</v>
      </c>
      <c r="C54" s="1">
        <v>4</v>
      </c>
      <c r="D54">
        <f t="shared" ref="D54:E54" si="55">SUM(B$2:B53)</f>
        <v>92000</v>
      </c>
      <c r="E54">
        <f t="shared" si="55"/>
        <v>98</v>
      </c>
      <c r="F54" s="25">
        <v>0.69414365</v>
      </c>
      <c r="G54" s="17">
        <f t="shared" si="0"/>
        <v>0.4818354068353225</v>
      </c>
      <c r="H54" s="17">
        <f t="shared" si="3"/>
        <v>8.9248526941162476E-3</v>
      </c>
      <c r="I54" s="1">
        <f t="shared" si="5"/>
        <v>27</v>
      </c>
      <c r="J54" s="19"/>
      <c r="K54" s="21"/>
    </row>
    <row r="55" spans="1:11" ht="12.75" x14ac:dyDescent="0.2">
      <c r="A55" s="1">
        <f t="shared" si="1"/>
        <v>54</v>
      </c>
      <c r="B55" s="1">
        <v>4500</v>
      </c>
      <c r="C55" s="1">
        <v>4</v>
      </c>
      <c r="D55">
        <f t="shared" ref="D55:E55" si="56">SUM(B$2:B54)</f>
        <v>96500</v>
      </c>
      <c r="E55">
        <f t="shared" si="56"/>
        <v>102</v>
      </c>
      <c r="F55" s="7">
        <v>0.70054287002147309</v>
      </c>
      <c r="G55" s="17">
        <f t="shared" si="0"/>
        <v>0.49076031273792253</v>
      </c>
      <c r="H55" s="17">
        <f t="shared" si="3"/>
        <v>8.9249059026000332E-3</v>
      </c>
      <c r="I55" s="1">
        <f t="shared" si="5"/>
        <v>27</v>
      </c>
      <c r="J55" s="35"/>
      <c r="K55" s="21"/>
    </row>
    <row r="56" spans="1:11" ht="12.75" x14ac:dyDescent="0.2">
      <c r="A56" s="1">
        <f t="shared" si="1"/>
        <v>55</v>
      </c>
      <c r="B56" s="1">
        <v>4500</v>
      </c>
      <c r="C56" s="1">
        <v>4</v>
      </c>
      <c r="D56">
        <f t="shared" ref="D56:E56" si="57">SUM(B$2:B55)</f>
        <v>101000</v>
      </c>
      <c r="E56">
        <f t="shared" si="57"/>
        <v>106</v>
      </c>
      <c r="F56" s="25">
        <v>0.70688421000000001</v>
      </c>
      <c r="G56" s="17">
        <f t="shared" si="0"/>
        <v>0.49968528634732412</v>
      </c>
      <c r="H56" s="17">
        <f t="shared" si="3"/>
        <v>8.9249736094015875E-3</v>
      </c>
      <c r="I56" s="1">
        <f t="shared" si="5"/>
        <v>28</v>
      </c>
      <c r="J56" s="5"/>
      <c r="K56" s="21"/>
    </row>
    <row r="57" spans="1:11" ht="12.75" x14ac:dyDescent="0.2">
      <c r="A57" s="1">
        <f t="shared" si="1"/>
        <v>56</v>
      </c>
      <c r="B57" s="1">
        <v>4500</v>
      </c>
      <c r="C57" s="1">
        <v>4</v>
      </c>
      <c r="D57">
        <f t="shared" ref="D57:E57" si="58">SUM(B$2:B56)</f>
        <v>105500</v>
      </c>
      <c r="E57">
        <f t="shared" si="58"/>
        <v>110</v>
      </c>
      <c r="F57" s="7">
        <v>0.71316911896823187</v>
      </c>
      <c r="G57" s="17">
        <f t="shared" si="0"/>
        <v>0.5086101922499241</v>
      </c>
      <c r="H57" s="17">
        <f t="shared" si="3"/>
        <v>8.9249059025999777E-3</v>
      </c>
      <c r="I57" s="1">
        <f t="shared" si="5"/>
        <v>28</v>
      </c>
      <c r="J57" s="35"/>
      <c r="K57" s="21"/>
    </row>
    <row r="58" spans="1:11" ht="12.75" x14ac:dyDescent="0.2">
      <c r="A58" s="1">
        <f t="shared" si="1"/>
        <v>57</v>
      </c>
      <c r="B58" s="1">
        <v>5000</v>
      </c>
      <c r="C58" s="1">
        <v>4</v>
      </c>
      <c r="D58">
        <f t="shared" ref="D58:E58" si="59">SUM(B$2:B57)</f>
        <v>110000</v>
      </c>
      <c r="E58">
        <f t="shared" si="59"/>
        <v>114</v>
      </c>
      <c r="F58" s="25">
        <v>0.71939909000000002</v>
      </c>
      <c r="G58" s="17">
        <f t="shared" si="0"/>
        <v>0.51753505069282812</v>
      </c>
      <c r="H58" s="17">
        <f t="shared" si="3"/>
        <v>8.9248584429040267E-3</v>
      </c>
      <c r="I58" s="1">
        <f t="shared" si="5"/>
        <v>29</v>
      </c>
      <c r="J58" s="5"/>
      <c r="K58" s="21"/>
    </row>
    <row r="59" spans="1:11" ht="12.75" x14ac:dyDescent="0.2">
      <c r="A59" s="1">
        <f t="shared" si="1"/>
        <v>58</v>
      </c>
      <c r="B59" s="1">
        <v>5000</v>
      </c>
      <c r="C59" s="1">
        <v>4</v>
      </c>
      <c r="D59">
        <f t="shared" ref="D59:E59" si="60">SUM(B$2:B58)</f>
        <v>115000</v>
      </c>
      <c r="E59">
        <f t="shared" si="60"/>
        <v>118</v>
      </c>
      <c r="F59" s="7">
        <v>0.72557560363853757</v>
      </c>
      <c r="G59" s="17">
        <f t="shared" si="0"/>
        <v>0.52645995659542821</v>
      </c>
      <c r="H59" s="17">
        <f t="shared" si="3"/>
        <v>8.9249059026000888E-3</v>
      </c>
      <c r="I59" s="1">
        <f t="shared" si="5"/>
        <v>29</v>
      </c>
      <c r="J59" s="35"/>
      <c r="K59" s="1"/>
    </row>
    <row r="60" spans="1:11" ht="12.75" x14ac:dyDescent="0.2">
      <c r="A60" s="1">
        <f t="shared" si="1"/>
        <v>59</v>
      </c>
      <c r="B60" s="1">
        <v>5000</v>
      </c>
      <c r="C60" s="1">
        <v>4</v>
      </c>
      <c r="D60">
        <f t="shared" ref="D60:E60" si="61">SUM(B$2:B59)</f>
        <v>120000</v>
      </c>
      <c r="E60">
        <f t="shared" si="61"/>
        <v>122</v>
      </c>
      <c r="F60" s="25">
        <v>0.73170000000000002</v>
      </c>
      <c r="G60" s="17">
        <f t="shared" si="0"/>
        <v>0.53538489</v>
      </c>
      <c r="H60" s="17">
        <f t="shared" si="3"/>
        <v>8.9249334045717887E-3</v>
      </c>
      <c r="I60" s="1">
        <f t="shared" si="5"/>
        <v>30</v>
      </c>
      <c r="J60" s="5" t="s">
        <v>186</v>
      </c>
      <c r="K60" s="21"/>
    </row>
    <row r="61" spans="1:11" ht="12.75" x14ac:dyDescent="0.2">
      <c r="A61" s="1">
        <f t="shared" si="1"/>
        <v>60</v>
      </c>
      <c r="B61" s="1">
        <v>5000</v>
      </c>
      <c r="C61" s="1">
        <v>4</v>
      </c>
      <c r="D61">
        <f t="shared" ref="D61:E61" si="62">SUM(B$2:B60)</f>
        <v>125000</v>
      </c>
      <c r="E61">
        <f t="shared" si="62"/>
        <v>126</v>
      </c>
      <c r="F61" s="7">
        <v>0.73474104281712749</v>
      </c>
      <c r="G61" s="17">
        <f t="shared" si="0"/>
        <v>0.5398444</v>
      </c>
      <c r="H61" s="17">
        <f t="shared" si="3"/>
        <v>4.4595099999999999E-3</v>
      </c>
      <c r="I61" s="1">
        <f t="shared" si="5"/>
        <v>30</v>
      </c>
      <c r="J61" s="5" t="s">
        <v>187</v>
      </c>
      <c r="K61" s="1"/>
    </row>
    <row r="62" spans="1:11" ht="12.75" x14ac:dyDescent="0.2">
      <c r="A62" s="1">
        <f t="shared" si="1"/>
        <v>61</v>
      </c>
      <c r="B62" s="1">
        <v>6000</v>
      </c>
      <c r="C62" s="1">
        <v>6</v>
      </c>
      <c r="D62">
        <f t="shared" ref="D62:E62" si="63">SUM(B$2:B61)</f>
        <v>130000</v>
      </c>
      <c r="E62">
        <f t="shared" si="63"/>
        <v>130</v>
      </c>
      <c r="F62" s="25">
        <v>0.73776947999999998</v>
      </c>
      <c r="G62" s="17">
        <f t="shared" si="0"/>
        <v>0.54430380561947034</v>
      </c>
      <c r="H62" s="17">
        <f t="shared" si="3"/>
        <v>4.4594056194703358E-3</v>
      </c>
      <c r="I62" s="1">
        <f t="shared" si="5"/>
        <v>31</v>
      </c>
      <c r="K62" s="21"/>
    </row>
    <row r="63" spans="1:11" ht="12.75" x14ac:dyDescent="0.2">
      <c r="A63" s="1">
        <f t="shared" si="1"/>
        <v>62</v>
      </c>
      <c r="B63" s="1">
        <v>6000</v>
      </c>
      <c r="C63" s="1">
        <v>6</v>
      </c>
      <c r="D63">
        <f t="shared" ref="D63:E63" si="64">SUM(B$2:B62)</f>
        <v>136000</v>
      </c>
      <c r="E63">
        <f t="shared" si="64"/>
        <v>136</v>
      </c>
      <c r="F63" s="7">
        <v>0.74078557384021082</v>
      </c>
      <c r="G63" s="17">
        <f t="shared" si="0"/>
        <v>0.54876326640977047</v>
      </c>
      <c r="H63" s="17">
        <f t="shared" si="3"/>
        <v>4.4594607903001293E-3</v>
      </c>
      <c r="I63" s="1">
        <f t="shared" si="5"/>
        <v>31</v>
      </c>
      <c r="K63" s="1"/>
    </row>
    <row r="64" spans="1:11" ht="12.75" x14ac:dyDescent="0.2">
      <c r="A64" s="1">
        <f t="shared" si="1"/>
        <v>63</v>
      </c>
      <c r="B64" s="1">
        <v>6000</v>
      </c>
      <c r="C64" s="1">
        <v>6</v>
      </c>
      <c r="D64">
        <f t="shared" ref="D64:E64" si="65">SUM(B$2:B63)</f>
        <v>142000</v>
      </c>
      <c r="E64">
        <f t="shared" si="65"/>
        <v>142</v>
      </c>
      <c r="F64" s="25">
        <v>0.74378942999999997</v>
      </c>
      <c r="G64" s="17">
        <f t="shared" si="0"/>
        <v>0.55322271617972485</v>
      </c>
      <c r="H64" s="17">
        <f t="shared" si="3"/>
        <v>4.4594497699543822E-3</v>
      </c>
      <c r="I64" s="1">
        <f t="shared" si="5"/>
        <v>32</v>
      </c>
      <c r="J64" s="5"/>
      <c r="K64" s="21"/>
    </row>
    <row r="65" spans="1:11" ht="12.75" x14ac:dyDescent="0.2">
      <c r="A65" s="1">
        <f t="shared" si="1"/>
        <v>64</v>
      </c>
      <c r="B65" s="1">
        <v>6000</v>
      </c>
      <c r="C65" s="1">
        <v>6</v>
      </c>
      <c r="D65">
        <f t="shared" ref="D65:E65" si="66">SUM(B$2:B64)</f>
        <v>148000</v>
      </c>
      <c r="E65">
        <f t="shared" si="66"/>
        <v>148</v>
      </c>
      <c r="F65" s="7">
        <v>0.74678121091121785</v>
      </c>
      <c r="G65" s="17">
        <f t="shared" si="0"/>
        <v>0.55768217697002487</v>
      </c>
      <c r="H65" s="17">
        <f t="shared" si="3"/>
        <v>4.4594607903000183E-3</v>
      </c>
      <c r="I65" s="1">
        <f t="shared" si="5"/>
        <v>32</v>
      </c>
      <c r="J65" s="5"/>
      <c r="K65" s="1"/>
    </row>
    <row r="66" spans="1:11" ht="12.75" x14ac:dyDescent="0.2">
      <c r="A66" s="1">
        <f t="shared" si="1"/>
        <v>65</v>
      </c>
      <c r="B66" s="1">
        <v>7000</v>
      </c>
      <c r="C66" s="1">
        <v>8</v>
      </c>
      <c r="D66">
        <f t="shared" ref="D66:E66" si="67">SUM(B$2:B65)</f>
        <v>154000</v>
      </c>
      <c r="E66">
        <f t="shared" si="67"/>
        <v>154</v>
      </c>
      <c r="F66" s="25">
        <v>0.74976103999999999</v>
      </c>
      <c r="G66" s="17">
        <f t="shared" si="0"/>
        <v>0.5621416171018816</v>
      </c>
      <c r="H66" s="17">
        <f t="shared" si="3"/>
        <v>4.4594401318567289E-3</v>
      </c>
      <c r="I66" s="1">
        <f t="shared" si="5"/>
        <v>33</v>
      </c>
      <c r="J66" s="5"/>
      <c r="K66" s="21"/>
    </row>
    <row r="67" spans="1:11" ht="12.75" x14ac:dyDescent="0.2">
      <c r="A67" s="1">
        <f t="shared" si="1"/>
        <v>66</v>
      </c>
      <c r="B67" s="1">
        <v>7000</v>
      </c>
      <c r="C67" s="1">
        <v>8</v>
      </c>
      <c r="D67">
        <f t="shared" ref="D67:E67" si="68">SUM(B$2:B66)</f>
        <v>161000</v>
      </c>
      <c r="E67">
        <f t="shared" si="68"/>
        <v>162</v>
      </c>
      <c r="F67" s="7">
        <v>0.7527290866521511</v>
      </c>
      <c r="G67" s="17">
        <f t="shared" si="0"/>
        <v>0.56660107789218161</v>
      </c>
      <c r="H67" s="17">
        <f t="shared" si="3"/>
        <v>4.4594607903000183E-3</v>
      </c>
      <c r="I67" s="1">
        <f t="shared" si="5"/>
        <v>33</v>
      </c>
      <c r="J67" s="35"/>
      <c r="K67" s="1"/>
    </row>
    <row r="68" spans="1:11" ht="12.75" x14ac:dyDescent="0.2">
      <c r="A68" s="1">
        <f t="shared" si="1"/>
        <v>67</v>
      </c>
      <c r="B68" s="1">
        <v>7000</v>
      </c>
      <c r="C68" s="1">
        <v>8</v>
      </c>
      <c r="D68">
        <f t="shared" ref="D68:E68" si="69">SUM(B$2:B67)</f>
        <v>168000</v>
      </c>
      <c r="E68">
        <f t="shared" si="69"/>
        <v>170</v>
      </c>
      <c r="F68" s="25">
        <v>0.75568550999999995</v>
      </c>
      <c r="G68" s="17">
        <f t="shared" si="0"/>
        <v>0.57106059002396004</v>
      </c>
      <c r="H68" s="17">
        <f t="shared" si="3"/>
        <v>4.4595121317784203E-3</v>
      </c>
      <c r="I68" s="1">
        <f t="shared" si="5"/>
        <v>34</v>
      </c>
      <c r="J68" s="5"/>
      <c r="K68" s="21"/>
    </row>
    <row r="69" spans="1:11" ht="12.75" x14ac:dyDescent="0.2">
      <c r="A69" s="1">
        <f t="shared" si="1"/>
        <v>68</v>
      </c>
      <c r="B69" s="1">
        <v>7000</v>
      </c>
      <c r="C69" s="1">
        <v>8</v>
      </c>
      <c r="D69">
        <f t="shared" ref="D69:E69" si="70">SUM(B$2:B68)</f>
        <v>175000</v>
      </c>
      <c r="E69">
        <f t="shared" si="70"/>
        <v>178</v>
      </c>
      <c r="F69" s="7">
        <v>0.7586303782569348</v>
      </c>
      <c r="G69" s="17">
        <f t="shared" si="0"/>
        <v>0.57552005081425994</v>
      </c>
      <c r="H69" s="17">
        <f t="shared" si="3"/>
        <v>4.4594607902999073E-3</v>
      </c>
      <c r="I69" s="1">
        <f t="shared" si="5"/>
        <v>34</v>
      </c>
      <c r="J69" s="35"/>
      <c r="K69" s="1"/>
    </row>
    <row r="70" spans="1:11" ht="12.75" x14ac:dyDescent="0.2">
      <c r="A70" s="1">
        <f t="shared" si="1"/>
        <v>69</v>
      </c>
      <c r="B70" s="1">
        <v>8000</v>
      </c>
      <c r="C70" s="1">
        <v>10</v>
      </c>
      <c r="D70">
        <f t="shared" ref="D70:E70" si="71">SUM(B$2:B69)</f>
        <v>182000</v>
      </c>
      <c r="E70">
        <f t="shared" si="71"/>
        <v>186</v>
      </c>
      <c r="F70" s="25">
        <v>0.76156383999999999</v>
      </c>
      <c r="G70" s="17">
        <f t="shared" si="0"/>
        <v>0.57997948239554564</v>
      </c>
      <c r="H70" s="17">
        <f t="shared" si="3"/>
        <v>4.4594315812856999E-3</v>
      </c>
      <c r="I70" s="1">
        <f t="shared" si="5"/>
        <v>35</v>
      </c>
      <c r="J70" s="5"/>
      <c r="K70" s="21"/>
    </row>
    <row r="71" spans="1:11" ht="12.75" x14ac:dyDescent="0.2">
      <c r="A71" s="1">
        <f t="shared" si="1"/>
        <v>70</v>
      </c>
      <c r="B71" s="1">
        <v>8000</v>
      </c>
      <c r="C71" s="1">
        <v>10</v>
      </c>
      <c r="D71">
        <f t="shared" ref="D71:E71" si="72">SUM(B$2:B70)</f>
        <v>190000</v>
      </c>
      <c r="E71">
        <f t="shared" si="72"/>
        <v>196</v>
      </c>
      <c r="F71" s="7">
        <v>0.76448606474274317</v>
      </c>
      <c r="G71" s="17">
        <f t="shared" si="0"/>
        <v>0.58443894318584566</v>
      </c>
      <c r="H71" s="17">
        <f t="shared" si="3"/>
        <v>4.4594607903000183E-3</v>
      </c>
      <c r="I71" s="1">
        <f t="shared" si="5"/>
        <v>35</v>
      </c>
      <c r="J71" s="35"/>
    </row>
    <row r="72" spans="1:11" ht="12.75" x14ac:dyDescent="0.2">
      <c r="A72" s="1">
        <f t="shared" si="1"/>
        <v>71</v>
      </c>
      <c r="B72" s="1">
        <v>8000</v>
      </c>
      <c r="C72" s="1">
        <v>10</v>
      </c>
      <c r="D72">
        <f t="shared" ref="D72:E72" si="73">SUM(B$2:B71)</f>
        <v>198000</v>
      </c>
      <c r="E72">
        <f t="shared" si="73"/>
        <v>206</v>
      </c>
      <c r="F72" s="25">
        <v>0.76739716999999996</v>
      </c>
      <c r="G72" s="17">
        <f t="shared" si="0"/>
        <v>0.58889841652400887</v>
      </c>
      <c r="H72" s="17">
        <f t="shared" si="3"/>
        <v>4.4594733381632112E-3</v>
      </c>
      <c r="I72" s="1">
        <f t="shared" si="5"/>
        <v>36</v>
      </c>
      <c r="J72" s="5"/>
      <c r="K72" s="21"/>
    </row>
    <row r="73" spans="1:11" ht="12.75" x14ac:dyDescent="0.2">
      <c r="A73" s="1">
        <f t="shared" si="1"/>
        <v>72</v>
      </c>
      <c r="B73" s="1">
        <v>8000</v>
      </c>
      <c r="C73" s="1">
        <v>10</v>
      </c>
      <c r="D73">
        <f t="shared" ref="D73:E73" si="74">SUM(B$2:B72)</f>
        <v>206000</v>
      </c>
      <c r="E73">
        <f t="shared" si="74"/>
        <v>216</v>
      </c>
      <c r="F73" s="7">
        <v>0.77029726555032563</v>
      </c>
      <c r="G73" s="17">
        <f t="shared" si="0"/>
        <v>0.59335787731430889</v>
      </c>
      <c r="H73" s="17">
        <f t="shared" si="3"/>
        <v>4.4594607903000183E-3</v>
      </c>
      <c r="I73" s="1">
        <f t="shared" si="5"/>
        <v>36</v>
      </c>
      <c r="J73" s="35"/>
    </row>
    <row r="74" spans="1:11" ht="12.75" x14ac:dyDescent="0.2">
      <c r="A74" s="1">
        <f t="shared" si="1"/>
        <v>73</v>
      </c>
      <c r="B74" s="1">
        <v>9000</v>
      </c>
      <c r="C74" s="1">
        <v>12</v>
      </c>
      <c r="D74">
        <f t="shared" ref="D74:E74" si="75">SUM(B$2:B73)</f>
        <v>214000</v>
      </c>
      <c r="E74">
        <f t="shared" si="75"/>
        <v>226</v>
      </c>
      <c r="F74" s="25">
        <v>0.7731865</v>
      </c>
      <c r="G74" s="17">
        <f t="shared" si="0"/>
        <v>0.59781736378225003</v>
      </c>
      <c r="H74" s="17">
        <f t="shared" si="3"/>
        <v>4.4594864679411428E-3</v>
      </c>
      <c r="I74" s="1">
        <f t="shared" si="5"/>
        <v>37</v>
      </c>
      <c r="J74" s="5"/>
      <c r="K74" s="21"/>
    </row>
    <row r="75" spans="1:11" ht="12.75" x14ac:dyDescent="0.2">
      <c r="A75" s="1">
        <f t="shared" si="1"/>
        <v>74</v>
      </c>
      <c r="B75" s="1">
        <v>9000</v>
      </c>
      <c r="C75" s="1">
        <v>12</v>
      </c>
      <c r="D75">
        <f t="shared" ref="D75:E75" si="76">SUM(B$2:B74)</f>
        <v>223000</v>
      </c>
      <c r="E75">
        <f t="shared" si="76"/>
        <v>238</v>
      </c>
      <c r="F75" s="7">
        <v>0.77606496156736138</v>
      </c>
      <c r="G75" s="17">
        <f t="shared" si="0"/>
        <v>0.60227682457255005</v>
      </c>
      <c r="H75" s="17">
        <f t="shared" si="3"/>
        <v>4.4594607903000183E-3</v>
      </c>
      <c r="I75" s="1">
        <f t="shared" si="5"/>
        <v>37</v>
      </c>
      <c r="J75" s="35"/>
    </row>
    <row r="76" spans="1:11" ht="12.75" x14ac:dyDescent="0.2">
      <c r="A76" s="1">
        <f t="shared" si="1"/>
        <v>75</v>
      </c>
      <c r="B76" s="1">
        <v>9000</v>
      </c>
      <c r="C76" s="1">
        <v>12</v>
      </c>
      <c r="D76">
        <f t="shared" ref="D76:E76" si="77">SUM(B$2:B75)</f>
        <v>232000</v>
      </c>
      <c r="E76">
        <f t="shared" si="77"/>
        <v>250</v>
      </c>
      <c r="F76" s="25">
        <v>0.77893274999999995</v>
      </c>
      <c r="G76" s="17">
        <f t="shared" si="0"/>
        <v>0.60673622902256241</v>
      </c>
      <c r="H76" s="17">
        <f t="shared" si="3"/>
        <v>4.4594044500123609E-3</v>
      </c>
      <c r="I76" s="1">
        <f t="shared" si="5"/>
        <v>38</v>
      </c>
      <c r="J76" s="5"/>
      <c r="K76" s="21"/>
    </row>
    <row r="77" spans="1:11" ht="12.75" x14ac:dyDescent="0.2">
      <c r="A77" s="1">
        <f t="shared" si="1"/>
        <v>76</v>
      </c>
      <c r="B77" s="1">
        <v>9000</v>
      </c>
      <c r="C77" s="1">
        <v>12</v>
      </c>
      <c r="D77">
        <f t="shared" ref="D77:E77" si="78">SUM(B$2:B76)</f>
        <v>241000</v>
      </c>
      <c r="E77">
        <f t="shared" si="78"/>
        <v>262</v>
      </c>
      <c r="F77" s="7">
        <v>0.78179005481833963</v>
      </c>
      <c r="G77" s="17">
        <f t="shared" si="0"/>
        <v>0.61119568981286243</v>
      </c>
      <c r="H77" s="17">
        <f t="shared" si="3"/>
        <v>4.4594607903000183E-3</v>
      </c>
      <c r="I77" s="1">
        <f t="shared" si="5"/>
        <v>38</v>
      </c>
      <c r="J77" s="35"/>
    </row>
    <row r="78" spans="1:11" ht="12.75" x14ac:dyDescent="0.2">
      <c r="A78" s="1">
        <f t="shared" si="1"/>
        <v>77</v>
      </c>
      <c r="B78" s="1">
        <v>10000</v>
      </c>
      <c r="C78" s="1">
        <v>15</v>
      </c>
      <c r="D78">
        <f t="shared" ref="D78:E78" si="79">SUM(B$2:B77)</f>
        <v>250000</v>
      </c>
      <c r="E78">
        <f t="shared" si="79"/>
        <v>274</v>
      </c>
      <c r="F78" s="25">
        <v>0.78463696999999999</v>
      </c>
      <c r="G78" s="17">
        <f t="shared" si="0"/>
        <v>0.6156551746907809</v>
      </c>
      <c r="H78" s="17">
        <f t="shared" si="3"/>
        <v>4.4594848779184737E-3</v>
      </c>
      <c r="I78" s="1">
        <f t="shared" si="5"/>
        <v>39</v>
      </c>
      <c r="J78" s="5"/>
      <c r="K78" s="21"/>
    </row>
    <row r="79" spans="1:11" ht="12.75" x14ac:dyDescent="0.2">
      <c r="A79" s="1">
        <f t="shared" si="1"/>
        <v>78</v>
      </c>
      <c r="B79" s="1">
        <v>10000</v>
      </c>
      <c r="C79" s="1">
        <v>15</v>
      </c>
      <c r="D79">
        <f t="shared" ref="D79:E79" si="80">SUM(B$2:B78)</f>
        <v>260000</v>
      </c>
      <c r="E79">
        <f t="shared" si="80"/>
        <v>289</v>
      </c>
      <c r="F79" s="7">
        <v>0.78747357763996173</v>
      </c>
      <c r="G79" s="17">
        <f t="shared" si="0"/>
        <v>0.62011463548108081</v>
      </c>
      <c r="H79" s="17">
        <f t="shared" si="3"/>
        <v>4.4594607902999073E-3</v>
      </c>
      <c r="I79" s="1">
        <f t="shared" si="5"/>
        <v>39</v>
      </c>
      <c r="J79" s="35"/>
    </row>
    <row r="80" spans="1:11" ht="12.75" x14ac:dyDescent="0.2">
      <c r="A80" s="1">
        <f t="shared" si="1"/>
        <v>79</v>
      </c>
      <c r="B80" s="1">
        <v>10000</v>
      </c>
      <c r="C80" s="1">
        <v>15</v>
      </c>
      <c r="D80">
        <f t="shared" ref="D80:E80" si="81">SUM(B$2:B79)</f>
        <v>270000</v>
      </c>
      <c r="E80">
        <f t="shared" si="81"/>
        <v>304</v>
      </c>
      <c r="F80" s="25">
        <v>0.79030001000000005</v>
      </c>
      <c r="G80" s="17">
        <f t="shared" si="0"/>
        <v>0.62457410580600015</v>
      </c>
      <c r="H80" s="17">
        <f t="shared" si="3"/>
        <v>4.4594703249193346E-3</v>
      </c>
      <c r="I80" s="1">
        <f t="shared" si="5"/>
        <v>40</v>
      </c>
      <c r="J80" s="5" t="s">
        <v>188</v>
      </c>
      <c r="K80" s="21"/>
    </row>
    <row r="81" spans="1:10" ht="12.75" x14ac:dyDescent="0.2">
      <c r="A81" s="1">
        <f t="shared" si="1"/>
        <v>80</v>
      </c>
      <c r="B81" s="1">
        <v>10000</v>
      </c>
      <c r="C81" s="1">
        <v>15</v>
      </c>
      <c r="D81">
        <f t="shared" ref="D81:E81" si="82">SUM(B$2:B80)</f>
        <v>280000</v>
      </c>
      <c r="E81">
        <f t="shared" si="82"/>
        <v>319</v>
      </c>
      <c r="F81" s="17">
        <v>0.7931163849019891</v>
      </c>
      <c r="G81">
        <f t="shared" si="0"/>
        <v>0.62903360000000008</v>
      </c>
      <c r="H81" s="17">
        <f t="shared" si="3"/>
        <v>4.4594941939999355E-3</v>
      </c>
      <c r="I81" s="1">
        <f t="shared" si="5"/>
        <v>40</v>
      </c>
    </row>
    <row r="82" spans="1:10" ht="12.75" x14ac:dyDescent="0.2">
      <c r="A82" s="1"/>
      <c r="F82" s="7"/>
      <c r="I82" s="1"/>
      <c r="J82" s="35"/>
    </row>
    <row r="83" spans="1:10" ht="12.75" x14ac:dyDescent="0.2">
      <c r="A83" s="1"/>
      <c r="F83" s="36"/>
      <c r="I83" s="1"/>
      <c r="J83" s="35"/>
    </row>
    <row r="84" spans="1:10" ht="12.75" x14ac:dyDescent="0.2">
      <c r="A84" s="1"/>
      <c r="F84" s="36"/>
      <c r="I84" s="1"/>
      <c r="J84" s="35"/>
    </row>
    <row r="85" spans="1:10" ht="12.75" x14ac:dyDescent="0.2">
      <c r="A85" s="1"/>
      <c r="F85" s="36"/>
      <c r="I85" s="1"/>
      <c r="J85" s="35"/>
    </row>
    <row r="86" spans="1:10" ht="12.75" x14ac:dyDescent="0.2">
      <c r="A86" s="1"/>
      <c r="F86" s="36"/>
      <c r="I86" s="1"/>
      <c r="J86" s="35"/>
    </row>
    <row r="87" spans="1:10" ht="12.75" x14ac:dyDescent="0.2">
      <c r="A87" s="1"/>
      <c r="F87" s="36"/>
      <c r="I87" s="1"/>
      <c r="J87" s="35"/>
    </row>
    <row r="88" spans="1:10" ht="12.75" x14ac:dyDescent="0.2">
      <c r="A88" s="1"/>
      <c r="F88" s="36"/>
      <c r="I88" s="1"/>
      <c r="J88" s="35"/>
    </row>
    <row r="89" spans="1:10" ht="12.75" x14ac:dyDescent="0.2">
      <c r="A89" s="1"/>
      <c r="F89" s="36"/>
      <c r="I89" s="1"/>
      <c r="J89" s="35"/>
    </row>
    <row r="90" spans="1:10" ht="12.75" x14ac:dyDescent="0.2">
      <c r="A90" s="1"/>
      <c r="F90" s="36"/>
      <c r="I90" s="1"/>
      <c r="J90" s="35"/>
    </row>
    <row r="91" spans="1:10" ht="12.75" x14ac:dyDescent="0.2">
      <c r="A91" s="1"/>
      <c r="F91" s="36"/>
      <c r="I91" s="1"/>
      <c r="J91" s="35"/>
    </row>
    <row r="92" spans="1:10" ht="12.75" x14ac:dyDescent="0.2">
      <c r="A92" s="1"/>
      <c r="F92" s="36"/>
      <c r="I92" s="1"/>
      <c r="J92" s="35"/>
    </row>
    <row r="93" spans="1:10" ht="12.75" x14ac:dyDescent="0.2">
      <c r="A93" s="1"/>
      <c r="F93" s="36"/>
      <c r="I93" s="1"/>
      <c r="J93" s="35"/>
    </row>
    <row r="94" spans="1:10" ht="12.75" x14ac:dyDescent="0.2">
      <c r="A94" s="1"/>
      <c r="F94" s="36"/>
      <c r="I94" s="1"/>
      <c r="J94" s="35"/>
    </row>
    <row r="95" spans="1:10" ht="12.75" x14ac:dyDescent="0.2">
      <c r="A95" s="1"/>
      <c r="F95" s="36"/>
      <c r="I95" s="1"/>
      <c r="J95" s="35"/>
    </row>
    <row r="96" spans="1:10" ht="12.75" x14ac:dyDescent="0.2">
      <c r="A96" s="1"/>
      <c r="F96" s="36"/>
      <c r="I96" s="1"/>
      <c r="J96" s="35"/>
    </row>
    <row r="97" spans="1:10" ht="12.75" x14ac:dyDescent="0.2">
      <c r="A97" s="1"/>
      <c r="F97" s="36"/>
      <c r="I97" s="1"/>
      <c r="J97" s="35"/>
    </row>
    <row r="98" spans="1:10" ht="12.75" x14ac:dyDescent="0.2">
      <c r="A98" s="1"/>
      <c r="F98" s="36"/>
      <c r="I98" s="1"/>
      <c r="J98" s="35"/>
    </row>
    <row r="99" spans="1:10" ht="12.75" x14ac:dyDescent="0.2">
      <c r="A99" s="1"/>
      <c r="F99" s="36"/>
      <c r="I99" s="1"/>
      <c r="J99" s="35"/>
    </row>
    <row r="100" spans="1:10" ht="12.75" x14ac:dyDescent="0.2">
      <c r="A100" s="1"/>
      <c r="F100" s="36"/>
      <c r="I100" s="1"/>
      <c r="J100" s="35"/>
    </row>
    <row r="101" spans="1:10" ht="12.75" x14ac:dyDescent="0.2">
      <c r="A101" s="1"/>
      <c r="F101" s="36"/>
      <c r="I101" s="1"/>
      <c r="J101" s="35"/>
    </row>
    <row r="102" spans="1:10" ht="12.75" x14ac:dyDescent="0.2">
      <c r="F102" s="36"/>
      <c r="J102" s="35"/>
    </row>
    <row r="103" spans="1:10" ht="12.75" x14ac:dyDescent="0.2">
      <c r="F103" s="36"/>
      <c r="J103" s="35"/>
    </row>
    <row r="104" spans="1:10" ht="12.75" x14ac:dyDescent="0.2">
      <c r="F104" s="36"/>
      <c r="J104" s="35"/>
    </row>
    <row r="105" spans="1:10" ht="12.75" x14ac:dyDescent="0.2">
      <c r="F105" s="36"/>
      <c r="J105" s="35"/>
    </row>
    <row r="106" spans="1:10" ht="12.75" x14ac:dyDescent="0.2">
      <c r="F106" s="36"/>
      <c r="J106" s="35"/>
    </row>
    <row r="107" spans="1:10" ht="12.75" x14ac:dyDescent="0.2">
      <c r="F107" s="36"/>
      <c r="J107" s="35"/>
    </row>
    <row r="108" spans="1:10" ht="12.75" x14ac:dyDescent="0.2">
      <c r="F108" s="36"/>
      <c r="J108" s="35"/>
    </row>
    <row r="109" spans="1:10" ht="12.75" x14ac:dyDescent="0.2">
      <c r="F109" s="36"/>
      <c r="J109" s="35"/>
    </row>
    <row r="110" spans="1:10" ht="12.75" x14ac:dyDescent="0.2">
      <c r="F110" s="36"/>
      <c r="J110" s="35"/>
    </row>
    <row r="111" spans="1:10" ht="12.75" x14ac:dyDescent="0.2">
      <c r="F111" s="36"/>
      <c r="J111" s="35"/>
    </row>
    <row r="112" spans="1:10" ht="12.75" x14ac:dyDescent="0.2">
      <c r="F112" s="36"/>
      <c r="J112" s="35"/>
    </row>
    <row r="113" spans="6:10" ht="12.75" x14ac:dyDescent="0.2">
      <c r="F113" s="36"/>
      <c r="J113" s="35"/>
    </row>
    <row r="114" spans="6:10" ht="12.75" x14ac:dyDescent="0.2">
      <c r="F114" s="36"/>
      <c r="J114" s="35"/>
    </row>
    <row r="115" spans="6:10" ht="12.75" x14ac:dyDescent="0.2">
      <c r="F115" s="36"/>
      <c r="J115" s="35"/>
    </row>
    <row r="116" spans="6:10" ht="12.75" x14ac:dyDescent="0.2">
      <c r="F116" s="36"/>
      <c r="J116" s="35"/>
    </row>
    <row r="117" spans="6:10" ht="12.75" x14ac:dyDescent="0.2">
      <c r="F117" s="36"/>
      <c r="J117" s="35"/>
    </row>
    <row r="118" spans="6:10" ht="12.75" x14ac:dyDescent="0.2">
      <c r="F118" s="36"/>
      <c r="J118" s="35"/>
    </row>
    <row r="119" spans="6:10" ht="12.75" x14ac:dyDescent="0.2">
      <c r="F119" s="36"/>
      <c r="J119" s="35"/>
    </row>
    <row r="120" spans="6:10" ht="12.75" x14ac:dyDescent="0.2">
      <c r="F120" s="36"/>
      <c r="J120" s="35"/>
    </row>
    <row r="121" spans="6:10" ht="12.75" x14ac:dyDescent="0.2">
      <c r="F121" s="36"/>
      <c r="J121" s="35"/>
    </row>
    <row r="122" spans="6:10" ht="12.75" x14ac:dyDescent="0.2">
      <c r="F122" s="36"/>
      <c r="J122" s="35"/>
    </row>
    <row r="123" spans="6:10" ht="12.75" x14ac:dyDescent="0.2">
      <c r="F123" s="36"/>
      <c r="J123" s="35"/>
    </row>
    <row r="124" spans="6:10" ht="12.75" x14ac:dyDescent="0.2">
      <c r="F124" s="36"/>
      <c r="J124" s="35"/>
    </row>
    <row r="125" spans="6:10" ht="12.75" x14ac:dyDescent="0.2">
      <c r="F125" s="36"/>
      <c r="J125" s="35"/>
    </row>
    <row r="126" spans="6:10" ht="12.75" x14ac:dyDescent="0.2">
      <c r="F126" s="36"/>
      <c r="J126" s="35"/>
    </row>
    <row r="127" spans="6:10" ht="12.75" x14ac:dyDescent="0.2">
      <c r="F127" s="36"/>
      <c r="J127" s="35"/>
    </row>
    <row r="128" spans="6:10" ht="12.75" x14ac:dyDescent="0.2">
      <c r="F128" s="36"/>
      <c r="J128" s="35"/>
    </row>
    <row r="129" spans="6:10" ht="12.75" x14ac:dyDescent="0.2">
      <c r="F129" s="36"/>
      <c r="J129" s="35"/>
    </row>
    <row r="130" spans="6:10" ht="12.75" x14ac:dyDescent="0.2">
      <c r="F130" s="36"/>
      <c r="J130" s="35"/>
    </row>
    <row r="131" spans="6:10" ht="12.75" x14ac:dyDescent="0.2">
      <c r="F131" s="36"/>
      <c r="J131" s="35"/>
    </row>
    <row r="132" spans="6:10" ht="12.75" x14ac:dyDescent="0.2">
      <c r="F132" s="36"/>
      <c r="J132" s="35"/>
    </row>
    <row r="133" spans="6:10" ht="12.75" x14ac:dyDescent="0.2">
      <c r="F133" s="36"/>
      <c r="J133" s="35"/>
    </row>
    <row r="134" spans="6:10" ht="12.75" x14ac:dyDescent="0.2">
      <c r="F134" s="36"/>
      <c r="J134" s="35"/>
    </row>
    <row r="135" spans="6:10" ht="12.75" x14ac:dyDescent="0.2">
      <c r="F135" s="36"/>
      <c r="J135" s="35"/>
    </row>
    <row r="136" spans="6:10" ht="12.75" x14ac:dyDescent="0.2">
      <c r="F136" s="36"/>
      <c r="J136" s="35"/>
    </row>
    <row r="137" spans="6:10" ht="12.75" x14ac:dyDescent="0.2">
      <c r="F137" s="36"/>
      <c r="J137" s="35"/>
    </row>
    <row r="138" spans="6:10" ht="12.75" x14ac:dyDescent="0.2">
      <c r="F138" s="36"/>
      <c r="J138" s="35"/>
    </row>
    <row r="139" spans="6:10" ht="12.75" x14ac:dyDescent="0.2">
      <c r="F139" s="36"/>
      <c r="J139" s="35"/>
    </row>
    <row r="140" spans="6:10" ht="12.75" x14ac:dyDescent="0.2">
      <c r="F140" s="36"/>
      <c r="J140" s="35"/>
    </row>
    <row r="141" spans="6:10" ht="12.75" x14ac:dyDescent="0.2">
      <c r="F141" s="36"/>
      <c r="J141" s="35"/>
    </row>
    <row r="142" spans="6:10" ht="12.75" x14ac:dyDescent="0.2">
      <c r="F142" s="36"/>
      <c r="J142" s="35"/>
    </row>
    <row r="143" spans="6:10" ht="12.75" x14ac:dyDescent="0.2">
      <c r="F143" s="36"/>
      <c r="J143" s="35"/>
    </row>
    <row r="144" spans="6:10" ht="12.75" x14ac:dyDescent="0.2">
      <c r="F144" s="36"/>
      <c r="J144" s="35"/>
    </row>
    <row r="145" spans="6:10" ht="12.75" x14ac:dyDescent="0.2">
      <c r="F145" s="36"/>
      <c r="J145" s="35"/>
    </row>
    <row r="146" spans="6:10" ht="12.75" x14ac:dyDescent="0.2">
      <c r="F146" s="36"/>
      <c r="J146" s="35"/>
    </row>
    <row r="147" spans="6:10" ht="12.75" x14ac:dyDescent="0.2">
      <c r="F147" s="36"/>
      <c r="J147" s="35"/>
    </row>
    <row r="148" spans="6:10" ht="12.75" x14ac:dyDescent="0.2">
      <c r="F148" s="36"/>
      <c r="J148" s="35"/>
    </row>
    <row r="149" spans="6:10" ht="12.75" x14ac:dyDescent="0.2">
      <c r="F149" s="36"/>
      <c r="J149" s="35"/>
    </row>
    <row r="150" spans="6:10" ht="12.75" x14ac:dyDescent="0.2">
      <c r="F150" s="36"/>
      <c r="J150" s="35"/>
    </row>
    <row r="151" spans="6:10" ht="12.75" x14ac:dyDescent="0.2">
      <c r="F151" s="36"/>
      <c r="J151" s="35"/>
    </row>
    <row r="152" spans="6:10" ht="12.75" x14ac:dyDescent="0.2">
      <c r="F152" s="36"/>
      <c r="J152" s="35"/>
    </row>
    <row r="153" spans="6:10" ht="12.75" x14ac:dyDescent="0.2">
      <c r="F153" s="36"/>
      <c r="J153" s="35"/>
    </row>
    <row r="154" spans="6:10" ht="12.75" x14ac:dyDescent="0.2">
      <c r="F154" s="36"/>
      <c r="J154" s="35"/>
    </row>
    <row r="155" spans="6:10" ht="12.75" x14ac:dyDescent="0.2">
      <c r="F155" s="36"/>
      <c r="J155" s="35"/>
    </row>
    <row r="156" spans="6:10" ht="12.75" x14ac:dyDescent="0.2">
      <c r="F156" s="36"/>
      <c r="J156" s="35"/>
    </row>
    <row r="157" spans="6:10" ht="12.75" x14ac:dyDescent="0.2">
      <c r="F157" s="36"/>
      <c r="J157" s="35"/>
    </row>
    <row r="158" spans="6:10" ht="12.75" x14ac:dyDescent="0.2">
      <c r="F158" s="36"/>
      <c r="J158" s="35"/>
    </row>
    <row r="159" spans="6:10" ht="12.75" x14ac:dyDescent="0.2">
      <c r="F159" s="36"/>
      <c r="J159" s="35"/>
    </row>
    <row r="160" spans="6:10" ht="12.75" x14ac:dyDescent="0.2">
      <c r="F160" s="36"/>
      <c r="J160" s="35"/>
    </row>
    <row r="161" spans="6:10" ht="12.75" x14ac:dyDescent="0.2">
      <c r="F161" s="36"/>
      <c r="J161" s="35"/>
    </row>
    <row r="162" spans="6:10" ht="12.75" x14ac:dyDescent="0.2">
      <c r="F162" s="36"/>
      <c r="J162" s="35"/>
    </row>
    <row r="163" spans="6:10" ht="12.75" x14ac:dyDescent="0.2">
      <c r="F163" s="36"/>
      <c r="J163" s="35"/>
    </row>
    <row r="164" spans="6:10" ht="12.75" x14ac:dyDescent="0.2">
      <c r="F164" s="36"/>
      <c r="J164" s="35"/>
    </row>
    <row r="165" spans="6:10" ht="12.75" x14ac:dyDescent="0.2">
      <c r="F165" s="36"/>
      <c r="J165" s="35"/>
    </row>
    <row r="166" spans="6:10" ht="12.75" x14ac:dyDescent="0.2">
      <c r="F166" s="36"/>
      <c r="J166" s="35"/>
    </row>
    <row r="167" spans="6:10" ht="12.75" x14ac:dyDescent="0.2">
      <c r="F167" s="36"/>
      <c r="J167" s="35"/>
    </row>
    <row r="168" spans="6:10" ht="12.75" x14ac:dyDescent="0.2">
      <c r="F168" s="36"/>
      <c r="J168" s="35"/>
    </row>
    <row r="169" spans="6:10" ht="12.75" x14ac:dyDescent="0.2">
      <c r="F169" s="36"/>
      <c r="J169" s="35"/>
    </row>
    <row r="170" spans="6:10" ht="12.75" x14ac:dyDescent="0.2">
      <c r="F170" s="36"/>
      <c r="J170" s="35"/>
    </row>
    <row r="171" spans="6:10" ht="12.75" x14ac:dyDescent="0.2">
      <c r="F171" s="36"/>
      <c r="J171" s="35"/>
    </row>
    <row r="172" spans="6:10" ht="12.75" x14ac:dyDescent="0.2">
      <c r="F172" s="36"/>
      <c r="J172" s="35"/>
    </row>
    <row r="173" spans="6:10" ht="12.75" x14ac:dyDescent="0.2">
      <c r="F173" s="36"/>
      <c r="J173" s="35"/>
    </row>
    <row r="174" spans="6:10" ht="12.75" x14ac:dyDescent="0.2">
      <c r="F174" s="36"/>
      <c r="J174" s="35"/>
    </row>
    <row r="175" spans="6:10" ht="12.75" x14ac:dyDescent="0.2">
      <c r="F175" s="36"/>
      <c r="J175" s="35"/>
    </row>
    <row r="176" spans="6:10" ht="12.75" x14ac:dyDescent="0.2">
      <c r="F176" s="36"/>
      <c r="J176" s="35"/>
    </row>
    <row r="177" spans="6:10" ht="12.75" x14ac:dyDescent="0.2">
      <c r="F177" s="36"/>
      <c r="J177" s="35"/>
    </row>
    <row r="178" spans="6:10" ht="12.75" x14ac:dyDescent="0.2">
      <c r="F178" s="36"/>
      <c r="J178" s="35"/>
    </row>
    <row r="179" spans="6:10" ht="12.75" x14ac:dyDescent="0.2">
      <c r="F179" s="36"/>
      <c r="J179" s="35"/>
    </row>
    <row r="180" spans="6:10" ht="12.75" x14ac:dyDescent="0.2">
      <c r="F180" s="36"/>
      <c r="J180" s="35"/>
    </row>
    <row r="181" spans="6:10" ht="12.75" x14ac:dyDescent="0.2">
      <c r="F181" s="36"/>
      <c r="J181" s="35"/>
    </row>
    <row r="182" spans="6:10" ht="12.75" x14ac:dyDescent="0.2">
      <c r="F182" s="36"/>
      <c r="J182" s="35"/>
    </row>
    <row r="183" spans="6:10" ht="12.75" x14ac:dyDescent="0.2">
      <c r="F183" s="36"/>
      <c r="J183" s="35"/>
    </row>
    <row r="184" spans="6:10" ht="12.75" x14ac:dyDescent="0.2">
      <c r="F184" s="36"/>
      <c r="J184" s="35"/>
    </row>
    <row r="185" spans="6:10" ht="12.75" x14ac:dyDescent="0.2">
      <c r="F185" s="36"/>
      <c r="J185" s="35"/>
    </row>
    <row r="186" spans="6:10" ht="12.75" x14ac:dyDescent="0.2">
      <c r="F186" s="36"/>
      <c r="J186" s="35"/>
    </row>
    <row r="187" spans="6:10" ht="12.75" x14ac:dyDescent="0.2">
      <c r="F187" s="36"/>
      <c r="J187" s="35"/>
    </row>
    <row r="188" spans="6:10" ht="12.75" x14ac:dyDescent="0.2">
      <c r="F188" s="36"/>
      <c r="J188" s="35"/>
    </row>
    <row r="189" spans="6:10" ht="12.75" x14ac:dyDescent="0.2">
      <c r="F189" s="36"/>
      <c r="J189" s="35"/>
    </row>
    <row r="190" spans="6:10" ht="12.75" x14ac:dyDescent="0.2">
      <c r="F190" s="36"/>
      <c r="J190" s="35"/>
    </row>
    <row r="191" spans="6:10" ht="12.75" x14ac:dyDescent="0.2">
      <c r="F191" s="36"/>
      <c r="J191" s="35"/>
    </row>
    <row r="192" spans="6:10" ht="12.75" x14ac:dyDescent="0.2">
      <c r="F192" s="36"/>
      <c r="J192" s="35"/>
    </row>
    <row r="193" spans="6:10" ht="12.75" x14ac:dyDescent="0.2">
      <c r="F193" s="36"/>
      <c r="J193" s="35"/>
    </row>
    <row r="194" spans="6:10" ht="12.75" x14ac:dyDescent="0.2">
      <c r="F194" s="36"/>
      <c r="J194" s="35"/>
    </row>
    <row r="195" spans="6:10" ht="12.75" x14ac:dyDescent="0.2">
      <c r="F195" s="36"/>
      <c r="J195" s="35"/>
    </row>
    <row r="196" spans="6:10" ht="12.75" x14ac:dyDescent="0.2">
      <c r="F196" s="36"/>
      <c r="J196" s="35"/>
    </row>
    <row r="197" spans="6:10" ht="12.75" x14ac:dyDescent="0.2">
      <c r="F197" s="36"/>
      <c r="J197" s="35"/>
    </row>
    <row r="198" spans="6:10" ht="12.75" x14ac:dyDescent="0.2">
      <c r="F198" s="36"/>
      <c r="J198" s="35"/>
    </row>
    <row r="199" spans="6:10" ht="12.75" x14ac:dyDescent="0.2">
      <c r="F199" s="36"/>
      <c r="J199" s="35"/>
    </row>
    <row r="200" spans="6:10" ht="12.75" x14ac:dyDescent="0.2">
      <c r="F200" s="36"/>
      <c r="J200" s="35"/>
    </row>
    <row r="201" spans="6:10" ht="12.75" x14ac:dyDescent="0.2">
      <c r="F201" s="36"/>
      <c r="J201" s="35"/>
    </row>
    <row r="202" spans="6:10" ht="12.75" x14ac:dyDescent="0.2">
      <c r="F202" s="36"/>
      <c r="J202" s="35"/>
    </row>
    <row r="203" spans="6:10" ht="12.75" x14ac:dyDescent="0.2">
      <c r="F203" s="36"/>
      <c r="J203" s="35"/>
    </row>
    <row r="204" spans="6:10" ht="12.75" x14ac:dyDescent="0.2">
      <c r="F204" s="36"/>
      <c r="J204" s="35"/>
    </row>
    <row r="205" spans="6:10" ht="12.75" x14ac:dyDescent="0.2">
      <c r="F205" s="36"/>
      <c r="J205" s="35"/>
    </row>
    <row r="206" spans="6:10" ht="12.75" x14ac:dyDescent="0.2">
      <c r="F206" s="36"/>
      <c r="J206" s="35"/>
    </row>
    <row r="207" spans="6:10" ht="12.75" x14ac:dyDescent="0.2">
      <c r="F207" s="36"/>
      <c r="J207" s="35"/>
    </row>
    <row r="208" spans="6:10" ht="12.75" x14ac:dyDescent="0.2">
      <c r="F208" s="36"/>
      <c r="J208" s="35"/>
    </row>
    <row r="209" spans="6:10" ht="12.75" x14ac:dyDescent="0.2">
      <c r="F209" s="36"/>
      <c r="J209" s="35"/>
    </row>
    <row r="210" spans="6:10" ht="12.75" x14ac:dyDescent="0.2">
      <c r="F210" s="36"/>
      <c r="J210" s="35"/>
    </row>
    <row r="211" spans="6:10" ht="12.75" x14ac:dyDescent="0.2">
      <c r="F211" s="36"/>
      <c r="J211" s="35"/>
    </row>
    <row r="212" spans="6:10" ht="12.75" x14ac:dyDescent="0.2">
      <c r="F212" s="36"/>
      <c r="J212" s="35"/>
    </row>
    <row r="213" spans="6:10" ht="12.75" x14ac:dyDescent="0.2">
      <c r="F213" s="36"/>
      <c r="J213" s="35"/>
    </row>
    <row r="214" spans="6:10" ht="12.75" x14ac:dyDescent="0.2">
      <c r="F214" s="36"/>
      <c r="J214" s="35"/>
    </row>
    <row r="215" spans="6:10" ht="12.75" x14ac:dyDescent="0.2">
      <c r="F215" s="36"/>
      <c r="J215" s="35"/>
    </row>
    <row r="216" spans="6:10" ht="12.75" x14ac:dyDescent="0.2">
      <c r="F216" s="36"/>
      <c r="J216" s="35"/>
    </row>
    <row r="217" spans="6:10" ht="12.75" x14ac:dyDescent="0.2">
      <c r="F217" s="36"/>
      <c r="J217" s="35"/>
    </row>
    <row r="218" spans="6:10" ht="12.75" x14ac:dyDescent="0.2">
      <c r="F218" s="36"/>
      <c r="J218" s="35"/>
    </row>
    <row r="219" spans="6:10" ht="12.75" x14ac:dyDescent="0.2">
      <c r="F219" s="36"/>
      <c r="J219" s="35"/>
    </row>
    <row r="220" spans="6:10" ht="12.75" x14ac:dyDescent="0.2">
      <c r="F220" s="36"/>
      <c r="J220" s="35"/>
    </row>
    <row r="221" spans="6:10" ht="12.75" x14ac:dyDescent="0.2">
      <c r="F221" s="36"/>
      <c r="J221" s="35"/>
    </row>
    <row r="222" spans="6:10" ht="12.75" x14ac:dyDescent="0.2">
      <c r="F222" s="36"/>
      <c r="J222" s="35"/>
    </row>
    <row r="223" spans="6:10" ht="12.75" x14ac:dyDescent="0.2">
      <c r="F223" s="36"/>
      <c r="J223" s="35"/>
    </row>
    <row r="224" spans="6:10" ht="12.75" x14ac:dyDescent="0.2">
      <c r="F224" s="36"/>
      <c r="J224" s="35"/>
    </row>
    <row r="225" spans="6:10" ht="12.75" x14ac:dyDescent="0.2">
      <c r="F225" s="36"/>
      <c r="J225" s="35"/>
    </row>
    <row r="226" spans="6:10" ht="12.75" x14ac:dyDescent="0.2">
      <c r="F226" s="36"/>
      <c r="J226" s="35"/>
    </row>
    <row r="227" spans="6:10" ht="12.75" x14ac:dyDescent="0.2">
      <c r="F227" s="36"/>
      <c r="J227" s="35"/>
    </row>
    <row r="228" spans="6:10" ht="12.75" x14ac:dyDescent="0.2">
      <c r="F228" s="36"/>
      <c r="J228" s="35"/>
    </row>
    <row r="229" spans="6:10" ht="12.75" x14ac:dyDescent="0.2">
      <c r="F229" s="36"/>
      <c r="J229" s="35"/>
    </row>
    <row r="230" spans="6:10" ht="12.75" x14ac:dyDescent="0.2">
      <c r="F230" s="36"/>
      <c r="J230" s="35"/>
    </row>
    <row r="231" spans="6:10" ht="12.75" x14ac:dyDescent="0.2">
      <c r="F231" s="36"/>
      <c r="J231" s="35"/>
    </row>
    <row r="232" spans="6:10" ht="12.75" x14ac:dyDescent="0.2">
      <c r="F232" s="36"/>
      <c r="J232" s="35"/>
    </row>
    <row r="233" spans="6:10" ht="12.75" x14ac:dyDescent="0.2">
      <c r="F233" s="36"/>
      <c r="J233" s="35"/>
    </row>
    <row r="234" spans="6:10" ht="12.75" x14ac:dyDescent="0.2">
      <c r="F234" s="36"/>
      <c r="J234" s="35"/>
    </row>
    <row r="235" spans="6:10" ht="12.75" x14ac:dyDescent="0.2">
      <c r="F235" s="36"/>
      <c r="J235" s="35"/>
    </row>
    <row r="236" spans="6:10" ht="12.75" x14ac:dyDescent="0.2">
      <c r="F236" s="36"/>
      <c r="J236" s="35"/>
    </row>
    <row r="237" spans="6:10" ht="12.75" x14ac:dyDescent="0.2">
      <c r="F237" s="36"/>
      <c r="J237" s="35"/>
    </row>
    <row r="238" spans="6:10" ht="12.75" x14ac:dyDescent="0.2">
      <c r="F238" s="36"/>
      <c r="J238" s="35"/>
    </row>
    <row r="239" spans="6:10" ht="12.75" x14ac:dyDescent="0.2">
      <c r="F239" s="36"/>
      <c r="J239" s="35"/>
    </row>
    <row r="240" spans="6:10" ht="12.75" x14ac:dyDescent="0.2">
      <c r="F240" s="36"/>
      <c r="J240" s="35"/>
    </row>
    <row r="241" spans="6:10" ht="12.75" x14ac:dyDescent="0.2">
      <c r="F241" s="36"/>
      <c r="J241" s="35"/>
    </row>
    <row r="242" spans="6:10" ht="12.75" x14ac:dyDescent="0.2">
      <c r="F242" s="36"/>
      <c r="J242" s="35"/>
    </row>
    <row r="243" spans="6:10" ht="12.75" x14ac:dyDescent="0.2">
      <c r="F243" s="36"/>
      <c r="J243" s="35"/>
    </row>
    <row r="244" spans="6:10" ht="12.75" x14ac:dyDescent="0.2">
      <c r="F244" s="36"/>
      <c r="J244" s="35"/>
    </row>
    <row r="245" spans="6:10" ht="12.75" x14ac:dyDescent="0.2">
      <c r="F245" s="36"/>
      <c r="J245" s="35"/>
    </row>
    <row r="246" spans="6:10" ht="12.75" x14ac:dyDescent="0.2">
      <c r="F246" s="36"/>
      <c r="J246" s="35"/>
    </row>
    <row r="247" spans="6:10" ht="12.75" x14ac:dyDescent="0.2">
      <c r="F247" s="36"/>
      <c r="J247" s="35"/>
    </row>
    <row r="248" spans="6:10" ht="12.75" x14ac:dyDescent="0.2">
      <c r="F248" s="36"/>
      <c r="J248" s="35"/>
    </row>
    <row r="249" spans="6:10" ht="12.75" x14ac:dyDescent="0.2">
      <c r="F249" s="36"/>
      <c r="J249" s="35"/>
    </row>
    <row r="250" spans="6:10" ht="12.75" x14ac:dyDescent="0.2">
      <c r="F250" s="36"/>
      <c r="J250" s="35"/>
    </row>
    <row r="251" spans="6:10" ht="12.75" x14ac:dyDescent="0.2">
      <c r="F251" s="36"/>
      <c r="J251" s="35"/>
    </row>
    <row r="252" spans="6:10" ht="12.75" x14ac:dyDescent="0.2">
      <c r="F252" s="36"/>
      <c r="J252" s="35"/>
    </row>
    <row r="253" spans="6:10" ht="12.75" x14ac:dyDescent="0.2">
      <c r="F253" s="36"/>
      <c r="J253" s="35"/>
    </row>
    <row r="254" spans="6:10" ht="12.75" x14ac:dyDescent="0.2">
      <c r="F254" s="36"/>
      <c r="J254" s="35"/>
    </row>
    <row r="255" spans="6:10" ht="12.75" x14ac:dyDescent="0.2">
      <c r="F255" s="36"/>
      <c r="J255" s="35"/>
    </row>
    <row r="256" spans="6:10" ht="12.75" x14ac:dyDescent="0.2">
      <c r="F256" s="36"/>
      <c r="J256" s="35"/>
    </row>
    <row r="257" spans="6:10" ht="12.75" x14ac:dyDescent="0.2">
      <c r="F257" s="36"/>
      <c r="J257" s="35"/>
    </row>
    <row r="258" spans="6:10" ht="12.75" x14ac:dyDescent="0.2">
      <c r="F258" s="36"/>
      <c r="J258" s="35"/>
    </row>
    <row r="259" spans="6:10" ht="12.75" x14ac:dyDescent="0.2">
      <c r="F259" s="36"/>
      <c r="J259" s="35"/>
    </row>
    <row r="260" spans="6:10" ht="12.75" x14ac:dyDescent="0.2">
      <c r="F260" s="36"/>
      <c r="J260" s="35"/>
    </row>
    <row r="261" spans="6:10" ht="12.75" x14ac:dyDescent="0.2">
      <c r="F261" s="36"/>
      <c r="J261" s="35"/>
    </row>
    <row r="262" spans="6:10" ht="12.75" x14ac:dyDescent="0.2">
      <c r="F262" s="36"/>
      <c r="J262" s="35"/>
    </row>
    <row r="263" spans="6:10" ht="12.75" x14ac:dyDescent="0.2">
      <c r="F263" s="36"/>
      <c r="J263" s="35"/>
    </row>
    <row r="264" spans="6:10" ht="12.75" x14ac:dyDescent="0.2">
      <c r="F264" s="36"/>
      <c r="J264" s="35"/>
    </row>
    <row r="265" spans="6:10" ht="12.75" x14ac:dyDescent="0.2">
      <c r="F265" s="36"/>
      <c r="J265" s="35"/>
    </row>
    <row r="266" spans="6:10" ht="12.75" x14ac:dyDescent="0.2">
      <c r="F266" s="36"/>
      <c r="J266" s="35"/>
    </row>
    <row r="267" spans="6:10" ht="12.75" x14ac:dyDescent="0.2">
      <c r="F267" s="36"/>
      <c r="J267" s="35"/>
    </row>
    <row r="268" spans="6:10" ht="12.75" x14ac:dyDescent="0.2">
      <c r="F268" s="36"/>
      <c r="J268" s="35"/>
    </row>
    <row r="269" spans="6:10" ht="12.75" x14ac:dyDescent="0.2">
      <c r="F269" s="36"/>
      <c r="J269" s="35"/>
    </row>
    <row r="270" spans="6:10" ht="12.75" x14ac:dyDescent="0.2">
      <c r="F270" s="36"/>
      <c r="J270" s="35"/>
    </row>
    <row r="271" spans="6:10" ht="12.75" x14ac:dyDescent="0.2">
      <c r="F271" s="36"/>
      <c r="J271" s="35"/>
    </row>
    <row r="272" spans="6:10" ht="12.75" x14ac:dyDescent="0.2">
      <c r="F272" s="36"/>
      <c r="J272" s="35"/>
    </row>
    <row r="273" spans="6:10" ht="12.75" x14ac:dyDescent="0.2">
      <c r="F273" s="36"/>
      <c r="J273" s="35"/>
    </row>
    <row r="274" spans="6:10" ht="12.75" x14ac:dyDescent="0.2">
      <c r="F274" s="36"/>
      <c r="J274" s="35"/>
    </row>
    <row r="275" spans="6:10" ht="12.75" x14ac:dyDescent="0.2">
      <c r="F275" s="36"/>
      <c r="J275" s="35"/>
    </row>
    <row r="276" spans="6:10" ht="12.75" x14ac:dyDescent="0.2">
      <c r="F276" s="36"/>
      <c r="J276" s="35"/>
    </row>
    <row r="277" spans="6:10" ht="12.75" x14ac:dyDescent="0.2">
      <c r="F277" s="36"/>
      <c r="J277" s="35"/>
    </row>
    <row r="278" spans="6:10" ht="12.75" x14ac:dyDescent="0.2">
      <c r="F278" s="36"/>
      <c r="J278" s="35"/>
    </row>
    <row r="279" spans="6:10" ht="12.75" x14ac:dyDescent="0.2">
      <c r="F279" s="36"/>
      <c r="J279" s="35"/>
    </row>
    <row r="280" spans="6:10" ht="12.75" x14ac:dyDescent="0.2">
      <c r="F280" s="36"/>
      <c r="J280" s="35"/>
    </row>
    <row r="281" spans="6:10" ht="12.75" x14ac:dyDescent="0.2">
      <c r="F281" s="36"/>
      <c r="J281" s="35"/>
    </row>
    <row r="282" spans="6:10" ht="12.75" x14ac:dyDescent="0.2">
      <c r="F282" s="36"/>
      <c r="J282" s="35"/>
    </row>
    <row r="283" spans="6:10" ht="12.75" x14ac:dyDescent="0.2">
      <c r="F283" s="36"/>
      <c r="J283" s="35"/>
    </row>
    <row r="284" spans="6:10" ht="12.75" x14ac:dyDescent="0.2">
      <c r="F284" s="36"/>
      <c r="J284" s="35"/>
    </row>
    <row r="285" spans="6:10" ht="12.75" x14ac:dyDescent="0.2">
      <c r="F285" s="36"/>
      <c r="J285" s="35"/>
    </row>
    <row r="286" spans="6:10" ht="12.75" x14ac:dyDescent="0.2">
      <c r="F286" s="36"/>
      <c r="J286" s="35"/>
    </row>
    <row r="287" spans="6:10" ht="12.75" x14ac:dyDescent="0.2">
      <c r="F287" s="36"/>
      <c r="J287" s="35"/>
    </row>
    <row r="288" spans="6:10" ht="12.75" x14ac:dyDescent="0.2">
      <c r="F288" s="36"/>
      <c r="J288" s="35"/>
    </row>
    <row r="289" spans="6:10" ht="12.75" x14ac:dyDescent="0.2">
      <c r="F289" s="36"/>
      <c r="J289" s="35"/>
    </row>
    <row r="290" spans="6:10" ht="12.75" x14ac:dyDescent="0.2">
      <c r="F290" s="36"/>
      <c r="J290" s="35"/>
    </row>
    <row r="291" spans="6:10" ht="12.75" x14ac:dyDescent="0.2">
      <c r="F291" s="36"/>
      <c r="J291" s="35"/>
    </row>
    <row r="292" spans="6:10" ht="12.75" x14ac:dyDescent="0.2">
      <c r="F292" s="36"/>
      <c r="J292" s="35"/>
    </row>
    <row r="293" spans="6:10" ht="12.75" x14ac:dyDescent="0.2">
      <c r="F293" s="36"/>
      <c r="J293" s="35"/>
    </row>
    <row r="294" spans="6:10" ht="12.75" x14ac:dyDescent="0.2">
      <c r="F294" s="36"/>
      <c r="J294" s="35"/>
    </row>
    <row r="295" spans="6:10" ht="12.75" x14ac:dyDescent="0.2">
      <c r="F295" s="36"/>
      <c r="J295" s="35"/>
    </row>
    <row r="296" spans="6:10" ht="12.75" x14ac:dyDescent="0.2">
      <c r="F296" s="36"/>
      <c r="J296" s="35"/>
    </row>
    <row r="297" spans="6:10" ht="12.75" x14ac:dyDescent="0.2">
      <c r="F297" s="36"/>
      <c r="J297" s="35"/>
    </row>
    <row r="298" spans="6:10" ht="12.75" x14ac:dyDescent="0.2">
      <c r="F298" s="36"/>
      <c r="J298" s="35"/>
    </row>
    <row r="299" spans="6:10" ht="12.75" x14ac:dyDescent="0.2">
      <c r="F299" s="36"/>
      <c r="J299" s="35"/>
    </row>
    <row r="300" spans="6:10" ht="12.75" x14ac:dyDescent="0.2">
      <c r="F300" s="36"/>
      <c r="J300" s="35"/>
    </row>
    <row r="301" spans="6:10" ht="12.75" x14ac:dyDescent="0.2">
      <c r="F301" s="36"/>
      <c r="J301" s="35"/>
    </row>
    <row r="302" spans="6:10" ht="12.75" x14ac:dyDescent="0.2">
      <c r="F302" s="36"/>
      <c r="J302" s="35"/>
    </row>
    <row r="303" spans="6:10" ht="12.75" x14ac:dyDescent="0.2">
      <c r="F303" s="36"/>
      <c r="J303" s="35"/>
    </row>
    <row r="304" spans="6:10" ht="12.75" x14ac:dyDescent="0.2">
      <c r="F304" s="36"/>
      <c r="J304" s="35"/>
    </row>
    <row r="305" spans="6:10" ht="12.75" x14ac:dyDescent="0.2">
      <c r="F305" s="36"/>
      <c r="J305" s="35"/>
    </row>
    <row r="306" spans="6:10" ht="12.75" x14ac:dyDescent="0.2">
      <c r="F306" s="36"/>
      <c r="J306" s="35"/>
    </row>
    <row r="307" spans="6:10" ht="12.75" x14ac:dyDescent="0.2">
      <c r="F307" s="36"/>
      <c r="J307" s="35"/>
    </row>
    <row r="308" spans="6:10" ht="12.75" x14ac:dyDescent="0.2">
      <c r="F308" s="36"/>
      <c r="J308" s="35"/>
    </row>
    <row r="309" spans="6:10" ht="12.75" x14ac:dyDescent="0.2">
      <c r="F309" s="36"/>
      <c r="J309" s="35"/>
    </row>
    <row r="310" spans="6:10" ht="12.75" x14ac:dyDescent="0.2">
      <c r="F310" s="36"/>
      <c r="J310" s="35"/>
    </row>
    <row r="311" spans="6:10" ht="12.75" x14ac:dyDescent="0.2">
      <c r="F311" s="36"/>
      <c r="J311" s="35"/>
    </row>
    <row r="312" spans="6:10" ht="12.75" x14ac:dyDescent="0.2">
      <c r="F312" s="36"/>
      <c r="J312" s="35"/>
    </row>
    <row r="313" spans="6:10" ht="12.75" x14ac:dyDescent="0.2">
      <c r="F313" s="36"/>
      <c r="J313" s="35"/>
    </row>
    <row r="314" spans="6:10" ht="12.75" x14ac:dyDescent="0.2">
      <c r="F314" s="36"/>
      <c r="J314" s="35"/>
    </row>
    <row r="315" spans="6:10" ht="12.75" x14ac:dyDescent="0.2">
      <c r="F315" s="36"/>
      <c r="J315" s="35"/>
    </row>
    <row r="316" spans="6:10" ht="12.75" x14ac:dyDescent="0.2">
      <c r="F316" s="36"/>
      <c r="J316" s="35"/>
    </row>
    <row r="317" spans="6:10" ht="12.75" x14ac:dyDescent="0.2">
      <c r="F317" s="36"/>
      <c r="J317" s="35"/>
    </row>
    <row r="318" spans="6:10" ht="12.75" x14ac:dyDescent="0.2">
      <c r="F318" s="36"/>
      <c r="J318" s="35"/>
    </row>
    <row r="319" spans="6:10" ht="12.75" x14ac:dyDescent="0.2">
      <c r="F319" s="36"/>
      <c r="J319" s="35"/>
    </row>
    <row r="320" spans="6:10" ht="12.75" x14ac:dyDescent="0.2">
      <c r="F320" s="36"/>
      <c r="J320" s="35"/>
    </row>
    <row r="321" spans="6:10" ht="12.75" x14ac:dyDescent="0.2">
      <c r="F321" s="36"/>
      <c r="J321" s="35"/>
    </row>
    <row r="322" spans="6:10" ht="12.75" x14ac:dyDescent="0.2">
      <c r="F322" s="36"/>
      <c r="J322" s="35"/>
    </row>
    <row r="323" spans="6:10" ht="12.75" x14ac:dyDescent="0.2">
      <c r="F323" s="36"/>
      <c r="J323" s="35"/>
    </row>
    <row r="324" spans="6:10" ht="12.75" x14ac:dyDescent="0.2">
      <c r="F324" s="36"/>
      <c r="J324" s="35"/>
    </row>
    <row r="325" spans="6:10" ht="12.75" x14ac:dyDescent="0.2">
      <c r="F325" s="36"/>
      <c r="J325" s="35"/>
    </row>
    <row r="326" spans="6:10" ht="12.75" x14ac:dyDescent="0.2">
      <c r="F326" s="36"/>
      <c r="J326" s="35"/>
    </row>
    <row r="327" spans="6:10" ht="12.75" x14ac:dyDescent="0.2">
      <c r="F327" s="36"/>
      <c r="J327" s="35"/>
    </row>
    <row r="328" spans="6:10" ht="12.75" x14ac:dyDescent="0.2">
      <c r="F328" s="36"/>
      <c r="J328" s="35"/>
    </row>
    <row r="329" spans="6:10" ht="12.75" x14ac:dyDescent="0.2">
      <c r="F329" s="36"/>
      <c r="J329" s="35"/>
    </row>
    <row r="330" spans="6:10" ht="12.75" x14ac:dyDescent="0.2">
      <c r="F330" s="36"/>
      <c r="J330" s="35"/>
    </row>
    <row r="331" spans="6:10" ht="12.75" x14ac:dyDescent="0.2">
      <c r="F331" s="36"/>
      <c r="J331" s="35"/>
    </row>
    <row r="332" spans="6:10" ht="12.75" x14ac:dyDescent="0.2">
      <c r="F332" s="36"/>
      <c r="J332" s="35"/>
    </row>
    <row r="333" spans="6:10" ht="12.75" x14ac:dyDescent="0.2">
      <c r="F333" s="36"/>
      <c r="J333" s="35"/>
    </row>
    <row r="334" spans="6:10" ht="12.75" x14ac:dyDescent="0.2">
      <c r="F334" s="36"/>
      <c r="J334" s="35"/>
    </row>
    <row r="335" spans="6:10" ht="12.75" x14ac:dyDescent="0.2">
      <c r="F335" s="36"/>
      <c r="J335" s="35"/>
    </row>
    <row r="336" spans="6:10" ht="12.75" x14ac:dyDescent="0.2">
      <c r="F336" s="36"/>
      <c r="J336" s="35"/>
    </row>
    <row r="337" spans="6:10" ht="12.75" x14ac:dyDescent="0.2">
      <c r="F337" s="36"/>
      <c r="J337" s="35"/>
    </row>
    <row r="338" spans="6:10" ht="12.75" x14ac:dyDescent="0.2">
      <c r="F338" s="36"/>
      <c r="J338" s="35"/>
    </row>
    <row r="339" spans="6:10" ht="12.75" x14ac:dyDescent="0.2">
      <c r="F339" s="36"/>
      <c r="J339" s="35"/>
    </row>
    <row r="340" spans="6:10" ht="12.75" x14ac:dyDescent="0.2">
      <c r="F340" s="36"/>
      <c r="J340" s="35"/>
    </row>
    <row r="341" spans="6:10" ht="12.75" x14ac:dyDescent="0.2">
      <c r="F341" s="36"/>
      <c r="J341" s="35"/>
    </row>
    <row r="342" spans="6:10" ht="12.75" x14ac:dyDescent="0.2">
      <c r="F342" s="36"/>
      <c r="J342" s="35"/>
    </row>
    <row r="343" spans="6:10" ht="12.75" x14ac:dyDescent="0.2">
      <c r="F343" s="36"/>
      <c r="J343" s="35"/>
    </row>
    <row r="344" spans="6:10" ht="12.75" x14ac:dyDescent="0.2">
      <c r="F344" s="36"/>
      <c r="J344" s="35"/>
    </row>
    <row r="345" spans="6:10" ht="12.75" x14ac:dyDescent="0.2">
      <c r="F345" s="36"/>
      <c r="J345" s="35"/>
    </row>
    <row r="346" spans="6:10" ht="12.75" x14ac:dyDescent="0.2">
      <c r="F346" s="36"/>
      <c r="J346" s="35"/>
    </row>
    <row r="347" spans="6:10" ht="12.75" x14ac:dyDescent="0.2">
      <c r="F347" s="36"/>
      <c r="J347" s="35"/>
    </row>
    <row r="348" spans="6:10" ht="12.75" x14ac:dyDescent="0.2">
      <c r="F348" s="36"/>
      <c r="J348" s="35"/>
    </row>
    <row r="349" spans="6:10" ht="12.75" x14ac:dyDescent="0.2">
      <c r="F349" s="36"/>
      <c r="J349" s="35"/>
    </row>
    <row r="350" spans="6:10" ht="12.75" x14ac:dyDescent="0.2">
      <c r="F350" s="36"/>
      <c r="J350" s="35"/>
    </row>
    <row r="351" spans="6:10" ht="12.75" x14ac:dyDescent="0.2">
      <c r="F351" s="36"/>
      <c r="J351" s="35"/>
    </row>
    <row r="352" spans="6:10" ht="12.75" x14ac:dyDescent="0.2">
      <c r="F352" s="36"/>
      <c r="J352" s="35"/>
    </row>
    <row r="353" spans="6:10" ht="12.75" x14ac:dyDescent="0.2">
      <c r="F353" s="36"/>
      <c r="J353" s="35"/>
    </row>
    <row r="354" spans="6:10" ht="12.75" x14ac:dyDescent="0.2">
      <c r="F354" s="36"/>
      <c r="J354" s="35"/>
    </row>
    <row r="355" spans="6:10" ht="12.75" x14ac:dyDescent="0.2">
      <c r="F355" s="36"/>
      <c r="J355" s="35"/>
    </row>
    <row r="356" spans="6:10" ht="12.75" x14ac:dyDescent="0.2">
      <c r="F356" s="36"/>
      <c r="J356" s="35"/>
    </row>
    <row r="357" spans="6:10" ht="12.75" x14ac:dyDescent="0.2">
      <c r="F357" s="36"/>
      <c r="J357" s="35"/>
    </row>
    <row r="358" spans="6:10" ht="12.75" x14ac:dyDescent="0.2">
      <c r="F358" s="36"/>
      <c r="J358" s="35"/>
    </row>
    <row r="359" spans="6:10" ht="12.75" x14ac:dyDescent="0.2">
      <c r="F359" s="36"/>
      <c r="J359" s="35"/>
    </row>
    <row r="360" spans="6:10" ht="12.75" x14ac:dyDescent="0.2">
      <c r="F360" s="36"/>
      <c r="J360" s="35"/>
    </row>
    <row r="361" spans="6:10" ht="12.75" x14ac:dyDescent="0.2">
      <c r="F361" s="36"/>
      <c r="J361" s="35"/>
    </row>
    <row r="362" spans="6:10" ht="12.75" x14ac:dyDescent="0.2">
      <c r="F362" s="36"/>
      <c r="J362" s="35"/>
    </row>
    <row r="363" spans="6:10" ht="12.75" x14ac:dyDescent="0.2">
      <c r="F363" s="36"/>
      <c r="J363" s="35"/>
    </row>
    <row r="364" spans="6:10" ht="12.75" x14ac:dyDescent="0.2">
      <c r="F364" s="36"/>
      <c r="J364" s="35"/>
    </row>
    <row r="365" spans="6:10" ht="12.75" x14ac:dyDescent="0.2">
      <c r="F365" s="36"/>
      <c r="J365" s="35"/>
    </row>
    <row r="366" spans="6:10" ht="12.75" x14ac:dyDescent="0.2">
      <c r="F366" s="36"/>
      <c r="J366" s="35"/>
    </row>
    <row r="367" spans="6:10" ht="12.75" x14ac:dyDescent="0.2">
      <c r="F367" s="36"/>
      <c r="J367" s="35"/>
    </row>
    <row r="368" spans="6:10" ht="12.75" x14ac:dyDescent="0.2">
      <c r="F368" s="36"/>
      <c r="J368" s="35"/>
    </row>
    <row r="369" spans="6:10" ht="12.75" x14ac:dyDescent="0.2">
      <c r="F369" s="36"/>
      <c r="J369" s="35"/>
    </row>
    <row r="370" spans="6:10" ht="12.75" x14ac:dyDescent="0.2">
      <c r="F370" s="36"/>
      <c r="J370" s="35"/>
    </row>
    <row r="371" spans="6:10" ht="12.75" x14ac:dyDescent="0.2">
      <c r="F371" s="36"/>
      <c r="J371" s="35"/>
    </row>
    <row r="372" spans="6:10" ht="12.75" x14ac:dyDescent="0.2">
      <c r="F372" s="36"/>
      <c r="J372" s="35"/>
    </row>
    <row r="373" spans="6:10" ht="12.75" x14ac:dyDescent="0.2">
      <c r="F373" s="36"/>
      <c r="J373" s="35"/>
    </row>
    <row r="374" spans="6:10" ht="12.75" x14ac:dyDescent="0.2">
      <c r="F374" s="36"/>
      <c r="J374" s="35"/>
    </row>
    <row r="375" spans="6:10" ht="12.75" x14ac:dyDescent="0.2">
      <c r="F375" s="36"/>
      <c r="J375" s="35"/>
    </row>
    <row r="376" spans="6:10" ht="12.75" x14ac:dyDescent="0.2">
      <c r="F376" s="36"/>
      <c r="J376" s="35"/>
    </row>
    <row r="377" spans="6:10" ht="12.75" x14ac:dyDescent="0.2">
      <c r="F377" s="36"/>
      <c r="J377" s="35"/>
    </row>
    <row r="378" spans="6:10" ht="12.75" x14ac:dyDescent="0.2">
      <c r="F378" s="36"/>
      <c r="J378" s="35"/>
    </row>
    <row r="379" spans="6:10" ht="12.75" x14ac:dyDescent="0.2">
      <c r="F379" s="36"/>
      <c r="J379" s="35"/>
    </row>
    <row r="380" spans="6:10" ht="12.75" x14ac:dyDescent="0.2">
      <c r="F380" s="36"/>
      <c r="J380" s="35"/>
    </row>
    <row r="381" spans="6:10" ht="12.75" x14ac:dyDescent="0.2">
      <c r="F381" s="36"/>
      <c r="J381" s="35"/>
    </row>
    <row r="382" spans="6:10" ht="12.75" x14ac:dyDescent="0.2">
      <c r="F382" s="36"/>
      <c r="J382" s="35"/>
    </row>
    <row r="383" spans="6:10" ht="12.75" x14ac:dyDescent="0.2">
      <c r="F383" s="36"/>
      <c r="J383" s="35"/>
    </row>
    <row r="384" spans="6:10" ht="12.75" x14ac:dyDescent="0.2">
      <c r="F384" s="36"/>
      <c r="J384" s="35"/>
    </row>
    <row r="385" spans="6:10" ht="12.75" x14ac:dyDescent="0.2">
      <c r="F385" s="36"/>
      <c r="J385" s="35"/>
    </row>
    <row r="386" spans="6:10" ht="12.75" x14ac:dyDescent="0.2">
      <c r="F386" s="36"/>
      <c r="J386" s="35"/>
    </row>
    <row r="387" spans="6:10" ht="12.75" x14ac:dyDescent="0.2">
      <c r="F387" s="36"/>
      <c r="J387" s="35"/>
    </row>
    <row r="388" spans="6:10" ht="12.75" x14ac:dyDescent="0.2">
      <c r="F388" s="36"/>
      <c r="J388" s="35"/>
    </row>
    <row r="389" spans="6:10" ht="12.75" x14ac:dyDescent="0.2">
      <c r="F389" s="36"/>
      <c r="J389" s="35"/>
    </row>
    <row r="390" spans="6:10" ht="12.75" x14ac:dyDescent="0.2">
      <c r="F390" s="36"/>
      <c r="J390" s="35"/>
    </row>
    <row r="391" spans="6:10" ht="12.75" x14ac:dyDescent="0.2">
      <c r="F391" s="36"/>
      <c r="J391" s="35"/>
    </row>
    <row r="392" spans="6:10" ht="12.75" x14ac:dyDescent="0.2">
      <c r="F392" s="36"/>
      <c r="J392" s="35"/>
    </row>
    <row r="393" spans="6:10" ht="12.75" x14ac:dyDescent="0.2">
      <c r="F393" s="36"/>
      <c r="J393" s="35"/>
    </row>
    <row r="394" spans="6:10" ht="12.75" x14ac:dyDescent="0.2">
      <c r="F394" s="36"/>
      <c r="J394" s="35"/>
    </row>
    <row r="395" spans="6:10" ht="12.75" x14ac:dyDescent="0.2">
      <c r="F395" s="36"/>
      <c r="J395" s="35"/>
    </row>
    <row r="396" spans="6:10" ht="12.75" x14ac:dyDescent="0.2">
      <c r="F396" s="36"/>
      <c r="J396" s="35"/>
    </row>
    <row r="397" spans="6:10" ht="12.75" x14ac:dyDescent="0.2">
      <c r="F397" s="36"/>
      <c r="J397" s="35"/>
    </row>
    <row r="398" spans="6:10" ht="12.75" x14ac:dyDescent="0.2">
      <c r="F398" s="36"/>
      <c r="J398" s="35"/>
    </row>
    <row r="399" spans="6:10" ht="12.75" x14ac:dyDescent="0.2">
      <c r="F399" s="36"/>
      <c r="J399" s="35"/>
    </row>
    <row r="400" spans="6:10" ht="12.75" x14ac:dyDescent="0.2">
      <c r="F400" s="36"/>
      <c r="J400" s="35"/>
    </row>
    <row r="401" spans="6:10" ht="12.75" x14ac:dyDescent="0.2">
      <c r="F401" s="36"/>
      <c r="J401" s="35"/>
    </row>
    <row r="402" spans="6:10" ht="12.75" x14ac:dyDescent="0.2">
      <c r="F402" s="36"/>
      <c r="J402" s="35"/>
    </row>
    <row r="403" spans="6:10" ht="12.75" x14ac:dyDescent="0.2">
      <c r="F403" s="36"/>
      <c r="J403" s="35"/>
    </row>
    <row r="404" spans="6:10" ht="12.75" x14ac:dyDescent="0.2">
      <c r="F404" s="36"/>
      <c r="J404" s="35"/>
    </row>
    <row r="405" spans="6:10" ht="12.75" x14ac:dyDescent="0.2">
      <c r="F405" s="36"/>
      <c r="J405" s="35"/>
    </row>
    <row r="406" spans="6:10" ht="12.75" x14ac:dyDescent="0.2">
      <c r="F406" s="36"/>
      <c r="J406" s="35"/>
    </row>
    <row r="407" spans="6:10" ht="12.75" x14ac:dyDescent="0.2">
      <c r="F407" s="36"/>
      <c r="J407" s="35"/>
    </row>
    <row r="408" spans="6:10" ht="12.75" x14ac:dyDescent="0.2">
      <c r="F408" s="36"/>
      <c r="J408" s="35"/>
    </row>
    <row r="409" spans="6:10" ht="12.75" x14ac:dyDescent="0.2">
      <c r="F409" s="36"/>
      <c r="J409" s="35"/>
    </row>
    <row r="410" spans="6:10" ht="12.75" x14ac:dyDescent="0.2">
      <c r="F410" s="36"/>
      <c r="J410" s="35"/>
    </row>
    <row r="411" spans="6:10" ht="12.75" x14ac:dyDescent="0.2">
      <c r="F411" s="36"/>
      <c r="J411" s="35"/>
    </row>
    <row r="412" spans="6:10" ht="12.75" x14ac:dyDescent="0.2">
      <c r="F412" s="36"/>
      <c r="J412" s="35"/>
    </row>
    <row r="413" spans="6:10" ht="12.75" x14ac:dyDescent="0.2">
      <c r="F413" s="36"/>
      <c r="J413" s="35"/>
    </row>
    <row r="414" spans="6:10" ht="12.75" x14ac:dyDescent="0.2">
      <c r="F414" s="36"/>
      <c r="J414" s="35"/>
    </row>
    <row r="415" spans="6:10" ht="12.75" x14ac:dyDescent="0.2">
      <c r="F415" s="36"/>
      <c r="J415" s="35"/>
    </row>
    <row r="416" spans="6:10" ht="12.75" x14ac:dyDescent="0.2">
      <c r="F416" s="36"/>
      <c r="J416" s="35"/>
    </row>
    <row r="417" spans="6:10" ht="12.75" x14ac:dyDescent="0.2">
      <c r="F417" s="36"/>
      <c r="J417" s="35"/>
    </row>
    <row r="418" spans="6:10" ht="12.75" x14ac:dyDescent="0.2">
      <c r="F418" s="36"/>
      <c r="J418" s="35"/>
    </row>
    <row r="419" spans="6:10" ht="12.75" x14ac:dyDescent="0.2">
      <c r="F419" s="36"/>
      <c r="J419" s="35"/>
    </row>
    <row r="420" spans="6:10" ht="12.75" x14ac:dyDescent="0.2">
      <c r="F420" s="36"/>
      <c r="J420" s="35"/>
    </row>
    <row r="421" spans="6:10" ht="12.75" x14ac:dyDescent="0.2">
      <c r="F421" s="36"/>
      <c r="J421" s="35"/>
    </row>
    <row r="422" spans="6:10" ht="12.75" x14ac:dyDescent="0.2">
      <c r="F422" s="36"/>
      <c r="J422" s="35"/>
    </row>
    <row r="423" spans="6:10" ht="12.75" x14ac:dyDescent="0.2">
      <c r="F423" s="36"/>
      <c r="J423" s="35"/>
    </row>
    <row r="424" spans="6:10" ht="12.75" x14ac:dyDescent="0.2">
      <c r="F424" s="36"/>
      <c r="J424" s="35"/>
    </row>
    <row r="425" spans="6:10" ht="12.75" x14ac:dyDescent="0.2">
      <c r="F425" s="36"/>
      <c r="J425" s="35"/>
    </row>
    <row r="426" spans="6:10" ht="12.75" x14ac:dyDescent="0.2">
      <c r="F426" s="36"/>
      <c r="J426" s="35"/>
    </row>
    <row r="427" spans="6:10" ht="12.75" x14ac:dyDescent="0.2">
      <c r="F427" s="36"/>
      <c r="J427" s="35"/>
    </row>
    <row r="428" spans="6:10" ht="12.75" x14ac:dyDescent="0.2">
      <c r="F428" s="36"/>
      <c r="J428" s="35"/>
    </row>
    <row r="429" spans="6:10" ht="12.75" x14ac:dyDescent="0.2">
      <c r="F429" s="36"/>
      <c r="J429" s="35"/>
    </row>
    <row r="430" spans="6:10" ht="12.75" x14ac:dyDescent="0.2">
      <c r="F430" s="36"/>
      <c r="J430" s="35"/>
    </row>
    <row r="431" spans="6:10" ht="12.75" x14ac:dyDescent="0.2">
      <c r="F431" s="36"/>
      <c r="J431" s="35"/>
    </row>
    <row r="432" spans="6:10" ht="12.75" x14ac:dyDescent="0.2">
      <c r="F432" s="36"/>
      <c r="J432" s="35"/>
    </row>
    <row r="433" spans="6:10" ht="12.75" x14ac:dyDescent="0.2">
      <c r="F433" s="36"/>
      <c r="J433" s="35"/>
    </row>
    <row r="434" spans="6:10" ht="12.75" x14ac:dyDescent="0.2">
      <c r="F434" s="36"/>
      <c r="J434" s="35"/>
    </row>
    <row r="435" spans="6:10" ht="12.75" x14ac:dyDescent="0.2">
      <c r="F435" s="36"/>
      <c r="J435" s="35"/>
    </row>
    <row r="436" spans="6:10" ht="12.75" x14ac:dyDescent="0.2">
      <c r="F436" s="36"/>
      <c r="J436" s="35"/>
    </row>
    <row r="437" spans="6:10" ht="12.75" x14ac:dyDescent="0.2">
      <c r="F437" s="36"/>
      <c r="J437" s="35"/>
    </row>
    <row r="438" spans="6:10" ht="12.75" x14ac:dyDescent="0.2">
      <c r="F438" s="36"/>
      <c r="J438" s="35"/>
    </row>
    <row r="439" spans="6:10" ht="12.75" x14ac:dyDescent="0.2">
      <c r="F439" s="36"/>
      <c r="J439" s="35"/>
    </row>
    <row r="440" spans="6:10" ht="12.75" x14ac:dyDescent="0.2">
      <c r="F440" s="36"/>
      <c r="J440" s="35"/>
    </row>
    <row r="441" spans="6:10" ht="12.75" x14ac:dyDescent="0.2">
      <c r="F441" s="36"/>
      <c r="J441" s="35"/>
    </row>
    <row r="442" spans="6:10" ht="12.75" x14ac:dyDescent="0.2">
      <c r="F442" s="36"/>
      <c r="J442" s="35"/>
    </row>
    <row r="443" spans="6:10" ht="12.75" x14ac:dyDescent="0.2">
      <c r="F443" s="36"/>
      <c r="J443" s="35"/>
    </row>
    <row r="444" spans="6:10" ht="12.75" x14ac:dyDescent="0.2">
      <c r="F444" s="36"/>
      <c r="J444" s="35"/>
    </row>
    <row r="445" spans="6:10" ht="12.75" x14ac:dyDescent="0.2">
      <c r="F445" s="36"/>
      <c r="J445" s="35"/>
    </row>
    <row r="446" spans="6:10" ht="12.75" x14ac:dyDescent="0.2">
      <c r="F446" s="36"/>
      <c r="J446" s="35"/>
    </row>
    <row r="447" spans="6:10" ht="12.75" x14ac:dyDescent="0.2">
      <c r="F447" s="36"/>
      <c r="J447" s="35"/>
    </row>
    <row r="448" spans="6:10" ht="12.75" x14ac:dyDescent="0.2">
      <c r="F448" s="36"/>
      <c r="J448" s="35"/>
    </row>
    <row r="449" spans="6:10" ht="12.75" x14ac:dyDescent="0.2">
      <c r="F449" s="36"/>
      <c r="J449" s="35"/>
    </row>
    <row r="450" spans="6:10" ht="12.75" x14ac:dyDescent="0.2">
      <c r="F450" s="36"/>
      <c r="J450" s="35"/>
    </row>
    <row r="451" spans="6:10" ht="12.75" x14ac:dyDescent="0.2">
      <c r="F451" s="36"/>
      <c r="J451" s="35"/>
    </row>
    <row r="452" spans="6:10" ht="12.75" x14ac:dyDescent="0.2">
      <c r="F452" s="36"/>
      <c r="J452" s="35"/>
    </row>
    <row r="453" spans="6:10" ht="12.75" x14ac:dyDescent="0.2">
      <c r="F453" s="36"/>
      <c r="J453" s="35"/>
    </row>
    <row r="454" spans="6:10" ht="12.75" x14ac:dyDescent="0.2">
      <c r="F454" s="36"/>
      <c r="J454" s="35"/>
    </row>
    <row r="455" spans="6:10" ht="12.75" x14ac:dyDescent="0.2">
      <c r="F455" s="36"/>
      <c r="J455" s="35"/>
    </row>
    <row r="456" spans="6:10" ht="12.75" x14ac:dyDescent="0.2">
      <c r="F456" s="36"/>
      <c r="J456" s="35"/>
    </row>
    <row r="457" spans="6:10" ht="12.75" x14ac:dyDescent="0.2">
      <c r="F457" s="36"/>
      <c r="J457" s="35"/>
    </row>
    <row r="458" spans="6:10" ht="12.75" x14ac:dyDescent="0.2">
      <c r="F458" s="36"/>
      <c r="J458" s="35"/>
    </row>
    <row r="459" spans="6:10" ht="12.75" x14ac:dyDescent="0.2">
      <c r="F459" s="36"/>
      <c r="J459" s="35"/>
    </row>
    <row r="460" spans="6:10" ht="12.75" x14ac:dyDescent="0.2">
      <c r="F460" s="36"/>
      <c r="J460" s="35"/>
    </row>
    <row r="461" spans="6:10" ht="12.75" x14ac:dyDescent="0.2">
      <c r="F461" s="36"/>
      <c r="J461" s="35"/>
    </row>
    <row r="462" spans="6:10" ht="12.75" x14ac:dyDescent="0.2">
      <c r="F462" s="36"/>
      <c r="J462" s="35"/>
    </row>
    <row r="463" spans="6:10" ht="12.75" x14ac:dyDescent="0.2">
      <c r="F463" s="36"/>
      <c r="J463" s="35"/>
    </row>
    <row r="464" spans="6:10" ht="12.75" x14ac:dyDescent="0.2">
      <c r="F464" s="36"/>
      <c r="J464" s="35"/>
    </row>
    <row r="465" spans="6:10" ht="12.75" x14ac:dyDescent="0.2">
      <c r="F465" s="36"/>
      <c r="J465" s="35"/>
    </row>
    <row r="466" spans="6:10" ht="12.75" x14ac:dyDescent="0.2">
      <c r="F466" s="36"/>
      <c r="J466" s="35"/>
    </row>
    <row r="467" spans="6:10" ht="12.75" x14ac:dyDescent="0.2">
      <c r="F467" s="36"/>
      <c r="J467" s="35"/>
    </row>
    <row r="468" spans="6:10" ht="12.75" x14ac:dyDescent="0.2">
      <c r="F468" s="36"/>
      <c r="J468" s="35"/>
    </row>
    <row r="469" spans="6:10" ht="12.75" x14ac:dyDescent="0.2">
      <c r="F469" s="36"/>
      <c r="J469" s="35"/>
    </row>
    <row r="470" spans="6:10" ht="12.75" x14ac:dyDescent="0.2">
      <c r="F470" s="36"/>
      <c r="J470" s="35"/>
    </row>
    <row r="471" spans="6:10" ht="12.75" x14ac:dyDescent="0.2">
      <c r="F471" s="36"/>
      <c r="J471" s="35"/>
    </row>
    <row r="472" spans="6:10" ht="12.75" x14ac:dyDescent="0.2">
      <c r="F472" s="36"/>
      <c r="J472" s="35"/>
    </row>
    <row r="473" spans="6:10" ht="12.75" x14ac:dyDescent="0.2">
      <c r="F473" s="36"/>
      <c r="J473" s="35"/>
    </row>
    <row r="474" spans="6:10" ht="12.75" x14ac:dyDescent="0.2">
      <c r="F474" s="36"/>
      <c r="J474" s="35"/>
    </row>
    <row r="475" spans="6:10" ht="12.75" x14ac:dyDescent="0.2">
      <c r="F475" s="36"/>
      <c r="J475" s="35"/>
    </row>
    <row r="476" spans="6:10" ht="12.75" x14ac:dyDescent="0.2">
      <c r="F476" s="36"/>
      <c r="J476" s="35"/>
    </row>
    <row r="477" spans="6:10" ht="12.75" x14ac:dyDescent="0.2">
      <c r="F477" s="36"/>
      <c r="J477" s="35"/>
    </row>
    <row r="478" spans="6:10" ht="12.75" x14ac:dyDescent="0.2">
      <c r="F478" s="36"/>
      <c r="J478" s="35"/>
    </row>
    <row r="479" spans="6:10" ht="12.75" x14ac:dyDescent="0.2">
      <c r="F479" s="36"/>
      <c r="J479" s="35"/>
    </row>
    <row r="480" spans="6:10" ht="12.75" x14ac:dyDescent="0.2">
      <c r="F480" s="36"/>
      <c r="J480" s="35"/>
    </row>
    <row r="481" spans="6:10" ht="12.75" x14ac:dyDescent="0.2">
      <c r="F481" s="36"/>
      <c r="J481" s="35"/>
    </row>
    <row r="482" spans="6:10" ht="12.75" x14ac:dyDescent="0.2">
      <c r="F482" s="36"/>
      <c r="J482" s="35"/>
    </row>
    <row r="483" spans="6:10" ht="12.75" x14ac:dyDescent="0.2">
      <c r="F483" s="36"/>
      <c r="J483" s="35"/>
    </row>
    <row r="484" spans="6:10" ht="12.75" x14ac:dyDescent="0.2">
      <c r="F484" s="36"/>
      <c r="J484" s="35"/>
    </row>
    <row r="485" spans="6:10" ht="12.75" x14ac:dyDescent="0.2">
      <c r="F485" s="36"/>
      <c r="J485" s="35"/>
    </row>
    <row r="486" spans="6:10" ht="12.75" x14ac:dyDescent="0.2">
      <c r="F486" s="36"/>
      <c r="J486" s="35"/>
    </row>
    <row r="487" spans="6:10" ht="12.75" x14ac:dyDescent="0.2">
      <c r="F487" s="36"/>
      <c r="J487" s="35"/>
    </row>
    <row r="488" spans="6:10" ht="12.75" x14ac:dyDescent="0.2">
      <c r="F488" s="36"/>
      <c r="J488" s="35"/>
    </row>
    <row r="489" spans="6:10" ht="12.75" x14ac:dyDescent="0.2">
      <c r="F489" s="36"/>
      <c r="J489" s="35"/>
    </row>
    <row r="490" spans="6:10" ht="12.75" x14ac:dyDescent="0.2">
      <c r="F490" s="36"/>
      <c r="J490" s="35"/>
    </row>
    <row r="491" spans="6:10" ht="12.75" x14ac:dyDescent="0.2">
      <c r="F491" s="36"/>
      <c r="J491" s="35"/>
    </row>
    <row r="492" spans="6:10" ht="12.75" x14ac:dyDescent="0.2">
      <c r="F492" s="36"/>
      <c r="J492" s="35"/>
    </row>
    <row r="493" spans="6:10" ht="12.75" x14ac:dyDescent="0.2">
      <c r="F493" s="36"/>
      <c r="J493" s="35"/>
    </row>
    <row r="494" spans="6:10" ht="12.75" x14ac:dyDescent="0.2">
      <c r="F494" s="36"/>
      <c r="J494" s="35"/>
    </row>
    <row r="495" spans="6:10" ht="12.75" x14ac:dyDescent="0.2">
      <c r="F495" s="36"/>
      <c r="J495" s="35"/>
    </row>
    <row r="496" spans="6:10" ht="12.75" x14ac:dyDescent="0.2">
      <c r="F496" s="36"/>
      <c r="J496" s="35"/>
    </row>
    <row r="497" spans="6:10" ht="12.75" x14ac:dyDescent="0.2">
      <c r="F497" s="36"/>
      <c r="J497" s="35"/>
    </row>
    <row r="498" spans="6:10" ht="12.75" x14ac:dyDescent="0.2">
      <c r="F498" s="36"/>
      <c r="J498" s="35"/>
    </row>
    <row r="499" spans="6:10" ht="12.75" x14ac:dyDescent="0.2">
      <c r="F499" s="36"/>
      <c r="J499" s="35"/>
    </row>
    <row r="500" spans="6:10" ht="12.75" x14ac:dyDescent="0.2">
      <c r="F500" s="36"/>
      <c r="J500" s="35"/>
    </row>
    <row r="501" spans="6:10" ht="12.75" x14ac:dyDescent="0.2">
      <c r="F501" s="36"/>
      <c r="J501" s="35"/>
    </row>
    <row r="502" spans="6:10" ht="12.75" x14ac:dyDescent="0.2">
      <c r="F502" s="36"/>
      <c r="J502" s="35"/>
    </row>
    <row r="503" spans="6:10" ht="12.75" x14ac:dyDescent="0.2">
      <c r="F503" s="36"/>
      <c r="J503" s="35"/>
    </row>
    <row r="504" spans="6:10" ht="12.75" x14ac:dyDescent="0.2">
      <c r="F504" s="36"/>
      <c r="J504" s="35"/>
    </row>
    <row r="505" spans="6:10" ht="12.75" x14ac:dyDescent="0.2">
      <c r="F505" s="36"/>
      <c r="J505" s="35"/>
    </row>
    <row r="506" spans="6:10" ht="12.75" x14ac:dyDescent="0.2">
      <c r="F506" s="36"/>
      <c r="J506" s="35"/>
    </row>
    <row r="507" spans="6:10" ht="12.75" x14ac:dyDescent="0.2">
      <c r="F507" s="36"/>
      <c r="J507" s="35"/>
    </row>
    <row r="508" spans="6:10" ht="12.75" x14ac:dyDescent="0.2">
      <c r="F508" s="36"/>
      <c r="J508" s="35"/>
    </row>
    <row r="509" spans="6:10" ht="12.75" x14ac:dyDescent="0.2">
      <c r="F509" s="36"/>
      <c r="J509" s="35"/>
    </row>
    <row r="510" spans="6:10" ht="12.75" x14ac:dyDescent="0.2">
      <c r="F510" s="36"/>
      <c r="J510" s="35"/>
    </row>
    <row r="511" spans="6:10" ht="12.75" x14ac:dyDescent="0.2">
      <c r="F511" s="36"/>
      <c r="J511" s="35"/>
    </row>
    <row r="512" spans="6:10" ht="12.75" x14ac:dyDescent="0.2">
      <c r="F512" s="36"/>
      <c r="J512" s="35"/>
    </row>
    <row r="513" spans="6:10" ht="12.75" x14ac:dyDescent="0.2">
      <c r="F513" s="36"/>
      <c r="J513" s="35"/>
    </row>
    <row r="514" spans="6:10" ht="12.75" x14ac:dyDescent="0.2">
      <c r="F514" s="36"/>
      <c r="J514" s="35"/>
    </row>
    <row r="515" spans="6:10" ht="12.75" x14ac:dyDescent="0.2">
      <c r="F515" s="36"/>
      <c r="J515" s="35"/>
    </row>
    <row r="516" spans="6:10" ht="12.75" x14ac:dyDescent="0.2">
      <c r="F516" s="36"/>
      <c r="J516" s="35"/>
    </row>
    <row r="517" spans="6:10" ht="12.75" x14ac:dyDescent="0.2">
      <c r="F517" s="36"/>
      <c r="J517" s="35"/>
    </row>
    <row r="518" spans="6:10" ht="12.75" x14ac:dyDescent="0.2">
      <c r="F518" s="36"/>
      <c r="J518" s="35"/>
    </row>
    <row r="519" spans="6:10" ht="12.75" x14ac:dyDescent="0.2">
      <c r="F519" s="36"/>
      <c r="J519" s="35"/>
    </row>
    <row r="520" spans="6:10" ht="12.75" x14ac:dyDescent="0.2">
      <c r="F520" s="36"/>
      <c r="J520" s="35"/>
    </row>
    <row r="521" spans="6:10" ht="12.75" x14ac:dyDescent="0.2">
      <c r="F521" s="36"/>
      <c r="J521" s="35"/>
    </row>
    <row r="522" spans="6:10" ht="12.75" x14ac:dyDescent="0.2">
      <c r="F522" s="36"/>
      <c r="J522" s="35"/>
    </row>
    <row r="523" spans="6:10" ht="12.75" x14ac:dyDescent="0.2">
      <c r="F523" s="36"/>
      <c r="J523" s="35"/>
    </row>
    <row r="524" spans="6:10" ht="12.75" x14ac:dyDescent="0.2">
      <c r="F524" s="36"/>
      <c r="J524" s="35"/>
    </row>
    <row r="525" spans="6:10" ht="12.75" x14ac:dyDescent="0.2">
      <c r="F525" s="36"/>
      <c r="J525" s="35"/>
    </row>
    <row r="526" spans="6:10" ht="12.75" x14ac:dyDescent="0.2">
      <c r="F526" s="36"/>
      <c r="J526" s="35"/>
    </row>
    <row r="527" spans="6:10" ht="12.75" x14ac:dyDescent="0.2">
      <c r="F527" s="36"/>
      <c r="J527" s="35"/>
    </row>
    <row r="528" spans="6:10" ht="12.75" x14ac:dyDescent="0.2">
      <c r="F528" s="36"/>
      <c r="J528" s="35"/>
    </row>
    <row r="529" spans="6:10" ht="12.75" x14ac:dyDescent="0.2">
      <c r="F529" s="36"/>
      <c r="J529" s="35"/>
    </row>
    <row r="530" spans="6:10" ht="12.75" x14ac:dyDescent="0.2">
      <c r="F530" s="36"/>
      <c r="J530" s="35"/>
    </row>
    <row r="531" spans="6:10" ht="12.75" x14ac:dyDescent="0.2">
      <c r="F531" s="36"/>
      <c r="J531" s="35"/>
    </row>
    <row r="532" spans="6:10" ht="12.75" x14ac:dyDescent="0.2">
      <c r="F532" s="36"/>
      <c r="J532" s="35"/>
    </row>
    <row r="533" spans="6:10" ht="12.75" x14ac:dyDescent="0.2">
      <c r="F533" s="36"/>
      <c r="J533" s="35"/>
    </row>
    <row r="534" spans="6:10" ht="12.75" x14ac:dyDescent="0.2">
      <c r="F534" s="36"/>
      <c r="J534" s="35"/>
    </row>
    <row r="535" spans="6:10" ht="12.75" x14ac:dyDescent="0.2">
      <c r="F535" s="36"/>
      <c r="J535" s="35"/>
    </row>
    <row r="536" spans="6:10" ht="12.75" x14ac:dyDescent="0.2">
      <c r="F536" s="36"/>
      <c r="J536" s="35"/>
    </row>
    <row r="537" spans="6:10" ht="12.75" x14ac:dyDescent="0.2">
      <c r="F537" s="36"/>
      <c r="J537" s="35"/>
    </row>
    <row r="538" spans="6:10" ht="12.75" x14ac:dyDescent="0.2">
      <c r="F538" s="36"/>
      <c r="J538" s="35"/>
    </row>
    <row r="539" spans="6:10" ht="12.75" x14ac:dyDescent="0.2">
      <c r="F539" s="36"/>
      <c r="J539" s="35"/>
    </row>
    <row r="540" spans="6:10" ht="12.75" x14ac:dyDescent="0.2">
      <c r="F540" s="36"/>
      <c r="J540" s="35"/>
    </row>
    <row r="541" spans="6:10" ht="12.75" x14ac:dyDescent="0.2">
      <c r="F541" s="36"/>
      <c r="J541" s="35"/>
    </row>
    <row r="542" spans="6:10" ht="12.75" x14ac:dyDescent="0.2">
      <c r="F542" s="36"/>
      <c r="J542" s="35"/>
    </row>
    <row r="543" spans="6:10" ht="12.75" x14ac:dyDescent="0.2">
      <c r="F543" s="36"/>
      <c r="J543" s="35"/>
    </row>
    <row r="544" spans="6:10" ht="12.75" x14ac:dyDescent="0.2">
      <c r="F544" s="36"/>
      <c r="J544" s="35"/>
    </row>
    <row r="545" spans="6:10" ht="12.75" x14ac:dyDescent="0.2">
      <c r="F545" s="36"/>
      <c r="J545" s="35"/>
    </row>
    <row r="546" spans="6:10" ht="12.75" x14ac:dyDescent="0.2">
      <c r="F546" s="36"/>
      <c r="J546" s="35"/>
    </row>
    <row r="547" spans="6:10" ht="12.75" x14ac:dyDescent="0.2">
      <c r="F547" s="36"/>
      <c r="J547" s="35"/>
    </row>
    <row r="548" spans="6:10" ht="12.75" x14ac:dyDescent="0.2">
      <c r="F548" s="36"/>
      <c r="J548" s="35"/>
    </row>
    <row r="549" spans="6:10" ht="12.75" x14ac:dyDescent="0.2">
      <c r="F549" s="36"/>
      <c r="J549" s="35"/>
    </row>
    <row r="550" spans="6:10" ht="12.75" x14ac:dyDescent="0.2">
      <c r="F550" s="36"/>
      <c r="J550" s="35"/>
    </row>
    <row r="551" spans="6:10" ht="12.75" x14ac:dyDescent="0.2">
      <c r="F551" s="36"/>
      <c r="J551" s="35"/>
    </row>
    <row r="552" spans="6:10" ht="12.75" x14ac:dyDescent="0.2">
      <c r="F552" s="36"/>
      <c r="J552" s="35"/>
    </row>
    <row r="553" spans="6:10" ht="12.75" x14ac:dyDescent="0.2">
      <c r="F553" s="36"/>
      <c r="J553" s="35"/>
    </row>
    <row r="554" spans="6:10" ht="12.75" x14ac:dyDescent="0.2">
      <c r="F554" s="36"/>
      <c r="J554" s="35"/>
    </row>
    <row r="555" spans="6:10" ht="12.75" x14ac:dyDescent="0.2">
      <c r="F555" s="36"/>
      <c r="J555" s="35"/>
    </row>
    <row r="556" spans="6:10" ht="12.75" x14ac:dyDescent="0.2">
      <c r="F556" s="36"/>
      <c r="J556" s="35"/>
    </row>
    <row r="557" spans="6:10" ht="12.75" x14ac:dyDescent="0.2">
      <c r="F557" s="36"/>
      <c r="J557" s="35"/>
    </row>
    <row r="558" spans="6:10" ht="12.75" x14ac:dyDescent="0.2">
      <c r="F558" s="36"/>
      <c r="J558" s="35"/>
    </row>
    <row r="559" spans="6:10" ht="12.75" x14ac:dyDescent="0.2">
      <c r="F559" s="36"/>
      <c r="J559" s="35"/>
    </row>
    <row r="560" spans="6:10" ht="12.75" x14ac:dyDescent="0.2">
      <c r="F560" s="36"/>
      <c r="J560" s="35"/>
    </row>
    <row r="561" spans="6:10" ht="12.75" x14ac:dyDescent="0.2">
      <c r="F561" s="36"/>
      <c r="J561" s="35"/>
    </row>
    <row r="562" spans="6:10" ht="12.75" x14ac:dyDescent="0.2">
      <c r="F562" s="36"/>
      <c r="J562" s="35"/>
    </row>
    <row r="563" spans="6:10" ht="12.75" x14ac:dyDescent="0.2">
      <c r="F563" s="36"/>
      <c r="J563" s="35"/>
    </row>
    <row r="564" spans="6:10" ht="12.75" x14ac:dyDescent="0.2">
      <c r="F564" s="36"/>
      <c r="J564" s="35"/>
    </row>
    <row r="565" spans="6:10" ht="12.75" x14ac:dyDescent="0.2">
      <c r="F565" s="36"/>
      <c r="J565" s="35"/>
    </row>
    <row r="566" spans="6:10" ht="12.75" x14ac:dyDescent="0.2">
      <c r="F566" s="36"/>
      <c r="J566" s="35"/>
    </row>
    <row r="567" spans="6:10" ht="12.75" x14ac:dyDescent="0.2">
      <c r="F567" s="36"/>
      <c r="J567" s="35"/>
    </row>
    <row r="568" spans="6:10" ht="12.75" x14ac:dyDescent="0.2">
      <c r="F568" s="36"/>
      <c r="J568" s="35"/>
    </row>
    <row r="569" spans="6:10" ht="12.75" x14ac:dyDescent="0.2">
      <c r="F569" s="36"/>
      <c r="J569" s="35"/>
    </row>
    <row r="570" spans="6:10" ht="12.75" x14ac:dyDescent="0.2">
      <c r="F570" s="36"/>
      <c r="J570" s="35"/>
    </row>
    <row r="571" spans="6:10" ht="12.75" x14ac:dyDescent="0.2">
      <c r="F571" s="36"/>
      <c r="J571" s="35"/>
    </row>
    <row r="572" spans="6:10" ht="12.75" x14ac:dyDescent="0.2">
      <c r="F572" s="36"/>
      <c r="J572" s="35"/>
    </row>
    <row r="573" spans="6:10" ht="12.75" x14ac:dyDescent="0.2">
      <c r="F573" s="36"/>
      <c r="J573" s="35"/>
    </row>
    <row r="574" spans="6:10" ht="12.75" x14ac:dyDescent="0.2">
      <c r="F574" s="36"/>
      <c r="J574" s="35"/>
    </row>
    <row r="575" spans="6:10" ht="12.75" x14ac:dyDescent="0.2">
      <c r="F575" s="36"/>
      <c r="J575" s="35"/>
    </row>
    <row r="576" spans="6:10" ht="12.75" x14ac:dyDescent="0.2">
      <c r="F576" s="36"/>
      <c r="J576" s="35"/>
    </row>
    <row r="577" spans="6:10" ht="12.75" x14ac:dyDescent="0.2">
      <c r="F577" s="36"/>
      <c r="J577" s="35"/>
    </row>
    <row r="578" spans="6:10" ht="12.75" x14ac:dyDescent="0.2">
      <c r="F578" s="36"/>
      <c r="J578" s="35"/>
    </row>
    <row r="579" spans="6:10" ht="12.75" x14ac:dyDescent="0.2">
      <c r="F579" s="36"/>
      <c r="J579" s="35"/>
    </row>
    <row r="580" spans="6:10" ht="12.75" x14ac:dyDescent="0.2">
      <c r="F580" s="36"/>
      <c r="J580" s="35"/>
    </row>
    <row r="581" spans="6:10" ht="12.75" x14ac:dyDescent="0.2">
      <c r="F581" s="36"/>
      <c r="J581" s="35"/>
    </row>
    <row r="582" spans="6:10" ht="12.75" x14ac:dyDescent="0.2">
      <c r="F582" s="36"/>
      <c r="J582" s="35"/>
    </row>
    <row r="583" spans="6:10" ht="12.75" x14ac:dyDescent="0.2">
      <c r="F583" s="36"/>
      <c r="J583" s="35"/>
    </row>
    <row r="584" spans="6:10" ht="12.75" x14ac:dyDescent="0.2">
      <c r="F584" s="36"/>
      <c r="J584" s="35"/>
    </row>
    <row r="585" spans="6:10" ht="12.75" x14ac:dyDescent="0.2">
      <c r="F585" s="36"/>
      <c r="J585" s="35"/>
    </row>
    <row r="586" spans="6:10" ht="12.75" x14ac:dyDescent="0.2">
      <c r="F586" s="36"/>
      <c r="J586" s="35"/>
    </row>
    <row r="587" spans="6:10" ht="12.75" x14ac:dyDescent="0.2">
      <c r="F587" s="36"/>
      <c r="J587" s="35"/>
    </row>
    <row r="588" spans="6:10" ht="12.75" x14ac:dyDescent="0.2">
      <c r="F588" s="36"/>
      <c r="J588" s="35"/>
    </row>
    <row r="589" spans="6:10" ht="12.75" x14ac:dyDescent="0.2">
      <c r="F589" s="36"/>
      <c r="J589" s="35"/>
    </row>
    <row r="590" spans="6:10" ht="12.75" x14ac:dyDescent="0.2">
      <c r="F590" s="36"/>
      <c r="J590" s="35"/>
    </row>
    <row r="591" spans="6:10" ht="12.75" x14ac:dyDescent="0.2">
      <c r="F591" s="36"/>
      <c r="J591" s="35"/>
    </row>
    <row r="592" spans="6:10" ht="12.75" x14ac:dyDescent="0.2">
      <c r="F592" s="36"/>
      <c r="J592" s="35"/>
    </row>
    <row r="593" spans="6:10" ht="12.75" x14ac:dyDescent="0.2">
      <c r="F593" s="36"/>
      <c r="J593" s="35"/>
    </row>
    <row r="594" spans="6:10" ht="12.75" x14ac:dyDescent="0.2">
      <c r="F594" s="36"/>
      <c r="J594" s="35"/>
    </row>
    <row r="595" spans="6:10" ht="12.75" x14ac:dyDescent="0.2">
      <c r="F595" s="36"/>
      <c r="J595" s="35"/>
    </row>
    <row r="596" spans="6:10" ht="12.75" x14ac:dyDescent="0.2">
      <c r="F596" s="36"/>
      <c r="J596" s="35"/>
    </row>
    <row r="597" spans="6:10" ht="12.75" x14ac:dyDescent="0.2">
      <c r="F597" s="36"/>
      <c r="J597" s="35"/>
    </row>
    <row r="598" spans="6:10" ht="12.75" x14ac:dyDescent="0.2">
      <c r="F598" s="36"/>
      <c r="J598" s="35"/>
    </row>
    <row r="599" spans="6:10" ht="12.75" x14ac:dyDescent="0.2">
      <c r="F599" s="36"/>
      <c r="J599" s="35"/>
    </row>
    <row r="600" spans="6:10" ht="12.75" x14ac:dyDescent="0.2">
      <c r="F600" s="36"/>
      <c r="J600" s="35"/>
    </row>
    <row r="601" spans="6:10" ht="12.75" x14ac:dyDescent="0.2">
      <c r="F601" s="36"/>
      <c r="J601" s="35"/>
    </row>
    <row r="602" spans="6:10" ht="12.75" x14ac:dyDescent="0.2">
      <c r="F602" s="36"/>
      <c r="J602" s="35"/>
    </row>
    <row r="603" spans="6:10" ht="12.75" x14ac:dyDescent="0.2">
      <c r="F603" s="36"/>
      <c r="J603" s="35"/>
    </row>
    <row r="604" spans="6:10" ht="12.75" x14ac:dyDescent="0.2">
      <c r="F604" s="36"/>
      <c r="J604" s="35"/>
    </row>
    <row r="605" spans="6:10" ht="12.75" x14ac:dyDescent="0.2">
      <c r="F605" s="36"/>
      <c r="J605" s="35"/>
    </row>
    <row r="606" spans="6:10" ht="12.75" x14ac:dyDescent="0.2">
      <c r="F606" s="36"/>
      <c r="J606" s="35"/>
    </row>
    <row r="607" spans="6:10" ht="12.75" x14ac:dyDescent="0.2">
      <c r="F607" s="36"/>
      <c r="J607" s="35"/>
    </row>
    <row r="608" spans="6:10" ht="12.75" x14ac:dyDescent="0.2">
      <c r="F608" s="36"/>
      <c r="J608" s="35"/>
    </row>
    <row r="609" spans="6:10" ht="12.75" x14ac:dyDescent="0.2">
      <c r="F609" s="36"/>
      <c r="J609" s="35"/>
    </row>
    <row r="610" spans="6:10" ht="12.75" x14ac:dyDescent="0.2">
      <c r="F610" s="36"/>
      <c r="J610" s="35"/>
    </row>
    <row r="611" spans="6:10" ht="12.75" x14ac:dyDescent="0.2">
      <c r="F611" s="36"/>
      <c r="J611" s="35"/>
    </row>
    <row r="612" spans="6:10" ht="12.75" x14ac:dyDescent="0.2">
      <c r="F612" s="36"/>
      <c r="J612" s="35"/>
    </row>
    <row r="613" spans="6:10" ht="12.75" x14ac:dyDescent="0.2">
      <c r="F613" s="36"/>
      <c r="J613" s="35"/>
    </row>
    <row r="614" spans="6:10" ht="12.75" x14ac:dyDescent="0.2">
      <c r="F614" s="36"/>
      <c r="J614" s="35"/>
    </row>
    <row r="615" spans="6:10" ht="12.75" x14ac:dyDescent="0.2">
      <c r="F615" s="36"/>
      <c r="J615" s="35"/>
    </row>
    <row r="616" spans="6:10" ht="12.75" x14ac:dyDescent="0.2">
      <c r="F616" s="36"/>
      <c r="J616" s="35"/>
    </row>
    <row r="617" spans="6:10" ht="12.75" x14ac:dyDescent="0.2">
      <c r="F617" s="36"/>
      <c r="J617" s="35"/>
    </row>
    <row r="618" spans="6:10" ht="12.75" x14ac:dyDescent="0.2">
      <c r="F618" s="36"/>
      <c r="J618" s="35"/>
    </row>
    <row r="619" spans="6:10" ht="12.75" x14ac:dyDescent="0.2">
      <c r="F619" s="36"/>
      <c r="J619" s="35"/>
    </row>
    <row r="620" spans="6:10" ht="12.75" x14ac:dyDescent="0.2">
      <c r="F620" s="36"/>
      <c r="J620" s="35"/>
    </row>
    <row r="621" spans="6:10" ht="12.75" x14ac:dyDescent="0.2">
      <c r="F621" s="36"/>
      <c r="J621" s="35"/>
    </row>
    <row r="622" spans="6:10" ht="12.75" x14ac:dyDescent="0.2">
      <c r="F622" s="36"/>
      <c r="J622" s="35"/>
    </row>
    <row r="623" spans="6:10" ht="12.75" x14ac:dyDescent="0.2">
      <c r="F623" s="36"/>
      <c r="J623" s="35"/>
    </row>
    <row r="624" spans="6:10" ht="12.75" x14ac:dyDescent="0.2">
      <c r="F624" s="36"/>
      <c r="J624" s="35"/>
    </row>
    <row r="625" spans="6:10" ht="12.75" x14ac:dyDescent="0.2">
      <c r="F625" s="36"/>
      <c r="J625" s="35"/>
    </row>
    <row r="626" spans="6:10" ht="12.75" x14ac:dyDescent="0.2">
      <c r="F626" s="36"/>
      <c r="J626" s="35"/>
    </row>
    <row r="627" spans="6:10" ht="12.75" x14ac:dyDescent="0.2">
      <c r="F627" s="36"/>
      <c r="J627" s="35"/>
    </row>
    <row r="628" spans="6:10" ht="12.75" x14ac:dyDescent="0.2">
      <c r="F628" s="36"/>
      <c r="J628" s="35"/>
    </row>
    <row r="629" spans="6:10" ht="12.75" x14ac:dyDescent="0.2">
      <c r="F629" s="36"/>
      <c r="J629" s="35"/>
    </row>
    <row r="630" spans="6:10" ht="12.75" x14ac:dyDescent="0.2">
      <c r="F630" s="36"/>
      <c r="J630" s="35"/>
    </row>
    <row r="631" spans="6:10" ht="12.75" x14ac:dyDescent="0.2">
      <c r="F631" s="36"/>
      <c r="J631" s="35"/>
    </row>
    <row r="632" spans="6:10" ht="12.75" x14ac:dyDescent="0.2">
      <c r="F632" s="36"/>
      <c r="J632" s="35"/>
    </row>
    <row r="633" spans="6:10" ht="12.75" x14ac:dyDescent="0.2">
      <c r="F633" s="36"/>
      <c r="J633" s="35"/>
    </row>
    <row r="634" spans="6:10" ht="12.75" x14ac:dyDescent="0.2">
      <c r="F634" s="36"/>
      <c r="J634" s="35"/>
    </row>
    <row r="635" spans="6:10" ht="12.75" x14ac:dyDescent="0.2">
      <c r="F635" s="36"/>
      <c r="J635" s="35"/>
    </row>
    <row r="636" spans="6:10" ht="12.75" x14ac:dyDescent="0.2">
      <c r="F636" s="36"/>
      <c r="J636" s="35"/>
    </row>
    <row r="637" spans="6:10" ht="12.75" x14ac:dyDescent="0.2">
      <c r="F637" s="36"/>
      <c r="J637" s="35"/>
    </row>
    <row r="638" spans="6:10" ht="12.75" x14ac:dyDescent="0.2">
      <c r="F638" s="36"/>
      <c r="J638" s="35"/>
    </row>
    <row r="639" spans="6:10" ht="12.75" x14ac:dyDescent="0.2">
      <c r="F639" s="36"/>
      <c r="J639" s="35"/>
    </row>
    <row r="640" spans="6:10" ht="12.75" x14ac:dyDescent="0.2">
      <c r="F640" s="36"/>
      <c r="J640" s="35"/>
    </row>
    <row r="641" spans="6:10" ht="12.75" x14ac:dyDescent="0.2">
      <c r="F641" s="36"/>
      <c r="J641" s="35"/>
    </row>
    <row r="642" spans="6:10" ht="12.75" x14ac:dyDescent="0.2">
      <c r="F642" s="36"/>
      <c r="J642" s="35"/>
    </row>
    <row r="643" spans="6:10" ht="12.75" x14ac:dyDescent="0.2">
      <c r="F643" s="36"/>
      <c r="J643" s="35"/>
    </row>
    <row r="644" spans="6:10" ht="12.75" x14ac:dyDescent="0.2">
      <c r="F644" s="36"/>
      <c r="J644" s="35"/>
    </row>
    <row r="645" spans="6:10" ht="12.75" x14ac:dyDescent="0.2">
      <c r="F645" s="36"/>
      <c r="J645" s="35"/>
    </row>
    <row r="646" spans="6:10" ht="12.75" x14ac:dyDescent="0.2">
      <c r="F646" s="36"/>
      <c r="J646" s="35"/>
    </row>
    <row r="647" spans="6:10" ht="12.75" x14ac:dyDescent="0.2">
      <c r="F647" s="36"/>
      <c r="J647" s="35"/>
    </row>
    <row r="648" spans="6:10" ht="12.75" x14ac:dyDescent="0.2">
      <c r="F648" s="36"/>
      <c r="J648" s="35"/>
    </row>
    <row r="649" spans="6:10" ht="12.75" x14ac:dyDescent="0.2">
      <c r="F649" s="36"/>
      <c r="J649" s="35"/>
    </row>
    <row r="650" spans="6:10" ht="12.75" x14ac:dyDescent="0.2">
      <c r="F650" s="36"/>
      <c r="J650" s="35"/>
    </row>
    <row r="651" spans="6:10" ht="12.75" x14ac:dyDescent="0.2">
      <c r="F651" s="36"/>
      <c r="J651" s="35"/>
    </row>
    <row r="652" spans="6:10" ht="12.75" x14ac:dyDescent="0.2">
      <c r="F652" s="36"/>
      <c r="J652" s="35"/>
    </row>
    <row r="653" spans="6:10" ht="12.75" x14ac:dyDescent="0.2">
      <c r="F653" s="36"/>
      <c r="J653" s="35"/>
    </row>
    <row r="654" spans="6:10" ht="12.75" x14ac:dyDescent="0.2">
      <c r="F654" s="36"/>
      <c r="J654" s="35"/>
    </row>
    <row r="655" spans="6:10" ht="12.75" x14ac:dyDescent="0.2">
      <c r="F655" s="36"/>
      <c r="J655" s="35"/>
    </row>
    <row r="656" spans="6:10" ht="12.75" x14ac:dyDescent="0.2">
      <c r="F656" s="36"/>
      <c r="J656" s="35"/>
    </row>
    <row r="657" spans="6:10" ht="12.75" x14ac:dyDescent="0.2">
      <c r="F657" s="36"/>
      <c r="J657" s="35"/>
    </row>
    <row r="658" spans="6:10" ht="12.75" x14ac:dyDescent="0.2">
      <c r="F658" s="36"/>
      <c r="J658" s="35"/>
    </row>
    <row r="659" spans="6:10" ht="12.75" x14ac:dyDescent="0.2">
      <c r="F659" s="36"/>
      <c r="J659" s="35"/>
    </row>
    <row r="660" spans="6:10" ht="12.75" x14ac:dyDescent="0.2">
      <c r="F660" s="36"/>
      <c r="J660" s="35"/>
    </row>
    <row r="661" spans="6:10" ht="12.75" x14ac:dyDescent="0.2">
      <c r="F661" s="36"/>
      <c r="J661" s="35"/>
    </row>
    <row r="662" spans="6:10" ht="12.75" x14ac:dyDescent="0.2">
      <c r="F662" s="36"/>
      <c r="J662" s="35"/>
    </row>
    <row r="663" spans="6:10" ht="12.75" x14ac:dyDescent="0.2">
      <c r="F663" s="36"/>
      <c r="J663" s="35"/>
    </row>
    <row r="664" spans="6:10" ht="12.75" x14ac:dyDescent="0.2">
      <c r="F664" s="36"/>
      <c r="J664" s="35"/>
    </row>
    <row r="665" spans="6:10" ht="12.75" x14ac:dyDescent="0.2">
      <c r="F665" s="36"/>
      <c r="J665" s="35"/>
    </row>
    <row r="666" spans="6:10" ht="12.75" x14ac:dyDescent="0.2">
      <c r="F666" s="36"/>
      <c r="J666" s="35"/>
    </row>
    <row r="667" spans="6:10" ht="12.75" x14ac:dyDescent="0.2">
      <c r="F667" s="36"/>
      <c r="J667" s="35"/>
    </row>
    <row r="668" spans="6:10" ht="12.75" x14ac:dyDescent="0.2">
      <c r="F668" s="36"/>
      <c r="J668" s="35"/>
    </row>
    <row r="669" spans="6:10" ht="12.75" x14ac:dyDescent="0.2">
      <c r="F669" s="36"/>
      <c r="J669" s="35"/>
    </row>
    <row r="670" spans="6:10" ht="12.75" x14ac:dyDescent="0.2">
      <c r="F670" s="36"/>
      <c r="J670" s="35"/>
    </row>
    <row r="671" spans="6:10" ht="12.75" x14ac:dyDescent="0.2">
      <c r="F671" s="36"/>
      <c r="J671" s="35"/>
    </row>
    <row r="672" spans="6:10" ht="12.75" x14ac:dyDescent="0.2">
      <c r="F672" s="36"/>
      <c r="J672" s="35"/>
    </row>
    <row r="673" spans="6:10" ht="12.75" x14ac:dyDescent="0.2">
      <c r="F673" s="36"/>
      <c r="J673" s="35"/>
    </row>
    <row r="674" spans="6:10" ht="12.75" x14ac:dyDescent="0.2">
      <c r="F674" s="36"/>
      <c r="J674" s="35"/>
    </row>
    <row r="675" spans="6:10" ht="12.75" x14ac:dyDescent="0.2">
      <c r="F675" s="36"/>
      <c r="J675" s="35"/>
    </row>
    <row r="676" spans="6:10" ht="12.75" x14ac:dyDescent="0.2">
      <c r="F676" s="36"/>
      <c r="J676" s="35"/>
    </row>
    <row r="677" spans="6:10" ht="12.75" x14ac:dyDescent="0.2">
      <c r="F677" s="36"/>
      <c r="J677" s="35"/>
    </row>
    <row r="678" spans="6:10" ht="12.75" x14ac:dyDescent="0.2">
      <c r="F678" s="36"/>
      <c r="J678" s="35"/>
    </row>
    <row r="679" spans="6:10" ht="12.75" x14ac:dyDescent="0.2">
      <c r="F679" s="36"/>
      <c r="J679" s="35"/>
    </row>
    <row r="680" spans="6:10" ht="12.75" x14ac:dyDescent="0.2">
      <c r="F680" s="36"/>
      <c r="J680" s="35"/>
    </row>
    <row r="681" spans="6:10" ht="12.75" x14ac:dyDescent="0.2">
      <c r="F681" s="36"/>
      <c r="J681" s="35"/>
    </row>
    <row r="682" spans="6:10" ht="12.75" x14ac:dyDescent="0.2">
      <c r="F682" s="36"/>
      <c r="J682" s="35"/>
    </row>
    <row r="683" spans="6:10" ht="12.75" x14ac:dyDescent="0.2">
      <c r="F683" s="36"/>
      <c r="J683" s="35"/>
    </row>
    <row r="684" spans="6:10" ht="12.75" x14ac:dyDescent="0.2">
      <c r="F684" s="36"/>
      <c r="J684" s="35"/>
    </row>
    <row r="685" spans="6:10" ht="12.75" x14ac:dyDescent="0.2">
      <c r="F685" s="36"/>
      <c r="J685" s="35"/>
    </row>
    <row r="686" spans="6:10" ht="12.75" x14ac:dyDescent="0.2">
      <c r="F686" s="36"/>
      <c r="J686" s="35"/>
    </row>
    <row r="687" spans="6:10" ht="12.75" x14ac:dyDescent="0.2">
      <c r="F687" s="36"/>
      <c r="J687" s="35"/>
    </row>
    <row r="688" spans="6:10" ht="12.75" x14ac:dyDescent="0.2">
      <c r="F688" s="36"/>
      <c r="J688" s="35"/>
    </row>
    <row r="689" spans="6:10" ht="12.75" x14ac:dyDescent="0.2">
      <c r="F689" s="36"/>
      <c r="J689" s="35"/>
    </row>
    <row r="690" spans="6:10" ht="12.75" x14ac:dyDescent="0.2">
      <c r="F690" s="36"/>
      <c r="J690" s="35"/>
    </row>
    <row r="691" spans="6:10" ht="12.75" x14ac:dyDescent="0.2">
      <c r="F691" s="36"/>
      <c r="J691" s="35"/>
    </row>
    <row r="692" spans="6:10" ht="12.75" x14ac:dyDescent="0.2">
      <c r="F692" s="36"/>
      <c r="J692" s="35"/>
    </row>
    <row r="693" spans="6:10" ht="12.75" x14ac:dyDescent="0.2">
      <c r="F693" s="36"/>
      <c r="J693" s="35"/>
    </row>
    <row r="694" spans="6:10" ht="12.75" x14ac:dyDescent="0.2">
      <c r="F694" s="36"/>
      <c r="J694" s="35"/>
    </row>
    <row r="695" spans="6:10" ht="12.75" x14ac:dyDescent="0.2">
      <c r="F695" s="36"/>
      <c r="J695" s="35"/>
    </row>
    <row r="696" spans="6:10" ht="12.75" x14ac:dyDescent="0.2">
      <c r="F696" s="36"/>
      <c r="J696" s="35"/>
    </row>
    <row r="697" spans="6:10" ht="12.75" x14ac:dyDescent="0.2">
      <c r="F697" s="36"/>
      <c r="J697" s="35"/>
    </row>
    <row r="698" spans="6:10" ht="12.75" x14ac:dyDescent="0.2">
      <c r="F698" s="36"/>
      <c r="J698" s="35"/>
    </row>
    <row r="699" spans="6:10" ht="12.75" x14ac:dyDescent="0.2">
      <c r="F699" s="36"/>
      <c r="J699" s="35"/>
    </row>
    <row r="700" spans="6:10" ht="12.75" x14ac:dyDescent="0.2">
      <c r="F700" s="36"/>
      <c r="J700" s="35"/>
    </row>
    <row r="701" spans="6:10" ht="12.75" x14ac:dyDescent="0.2">
      <c r="F701" s="36"/>
      <c r="J701" s="35"/>
    </row>
    <row r="702" spans="6:10" ht="12.75" x14ac:dyDescent="0.2">
      <c r="F702" s="36"/>
      <c r="J702" s="35"/>
    </row>
    <row r="703" spans="6:10" ht="12.75" x14ac:dyDescent="0.2">
      <c r="F703" s="36"/>
      <c r="J703" s="35"/>
    </row>
    <row r="704" spans="6:10" ht="12.75" x14ac:dyDescent="0.2">
      <c r="F704" s="36"/>
      <c r="J704" s="35"/>
    </row>
    <row r="705" spans="6:10" ht="12.75" x14ac:dyDescent="0.2">
      <c r="F705" s="36"/>
      <c r="J705" s="35"/>
    </row>
    <row r="706" spans="6:10" ht="12.75" x14ac:dyDescent="0.2">
      <c r="F706" s="36"/>
      <c r="J706" s="35"/>
    </row>
    <row r="707" spans="6:10" ht="12.75" x14ac:dyDescent="0.2">
      <c r="F707" s="36"/>
      <c r="J707" s="35"/>
    </row>
    <row r="708" spans="6:10" ht="12.75" x14ac:dyDescent="0.2">
      <c r="F708" s="36"/>
      <c r="J708" s="35"/>
    </row>
    <row r="709" spans="6:10" ht="12.75" x14ac:dyDescent="0.2">
      <c r="F709" s="36"/>
      <c r="J709" s="35"/>
    </row>
    <row r="710" spans="6:10" ht="12.75" x14ac:dyDescent="0.2">
      <c r="F710" s="36"/>
      <c r="J710" s="35"/>
    </row>
    <row r="711" spans="6:10" ht="12.75" x14ac:dyDescent="0.2">
      <c r="F711" s="36"/>
      <c r="J711" s="35"/>
    </row>
    <row r="712" spans="6:10" ht="12.75" x14ac:dyDescent="0.2">
      <c r="F712" s="36"/>
      <c r="J712" s="35"/>
    </row>
    <row r="713" spans="6:10" ht="12.75" x14ac:dyDescent="0.2">
      <c r="F713" s="36"/>
      <c r="J713" s="35"/>
    </row>
    <row r="714" spans="6:10" ht="12.75" x14ac:dyDescent="0.2">
      <c r="F714" s="36"/>
      <c r="J714" s="35"/>
    </row>
    <row r="715" spans="6:10" ht="12.75" x14ac:dyDescent="0.2">
      <c r="F715" s="36"/>
      <c r="J715" s="35"/>
    </row>
    <row r="716" spans="6:10" ht="12.75" x14ac:dyDescent="0.2">
      <c r="F716" s="36"/>
      <c r="J716" s="35"/>
    </row>
    <row r="717" spans="6:10" ht="12.75" x14ac:dyDescent="0.2">
      <c r="F717" s="36"/>
      <c r="J717" s="35"/>
    </row>
    <row r="718" spans="6:10" ht="12.75" x14ac:dyDescent="0.2">
      <c r="F718" s="36"/>
      <c r="J718" s="35"/>
    </row>
    <row r="719" spans="6:10" ht="12.75" x14ac:dyDescent="0.2">
      <c r="F719" s="36"/>
      <c r="J719" s="35"/>
    </row>
    <row r="720" spans="6:10" ht="12.75" x14ac:dyDescent="0.2">
      <c r="F720" s="36"/>
      <c r="J720" s="35"/>
    </row>
    <row r="721" spans="6:10" ht="12.75" x14ac:dyDescent="0.2">
      <c r="F721" s="36"/>
      <c r="J721" s="35"/>
    </row>
    <row r="722" spans="6:10" ht="12.75" x14ac:dyDescent="0.2">
      <c r="F722" s="36"/>
      <c r="J722" s="35"/>
    </row>
    <row r="723" spans="6:10" ht="12.75" x14ac:dyDescent="0.2">
      <c r="F723" s="36"/>
      <c r="J723" s="35"/>
    </row>
    <row r="724" spans="6:10" ht="12.75" x14ac:dyDescent="0.2">
      <c r="F724" s="36"/>
      <c r="J724" s="35"/>
    </row>
    <row r="725" spans="6:10" ht="12.75" x14ac:dyDescent="0.2">
      <c r="F725" s="36"/>
      <c r="J725" s="35"/>
    </row>
    <row r="726" spans="6:10" ht="12.75" x14ac:dyDescent="0.2">
      <c r="F726" s="36"/>
      <c r="J726" s="35"/>
    </row>
    <row r="727" spans="6:10" ht="12.75" x14ac:dyDescent="0.2">
      <c r="F727" s="36"/>
      <c r="J727" s="35"/>
    </row>
    <row r="728" spans="6:10" ht="12.75" x14ac:dyDescent="0.2">
      <c r="F728" s="36"/>
      <c r="J728" s="35"/>
    </row>
    <row r="729" spans="6:10" ht="12.75" x14ac:dyDescent="0.2">
      <c r="F729" s="36"/>
      <c r="J729" s="35"/>
    </row>
    <row r="730" spans="6:10" ht="12.75" x14ac:dyDescent="0.2">
      <c r="F730" s="36"/>
      <c r="J730" s="35"/>
    </row>
    <row r="731" spans="6:10" ht="12.75" x14ac:dyDescent="0.2">
      <c r="F731" s="36"/>
      <c r="J731" s="35"/>
    </row>
    <row r="732" spans="6:10" ht="12.75" x14ac:dyDescent="0.2">
      <c r="F732" s="36"/>
      <c r="J732" s="35"/>
    </row>
    <row r="733" spans="6:10" ht="12.75" x14ac:dyDescent="0.2">
      <c r="F733" s="36"/>
      <c r="J733" s="35"/>
    </row>
    <row r="734" spans="6:10" ht="12.75" x14ac:dyDescent="0.2">
      <c r="F734" s="36"/>
      <c r="J734" s="35"/>
    </row>
    <row r="735" spans="6:10" ht="12.75" x14ac:dyDescent="0.2">
      <c r="F735" s="36"/>
      <c r="J735" s="35"/>
    </row>
    <row r="736" spans="6:10" ht="12.75" x14ac:dyDescent="0.2">
      <c r="F736" s="36"/>
      <c r="J736" s="35"/>
    </row>
    <row r="737" spans="6:10" ht="12.75" x14ac:dyDescent="0.2">
      <c r="F737" s="36"/>
      <c r="J737" s="35"/>
    </row>
    <row r="738" spans="6:10" ht="12.75" x14ac:dyDescent="0.2">
      <c r="F738" s="36"/>
      <c r="J738" s="35"/>
    </row>
    <row r="739" spans="6:10" ht="12.75" x14ac:dyDescent="0.2">
      <c r="F739" s="36"/>
      <c r="J739" s="35"/>
    </row>
    <row r="740" spans="6:10" ht="12.75" x14ac:dyDescent="0.2">
      <c r="F740" s="36"/>
      <c r="J740" s="35"/>
    </row>
    <row r="741" spans="6:10" ht="12.75" x14ac:dyDescent="0.2">
      <c r="F741" s="36"/>
      <c r="J741" s="35"/>
    </row>
    <row r="742" spans="6:10" ht="12.75" x14ac:dyDescent="0.2">
      <c r="F742" s="36"/>
      <c r="J742" s="35"/>
    </row>
    <row r="743" spans="6:10" ht="12.75" x14ac:dyDescent="0.2">
      <c r="F743" s="36"/>
      <c r="J743" s="35"/>
    </row>
    <row r="744" spans="6:10" ht="12.75" x14ac:dyDescent="0.2">
      <c r="F744" s="36"/>
      <c r="J744" s="35"/>
    </row>
    <row r="745" spans="6:10" ht="12.75" x14ac:dyDescent="0.2">
      <c r="F745" s="36"/>
      <c r="J745" s="35"/>
    </row>
    <row r="746" spans="6:10" ht="12.75" x14ac:dyDescent="0.2">
      <c r="F746" s="36"/>
      <c r="J746" s="35"/>
    </row>
    <row r="747" spans="6:10" ht="12.75" x14ac:dyDescent="0.2">
      <c r="F747" s="36"/>
      <c r="J747" s="35"/>
    </row>
    <row r="748" spans="6:10" ht="12.75" x14ac:dyDescent="0.2">
      <c r="F748" s="36"/>
      <c r="J748" s="35"/>
    </row>
    <row r="749" spans="6:10" ht="12.75" x14ac:dyDescent="0.2">
      <c r="F749" s="36"/>
      <c r="J749" s="35"/>
    </row>
    <row r="750" spans="6:10" ht="12.75" x14ac:dyDescent="0.2">
      <c r="F750" s="36"/>
      <c r="J750" s="35"/>
    </row>
    <row r="751" spans="6:10" ht="12.75" x14ac:dyDescent="0.2">
      <c r="F751" s="36"/>
      <c r="J751" s="35"/>
    </row>
    <row r="752" spans="6:10" ht="12.75" x14ac:dyDescent="0.2">
      <c r="F752" s="36"/>
      <c r="J752" s="35"/>
    </row>
    <row r="753" spans="6:10" ht="12.75" x14ac:dyDescent="0.2">
      <c r="F753" s="36"/>
      <c r="J753" s="35"/>
    </row>
    <row r="754" spans="6:10" ht="12.75" x14ac:dyDescent="0.2">
      <c r="F754" s="36"/>
      <c r="J754" s="35"/>
    </row>
    <row r="755" spans="6:10" ht="12.75" x14ac:dyDescent="0.2">
      <c r="F755" s="36"/>
      <c r="J755" s="35"/>
    </row>
    <row r="756" spans="6:10" ht="12.75" x14ac:dyDescent="0.2">
      <c r="F756" s="36"/>
      <c r="J756" s="35"/>
    </row>
    <row r="757" spans="6:10" ht="12.75" x14ac:dyDescent="0.2">
      <c r="F757" s="36"/>
      <c r="J757" s="35"/>
    </row>
    <row r="758" spans="6:10" ht="12.75" x14ac:dyDescent="0.2">
      <c r="F758" s="36"/>
      <c r="J758" s="35"/>
    </row>
    <row r="759" spans="6:10" ht="12.75" x14ac:dyDescent="0.2">
      <c r="F759" s="36"/>
      <c r="J759" s="35"/>
    </row>
    <row r="760" spans="6:10" ht="12.75" x14ac:dyDescent="0.2">
      <c r="F760" s="36"/>
      <c r="J760" s="35"/>
    </row>
    <row r="761" spans="6:10" ht="12.75" x14ac:dyDescent="0.2">
      <c r="F761" s="36"/>
      <c r="J761" s="35"/>
    </row>
    <row r="762" spans="6:10" ht="12.75" x14ac:dyDescent="0.2">
      <c r="F762" s="36"/>
      <c r="J762" s="35"/>
    </row>
    <row r="763" spans="6:10" ht="12.75" x14ac:dyDescent="0.2">
      <c r="F763" s="36"/>
      <c r="J763" s="35"/>
    </row>
    <row r="764" spans="6:10" ht="12.75" x14ac:dyDescent="0.2">
      <c r="F764" s="36"/>
      <c r="J764" s="35"/>
    </row>
    <row r="765" spans="6:10" ht="12.75" x14ac:dyDescent="0.2">
      <c r="F765" s="36"/>
      <c r="J765" s="35"/>
    </row>
    <row r="766" spans="6:10" ht="12.75" x14ac:dyDescent="0.2">
      <c r="F766" s="36"/>
      <c r="J766" s="35"/>
    </row>
    <row r="767" spans="6:10" ht="12.75" x14ac:dyDescent="0.2">
      <c r="F767" s="36"/>
      <c r="J767" s="35"/>
    </row>
    <row r="768" spans="6:10" ht="12.75" x14ac:dyDescent="0.2">
      <c r="F768" s="36"/>
      <c r="J768" s="35"/>
    </row>
    <row r="769" spans="6:10" ht="12.75" x14ac:dyDescent="0.2">
      <c r="F769" s="36"/>
      <c r="J769" s="35"/>
    </row>
    <row r="770" spans="6:10" ht="12.75" x14ac:dyDescent="0.2">
      <c r="F770" s="36"/>
      <c r="J770" s="35"/>
    </row>
    <row r="771" spans="6:10" ht="12.75" x14ac:dyDescent="0.2">
      <c r="F771" s="36"/>
      <c r="J771" s="35"/>
    </row>
    <row r="772" spans="6:10" ht="12.75" x14ac:dyDescent="0.2">
      <c r="F772" s="36"/>
      <c r="J772" s="35"/>
    </row>
    <row r="773" spans="6:10" ht="12.75" x14ac:dyDescent="0.2">
      <c r="F773" s="36"/>
      <c r="J773" s="35"/>
    </row>
    <row r="774" spans="6:10" ht="12.75" x14ac:dyDescent="0.2">
      <c r="F774" s="36"/>
      <c r="J774" s="35"/>
    </row>
    <row r="775" spans="6:10" ht="12.75" x14ac:dyDescent="0.2">
      <c r="F775" s="36"/>
      <c r="J775" s="35"/>
    </row>
    <row r="776" spans="6:10" ht="12.75" x14ac:dyDescent="0.2">
      <c r="F776" s="36"/>
      <c r="J776" s="35"/>
    </row>
    <row r="777" spans="6:10" ht="12.75" x14ac:dyDescent="0.2">
      <c r="F777" s="36"/>
      <c r="J777" s="35"/>
    </row>
    <row r="778" spans="6:10" ht="12.75" x14ac:dyDescent="0.2">
      <c r="F778" s="36"/>
      <c r="J778" s="35"/>
    </row>
    <row r="779" spans="6:10" ht="12.75" x14ac:dyDescent="0.2">
      <c r="F779" s="36"/>
      <c r="J779" s="35"/>
    </row>
    <row r="780" spans="6:10" ht="12.75" x14ac:dyDescent="0.2">
      <c r="F780" s="36"/>
      <c r="J780" s="35"/>
    </row>
    <row r="781" spans="6:10" ht="12.75" x14ac:dyDescent="0.2">
      <c r="F781" s="36"/>
      <c r="J781" s="35"/>
    </row>
    <row r="782" spans="6:10" ht="12.75" x14ac:dyDescent="0.2">
      <c r="F782" s="36"/>
      <c r="J782" s="35"/>
    </row>
    <row r="783" spans="6:10" ht="12.75" x14ac:dyDescent="0.2">
      <c r="F783" s="36"/>
      <c r="J783" s="35"/>
    </row>
    <row r="784" spans="6:10" ht="12.75" x14ac:dyDescent="0.2">
      <c r="F784" s="36"/>
      <c r="J784" s="35"/>
    </row>
    <row r="785" spans="6:10" ht="12.75" x14ac:dyDescent="0.2">
      <c r="F785" s="36"/>
      <c r="J785" s="35"/>
    </row>
    <row r="786" spans="6:10" ht="12.75" x14ac:dyDescent="0.2">
      <c r="F786" s="36"/>
      <c r="J786" s="35"/>
    </row>
    <row r="787" spans="6:10" ht="12.75" x14ac:dyDescent="0.2">
      <c r="F787" s="36"/>
      <c r="J787" s="35"/>
    </row>
    <row r="788" spans="6:10" ht="12.75" x14ac:dyDescent="0.2">
      <c r="F788" s="36"/>
      <c r="J788" s="35"/>
    </row>
    <row r="789" spans="6:10" ht="12.75" x14ac:dyDescent="0.2">
      <c r="F789" s="36"/>
      <c r="J789" s="35"/>
    </row>
    <row r="790" spans="6:10" ht="12.75" x14ac:dyDescent="0.2">
      <c r="F790" s="36"/>
      <c r="J790" s="35"/>
    </row>
    <row r="791" spans="6:10" ht="12.75" x14ac:dyDescent="0.2">
      <c r="F791" s="36"/>
      <c r="J791" s="35"/>
    </row>
    <row r="792" spans="6:10" ht="12.75" x14ac:dyDescent="0.2">
      <c r="F792" s="36"/>
      <c r="J792" s="35"/>
    </row>
    <row r="793" spans="6:10" ht="12.75" x14ac:dyDescent="0.2">
      <c r="F793" s="36"/>
      <c r="J793" s="35"/>
    </row>
    <row r="794" spans="6:10" ht="12.75" x14ac:dyDescent="0.2">
      <c r="F794" s="36"/>
      <c r="J794" s="35"/>
    </row>
    <row r="795" spans="6:10" ht="12.75" x14ac:dyDescent="0.2">
      <c r="F795" s="36"/>
      <c r="J795" s="35"/>
    </row>
    <row r="796" spans="6:10" ht="12.75" x14ac:dyDescent="0.2">
      <c r="F796" s="36"/>
      <c r="J796" s="35"/>
    </row>
    <row r="797" spans="6:10" ht="12.75" x14ac:dyDescent="0.2">
      <c r="F797" s="36"/>
      <c r="J797" s="35"/>
    </row>
    <row r="798" spans="6:10" ht="12.75" x14ac:dyDescent="0.2">
      <c r="F798" s="36"/>
      <c r="J798" s="35"/>
    </row>
    <row r="799" spans="6:10" ht="12.75" x14ac:dyDescent="0.2">
      <c r="F799" s="36"/>
      <c r="J799" s="35"/>
    </row>
    <row r="800" spans="6:10" ht="12.75" x14ac:dyDescent="0.2">
      <c r="F800" s="36"/>
      <c r="J800" s="35"/>
    </row>
    <row r="801" spans="6:10" ht="12.75" x14ac:dyDescent="0.2">
      <c r="F801" s="36"/>
      <c r="J801" s="35"/>
    </row>
    <row r="802" spans="6:10" ht="12.75" x14ac:dyDescent="0.2">
      <c r="F802" s="36"/>
      <c r="J802" s="35"/>
    </row>
    <row r="803" spans="6:10" ht="12.75" x14ac:dyDescent="0.2">
      <c r="F803" s="36"/>
      <c r="J803" s="35"/>
    </row>
    <row r="804" spans="6:10" ht="12.75" x14ac:dyDescent="0.2">
      <c r="F804" s="36"/>
      <c r="J804" s="35"/>
    </row>
    <row r="805" spans="6:10" ht="12.75" x14ac:dyDescent="0.2">
      <c r="F805" s="36"/>
      <c r="J805" s="35"/>
    </row>
    <row r="806" spans="6:10" ht="12.75" x14ac:dyDescent="0.2">
      <c r="F806" s="36"/>
      <c r="J806" s="35"/>
    </row>
    <row r="807" spans="6:10" ht="12.75" x14ac:dyDescent="0.2">
      <c r="F807" s="36"/>
      <c r="J807" s="35"/>
    </row>
    <row r="808" spans="6:10" ht="12.75" x14ac:dyDescent="0.2">
      <c r="F808" s="36"/>
      <c r="J808" s="35"/>
    </row>
    <row r="809" spans="6:10" ht="12.75" x14ac:dyDescent="0.2">
      <c r="F809" s="36"/>
      <c r="J809" s="35"/>
    </row>
    <row r="810" spans="6:10" ht="12.75" x14ac:dyDescent="0.2">
      <c r="F810" s="36"/>
      <c r="J810" s="35"/>
    </row>
    <row r="811" spans="6:10" ht="12.75" x14ac:dyDescent="0.2">
      <c r="F811" s="36"/>
      <c r="J811" s="35"/>
    </row>
    <row r="812" spans="6:10" ht="12.75" x14ac:dyDescent="0.2">
      <c r="F812" s="36"/>
      <c r="J812" s="35"/>
    </row>
    <row r="813" spans="6:10" ht="12.75" x14ac:dyDescent="0.2">
      <c r="F813" s="36"/>
      <c r="J813" s="35"/>
    </row>
    <row r="814" spans="6:10" ht="12.75" x14ac:dyDescent="0.2">
      <c r="F814" s="36"/>
      <c r="J814" s="35"/>
    </row>
    <row r="815" spans="6:10" ht="12.75" x14ac:dyDescent="0.2">
      <c r="F815" s="36"/>
      <c r="J815" s="35"/>
    </row>
    <row r="816" spans="6:10" ht="12.75" x14ac:dyDescent="0.2">
      <c r="F816" s="36"/>
      <c r="J816" s="35"/>
    </row>
    <row r="817" spans="6:10" ht="12.75" x14ac:dyDescent="0.2">
      <c r="F817" s="36"/>
      <c r="J817" s="35"/>
    </row>
    <row r="818" spans="6:10" ht="12.75" x14ac:dyDescent="0.2">
      <c r="F818" s="36"/>
      <c r="J818" s="35"/>
    </row>
    <row r="819" spans="6:10" ht="12.75" x14ac:dyDescent="0.2">
      <c r="F819" s="36"/>
      <c r="J819" s="35"/>
    </row>
    <row r="820" spans="6:10" ht="12.75" x14ac:dyDescent="0.2">
      <c r="F820" s="36"/>
      <c r="J820" s="35"/>
    </row>
    <row r="821" spans="6:10" ht="12.75" x14ac:dyDescent="0.2">
      <c r="F821" s="36"/>
      <c r="J821" s="35"/>
    </row>
    <row r="822" spans="6:10" ht="12.75" x14ac:dyDescent="0.2">
      <c r="F822" s="36"/>
      <c r="J822" s="35"/>
    </row>
    <row r="823" spans="6:10" ht="12.75" x14ac:dyDescent="0.2">
      <c r="F823" s="36"/>
      <c r="J823" s="35"/>
    </row>
    <row r="824" spans="6:10" ht="12.75" x14ac:dyDescent="0.2">
      <c r="F824" s="36"/>
      <c r="J824" s="35"/>
    </row>
    <row r="825" spans="6:10" ht="12.75" x14ac:dyDescent="0.2">
      <c r="F825" s="36"/>
      <c r="J825" s="35"/>
    </row>
    <row r="826" spans="6:10" ht="12.75" x14ac:dyDescent="0.2">
      <c r="F826" s="36"/>
      <c r="J826" s="35"/>
    </row>
    <row r="827" spans="6:10" ht="12.75" x14ac:dyDescent="0.2">
      <c r="F827" s="36"/>
      <c r="J827" s="35"/>
    </row>
    <row r="828" spans="6:10" ht="12.75" x14ac:dyDescent="0.2">
      <c r="F828" s="36"/>
      <c r="J828" s="35"/>
    </row>
    <row r="829" spans="6:10" ht="12.75" x14ac:dyDescent="0.2">
      <c r="F829" s="36"/>
      <c r="J829" s="35"/>
    </row>
    <row r="830" spans="6:10" ht="12.75" x14ac:dyDescent="0.2">
      <c r="F830" s="36"/>
      <c r="J830" s="35"/>
    </row>
    <row r="831" spans="6:10" ht="12.75" x14ac:dyDescent="0.2">
      <c r="F831" s="36"/>
      <c r="J831" s="35"/>
    </row>
    <row r="832" spans="6:10" ht="12.75" x14ac:dyDescent="0.2">
      <c r="F832" s="36"/>
      <c r="J832" s="35"/>
    </row>
    <row r="833" spans="6:10" ht="12.75" x14ac:dyDescent="0.2">
      <c r="F833" s="36"/>
      <c r="J833" s="35"/>
    </row>
    <row r="834" spans="6:10" ht="12.75" x14ac:dyDescent="0.2">
      <c r="F834" s="36"/>
      <c r="J834" s="35"/>
    </row>
    <row r="835" spans="6:10" ht="12.75" x14ac:dyDescent="0.2">
      <c r="F835" s="36"/>
      <c r="J835" s="35"/>
    </row>
    <row r="836" spans="6:10" ht="12.75" x14ac:dyDescent="0.2">
      <c r="F836" s="36"/>
      <c r="J836" s="35"/>
    </row>
    <row r="837" spans="6:10" ht="12.75" x14ac:dyDescent="0.2">
      <c r="F837" s="36"/>
      <c r="J837" s="35"/>
    </row>
    <row r="838" spans="6:10" ht="12.75" x14ac:dyDescent="0.2">
      <c r="F838" s="36"/>
      <c r="J838" s="35"/>
    </row>
    <row r="839" spans="6:10" ht="12.75" x14ac:dyDescent="0.2">
      <c r="F839" s="36"/>
      <c r="J839" s="35"/>
    </row>
    <row r="840" spans="6:10" ht="12.75" x14ac:dyDescent="0.2">
      <c r="F840" s="36"/>
      <c r="J840" s="35"/>
    </row>
    <row r="841" spans="6:10" ht="12.75" x14ac:dyDescent="0.2">
      <c r="F841" s="36"/>
      <c r="J841" s="35"/>
    </row>
    <row r="842" spans="6:10" ht="12.75" x14ac:dyDescent="0.2">
      <c r="F842" s="36"/>
      <c r="J842" s="35"/>
    </row>
    <row r="843" spans="6:10" ht="12.75" x14ac:dyDescent="0.2">
      <c r="F843" s="36"/>
      <c r="J843" s="35"/>
    </row>
    <row r="844" spans="6:10" ht="12.75" x14ac:dyDescent="0.2">
      <c r="F844" s="36"/>
      <c r="J844" s="35"/>
    </row>
    <row r="845" spans="6:10" ht="12.75" x14ac:dyDescent="0.2">
      <c r="F845" s="36"/>
      <c r="J845" s="35"/>
    </row>
    <row r="846" spans="6:10" ht="12.75" x14ac:dyDescent="0.2">
      <c r="F846" s="36"/>
      <c r="J846" s="35"/>
    </row>
    <row r="847" spans="6:10" ht="12.75" x14ac:dyDescent="0.2">
      <c r="F847" s="36"/>
      <c r="J847" s="35"/>
    </row>
    <row r="848" spans="6:10" ht="12.75" x14ac:dyDescent="0.2">
      <c r="F848" s="36"/>
      <c r="J848" s="35"/>
    </row>
    <row r="849" spans="6:10" ht="12.75" x14ac:dyDescent="0.2">
      <c r="F849" s="36"/>
      <c r="J849" s="35"/>
    </row>
    <row r="850" spans="6:10" ht="12.75" x14ac:dyDescent="0.2">
      <c r="F850" s="36"/>
      <c r="J850" s="35"/>
    </row>
    <row r="851" spans="6:10" ht="12.75" x14ac:dyDescent="0.2">
      <c r="F851" s="36"/>
      <c r="J851" s="35"/>
    </row>
    <row r="852" spans="6:10" ht="12.75" x14ac:dyDescent="0.2">
      <c r="F852" s="36"/>
      <c r="J852" s="35"/>
    </row>
    <row r="853" spans="6:10" ht="12.75" x14ac:dyDescent="0.2">
      <c r="F853" s="36"/>
      <c r="J853" s="35"/>
    </row>
    <row r="854" spans="6:10" ht="12.75" x14ac:dyDescent="0.2">
      <c r="F854" s="36"/>
      <c r="J854" s="35"/>
    </row>
    <row r="855" spans="6:10" ht="12.75" x14ac:dyDescent="0.2">
      <c r="F855" s="36"/>
      <c r="J855" s="35"/>
    </row>
    <row r="856" spans="6:10" ht="12.75" x14ac:dyDescent="0.2">
      <c r="F856" s="36"/>
      <c r="J856" s="35"/>
    </row>
    <row r="857" spans="6:10" ht="12.75" x14ac:dyDescent="0.2">
      <c r="F857" s="36"/>
      <c r="J857" s="35"/>
    </row>
    <row r="858" spans="6:10" ht="12.75" x14ac:dyDescent="0.2">
      <c r="F858" s="36"/>
      <c r="J858" s="35"/>
    </row>
    <row r="859" spans="6:10" ht="12.75" x14ac:dyDescent="0.2">
      <c r="F859" s="36"/>
      <c r="J859" s="35"/>
    </row>
    <row r="860" spans="6:10" ht="12.75" x14ac:dyDescent="0.2">
      <c r="F860" s="36"/>
      <c r="J860" s="35"/>
    </row>
    <row r="861" spans="6:10" ht="12.75" x14ac:dyDescent="0.2">
      <c r="F861" s="36"/>
      <c r="J861" s="35"/>
    </row>
    <row r="862" spans="6:10" ht="12.75" x14ac:dyDescent="0.2">
      <c r="F862" s="36"/>
      <c r="J862" s="35"/>
    </row>
    <row r="863" spans="6:10" ht="12.75" x14ac:dyDescent="0.2">
      <c r="F863" s="36"/>
      <c r="J863" s="35"/>
    </row>
    <row r="864" spans="6:10" ht="12.75" x14ac:dyDescent="0.2">
      <c r="F864" s="36"/>
      <c r="J864" s="35"/>
    </row>
    <row r="865" spans="6:10" ht="12.75" x14ac:dyDescent="0.2">
      <c r="F865" s="36"/>
      <c r="J865" s="35"/>
    </row>
    <row r="866" spans="6:10" ht="12.75" x14ac:dyDescent="0.2">
      <c r="F866" s="36"/>
      <c r="J866" s="35"/>
    </row>
    <row r="867" spans="6:10" ht="12.75" x14ac:dyDescent="0.2">
      <c r="F867" s="36"/>
      <c r="J867" s="35"/>
    </row>
    <row r="868" spans="6:10" ht="12.75" x14ac:dyDescent="0.2">
      <c r="F868" s="36"/>
      <c r="J868" s="35"/>
    </row>
    <row r="869" spans="6:10" ht="12.75" x14ac:dyDescent="0.2">
      <c r="F869" s="36"/>
      <c r="J869" s="35"/>
    </row>
    <row r="870" spans="6:10" ht="12.75" x14ac:dyDescent="0.2">
      <c r="F870" s="36"/>
      <c r="J870" s="35"/>
    </row>
    <row r="871" spans="6:10" ht="12.75" x14ac:dyDescent="0.2">
      <c r="F871" s="36"/>
      <c r="J871" s="35"/>
    </row>
    <row r="872" spans="6:10" ht="12.75" x14ac:dyDescent="0.2">
      <c r="F872" s="36"/>
      <c r="J872" s="35"/>
    </row>
    <row r="873" spans="6:10" ht="12.75" x14ac:dyDescent="0.2">
      <c r="F873" s="36"/>
      <c r="J873" s="35"/>
    </row>
    <row r="874" spans="6:10" ht="12.75" x14ac:dyDescent="0.2">
      <c r="F874" s="36"/>
      <c r="J874" s="35"/>
    </row>
    <row r="875" spans="6:10" ht="12.75" x14ac:dyDescent="0.2">
      <c r="F875" s="36"/>
      <c r="J875" s="35"/>
    </row>
    <row r="876" spans="6:10" ht="12.75" x14ac:dyDescent="0.2">
      <c r="F876" s="36"/>
      <c r="J876" s="35"/>
    </row>
    <row r="877" spans="6:10" ht="12.75" x14ac:dyDescent="0.2">
      <c r="F877" s="36"/>
      <c r="J877" s="35"/>
    </row>
    <row r="878" spans="6:10" ht="12.75" x14ac:dyDescent="0.2">
      <c r="F878" s="36"/>
      <c r="J878" s="35"/>
    </row>
    <row r="879" spans="6:10" ht="12.75" x14ac:dyDescent="0.2">
      <c r="F879" s="36"/>
      <c r="J879" s="35"/>
    </row>
    <row r="880" spans="6:10" ht="12.75" x14ac:dyDescent="0.2">
      <c r="F880" s="36"/>
      <c r="J880" s="35"/>
    </row>
    <row r="881" spans="6:10" ht="12.75" x14ac:dyDescent="0.2">
      <c r="F881" s="36"/>
      <c r="J881" s="35"/>
    </row>
    <row r="882" spans="6:10" ht="12.75" x14ac:dyDescent="0.2">
      <c r="F882" s="36"/>
      <c r="J882" s="35"/>
    </row>
    <row r="883" spans="6:10" ht="12.75" x14ac:dyDescent="0.2">
      <c r="F883" s="36"/>
      <c r="J883" s="35"/>
    </row>
    <row r="884" spans="6:10" ht="12.75" x14ac:dyDescent="0.2">
      <c r="F884" s="36"/>
      <c r="J884" s="35"/>
    </row>
    <row r="885" spans="6:10" ht="12.75" x14ac:dyDescent="0.2">
      <c r="F885" s="36"/>
      <c r="J885" s="35"/>
    </row>
    <row r="886" spans="6:10" ht="12.75" x14ac:dyDescent="0.2">
      <c r="F886" s="36"/>
      <c r="J886" s="35"/>
    </row>
    <row r="887" spans="6:10" ht="12.75" x14ac:dyDescent="0.2">
      <c r="F887" s="36"/>
      <c r="J887" s="35"/>
    </row>
    <row r="888" spans="6:10" ht="12.75" x14ac:dyDescent="0.2">
      <c r="F888" s="36"/>
      <c r="J888" s="35"/>
    </row>
    <row r="889" spans="6:10" ht="12.75" x14ac:dyDescent="0.2">
      <c r="F889" s="36"/>
      <c r="J889" s="35"/>
    </row>
    <row r="890" spans="6:10" ht="12.75" x14ac:dyDescent="0.2">
      <c r="F890" s="36"/>
      <c r="J890" s="35"/>
    </row>
    <row r="891" spans="6:10" ht="12.75" x14ac:dyDescent="0.2">
      <c r="F891" s="36"/>
      <c r="J891" s="35"/>
    </row>
    <row r="892" spans="6:10" ht="12.75" x14ac:dyDescent="0.2">
      <c r="F892" s="36"/>
      <c r="J892" s="35"/>
    </row>
    <row r="893" spans="6:10" ht="12.75" x14ac:dyDescent="0.2">
      <c r="F893" s="36"/>
      <c r="J893" s="35"/>
    </row>
    <row r="894" spans="6:10" ht="12.75" x14ac:dyDescent="0.2">
      <c r="F894" s="36"/>
      <c r="J894" s="35"/>
    </row>
    <row r="895" spans="6:10" ht="12.75" x14ac:dyDescent="0.2">
      <c r="F895" s="36"/>
      <c r="J895" s="35"/>
    </row>
    <row r="896" spans="6:10" ht="12.75" x14ac:dyDescent="0.2">
      <c r="F896" s="36"/>
      <c r="J896" s="35"/>
    </row>
    <row r="897" spans="6:10" ht="12.75" x14ac:dyDescent="0.2">
      <c r="F897" s="36"/>
      <c r="J897" s="35"/>
    </row>
    <row r="898" spans="6:10" ht="12.75" x14ac:dyDescent="0.2">
      <c r="F898" s="36"/>
      <c r="J898" s="35"/>
    </row>
    <row r="899" spans="6:10" ht="12.75" x14ac:dyDescent="0.2">
      <c r="F899" s="36"/>
      <c r="J899" s="35"/>
    </row>
    <row r="900" spans="6:10" ht="12.75" x14ac:dyDescent="0.2">
      <c r="F900" s="36"/>
      <c r="J900" s="35"/>
    </row>
    <row r="901" spans="6:10" ht="12.75" x14ac:dyDescent="0.2">
      <c r="F901" s="36"/>
      <c r="J901" s="35"/>
    </row>
    <row r="902" spans="6:10" ht="12.75" x14ac:dyDescent="0.2">
      <c r="F902" s="36"/>
      <c r="J902" s="35"/>
    </row>
    <row r="903" spans="6:10" ht="12.75" x14ac:dyDescent="0.2">
      <c r="F903" s="36"/>
      <c r="J903" s="35"/>
    </row>
    <row r="904" spans="6:10" ht="12.75" x14ac:dyDescent="0.2">
      <c r="F904" s="36"/>
      <c r="J904" s="35"/>
    </row>
    <row r="905" spans="6:10" ht="12.75" x14ac:dyDescent="0.2">
      <c r="F905" s="36"/>
      <c r="J905" s="35"/>
    </row>
    <row r="906" spans="6:10" ht="12.75" x14ac:dyDescent="0.2">
      <c r="F906" s="36"/>
      <c r="J906" s="35"/>
    </row>
    <row r="907" spans="6:10" ht="12.75" x14ac:dyDescent="0.2">
      <c r="F907" s="36"/>
      <c r="J907" s="35"/>
    </row>
    <row r="908" spans="6:10" ht="12.75" x14ac:dyDescent="0.2">
      <c r="F908" s="36"/>
      <c r="J908" s="35"/>
    </row>
    <row r="909" spans="6:10" ht="12.75" x14ac:dyDescent="0.2">
      <c r="F909" s="36"/>
      <c r="J909" s="35"/>
    </row>
    <row r="910" spans="6:10" ht="12.75" x14ac:dyDescent="0.2">
      <c r="F910" s="36"/>
      <c r="J910" s="35"/>
    </row>
    <row r="911" spans="6:10" ht="12.75" x14ac:dyDescent="0.2">
      <c r="F911" s="36"/>
      <c r="J911" s="35"/>
    </row>
    <row r="912" spans="6:10" ht="12.75" x14ac:dyDescent="0.2">
      <c r="F912" s="36"/>
      <c r="J912" s="35"/>
    </row>
    <row r="913" spans="6:10" ht="12.75" x14ac:dyDescent="0.2">
      <c r="F913" s="36"/>
      <c r="J913" s="35"/>
    </row>
    <row r="914" spans="6:10" ht="12.75" x14ac:dyDescent="0.2">
      <c r="F914" s="36"/>
      <c r="J914" s="35"/>
    </row>
    <row r="915" spans="6:10" ht="12.75" x14ac:dyDescent="0.2">
      <c r="F915" s="36"/>
      <c r="J915" s="35"/>
    </row>
    <row r="916" spans="6:10" ht="12.75" x14ac:dyDescent="0.2">
      <c r="F916" s="36"/>
      <c r="J916" s="35"/>
    </row>
    <row r="917" spans="6:10" ht="12.75" x14ac:dyDescent="0.2">
      <c r="F917" s="36"/>
      <c r="J917" s="35"/>
    </row>
    <row r="918" spans="6:10" ht="12.75" x14ac:dyDescent="0.2">
      <c r="F918" s="36"/>
      <c r="J918" s="35"/>
    </row>
    <row r="919" spans="6:10" ht="12.75" x14ac:dyDescent="0.2">
      <c r="F919" s="36"/>
      <c r="J919" s="35"/>
    </row>
    <row r="920" spans="6:10" ht="12.75" x14ac:dyDescent="0.2">
      <c r="F920" s="36"/>
      <c r="J920" s="35"/>
    </row>
    <row r="921" spans="6:10" ht="12.75" x14ac:dyDescent="0.2">
      <c r="F921" s="36"/>
      <c r="J921" s="35"/>
    </row>
    <row r="922" spans="6:10" ht="12.75" x14ac:dyDescent="0.2">
      <c r="F922" s="36"/>
      <c r="J922" s="35"/>
    </row>
    <row r="923" spans="6:10" ht="12.75" x14ac:dyDescent="0.2">
      <c r="F923" s="36"/>
      <c r="J923" s="35"/>
    </row>
    <row r="924" spans="6:10" ht="12.75" x14ac:dyDescent="0.2">
      <c r="F924" s="36"/>
      <c r="J924" s="35"/>
    </row>
    <row r="925" spans="6:10" ht="12.75" x14ac:dyDescent="0.2">
      <c r="F925" s="36"/>
      <c r="J925" s="35"/>
    </row>
    <row r="926" spans="6:10" ht="12.75" x14ac:dyDescent="0.2">
      <c r="F926" s="36"/>
      <c r="J926" s="35"/>
    </row>
    <row r="927" spans="6:10" ht="12.75" x14ac:dyDescent="0.2">
      <c r="F927" s="36"/>
      <c r="J927" s="35"/>
    </row>
    <row r="928" spans="6:10" ht="12.75" x14ac:dyDescent="0.2">
      <c r="F928" s="36"/>
      <c r="J928" s="35"/>
    </row>
    <row r="929" spans="6:10" ht="12.75" x14ac:dyDescent="0.2">
      <c r="F929" s="36"/>
      <c r="J929" s="35"/>
    </row>
    <row r="930" spans="6:10" ht="12.75" x14ac:dyDescent="0.2">
      <c r="F930" s="36"/>
      <c r="J930" s="35"/>
    </row>
    <row r="931" spans="6:10" ht="12.75" x14ac:dyDescent="0.2">
      <c r="F931" s="36"/>
      <c r="J931" s="35"/>
    </row>
    <row r="932" spans="6:10" ht="12.75" x14ac:dyDescent="0.2">
      <c r="F932" s="36"/>
      <c r="J932" s="35"/>
    </row>
    <row r="933" spans="6:10" ht="12.75" x14ac:dyDescent="0.2">
      <c r="F933" s="36"/>
      <c r="J933" s="35"/>
    </row>
    <row r="934" spans="6:10" ht="12.75" x14ac:dyDescent="0.2">
      <c r="F934" s="36"/>
      <c r="J934" s="35"/>
    </row>
    <row r="935" spans="6:10" ht="12.75" x14ac:dyDescent="0.2">
      <c r="F935" s="36"/>
      <c r="J935" s="35"/>
    </row>
    <row r="936" spans="6:10" ht="12.75" x14ac:dyDescent="0.2">
      <c r="F936" s="36"/>
      <c r="J936" s="35"/>
    </row>
    <row r="937" spans="6:10" ht="12.75" x14ac:dyDescent="0.2">
      <c r="F937" s="36"/>
      <c r="J937" s="35"/>
    </row>
    <row r="938" spans="6:10" ht="12.75" x14ac:dyDescent="0.2">
      <c r="F938" s="36"/>
      <c r="J938" s="35"/>
    </row>
    <row r="939" spans="6:10" ht="12.75" x14ac:dyDescent="0.2">
      <c r="F939" s="36"/>
      <c r="J939" s="35"/>
    </row>
    <row r="940" spans="6:10" ht="12.75" x14ac:dyDescent="0.2">
      <c r="F940" s="36"/>
      <c r="J940" s="35"/>
    </row>
    <row r="941" spans="6:10" ht="12.75" x14ac:dyDescent="0.2">
      <c r="F941" s="36"/>
      <c r="J941" s="35"/>
    </row>
    <row r="942" spans="6:10" ht="12.75" x14ac:dyDescent="0.2">
      <c r="F942" s="36"/>
      <c r="J942" s="35"/>
    </row>
    <row r="943" spans="6:10" ht="12.75" x14ac:dyDescent="0.2">
      <c r="F943" s="36"/>
      <c r="J943" s="35"/>
    </row>
    <row r="944" spans="6:10" ht="12.75" x14ac:dyDescent="0.2">
      <c r="F944" s="36"/>
      <c r="J944" s="35"/>
    </row>
    <row r="945" spans="6:10" ht="12.75" x14ac:dyDescent="0.2">
      <c r="F945" s="36"/>
      <c r="J945" s="35"/>
    </row>
    <row r="946" spans="6:10" ht="12.75" x14ac:dyDescent="0.2">
      <c r="F946" s="36"/>
      <c r="J946" s="35"/>
    </row>
    <row r="947" spans="6:10" ht="12.75" x14ac:dyDescent="0.2">
      <c r="F947" s="36"/>
      <c r="J947" s="35"/>
    </row>
    <row r="948" spans="6:10" ht="12.75" x14ac:dyDescent="0.2">
      <c r="F948" s="36"/>
      <c r="J948" s="35"/>
    </row>
    <row r="949" spans="6:10" ht="12.75" x14ac:dyDescent="0.2">
      <c r="F949" s="36"/>
      <c r="J949" s="35"/>
    </row>
    <row r="950" spans="6:10" ht="12.75" x14ac:dyDescent="0.2">
      <c r="F950" s="36"/>
      <c r="J950" s="35"/>
    </row>
    <row r="951" spans="6:10" ht="12.75" x14ac:dyDescent="0.2">
      <c r="F951" s="36"/>
      <c r="J951" s="35"/>
    </row>
    <row r="952" spans="6:10" ht="12.75" x14ac:dyDescent="0.2">
      <c r="F952" s="36"/>
      <c r="J952" s="35"/>
    </row>
    <row r="953" spans="6:10" ht="12.75" x14ac:dyDescent="0.2">
      <c r="F953" s="36"/>
      <c r="J953" s="35"/>
    </row>
    <row r="954" spans="6:10" ht="12.75" x14ac:dyDescent="0.2">
      <c r="F954" s="36"/>
      <c r="J954" s="35"/>
    </row>
    <row r="955" spans="6:10" ht="12.75" x14ac:dyDescent="0.2">
      <c r="F955" s="36"/>
      <c r="J955" s="35"/>
    </row>
    <row r="956" spans="6:10" ht="12.75" x14ac:dyDescent="0.2">
      <c r="F956" s="36"/>
      <c r="J956" s="35"/>
    </row>
    <row r="957" spans="6:10" ht="12.75" x14ac:dyDescent="0.2">
      <c r="F957" s="36"/>
      <c r="J957" s="35"/>
    </row>
    <row r="958" spans="6:10" ht="12.75" x14ac:dyDescent="0.2">
      <c r="F958" s="36"/>
      <c r="J958" s="35"/>
    </row>
    <row r="959" spans="6:10" ht="12.75" x14ac:dyDescent="0.2">
      <c r="F959" s="36"/>
      <c r="J959" s="35"/>
    </row>
    <row r="960" spans="6:10" ht="12.75" x14ac:dyDescent="0.2">
      <c r="F960" s="36"/>
      <c r="J960" s="35"/>
    </row>
    <row r="961" spans="6:10" ht="12.75" x14ac:dyDescent="0.2">
      <c r="F961" s="36"/>
      <c r="J961" s="35"/>
    </row>
    <row r="962" spans="6:10" ht="12.75" x14ac:dyDescent="0.2">
      <c r="F962" s="36"/>
      <c r="J962" s="35"/>
    </row>
    <row r="963" spans="6:10" ht="12.75" x14ac:dyDescent="0.2">
      <c r="F963" s="36"/>
      <c r="J963" s="35"/>
    </row>
    <row r="964" spans="6:10" ht="12.75" x14ac:dyDescent="0.2">
      <c r="F964" s="36"/>
      <c r="J964" s="35"/>
    </row>
    <row r="965" spans="6:10" ht="12.75" x14ac:dyDescent="0.2">
      <c r="F965" s="36"/>
      <c r="J965" s="35"/>
    </row>
    <row r="966" spans="6:10" ht="12.75" x14ac:dyDescent="0.2">
      <c r="F966" s="36"/>
      <c r="J966" s="35"/>
    </row>
    <row r="967" spans="6:10" ht="12.75" x14ac:dyDescent="0.2">
      <c r="F967" s="36"/>
      <c r="J967" s="35"/>
    </row>
    <row r="968" spans="6:10" ht="12.75" x14ac:dyDescent="0.2">
      <c r="F968" s="36"/>
      <c r="J968" s="35"/>
    </row>
    <row r="969" spans="6:10" ht="12.75" x14ac:dyDescent="0.2">
      <c r="F969" s="36"/>
      <c r="J969" s="35"/>
    </row>
    <row r="970" spans="6:10" ht="12.75" x14ac:dyDescent="0.2">
      <c r="F970" s="36"/>
      <c r="J970" s="35"/>
    </row>
    <row r="971" spans="6:10" ht="12.75" x14ac:dyDescent="0.2">
      <c r="F971" s="36"/>
      <c r="J971" s="35"/>
    </row>
    <row r="972" spans="6:10" ht="12.75" x14ac:dyDescent="0.2">
      <c r="F972" s="36"/>
      <c r="J972" s="35"/>
    </row>
    <row r="973" spans="6:10" ht="12.75" x14ac:dyDescent="0.2">
      <c r="F973" s="36"/>
      <c r="J973" s="35"/>
    </row>
    <row r="974" spans="6:10" ht="12.75" x14ac:dyDescent="0.2">
      <c r="F974" s="36"/>
      <c r="J974" s="35"/>
    </row>
    <row r="975" spans="6:10" ht="12.75" x14ac:dyDescent="0.2">
      <c r="F975" s="36"/>
      <c r="J975" s="35"/>
    </row>
    <row r="976" spans="6:10" ht="12.75" x14ac:dyDescent="0.2">
      <c r="F976" s="36"/>
      <c r="J976" s="35"/>
    </row>
    <row r="977" spans="6:10" ht="12.75" x14ac:dyDescent="0.2">
      <c r="F977" s="36"/>
      <c r="J977" s="35"/>
    </row>
    <row r="978" spans="6:10" ht="12.75" x14ac:dyDescent="0.2">
      <c r="F978" s="36"/>
      <c r="J978" s="35"/>
    </row>
    <row r="979" spans="6:10" ht="12.75" x14ac:dyDescent="0.2">
      <c r="F979" s="36"/>
      <c r="J979" s="35"/>
    </row>
    <row r="980" spans="6:10" ht="12.75" x14ac:dyDescent="0.2">
      <c r="F980" s="36"/>
      <c r="J980" s="35"/>
    </row>
    <row r="981" spans="6:10" ht="12.75" x14ac:dyDescent="0.2">
      <c r="F981" s="36"/>
      <c r="J981" s="35"/>
    </row>
    <row r="982" spans="6:10" ht="12.75" x14ac:dyDescent="0.2">
      <c r="F982" s="36"/>
      <c r="J982" s="35"/>
    </row>
    <row r="983" spans="6:10" ht="12.75" x14ac:dyDescent="0.2">
      <c r="F983" s="36"/>
      <c r="J983" s="35"/>
    </row>
    <row r="984" spans="6:10" ht="12.75" x14ac:dyDescent="0.2">
      <c r="F984" s="36"/>
      <c r="J984" s="35"/>
    </row>
    <row r="985" spans="6:10" ht="12.75" x14ac:dyDescent="0.2">
      <c r="F985" s="36"/>
      <c r="J985" s="35"/>
    </row>
    <row r="986" spans="6:10" ht="12.75" x14ac:dyDescent="0.2">
      <c r="F986" s="36"/>
      <c r="J986" s="35"/>
    </row>
    <row r="987" spans="6:10" ht="12.75" x14ac:dyDescent="0.2">
      <c r="F987" s="36"/>
      <c r="J987" s="35"/>
    </row>
    <row r="988" spans="6:10" ht="12.75" x14ac:dyDescent="0.2">
      <c r="F988" s="36"/>
      <c r="J988" s="35"/>
    </row>
    <row r="989" spans="6:10" ht="12.75" x14ac:dyDescent="0.2">
      <c r="F989" s="36"/>
      <c r="J989" s="35"/>
    </row>
    <row r="990" spans="6:10" ht="12.75" x14ac:dyDescent="0.2">
      <c r="F990" s="36"/>
      <c r="J990" s="35"/>
    </row>
    <row r="991" spans="6:10" ht="12.75" x14ac:dyDescent="0.2">
      <c r="F991" s="36"/>
      <c r="J991" s="35"/>
    </row>
    <row r="992" spans="6:10" ht="12.75" x14ac:dyDescent="0.2">
      <c r="F992" s="36"/>
      <c r="J992" s="35"/>
    </row>
    <row r="993" spans="6:10" ht="12.75" x14ac:dyDescent="0.2">
      <c r="F993" s="36"/>
      <c r="J993" s="35"/>
    </row>
    <row r="994" spans="6:10" ht="12.75" x14ac:dyDescent="0.2">
      <c r="F994" s="36"/>
      <c r="J994" s="35"/>
    </row>
    <row r="995" spans="6:10" ht="12.75" x14ac:dyDescent="0.2">
      <c r="F995" s="36"/>
      <c r="J995" s="35"/>
    </row>
    <row r="996" spans="6:10" ht="12.75" x14ac:dyDescent="0.2">
      <c r="F996" s="36"/>
      <c r="J996" s="35"/>
    </row>
    <row r="997" spans="6:10" ht="12.75" x14ac:dyDescent="0.2">
      <c r="F997" s="36"/>
      <c r="J997" s="35"/>
    </row>
    <row r="998" spans="6:10" ht="12.75" x14ac:dyDescent="0.2">
      <c r="F998" s="36"/>
      <c r="J998" s="35"/>
    </row>
    <row r="999" spans="6:10" ht="12.75" x14ac:dyDescent="0.2">
      <c r="F999" s="36"/>
      <c r="J999" s="35"/>
    </row>
    <row r="1000" spans="6:10" ht="12.75" x14ac:dyDescent="0.2">
      <c r="F1000" s="36"/>
      <c r="J1000" s="3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4.42578125" customWidth="1"/>
  </cols>
  <sheetData>
    <row r="1" spans="1:14" ht="15.75" customHeight="1" x14ac:dyDescent="0.2">
      <c r="A1" s="2" t="s">
        <v>4</v>
      </c>
      <c r="B1" s="2" t="s">
        <v>7</v>
      </c>
      <c r="C1" s="9" t="s">
        <v>8</v>
      </c>
      <c r="D1" s="9" t="s">
        <v>18</v>
      </c>
      <c r="E1" s="9" t="s">
        <v>19</v>
      </c>
      <c r="F1" s="2"/>
      <c r="G1" s="2"/>
      <c r="H1" s="2"/>
      <c r="I1" s="2"/>
      <c r="J1" s="2"/>
      <c r="K1" s="1"/>
      <c r="L1" s="1"/>
      <c r="M1" s="1"/>
      <c r="N1" s="1"/>
    </row>
    <row r="2" spans="1:14" ht="15.75" customHeight="1" x14ac:dyDescent="0.2">
      <c r="A2" s="11">
        <v>1</v>
      </c>
      <c r="B2" s="2" t="s">
        <v>23</v>
      </c>
      <c r="C2" s="13">
        <v>90</v>
      </c>
      <c r="D2" s="13">
        <v>126</v>
      </c>
      <c r="E2" s="13">
        <v>126</v>
      </c>
      <c r="F2" s="11"/>
      <c r="G2" s="11"/>
      <c r="H2" s="11"/>
      <c r="I2" s="11"/>
      <c r="J2" s="11"/>
      <c r="K2" s="15"/>
      <c r="L2" s="1"/>
      <c r="M2" s="1"/>
      <c r="N2" s="1"/>
    </row>
    <row r="3" spans="1:14" ht="15.75" customHeight="1" x14ac:dyDescent="0.2">
      <c r="A3" s="11">
        <v>2</v>
      </c>
      <c r="B3" s="2" t="s">
        <v>26</v>
      </c>
      <c r="C3" s="13">
        <v>120</v>
      </c>
      <c r="D3" s="13">
        <v>156</v>
      </c>
      <c r="E3" s="13">
        <v>158</v>
      </c>
      <c r="F3" s="11"/>
      <c r="G3" s="11"/>
      <c r="H3" s="11"/>
      <c r="I3" s="11"/>
      <c r="J3" s="11"/>
      <c r="K3" s="15"/>
      <c r="L3" s="1"/>
      <c r="M3" s="1"/>
      <c r="N3" s="1"/>
    </row>
    <row r="4" spans="1:14" ht="15.75" customHeight="1" x14ac:dyDescent="0.2">
      <c r="A4" s="11">
        <v>3</v>
      </c>
      <c r="B4" s="2" t="s">
        <v>28</v>
      </c>
      <c r="C4" s="13">
        <v>160</v>
      </c>
      <c r="D4" s="13">
        <v>198</v>
      </c>
      <c r="E4" s="13">
        <v>200</v>
      </c>
      <c r="F4" s="11"/>
      <c r="G4" s="11"/>
      <c r="H4" s="11"/>
      <c r="I4" s="11"/>
      <c r="J4" s="11"/>
      <c r="K4" s="15"/>
      <c r="L4" s="1"/>
      <c r="M4" s="1"/>
      <c r="N4" s="1"/>
    </row>
    <row r="5" spans="1:14" ht="15.75" customHeight="1" x14ac:dyDescent="0.2">
      <c r="A5" s="11">
        <v>4</v>
      </c>
      <c r="B5" s="2" t="s">
        <v>29</v>
      </c>
      <c r="C5" s="13">
        <v>78</v>
      </c>
      <c r="D5" s="13">
        <v>128</v>
      </c>
      <c r="E5" s="13">
        <v>108</v>
      </c>
      <c r="F5" s="11"/>
      <c r="G5" s="11"/>
      <c r="H5" s="11"/>
      <c r="I5" s="11"/>
      <c r="J5" s="11"/>
      <c r="K5" s="15"/>
      <c r="L5" s="1"/>
      <c r="M5" s="1"/>
      <c r="N5" s="1"/>
    </row>
    <row r="6" spans="1:14" ht="15.75" customHeight="1" x14ac:dyDescent="0.2">
      <c r="A6" s="11">
        <v>5</v>
      </c>
      <c r="B6" s="2" t="s">
        <v>31</v>
      </c>
      <c r="C6" s="13">
        <v>116</v>
      </c>
      <c r="D6" s="13">
        <v>160</v>
      </c>
      <c r="E6" s="13">
        <v>140</v>
      </c>
      <c r="F6" s="11"/>
      <c r="G6" s="11"/>
      <c r="H6" s="11"/>
      <c r="I6" s="11"/>
      <c r="J6" s="11"/>
      <c r="K6" s="15"/>
      <c r="L6" s="1"/>
      <c r="M6" s="1"/>
      <c r="N6" s="1"/>
    </row>
    <row r="7" spans="1:14" ht="15.75" customHeight="1" x14ac:dyDescent="0.2">
      <c r="A7" s="11">
        <v>6</v>
      </c>
      <c r="B7" s="2" t="s">
        <v>33</v>
      </c>
      <c r="C7" s="13">
        <v>156</v>
      </c>
      <c r="D7" s="13">
        <v>212</v>
      </c>
      <c r="E7" s="13">
        <v>182</v>
      </c>
      <c r="F7" s="11"/>
      <c r="G7" s="11"/>
      <c r="H7" s="11"/>
      <c r="I7" s="11"/>
      <c r="J7" s="11"/>
      <c r="K7" s="15"/>
      <c r="L7" s="1"/>
      <c r="M7" s="1"/>
      <c r="N7" s="1"/>
    </row>
    <row r="8" spans="1:14" ht="15.75" customHeight="1" x14ac:dyDescent="0.2">
      <c r="A8" s="11">
        <v>7</v>
      </c>
      <c r="B8" s="2" t="s">
        <v>34</v>
      </c>
      <c r="C8" s="13">
        <v>88</v>
      </c>
      <c r="D8" s="13">
        <v>112</v>
      </c>
      <c r="E8" s="13">
        <v>142</v>
      </c>
      <c r="F8" s="11"/>
      <c r="G8" s="11"/>
      <c r="H8" s="11"/>
      <c r="I8" s="11"/>
      <c r="J8" s="11"/>
      <c r="K8" s="15"/>
      <c r="L8" s="1"/>
      <c r="M8" s="1"/>
      <c r="N8" s="1"/>
    </row>
    <row r="9" spans="1:14" ht="15.75" customHeight="1" x14ac:dyDescent="0.2">
      <c r="A9" s="11">
        <v>8</v>
      </c>
      <c r="B9" s="2" t="s">
        <v>35</v>
      </c>
      <c r="C9" s="13">
        <v>118</v>
      </c>
      <c r="D9" s="13">
        <v>144</v>
      </c>
      <c r="E9" s="13">
        <v>176</v>
      </c>
      <c r="F9" s="11"/>
      <c r="G9" s="11"/>
      <c r="H9" s="11"/>
      <c r="I9" s="11"/>
      <c r="J9" s="11"/>
      <c r="K9" s="15"/>
      <c r="L9" s="1"/>
      <c r="M9" s="1"/>
      <c r="N9" s="1"/>
    </row>
    <row r="10" spans="1:14" ht="15.75" customHeight="1" x14ac:dyDescent="0.2">
      <c r="A10" s="11">
        <v>9</v>
      </c>
      <c r="B10" s="2" t="s">
        <v>37</v>
      </c>
      <c r="C10" s="13">
        <v>158</v>
      </c>
      <c r="D10" s="13">
        <v>186</v>
      </c>
      <c r="E10" s="13">
        <v>222</v>
      </c>
      <c r="F10" s="11"/>
      <c r="G10" s="11"/>
      <c r="H10" s="11"/>
      <c r="I10" s="11"/>
      <c r="J10" s="11"/>
      <c r="K10" s="15"/>
      <c r="L10" s="1"/>
      <c r="M10" s="1"/>
      <c r="N10" s="1"/>
    </row>
    <row r="11" spans="1:14" ht="15.75" customHeight="1" x14ac:dyDescent="0.2">
      <c r="A11" s="11">
        <v>10</v>
      </c>
      <c r="B11" s="2" t="s">
        <v>38</v>
      </c>
      <c r="C11" s="13">
        <v>90</v>
      </c>
      <c r="D11" s="13">
        <v>62</v>
      </c>
      <c r="E11" s="13">
        <v>66</v>
      </c>
      <c r="F11" s="11"/>
      <c r="G11" s="11"/>
      <c r="H11" s="11"/>
      <c r="I11" s="11"/>
      <c r="J11" s="11"/>
      <c r="K11" s="15"/>
      <c r="L11" s="1"/>
      <c r="M11" s="1"/>
      <c r="N11" s="1"/>
    </row>
    <row r="12" spans="1:14" ht="15.75" customHeight="1" x14ac:dyDescent="0.2">
      <c r="A12" s="11">
        <v>11</v>
      </c>
      <c r="B12" s="2" t="s">
        <v>39</v>
      </c>
      <c r="C12" s="13">
        <v>100</v>
      </c>
      <c r="D12" s="13">
        <v>56</v>
      </c>
      <c r="E12" s="13">
        <v>86</v>
      </c>
      <c r="F12" s="11"/>
      <c r="G12" s="11"/>
      <c r="H12" s="11"/>
      <c r="I12" s="11"/>
      <c r="J12" s="11"/>
      <c r="K12" s="15"/>
      <c r="L12" s="1"/>
      <c r="M12" s="1"/>
      <c r="N12" s="1"/>
    </row>
    <row r="13" spans="1:14" ht="15.75" customHeight="1" x14ac:dyDescent="0.2">
      <c r="A13" s="11">
        <v>12</v>
      </c>
      <c r="B13" s="2" t="s">
        <v>40</v>
      </c>
      <c r="C13" s="13">
        <v>120</v>
      </c>
      <c r="D13" s="13">
        <v>144</v>
      </c>
      <c r="E13" s="13">
        <v>144</v>
      </c>
      <c r="F13" s="11"/>
      <c r="G13" s="11"/>
      <c r="H13" s="11"/>
      <c r="I13" s="11"/>
      <c r="J13" s="11"/>
      <c r="K13" s="15"/>
      <c r="L13" s="1"/>
      <c r="M13" s="1"/>
      <c r="N13" s="1"/>
    </row>
    <row r="14" spans="1:14" ht="15.75" customHeight="1" x14ac:dyDescent="0.2">
      <c r="A14" s="11">
        <v>13</v>
      </c>
      <c r="B14" s="2" t="s">
        <v>41</v>
      </c>
      <c r="C14" s="13">
        <v>80</v>
      </c>
      <c r="D14" s="13">
        <v>68</v>
      </c>
      <c r="E14" s="13">
        <v>64</v>
      </c>
      <c r="F14" s="11"/>
      <c r="G14" s="11"/>
      <c r="H14" s="11"/>
      <c r="I14" s="11"/>
      <c r="J14" s="11"/>
      <c r="K14" s="15"/>
      <c r="L14" s="1"/>
      <c r="M14" s="1"/>
      <c r="N14" s="1"/>
    </row>
    <row r="15" spans="1:14" ht="15.75" customHeight="1" x14ac:dyDescent="0.2">
      <c r="A15" s="11">
        <v>14</v>
      </c>
      <c r="B15" s="2" t="s">
        <v>44</v>
      </c>
      <c r="C15" s="13">
        <v>90</v>
      </c>
      <c r="D15" s="13">
        <v>62</v>
      </c>
      <c r="E15" s="13">
        <v>82</v>
      </c>
      <c r="F15" s="11"/>
      <c r="G15" s="11"/>
      <c r="H15" s="11"/>
      <c r="I15" s="11"/>
      <c r="J15" s="11"/>
      <c r="K15" s="15"/>
      <c r="L15" s="1"/>
      <c r="M15" s="1"/>
      <c r="N15" s="1"/>
    </row>
    <row r="16" spans="1:14" ht="15.75" customHeight="1" x14ac:dyDescent="0.2">
      <c r="A16" s="11">
        <v>15</v>
      </c>
      <c r="B16" s="2" t="s">
        <v>48</v>
      </c>
      <c r="C16" s="13">
        <v>130</v>
      </c>
      <c r="D16" s="13">
        <v>144</v>
      </c>
      <c r="E16" s="13">
        <v>130</v>
      </c>
      <c r="F16" s="11"/>
      <c r="G16" s="11"/>
      <c r="H16" s="11"/>
      <c r="I16" s="11"/>
      <c r="J16" s="11"/>
      <c r="K16" s="15"/>
      <c r="L16" s="1"/>
      <c r="M16" s="1"/>
      <c r="N16" s="1"/>
    </row>
    <row r="17" spans="1:14" ht="15.75" customHeight="1" x14ac:dyDescent="0.2">
      <c r="A17" s="11">
        <v>16</v>
      </c>
      <c r="B17" s="2" t="s">
        <v>49</v>
      </c>
      <c r="C17" s="13">
        <v>80</v>
      </c>
      <c r="D17" s="13">
        <v>94</v>
      </c>
      <c r="E17" s="13">
        <v>90</v>
      </c>
      <c r="F17" s="11"/>
      <c r="G17" s="11"/>
      <c r="H17" s="11"/>
      <c r="I17" s="11"/>
      <c r="J17" s="11"/>
      <c r="K17" s="15"/>
      <c r="L17" s="1"/>
      <c r="M17" s="1"/>
      <c r="N17" s="1"/>
    </row>
    <row r="18" spans="1:14" ht="15.75" customHeight="1" x14ac:dyDescent="0.2">
      <c r="A18" s="11">
        <v>17</v>
      </c>
      <c r="B18" s="2" t="s">
        <v>50</v>
      </c>
      <c r="C18" s="13">
        <v>126</v>
      </c>
      <c r="D18" s="13">
        <v>126</v>
      </c>
      <c r="E18" s="13">
        <v>122</v>
      </c>
      <c r="F18" s="11"/>
      <c r="G18" s="11"/>
      <c r="H18" s="11"/>
      <c r="I18" s="11"/>
      <c r="J18" s="11"/>
      <c r="K18" s="15"/>
      <c r="L18" s="1"/>
      <c r="M18" s="1"/>
      <c r="N18" s="1"/>
    </row>
    <row r="19" spans="1:14" ht="15.75" customHeight="1" x14ac:dyDescent="0.2">
      <c r="A19" s="11">
        <v>18</v>
      </c>
      <c r="B19" s="2" t="s">
        <v>51</v>
      </c>
      <c r="C19" s="13">
        <v>166</v>
      </c>
      <c r="D19" s="13">
        <v>170</v>
      </c>
      <c r="E19" s="13">
        <v>166</v>
      </c>
      <c r="F19" s="11"/>
      <c r="G19" s="11"/>
      <c r="H19" s="11"/>
      <c r="I19" s="11"/>
      <c r="J19" s="11"/>
      <c r="K19" s="15"/>
      <c r="L19" s="1"/>
      <c r="M19" s="1"/>
      <c r="N19" s="1"/>
    </row>
    <row r="20" spans="1:14" ht="15.75" customHeight="1" x14ac:dyDescent="0.2">
      <c r="A20" s="11">
        <v>19</v>
      </c>
      <c r="B20" s="2" t="s">
        <v>52</v>
      </c>
      <c r="C20" s="13">
        <v>60</v>
      </c>
      <c r="D20" s="13">
        <v>92</v>
      </c>
      <c r="E20" s="13">
        <v>86</v>
      </c>
      <c r="F20" s="11"/>
      <c r="G20" s="11"/>
      <c r="H20" s="11"/>
      <c r="I20" s="11"/>
      <c r="J20" s="11"/>
      <c r="K20" s="15"/>
      <c r="L20" s="1"/>
      <c r="M20" s="1"/>
      <c r="N20" s="1"/>
    </row>
    <row r="21" spans="1:14" ht="15.75" customHeight="1" x14ac:dyDescent="0.2">
      <c r="A21" s="11">
        <v>20</v>
      </c>
      <c r="B21" s="2" t="s">
        <v>53</v>
      </c>
      <c r="C21" s="13">
        <v>110</v>
      </c>
      <c r="D21" s="13">
        <v>146</v>
      </c>
      <c r="E21" s="13">
        <v>150</v>
      </c>
      <c r="F21" s="11"/>
      <c r="G21" s="11"/>
      <c r="H21" s="11"/>
      <c r="I21" s="11"/>
      <c r="J21" s="11"/>
      <c r="K21" s="15"/>
      <c r="L21" s="1"/>
      <c r="M21" s="1"/>
      <c r="N21" s="1"/>
    </row>
    <row r="22" spans="1:14" ht="15.75" customHeight="1" x14ac:dyDescent="0.2">
      <c r="A22" s="11">
        <v>21</v>
      </c>
      <c r="B22" s="2" t="s">
        <v>54</v>
      </c>
      <c r="C22" s="13">
        <v>80</v>
      </c>
      <c r="D22" s="13">
        <v>102</v>
      </c>
      <c r="E22" s="13">
        <v>78</v>
      </c>
      <c r="F22" s="11"/>
      <c r="G22" s="11"/>
      <c r="H22" s="11"/>
      <c r="I22" s="11"/>
      <c r="J22" s="11"/>
      <c r="K22" s="15"/>
      <c r="L22" s="1"/>
      <c r="M22" s="1"/>
      <c r="N22" s="1"/>
    </row>
    <row r="23" spans="1:14" ht="15.75" customHeight="1" x14ac:dyDescent="0.2">
      <c r="A23" s="11">
        <v>22</v>
      </c>
      <c r="B23" s="2" t="s">
        <v>55</v>
      </c>
      <c r="C23" s="13">
        <v>130</v>
      </c>
      <c r="D23" s="13">
        <v>168</v>
      </c>
      <c r="E23" s="13">
        <v>146</v>
      </c>
      <c r="F23" s="11"/>
      <c r="G23" s="11"/>
      <c r="H23" s="11"/>
      <c r="I23" s="11"/>
      <c r="J23" s="11"/>
      <c r="K23" s="15"/>
      <c r="L23" s="1"/>
      <c r="M23" s="1"/>
      <c r="N23" s="1"/>
    </row>
    <row r="24" spans="1:14" ht="15.75" customHeight="1" x14ac:dyDescent="0.2">
      <c r="A24" s="11">
        <v>23</v>
      </c>
      <c r="B24" s="2" t="s">
        <v>56</v>
      </c>
      <c r="C24" s="13">
        <v>70</v>
      </c>
      <c r="D24" s="13">
        <v>112</v>
      </c>
      <c r="E24" s="13">
        <v>112</v>
      </c>
      <c r="F24" s="11"/>
      <c r="G24" s="11"/>
      <c r="H24" s="11"/>
      <c r="I24" s="11"/>
      <c r="J24" s="11"/>
      <c r="K24" s="15"/>
      <c r="L24" s="1"/>
      <c r="M24" s="1"/>
      <c r="N24" s="1"/>
    </row>
    <row r="25" spans="1:14" ht="15.75" customHeight="1" x14ac:dyDescent="0.2">
      <c r="A25" s="11">
        <v>24</v>
      </c>
      <c r="B25" s="2" t="s">
        <v>57</v>
      </c>
      <c r="C25" s="13">
        <v>120</v>
      </c>
      <c r="D25" s="13">
        <v>166</v>
      </c>
      <c r="E25" s="13">
        <v>166</v>
      </c>
      <c r="F25" s="11"/>
      <c r="G25" s="11"/>
      <c r="H25" s="11"/>
      <c r="I25" s="11"/>
      <c r="J25" s="11"/>
      <c r="K25" s="15"/>
      <c r="L25" s="1"/>
      <c r="M25" s="1"/>
      <c r="N25" s="1"/>
    </row>
    <row r="26" spans="1:14" ht="15.75" customHeight="1" x14ac:dyDescent="0.2">
      <c r="A26" s="11">
        <v>25</v>
      </c>
      <c r="B26" s="2" t="s">
        <v>58</v>
      </c>
      <c r="C26" s="13">
        <v>70</v>
      </c>
      <c r="D26" s="13">
        <v>124</v>
      </c>
      <c r="E26" s="13">
        <v>108</v>
      </c>
      <c r="F26" s="11"/>
      <c r="G26" s="11"/>
      <c r="H26" s="11"/>
      <c r="I26" s="11"/>
      <c r="J26" s="11"/>
      <c r="K26" s="15"/>
      <c r="L26" s="1"/>
      <c r="M26" s="1"/>
      <c r="N26" s="1"/>
    </row>
    <row r="27" spans="1:14" ht="15.75" customHeight="1" x14ac:dyDescent="0.2">
      <c r="A27" s="11">
        <v>26</v>
      </c>
      <c r="B27" s="2" t="s">
        <v>59</v>
      </c>
      <c r="C27" s="13">
        <v>120</v>
      </c>
      <c r="D27" s="13">
        <v>200</v>
      </c>
      <c r="E27" s="13">
        <v>154</v>
      </c>
      <c r="F27" s="11"/>
      <c r="G27" s="11"/>
      <c r="H27" s="11"/>
      <c r="I27" s="11"/>
      <c r="J27" s="11"/>
      <c r="K27" s="15"/>
      <c r="L27" s="1"/>
      <c r="M27" s="1"/>
      <c r="N27" s="1"/>
    </row>
    <row r="28" spans="1:14" ht="15.75" customHeight="1" x14ac:dyDescent="0.2">
      <c r="A28" s="11">
        <v>27</v>
      </c>
      <c r="B28" s="2" t="s">
        <v>60</v>
      </c>
      <c r="C28" s="13">
        <v>100</v>
      </c>
      <c r="D28" s="13">
        <v>90</v>
      </c>
      <c r="E28" s="13">
        <v>114</v>
      </c>
      <c r="F28" s="11"/>
      <c r="G28" s="11"/>
      <c r="H28" s="11"/>
      <c r="I28" s="11"/>
      <c r="J28" s="11"/>
      <c r="K28" s="15"/>
      <c r="L28" s="1"/>
      <c r="M28" s="1"/>
      <c r="N28" s="1"/>
    </row>
    <row r="29" spans="1:14" ht="15.75" customHeight="1" x14ac:dyDescent="0.2">
      <c r="A29" s="11">
        <v>28</v>
      </c>
      <c r="B29" s="2" t="s">
        <v>61</v>
      </c>
      <c r="C29" s="13">
        <v>150</v>
      </c>
      <c r="D29" s="13">
        <v>150</v>
      </c>
      <c r="E29" s="13">
        <v>172</v>
      </c>
      <c r="F29" s="11"/>
      <c r="G29" s="11"/>
      <c r="H29" s="11"/>
      <c r="I29" s="11"/>
      <c r="J29" s="11"/>
      <c r="K29" s="15"/>
      <c r="L29" s="1"/>
      <c r="M29" s="1"/>
      <c r="N29" s="1"/>
    </row>
    <row r="30" spans="1:14" ht="15.75" customHeight="1" x14ac:dyDescent="0.2">
      <c r="A30" s="11">
        <v>29</v>
      </c>
      <c r="B30" s="9" t="s">
        <v>62</v>
      </c>
      <c r="C30" s="13">
        <v>110</v>
      </c>
      <c r="D30" s="13">
        <v>100</v>
      </c>
      <c r="E30" s="13">
        <v>104</v>
      </c>
      <c r="F30" s="11"/>
      <c r="G30" s="11"/>
      <c r="H30" s="11"/>
      <c r="I30" s="11"/>
      <c r="J30" s="11"/>
      <c r="K30" s="15"/>
      <c r="L30" s="1"/>
      <c r="M30" s="1"/>
      <c r="N30" s="1"/>
    </row>
    <row r="31" spans="1:14" ht="12.75" x14ac:dyDescent="0.2">
      <c r="A31" s="11">
        <v>30</v>
      </c>
      <c r="B31" s="2" t="s">
        <v>63</v>
      </c>
      <c r="C31" s="13">
        <v>140</v>
      </c>
      <c r="D31" s="13">
        <v>132</v>
      </c>
      <c r="E31" s="13">
        <v>136</v>
      </c>
      <c r="F31" s="11"/>
      <c r="G31" s="11"/>
      <c r="H31" s="11"/>
      <c r="I31" s="11"/>
      <c r="J31" s="11"/>
      <c r="K31" s="15"/>
      <c r="L31" s="1"/>
      <c r="M31" s="1"/>
      <c r="N31" s="1"/>
    </row>
    <row r="32" spans="1:14" ht="12.75" x14ac:dyDescent="0.2">
      <c r="A32" s="11">
        <v>31</v>
      </c>
      <c r="B32" s="2" t="s">
        <v>64</v>
      </c>
      <c r="C32" s="13">
        <v>180</v>
      </c>
      <c r="D32" s="13">
        <v>184</v>
      </c>
      <c r="E32" s="13">
        <v>190</v>
      </c>
      <c r="F32" s="11"/>
      <c r="G32" s="11"/>
      <c r="H32" s="11"/>
      <c r="I32" s="11"/>
      <c r="J32" s="11"/>
      <c r="K32" s="15"/>
      <c r="L32" s="1"/>
      <c r="M32" s="1"/>
      <c r="N32" s="1"/>
    </row>
    <row r="33" spans="1:14" ht="12.75" x14ac:dyDescent="0.2">
      <c r="A33" s="11">
        <v>32</v>
      </c>
      <c r="B33" s="9" t="s">
        <v>65</v>
      </c>
      <c r="C33" s="13">
        <v>92</v>
      </c>
      <c r="D33" s="13">
        <v>110</v>
      </c>
      <c r="E33" s="13">
        <v>94</v>
      </c>
      <c r="F33" s="11"/>
      <c r="G33" s="11"/>
      <c r="H33" s="11"/>
      <c r="I33" s="11"/>
      <c r="J33" s="11"/>
      <c r="K33" s="15"/>
      <c r="L33" s="1"/>
      <c r="M33" s="1"/>
      <c r="N33" s="1"/>
    </row>
    <row r="34" spans="1:14" ht="12.75" x14ac:dyDescent="0.2">
      <c r="A34" s="11">
        <v>33</v>
      </c>
      <c r="B34" s="2" t="s">
        <v>66</v>
      </c>
      <c r="C34" s="13">
        <v>122</v>
      </c>
      <c r="D34" s="13">
        <v>142</v>
      </c>
      <c r="E34" s="13">
        <v>128</v>
      </c>
      <c r="F34" s="11"/>
      <c r="G34" s="11"/>
      <c r="H34" s="11"/>
      <c r="I34" s="11"/>
      <c r="J34" s="11"/>
      <c r="K34" s="15"/>
      <c r="L34" s="1"/>
      <c r="M34" s="1"/>
      <c r="N34" s="1"/>
    </row>
    <row r="35" spans="1:14" ht="12.75" x14ac:dyDescent="0.2">
      <c r="A35" s="11">
        <v>34</v>
      </c>
      <c r="B35" s="2" t="s">
        <v>67</v>
      </c>
      <c r="C35" s="13">
        <v>162</v>
      </c>
      <c r="D35" s="13">
        <v>204</v>
      </c>
      <c r="E35" s="13">
        <v>170</v>
      </c>
      <c r="F35" s="11"/>
      <c r="G35" s="11"/>
      <c r="H35" s="11"/>
      <c r="I35" s="11"/>
      <c r="J35" s="11"/>
      <c r="K35" s="15"/>
      <c r="L35" s="1"/>
      <c r="M35" s="1"/>
      <c r="N35" s="1"/>
    </row>
    <row r="36" spans="1:14" ht="12.75" x14ac:dyDescent="0.2">
      <c r="A36" s="11">
        <v>35</v>
      </c>
      <c r="B36" s="2" t="s">
        <v>68</v>
      </c>
      <c r="C36" s="13">
        <v>140</v>
      </c>
      <c r="D36" s="13">
        <v>116</v>
      </c>
      <c r="E36" s="13">
        <v>124</v>
      </c>
      <c r="F36" s="11"/>
      <c r="G36" s="11"/>
      <c r="H36" s="11"/>
      <c r="I36" s="11"/>
      <c r="J36" s="11"/>
      <c r="K36" s="15"/>
      <c r="L36" s="1"/>
      <c r="M36" s="1"/>
      <c r="N36" s="1"/>
    </row>
    <row r="37" spans="1:14" ht="12.75" x14ac:dyDescent="0.2">
      <c r="A37" s="11">
        <v>36</v>
      </c>
      <c r="B37" s="2" t="s">
        <v>69</v>
      </c>
      <c r="C37" s="13">
        <v>190</v>
      </c>
      <c r="D37" s="13">
        <v>178</v>
      </c>
      <c r="E37" s="13">
        <v>178</v>
      </c>
      <c r="F37" s="11"/>
      <c r="G37" s="11"/>
      <c r="H37" s="11"/>
      <c r="I37" s="11"/>
      <c r="J37" s="11"/>
      <c r="K37" s="15"/>
      <c r="L37" s="1"/>
      <c r="M37" s="1"/>
      <c r="N37" s="1"/>
    </row>
    <row r="38" spans="1:14" ht="12.75" x14ac:dyDescent="0.2">
      <c r="A38" s="11">
        <v>37</v>
      </c>
      <c r="B38" s="2" t="s">
        <v>70</v>
      </c>
      <c r="C38" s="13">
        <v>76</v>
      </c>
      <c r="D38" s="13">
        <v>106</v>
      </c>
      <c r="E38" s="13">
        <v>118</v>
      </c>
      <c r="F38" s="11"/>
      <c r="G38" s="11"/>
      <c r="H38" s="11"/>
      <c r="I38" s="11"/>
      <c r="J38" s="11"/>
      <c r="K38" s="15"/>
      <c r="L38" s="1"/>
      <c r="M38" s="1"/>
      <c r="N38" s="1"/>
    </row>
    <row r="39" spans="1:14" ht="12.75" x14ac:dyDescent="0.2">
      <c r="A39" s="11">
        <v>38</v>
      </c>
      <c r="B39" s="2" t="s">
        <v>71</v>
      </c>
      <c r="C39" s="13">
        <v>146</v>
      </c>
      <c r="D39" s="13">
        <v>176</v>
      </c>
      <c r="E39" s="13">
        <v>194</v>
      </c>
      <c r="F39" s="11"/>
      <c r="G39" s="11"/>
      <c r="H39" s="11"/>
      <c r="I39" s="11"/>
      <c r="J39" s="11"/>
      <c r="K39" s="15"/>
      <c r="L39" s="1"/>
      <c r="M39" s="1"/>
      <c r="N39" s="1"/>
    </row>
    <row r="40" spans="1:14" ht="12.75" x14ac:dyDescent="0.2">
      <c r="A40" s="11">
        <v>39</v>
      </c>
      <c r="B40" s="2" t="s">
        <v>72</v>
      </c>
      <c r="C40" s="13">
        <v>230</v>
      </c>
      <c r="D40" s="13">
        <v>98</v>
      </c>
      <c r="E40" s="13">
        <v>54</v>
      </c>
      <c r="F40" s="11"/>
      <c r="G40" s="11"/>
      <c r="H40" s="11"/>
      <c r="I40" s="11"/>
      <c r="J40" s="11"/>
      <c r="K40" s="15"/>
      <c r="L40" s="1"/>
      <c r="M40" s="1"/>
      <c r="N40" s="1"/>
    </row>
    <row r="41" spans="1:14" ht="12.75" x14ac:dyDescent="0.2">
      <c r="A41" s="11">
        <v>40</v>
      </c>
      <c r="B41" s="2" t="s">
        <v>73</v>
      </c>
      <c r="C41" s="13">
        <v>280</v>
      </c>
      <c r="D41" s="13">
        <v>168</v>
      </c>
      <c r="E41" s="13">
        <v>108</v>
      </c>
      <c r="F41" s="11"/>
      <c r="G41" s="11"/>
      <c r="H41" s="11"/>
      <c r="I41" s="11"/>
      <c r="J41" s="11"/>
      <c r="K41" s="15"/>
      <c r="L41" s="1"/>
      <c r="M41" s="1"/>
      <c r="N41" s="1"/>
    </row>
    <row r="42" spans="1:14" ht="12.75" x14ac:dyDescent="0.2">
      <c r="A42" s="11">
        <v>41</v>
      </c>
      <c r="B42" s="2" t="s">
        <v>74</v>
      </c>
      <c r="C42" s="13">
        <v>80</v>
      </c>
      <c r="D42" s="13">
        <v>88</v>
      </c>
      <c r="E42" s="13">
        <v>90</v>
      </c>
      <c r="F42" s="11"/>
      <c r="G42" s="11"/>
      <c r="H42" s="11"/>
      <c r="I42" s="11"/>
      <c r="J42" s="11"/>
      <c r="K42" s="15"/>
      <c r="L42" s="1"/>
      <c r="M42" s="1"/>
      <c r="N42" s="1"/>
    </row>
    <row r="43" spans="1:14" ht="12.75" x14ac:dyDescent="0.2">
      <c r="A43" s="11">
        <v>42</v>
      </c>
      <c r="B43" s="2" t="s">
        <v>75</v>
      </c>
      <c r="C43" s="13">
        <v>150</v>
      </c>
      <c r="D43" s="13">
        <v>164</v>
      </c>
      <c r="E43" s="13">
        <v>164</v>
      </c>
      <c r="F43" s="11"/>
      <c r="G43" s="11"/>
      <c r="H43" s="11"/>
      <c r="I43" s="11"/>
      <c r="J43" s="11"/>
      <c r="K43" s="15"/>
      <c r="L43" s="1"/>
      <c r="M43" s="1"/>
      <c r="N43" s="1"/>
    </row>
    <row r="44" spans="1:14" ht="12.75" x14ac:dyDescent="0.2">
      <c r="A44" s="11">
        <v>43</v>
      </c>
      <c r="B44" s="2" t="s">
        <v>76</v>
      </c>
      <c r="C44" s="13">
        <v>90</v>
      </c>
      <c r="D44" s="13">
        <v>134</v>
      </c>
      <c r="E44" s="13">
        <v>130</v>
      </c>
      <c r="F44" s="11"/>
      <c r="G44" s="11"/>
      <c r="H44" s="11"/>
      <c r="I44" s="11"/>
      <c r="J44" s="11"/>
      <c r="K44" s="15"/>
      <c r="L44" s="1"/>
      <c r="M44" s="1"/>
      <c r="N44" s="1"/>
    </row>
    <row r="45" spans="1:14" ht="12.75" x14ac:dyDescent="0.2">
      <c r="A45" s="11">
        <v>44</v>
      </c>
      <c r="B45" s="2" t="s">
        <v>77</v>
      </c>
      <c r="C45" s="13">
        <v>120</v>
      </c>
      <c r="D45" s="13">
        <v>162</v>
      </c>
      <c r="E45" s="13">
        <v>158</v>
      </c>
      <c r="F45" s="11"/>
      <c r="G45" s="11"/>
      <c r="H45" s="11"/>
      <c r="I45" s="11"/>
      <c r="J45" s="11"/>
      <c r="K45" s="15"/>
      <c r="L45" s="1"/>
      <c r="M45" s="1"/>
      <c r="N45" s="1"/>
    </row>
    <row r="46" spans="1:14" ht="12.75" x14ac:dyDescent="0.2">
      <c r="A46" s="11">
        <v>45</v>
      </c>
      <c r="B46" s="2" t="s">
        <v>78</v>
      </c>
      <c r="C46" s="13">
        <v>150</v>
      </c>
      <c r="D46" s="13">
        <v>202</v>
      </c>
      <c r="E46" s="13">
        <v>190</v>
      </c>
      <c r="F46" s="11"/>
      <c r="G46" s="11"/>
      <c r="H46" s="11"/>
      <c r="I46" s="11"/>
      <c r="J46" s="11"/>
      <c r="K46" s="15"/>
      <c r="L46" s="1"/>
      <c r="M46" s="1"/>
      <c r="N46" s="1"/>
    </row>
    <row r="47" spans="1:14" ht="12.75" x14ac:dyDescent="0.2">
      <c r="A47" s="11">
        <v>46</v>
      </c>
      <c r="B47" s="2" t="s">
        <v>79</v>
      </c>
      <c r="C47" s="13">
        <v>70</v>
      </c>
      <c r="D47" s="13">
        <v>122</v>
      </c>
      <c r="E47" s="13">
        <v>120</v>
      </c>
      <c r="F47" s="11"/>
      <c r="G47" s="11"/>
      <c r="H47" s="11"/>
      <c r="I47" s="11"/>
      <c r="J47" s="11"/>
      <c r="K47" s="15"/>
      <c r="L47" s="1"/>
      <c r="M47" s="1"/>
      <c r="N47" s="1"/>
    </row>
    <row r="48" spans="1:14" ht="12.75" x14ac:dyDescent="0.2">
      <c r="A48" s="11">
        <v>47</v>
      </c>
      <c r="B48" s="2" t="s">
        <v>80</v>
      </c>
      <c r="C48" s="13">
        <v>120</v>
      </c>
      <c r="D48" s="13">
        <v>162</v>
      </c>
      <c r="E48" s="13">
        <v>170</v>
      </c>
      <c r="F48" s="11"/>
      <c r="G48" s="11"/>
      <c r="H48" s="11"/>
      <c r="I48" s="11"/>
      <c r="J48" s="11"/>
      <c r="K48" s="15"/>
      <c r="L48" s="1"/>
      <c r="M48" s="1"/>
      <c r="N48" s="1"/>
    </row>
    <row r="49" spans="1:14" ht="12.75" x14ac:dyDescent="0.2">
      <c r="A49" s="11">
        <v>48</v>
      </c>
      <c r="B49" s="2" t="s">
        <v>81</v>
      </c>
      <c r="C49" s="13">
        <v>120</v>
      </c>
      <c r="D49" s="13">
        <v>108</v>
      </c>
      <c r="E49" s="13">
        <v>118</v>
      </c>
      <c r="F49" s="11"/>
      <c r="G49" s="11"/>
      <c r="H49" s="11"/>
      <c r="I49" s="11"/>
      <c r="J49" s="11"/>
      <c r="K49" s="15"/>
      <c r="L49" s="1"/>
      <c r="M49" s="1"/>
      <c r="N49" s="1"/>
    </row>
    <row r="50" spans="1:14" ht="12.75" x14ac:dyDescent="0.2">
      <c r="A50" s="11">
        <v>49</v>
      </c>
      <c r="B50" s="2" t="s">
        <v>82</v>
      </c>
      <c r="C50" s="13">
        <v>140</v>
      </c>
      <c r="D50" s="13">
        <v>172</v>
      </c>
      <c r="E50" s="13">
        <v>154</v>
      </c>
      <c r="F50" s="11"/>
      <c r="G50" s="11"/>
      <c r="H50" s="11"/>
      <c r="I50" s="11"/>
      <c r="J50" s="11"/>
      <c r="K50" s="15"/>
      <c r="L50" s="1"/>
      <c r="M50" s="1"/>
      <c r="N50" s="1"/>
    </row>
    <row r="51" spans="1:14" ht="12.75" x14ac:dyDescent="0.2">
      <c r="A51" s="11">
        <v>50</v>
      </c>
      <c r="B51" s="2" t="s">
        <v>83</v>
      </c>
      <c r="C51" s="13">
        <v>20</v>
      </c>
      <c r="D51" s="13">
        <v>108</v>
      </c>
      <c r="E51" s="13">
        <v>86</v>
      </c>
      <c r="F51" s="11"/>
      <c r="G51" s="11"/>
      <c r="H51" s="11"/>
      <c r="I51" s="11"/>
      <c r="J51" s="11"/>
      <c r="K51" s="15"/>
      <c r="L51" s="1"/>
      <c r="M51" s="1"/>
      <c r="N51" s="1"/>
    </row>
    <row r="52" spans="1:14" ht="12.75" x14ac:dyDescent="0.2">
      <c r="A52" s="11">
        <v>51</v>
      </c>
      <c r="B52" s="2" t="s">
        <v>84</v>
      </c>
      <c r="C52" s="13">
        <v>70</v>
      </c>
      <c r="D52" s="13">
        <v>148</v>
      </c>
      <c r="E52" s="13">
        <v>140</v>
      </c>
      <c r="F52" s="11"/>
      <c r="G52" s="11"/>
      <c r="H52" s="11"/>
      <c r="I52" s="11"/>
      <c r="J52" s="11"/>
      <c r="K52" s="15"/>
      <c r="L52" s="1"/>
      <c r="M52" s="1"/>
      <c r="N52" s="1"/>
    </row>
    <row r="53" spans="1:14" ht="12.75" x14ac:dyDescent="0.2">
      <c r="A53" s="11">
        <v>52</v>
      </c>
      <c r="B53" s="2" t="s">
        <v>85</v>
      </c>
      <c r="C53" s="13">
        <v>80</v>
      </c>
      <c r="D53" s="13">
        <v>104</v>
      </c>
      <c r="E53" s="13">
        <v>94</v>
      </c>
      <c r="F53" s="11"/>
      <c r="G53" s="11"/>
      <c r="H53" s="11"/>
      <c r="I53" s="11"/>
      <c r="J53" s="11"/>
      <c r="K53" s="15"/>
      <c r="L53" s="1"/>
      <c r="M53" s="1"/>
      <c r="N53" s="1"/>
    </row>
    <row r="54" spans="1:14" ht="12.75" x14ac:dyDescent="0.2">
      <c r="A54" s="11">
        <v>53</v>
      </c>
      <c r="B54" s="2" t="s">
        <v>86</v>
      </c>
      <c r="C54" s="13">
        <v>130</v>
      </c>
      <c r="D54" s="13">
        <v>156</v>
      </c>
      <c r="E54" s="13">
        <v>146</v>
      </c>
      <c r="F54" s="11"/>
      <c r="G54" s="11"/>
      <c r="H54" s="11"/>
      <c r="I54" s="11"/>
      <c r="J54" s="11"/>
      <c r="K54" s="15"/>
      <c r="L54" s="1"/>
      <c r="M54" s="1"/>
      <c r="N54" s="1"/>
    </row>
    <row r="55" spans="1:14" ht="12.75" x14ac:dyDescent="0.2">
      <c r="A55" s="11">
        <v>54</v>
      </c>
      <c r="B55" s="2" t="s">
        <v>87</v>
      </c>
      <c r="C55" s="13">
        <v>100</v>
      </c>
      <c r="D55" s="13">
        <v>132</v>
      </c>
      <c r="E55" s="13">
        <v>112</v>
      </c>
      <c r="F55" s="11"/>
      <c r="G55" s="11"/>
      <c r="H55" s="11"/>
      <c r="I55" s="11"/>
      <c r="J55" s="11"/>
      <c r="K55" s="15"/>
      <c r="L55" s="1"/>
      <c r="M55" s="1"/>
      <c r="N55" s="1"/>
    </row>
    <row r="56" spans="1:14" ht="12.75" x14ac:dyDescent="0.2">
      <c r="A56" s="11">
        <v>55</v>
      </c>
      <c r="B56" s="2" t="s">
        <v>88</v>
      </c>
      <c r="C56" s="13">
        <v>160</v>
      </c>
      <c r="D56" s="13">
        <v>194</v>
      </c>
      <c r="E56" s="13">
        <v>176</v>
      </c>
      <c r="F56" s="11"/>
      <c r="G56" s="11"/>
      <c r="H56" s="11"/>
      <c r="I56" s="11"/>
      <c r="J56" s="11"/>
      <c r="K56" s="15"/>
      <c r="L56" s="1"/>
      <c r="M56" s="1"/>
      <c r="N56" s="1"/>
    </row>
    <row r="57" spans="1:14" ht="12.75" x14ac:dyDescent="0.2">
      <c r="A57" s="11">
        <v>56</v>
      </c>
      <c r="B57" s="2" t="s">
        <v>89</v>
      </c>
      <c r="C57" s="13">
        <v>80</v>
      </c>
      <c r="D57" s="13">
        <v>122</v>
      </c>
      <c r="E57" s="13">
        <v>96</v>
      </c>
      <c r="F57" s="11"/>
      <c r="G57" s="11"/>
      <c r="H57" s="11"/>
      <c r="I57" s="11"/>
      <c r="J57" s="11"/>
      <c r="K57" s="15"/>
      <c r="L57" s="1"/>
      <c r="M57" s="1"/>
      <c r="N57" s="1"/>
    </row>
    <row r="58" spans="1:14" ht="12.75" x14ac:dyDescent="0.2">
      <c r="A58" s="11">
        <v>57</v>
      </c>
      <c r="B58" s="2" t="s">
        <v>90</v>
      </c>
      <c r="C58" s="13">
        <v>130</v>
      </c>
      <c r="D58" s="13">
        <v>178</v>
      </c>
      <c r="E58" s="13">
        <v>150</v>
      </c>
      <c r="F58" s="11"/>
      <c r="G58" s="11"/>
      <c r="H58" s="11"/>
      <c r="I58" s="11"/>
      <c r="J58" s="11"/>
      <c r="K58" s="15"/>
      <c r="L58" s="1"/>
      <c r="M58" s="1"/>
      <c r="N58" s="1"/>
    </row>
    <row r="59" spans="1:14" ht="12.75" x14ac:dyDescent="0.2">
      <c r="A59" s="11">
        <v>58</v>
      </c>
      <c r="B59" s="2" t="s">
        <v>91</v>
      </c>
      <c r="C59" s="13">
        <v>110</v>
      </c>
      <c r="D59" s="13">
        <v>156</v>
      </c>
      <c r="E59" s="13">
        <v>110</v>
      </c>
      <c r="F59" s="11"/>
      <c r="G59" s="11"/>
      <c r="H59" s="11"/>
      <c r="I59" s="11"/>
      <c r="J59" s="11"/>
      <c r="K59" s="15"/>
      <c r="L59" s="1"/>
      <c r="M59" s="1"/>
      <c r="N59" s="1"/>
    </row>
    <row r="60" spans="1:14" ht="12.75" x14ac:dyDescent="0.2">
      <c r="A60" s="11">
        <v>59</v>
      </c>
      <c r="B60" s="2" t="s">
        <v>92</v>
      </c>
      <c r="C60" s="13">
        <v>180</v>
      </c>
      <c r="D60" s="13">
        <v>230</v>
      </c>
      <c r="E60" s="13">
        <v>180</v>
      </c>
      <c r="F60" s="11"/>
      <c r="G60" s="11"/>
      <c r="H60" s="11"/>
      <c r="I60" s="11"/>
      <c r="J60" s="11"/>
      <c r="K60" s="15"/>
      <c r="L60" s="1"/>
      <c r="M60" s="1"/>
      <c r="N60" s="1"/>
    </row>
    <row r="61" spans="1:14" ht="12.75" x14ac:dyDescent="0.2">
      <c r="A61" s="11">
        <v>60</v>
      </c>
      <c r="B61" s="2" t="s">
        <v>93</v>
      </c>
      <c r="C61" s="13">
        <v>80</v>
      </c>
      <c r="D61" s="13">
        <v>108</v>
      </c>
      <c r="E61" s="13">
        <v>98</v>
      </c>
      <c r="F61" s="11"/>
      <c r="G61" s="11"/>
      <c r="H61" s="11"/>
      <c r="I61" s="11"/>
      <c r="J61" s="11"/>
      <c r="K61" s="15"/>
      <c r="L61" s="1"/>
      <c r="M61" s="1"/>
      <c r="N61" s="1"/>
    </row>
    <row r="62" spans="1:14" ht="12.75" x14ac:dyDescent="0.2">
      <c r="A62" s="11">
        <v>61</v>
      </c>
      <c r="B62" s="2" t="s">
        <v>94</v>
      </c>
      <c r="C62" s="13">
        <v>130</v>
      </c>
      <c r="D62" s="13">
        <v>132</v>
      </c>
      <c r="E62" s="13">
        <v>132</v>
      </c>
      <c r="F62" s="11"/>
      <c r="G62" s="11"/>
      <c r="H62" s="11"/>
      <c r="I62" s="11"/>
      <c r="J62" s="11"/>
      <c r="K62" s="15"/>
      <c r="L62" s="1"/>
      <c r="M62" s="1"/>
      <c r="N62" s="1"/>
    </row>
    <row r="63" spans="1:14" ht="12.75" x14ac:dyDescent="0.2">
      <c r="A63" s="11">
        <v>62</v>
      </c>
      <c r="B63" s="2" t="s">
        <v>95</v>
      </c>
      <c r="C63" s="13">
        <v>180</v>
      </c>
      <c r="D63" s="13">
        <v>180</v>
      </c>
      <c r="E63" s="13">
        <v>202</v>
      </c>
      <c r="F63" s="11"/>
      <c r="G63" s="11"/>
      <c r="H63" s="11"/>
      <c r="I63" s="11"/>
      <c r="J63" s="11"/>
      <c r="K63" s="15"/>
      <c r="L63" s="1"/>
      <c r="M63" s="1"/>
      <c r="N63" s="1"/>
    </row>
    <row r="64" spans="1:14" ht="12.75" x14ac:dyDescent="0.2">
      <c r="A64" s="11">
        <v>63</v>
      </c>
      <c r="B64" s="2" t="s">
        <v>96</v>
      </c>
      <c r="C64" s="13">
        <v>50</v>
      </c>
      <c r="D64" s="13">
        <v>110</v>
      </c>
      <c r="E64" s="13">
        <v>76</v>
      </c>
      <c r="F64" s="11"/>
      <c r="G64" s="11"/>
      <c r="H64" s="11"/>
      <c r="I64" s="11"/>
      <c r="J64" s="11"/>
      <c r="K64" s="15"/>
      <c r="L64" s="1"/>
      <c r="M64" s="1"/>
      <c r="N64" s="1"/>
    </row>
    <row r="65" spans="1:14" ht="12.75" x14ac:dyDescent="0.2">
      <c r="A65" s="11">
        <v>64</v>
      </c>
      <c r="B65" s="2" t="s">
        <v>97</v>
      </c>
      <c r="C65" s="13">
        <v>80</v>
      </c>
      <c r="D65" s="13">
        <v>150</v>
      </c>
      <c r="E65" s="13">
        <v>112</v>
      </c>
      <c r="F65" s="11"/>
      <c r="G65" s="11"/>
      <c r="H65" s="11"/>
      <c r="I65" s="11"/>
      <c r="J65" s="11"/>
      <c r="K65" s="15"/>
      <c r="L65" s="1"/>
      <c r="M65" s="1"/>
      <c r="N65" s="1"/>
    </row>
    <row r="66" spans="1:14" ht="12.75" x14ac:dyDescent="0.2">
      <c r="A66" s="11">
        <v>65</v>
      </c>
      <c r="B66" s="2" t="s">
        <v>98</v>
      </c>
      <c r="C66" s="13">
        <v>110</v>
      </c>
      <c r="D66" s="13">
        <v>186</v>
      </c>
      <c r="E66" s="13">
        <v>152</v>
      </c>
      <c r="F66" s="11"/>
      <c r="G66" s="11"/>
      <c r="H66" s="11"/>
      <c r="I66" s="11"/>
      <c r="J66" s="11"/>
      <c r="K66" s="15"/>
      <c r="L66" s="1"/>
      <c r="M66" s="1"/>
      <c r="N66" s="1"/>
    </row>
    <row r="67" spans="1:14" ht="12.75" x14ac:dyDescent="0.2">
      <c r="A67" s="11">
        <v>66</v>
      </c>
      <c r="B67" s="2" t="s">
        <v>99</v>
      </c>
      <c r="C67" s="13">
        <v>140</v>
      </c>
      <c r="D67" s="13">
        <v>118</v>
      </c>
      <c r="E67" s="13">
        <v>96</v>
      </c>
      <c r="F67" s="11"/>
      <c r="G67" s="11"/>
      <c r="H67" s="11"/>
      <c r="I67" s="11"/>
      <c r="J67" s="11"/>
      <c r="K67" s="15"/>
      <c r="L67" s="1"/>
      <c r="M67" s="1"/>
      <c r="N67" s="1"/>
    </row>
    <row r="68" spans="1:14" ht="12.75" x14ac:dyDescent="0.2">
      <c r="A68" s="11">
        <v>67</v>
      </c>
      <c r="B68" s="2" t="s">
        <v>100</v>
      </c>
      <c r="C68" s="13">
        <v>160</v>
      </c>
      <c r="D68" s="13">
        <v>154</v>
      </c>
      <c r="E68" s="13">
        <v>144</v>
      </c>
      <c r="F68" s="11"/>
      <c r="G68" s="11"/>
      <c r="H68" s="11"/>
      <c r="I68" s="11"/>
      <c r="J68" s="11"/>
      <c r="K68" s="15"/>
      <c r="L68" s="1"/>
      <c r="M68" s="1"/>
      <c r="N68" s="1"/>
    </row>
    <row r="69" spans="1:14" ht="12.75" x14ac:dyDescent="0.2">
      <c r="A69" s="11">
        <v>68</v>
      </c>
      <c r="B69" s="2" t="s">
        <v>101</v>
      </c>
      <c r="C69" s="13">
        <v>180</v>
      </c>
      <c r="D69" s="13">
        <v>198</v>
      </c>
      <c r="E69" s="13">
        <v>180</v>
      </c>
      <c r="F69" s="11"/>
      <c r="G69" s="11"/>
      <c r="H69" s="11"/>
      <c r="I69" s="11"/>
      <c r="J69" s="11"/>
      <c r="K69" s="15"/>
      <c r="L69" s="1"/>
      <c r="M69" s="1"/>
      <c r="N69" s="1"/>
    </row>
    <row r="70" spans="1:14" ht="12.75" x14ac:dyDescent="0.2">
      <c r="A70" s="11">
        <v>69</v>
      </c>
      <c r="B70" s="2" t="s">
        <v>102</v>
      </c>
      <c r="C70" s="13">
        <v>100</v>
      </c>
      <c r="D70" s="13">
        <v>158</v>
      </c>
      <c r="E70" s="13">
        <v>78</v>
      </c>
      <c r="F70" s="11"/>
      <c r="G70" s="11"/>
      <c r="H70" s="11"/>
      <c r="I70" s="11"/>
      <c r="J70" s="11"/>
      <c r="K70" s="15"/>
      <c r="L70" s="1"/>
      <c r="M70" s="1"/>
      <c r="N70" s="1"/>
    </row>
    <row r="71" spans="1:14" ht="12.75" x14ac:dyDescent="0.2">
      <c r="A71" s="11">
        <v>70</v>
      </c>
      <c r="B71" s="2" t="s">
        <v>103</v>
      </c>
      <c r="C71" s="13">
        <v>130</v>
      </c>
      <c r="D71" s="13">
        <v>190</v>
      </c>
      <c r="E71" s="13">
        <v>110</v>
      </c>
      <c r="F71" s="11"/>
      <c r="G71" s="11"/>
      <c r="H71" s="11"/>
      <c r="I71" s="11"/>
      <c r="J71" s="11"/>
      <c r="K71" s="15"/>
      <c r="L71" s="1"/>
      <c r="M71" s="1"/>
      <c r="N71" s="1"/>
    </row>
    <row r="72" spans="1:14" ht="12.75" x14ac:dyDescent="0.2">
      <c r="A72" s="11">
        <v>71</v>
      </c>
      <c r="B72" s="2" t="s">
        <v>104</v>
      </c>
      <c r="C72" s="13">
        <v>160</v>
      </c>
      <c r="D72" s="13">
        <v>222</v>
      </c>
      <c r="E72" s="13">
        <v>152</v>
      </c>
      <c r="F72" s="11"/>
      <c r="G72" s="11"/>
      <c r="H72" s="11"/>
      <c r="I72" s="11"/>
      <c r="J72" s="11"/>
      <c r="K72" s="15"/>
      <c r="L72" s="1"/>
      <c r="M72" s="1"/>
      <c r="N72" s="1"/>
    </row>
    <row r="73" spans="1:14" ht="12.75" x14ac:dyDescent="0.2">
      <c r="A73" s="11">
        <v>72</v>
      </c>
      <c r="B73" s="2" t="s">
        <v>105</v>
      </c>
      <c r="C73" s="13">
        <v>80</v>
      </c>
      <c r="D73" s="13">
        <v>106</v>
      </c>
      <c r="E73" s="13">
        <v>136</v>
      </c>
      <c r="F73" s="11"/>
      <c r="G73" s="11"/>
      <c r="H73" s="11"/>
      <c r="I73" s="11"/>
      <c r="J73" s="11"/>
      <c r="K73" s="15"/>
      <c r="L73" s="1"/>
      <c r="M73" s="1"/>
      <c r="N73" s="1"/>
    </row>
    <row r="74" spans="1:14" ht="12.75" x14ac:dyDescent="0.2">
      <c r="A74" s="11">
        <v>73</v>
      </c>
      <c r="B74" s="2" t="s">
        <v>106</v>
      </c>
      <c r="C74" s="13">
        <v>160</v>
      </c>
      <c r="D74" s="13">
        <v>170</v>
      </c>
      <c r="E74" s="13">
        <v>196</v>
      </c>
      <c r="F74" s="11"/>
      <c r="G74" s="11"/>
      <c r="H74" s="11"/>
      <c r="I74" s="11"/>
      <c r="J74" s="11"/>
      <c r="K74" s="15"/>
      <c r="L74" s="1"/>
      <c r="M74" s="1"/>
      <c r="N74" s="1"/>
    </row>
    <row r="75" spans="1:14" ht="12.75" x14ac:dyDescent="0.2">
      <c r="A75" s="11">
        <v>74</v>
      </c>
      <c r="B75" s="2" t="s">
        <v>107</v>
      </c>
      <c r="C75" s="13">
        <v>80</v>
      </c>
      <c r="D75" s="13">
        <v>106</v>
      </c>
      <c r="E75" s="13">
        <v>118</v>
      </c>
      <c r="F75" s="11"/>
      <c r="G75" s="11"/>
      <c r="H75" s="11"/>
      <c r="I75" s="11"/>
      <c r="J75" s="11"/>
      <c r="K75" s="15"/>
      <c r="L75" s="1"/>
      <c r="M75" s="1"/>
      <c r="N75" s="1"/>
    </row>
    <row r="76" spans="1:14" ht="12.75" x14ac:dyDescent="0.2">
      <c r="A76" s="11">
        <v>75</v>
      </c>
      <c r="B76" s="2" t="s">
        <v>108</v>
      </c>
      <c r="C76" s="13">
        <v>110</v>
      </c>
      <c r="D76" s="13">
        <v>142</v>
      </c>
      <c r="E76" s="13">
        <v>156</v>
      </c>
      <c r="F76" s="11"/>
      <c r="G76" s="11"/>
      <c r="H76" s="11"/>
      <c r="I76" s="11"/>
      <c r="J76" s="11"/>
      <c r="K76" s="15"/>
      <c r="L76" s="1"/>
      <c r="M76" s="1"/>
      <c r="N76" s="1"/>
    </row>
    <row r="77" spans="1:14" ht="12.75" x14ac:dyDescent="0.2">
      <c r="A77" s="11">
        <v>76</v>
      </c>
      <c r="B77" s="2" t="s">
        <v>109</v>
      </c>
      <c r="C77" s="13">
        <v>160</v>
      </c>
      <c r="D77" s="13">
        <v>176</v>
      </c>
      <c r="E77" s="13">
        <v>198</v>
      </c>
      <c r="F77" s="11"/>
      <c r="G77" s="11"/>
      <c r="H77" s="11"/>
      <c r="I77" s="11"/>
      <c r="J77" s="11"/>
      <c r="K77" s="15"/>
      <c r="L77" s="1"/>
      <c r="M77" s="1"/>
      <c r="N77" s="1"/>
    </row>
    <row r="78" spans="1:14" ht="12.75" x14ac:dyDescent="0.2">
      <c r="A78" s="11">
        <v>77</v>
      </c>
      <c r="B78" s="2" t="s">
        <v>110</v>
      </c>
      <c r="C78" s="13">
        <v>100</v>
      </c>
      <c r="D78" s="13">
        <v>168</v>
      </c>
      <c r="E78" s="13">
        <v>138</v>
      </c>
      <c r="F78" s="11"/>
      <c r="G78" s="11"/>
      <c r="H78" s="11"/>
      <c r="I78" s="11"/>
      <c r="J78" s="11"/>
      <c r="K78" s="15"/>
      <c r="L78" s="1"/>
      <c r="M78" s="1"/>
      <c r="N78" s="1"/>
    </row>
    <row r="79" spans="1:14" ht="12.75" x14ac:dyDescent="0.2">
      <c r="A79" s="11">
        <v>78</v>
      </c>
      <c r="B79" s="2" t="s">
        <v>111</v>
      </c>
      <c r="C79" s="13">
        <v>130</v>
      </c>
      <c r="D79" s="13">
        <v>200</v>
      </c>
      <c r="E79" s="13">
        <v>170</v>
      </c>
      <c r="F79" s="11"/>
      <c r="G79" s="11"/>
      <c r="H79" s="11"/>
      <c r="I79" s="11"/>
      <c r="J79" s="11"/>
      <c r="K79" s="15"/>
      <c r="L79" s="1"/>
      <c r="M79" s="1"/>
      <c r="N79" s="1"/>
    </row>
    <row r="80" spans="1:14" ht="12.75" x14ac:dyDescent="0.2">
      <c r="A80" s="11">
        <v>79</v>
      </c>
      <c r="B80" s="2" t="s">
        <v>112</v>
      </c>
      <c r="C80" s="13">
        <v>180</v>
      </c>
      <c r="D80" s="13">
        <v>110</v>
      </c>
      <c r="E80" s="13">
        <v>110</v>
      </c>
      <c r="F80" s="11"/>
      <c r="G80" s="11"/>
      <c r="H80" s="11"/>
      <c r="I80" s="11"/>
      <c r="J80" s="11"/>
      <c r="K80" s="15"/>
      <c r="L80" s="1"/>
      <c r="M80" s="1"/>
      <c r="N80" s="1"/>
    </row>
    <row r="81" spans="1:14" ht="12.75" x14ac:dyDescent="0.2">
      <c r="A81" s="11">
        <v>80</v>
      </c>
      <c r="B81" s="2" t="s">
        <v>113</v>
      </c>
      <c r="C81" s="13">
        <v>190</v>
      </c>
      <c r="D81" s="13">
        <v>184</v>
      </c>
      <c r="E81" s="13">
        <v>198</v>
      </c>
      <c r="F81" s="11"/>
      <c r="G81" s="11"/>
      <c r="H81" s="11"/>
      <c r="I81" s="11"/>
      <c r="J81" s="11"/>
      <c r="K81" s="15"/>
      <c r="L81" s="1"/>
      <c r="M81" s="1"/>
      <c r="N81" s="1"/>
    </row>
    <row r="82" spans="1:14" ht="12.75" x14ac:dyDescent="0.2">
      <c r="A82" s="11">
        <v>81</v>
      </c>
      <c r="B82" s="2" t="s">
        <v>114</v>
      </c>
      <c r="C82" s="13">
        <v>50</v>
      </c>
      <c r="D82" s="13">
        <v>128</v>
      </c>
      <c r="E82" s="13">
        <v>138</v>
      </c>
      <c r="F82" s="11"/>
      <c r="G82" s="11"/>
      <c r="H82" s="11"/>
      <c r="I82" s="11"/>
      <c r="J82" s="11"/>
      <c r="K82" s="15"/>
      <c r="L82" s="1"/>
      <c r="M82" s="1"/>
      <c r="N82" s="1"/>
    </row>
    <row r="83" spans="1:14" ht="12.75" x14ac:dyDescent="0.2">
      <c r="A83" s="11">
        <v>82</v>
      </c>
      <c r="B83" s="2" t="s">
        <v>115</v>
      </c>
      <c r="C83" s="13">
        <v>100</v>
      </c>
      <c r="D83" s="13">
        <v>186</v>
      </c>
      <c r="E83" s="13">
        <v>180</v>
      </c>
      <c r="F83" s="11"/>
      <c r="G83" s="11"/>
      <c r="H83" s="11"/>
      <c r="I83" s="11"/>
      <c r="J83" s="11"/>
      <c r="K83" s="15"/>
      <c r="L83" s="1"/>
      <c r="M83" s="1"/>
      <c r="N83" s="1"/>
    </row>
    <row r="84" spans="1:14" ht="12.75" x14ac:dyDescent="0.2">
      <c r="A84" s="11">
        <v>83</v>
      </c>
      <c r="B84" s="2" t="s">
        <v>116</v>
      </c>
      <c r="C84" s="13">
        <v>104</v>
      </c>
      <c r="D84" s="13">
        <v>138</v>
      </c>
      <c r="E84" s="13">
        <v>132</v>
      </c>
      <c r="F84" s="11"/>
      <c r="G84" s="11"/>
      <c r="H84" s="11"/>
      <c r="I84" s="11"/>
      <c r="J84" s="11"/>
      <c r="K84" s="15"/>
      <c r="L84" s="1"/>
      <c r="M84" s="1"/>
      <c r="N84" s="1"/>
    </row>
    <row r="85" spans="1:14" ht="12.75" x14ac:dyDescent="0.2">
      <c r="A85" s="11">
        <v>84</v>
      </c>
      <c r="B85" s="2" t="s">
        <v>117</v>
      </c>
      <c r="C85" s="13">
        <v>70</v>
      </c>
      <c r="D85" s="13">
        <v>126</v>
      </c>
      <c r="E85" s="13">
        <v>96</v>
      </c>
      <c r="F85" s="11"/>
      <c r="G85" s="11"/>
      <c r="H85" s="11"/>
      <c r="I85" s="11"/>
      <c r="J85" s="11"/>
      <c r="K85" s="15"/>
      <c r="L85" s="1"/>
      <c r="M85" s="1"/>
      <c r="N85" s="1"/>
    </row>
    <row r="86" spans="1:14" ht="12.75" x14ac:dyDescent="0.2">
      <c r="A86" s="11">
        <v>85</v>
      </c>
      <c r="B86" s="2" t="s">
        <v>118</v>
      </c>
      <c r="C86" s="13">
        <v>120</v>
      </c>
      <c r="D86" s="13">
        <v>182</v>
      </c>
      <c r="E86" s="13">
        <v>150</v>
      </c>
      <c r="F86" s="11"/>
      <c r="G86" s="11"/>
      <c r="H86" s="11"/>
      <c r="I86" s="11"/>
      <c r="J86" s="11"/>
      <c r="K86" s="15"/>
      <c r="L86" s="1"/>
      <c r="M86" s="1"/>
      <c r="N86" s="1"/>
    </row>
    <row r="87" spans="1:14" ht="12.75" x14ac:dyDescent="0.2">
      <c r="A87" s="11">
        <v>86</v>
      </c>
      <c r="B87" s="2" t="s">
        <v>119</v>
      </c>
      <c r="C87" s="13">
        <v>130</v>
      </c>
      <c r="D87" s="13">
        <v>104</v>
      </c>
      <c r="E87" s="13">
        <v>138</v>
      </c>
      <c r="F87" s="11"/>
      <c r="G87" s="11"/>
      <c r="H87" s="11"/>
      <c r="I87" s="11"/>
      <c r="J87" s="11"/>
      <c r="K87" s="15"/>
      <c r="L87" s="1"/>
      <c r="M87" s="1"/>
      <c r="N87" s="1"/>
    </row>
    <row r="88" spans="1:14" ht="12.75" x14ac:dyDescent="0.2">
      <c r="A88" s="11">
        <v>87</v>
      </c>
      <c r="B88" s="2" t="s">
        <v>120</v>
      </c>
      <c r="C88" s="13">
        <v>180</v>
      </c>
      <c r="D88" s="13">
        <v>156</v>
      </c>
      <c r="E88" s="13">
        <v>192</v>
      </c>
      <c r="F88" s="11"/>
      <c r="G88" s="11"/>
      <c r="H88" s="11"/>
      <c r="I88" s="11"/>
      <c r="J88" s="11"/>
      <c r="K88" s="15"/>
      <c r="L88" s="1"/>
      <c r="M88" s="1"/>
      <c r="N88" s="1"/>
    </row>
    <row r="89" spans="1:14" ht="12.75" x14ac:dyDescent="0.2">
      <c r="A89" s="11">
        <v>88</v>
      </c>
      <c r="B89" s="2" t="s">
        <v>121</v>
      </c>
      <c r="C89" s="13">
        <v>160</v>
      </c>
      <c r="D89" s="13">
        <v>124</v>
      </c>
      <c r="E89" s="13">
        <v>110</v>
      </c>
      <c r="F89" s="11"/>
      <c r="G89" s="11"/>
      <c r="H89" s="11"/>
      <c r="I89" s="11"/>
      <c r="J89" s="11"/>
      <c r="K89" s="15"/>
      <c r="L89" s="1"/>
      <c r="M89" s="1"/>
      <c r="N89" s="1"/>
    </row>
    <row r="90" spans="1:14" ht="12.75" x14ac:dyDescent="0.2">
      <c r="A90" s="11">
        <v>89</v>
      </c>
      <c r="B90" s="2" t="s">
        <v>122</v>
      </c>
      <c r="C90" s="13">
        <v>210</v>
      </c>
      <c r="D90" s="13">
        <v>180</v>
      </c>
      <c r="E90" s="13">
        <v>188</v>
      </c>
      <c r="F90" s="11"/>
      <c r="G90" s="11"/>
      <c r="H90" s="11"/>
      <c r="I90" s="11"/>
      <c r="J90" s="11"/>
      <c r="K90" s="15"/>
      <c r="L90" s="1"/>
      <c r="M90" s="1"/>
      <c r="N90" s="1"/>
    </row>
    <row r="91" spans="1:14" ht="12.75" x14ac:dyDescent="0.2">
      <c r="A91" s="11">
        <v>90</v>
      </c>
      <c r="B91" s="2" t="s">
        <v>123</v>
      </c>
      <c r="C91" s="13">
        <v>60</v>
      </c>
      <c r="D91" s="13">
        <v>120</v>
      </c>
      <c r="E91" s="13">
        <v>112</v>
      </c>
      <c r="F91" s="11"/>
      <c r="G91" s="11"/>
      <c r="H91" s="11"/>
      <c r="I91" s="11"/>
      <c r="J91" s="11"/>
      <c r="K91" s="15"/>
      <c r="L91" s="1"/>
      <c r="M91" s="1"/>
      <c r="N91" s="1"/>
    </row>
    <row r="92" spans="1:14" ht="12.75" x14ac:dyDescent="0.2">
      <c r="A92" s="11">
        <v>91</v>
      </c>
      <c r="B92" s="2" t="s">
        <v>124</v>
      </c>
      <c r="C92" s="13">
        <v>100</v>
      </c>
      <c r="D92" s="13">
        <v>196</v>
      </c>
      <c r="E92" s="13">
        <v>196</v>
      </c>
      <c r="F92" s="11"/>
      <c r="G92" s="11"/>
      <c r="H92" s="11"/>
      <c r="I92" s="11"/>
      <c r="J92" s="11"/>
      <c r="K92" s="15"/>
      <c r="L92" s="1"/>
      <c r="M92" s="1"/>
      <c r="N92" s="1"/>
    </row>
    <row r="93" spans="1:14" ht="12.75" x14ac:dyDescent="0.2">
      <c r="A93" s="11">
        <v>92</v>
      </c>
      <c r="B93" s="2" t="s">
        <v>125</v>
      </c>
      <c r="C93" s="13">
        <v>60</v>
      </c>
      <c r="D93" s="13">
        <v>136</v>
      </c>
      <c r="E93" s="13">
        <v>82</v>
      </c>
      <c r="F93" s="11"/>
      <c r="G93" s="11"/>
      <c r="H93" s="11"/>
      <c r="I93" s="11"/>
      <c r="J93" s="11"/>
      <c r="K93" s="15"/>
      <c r="L93" s="1"/>
      <c r="M93" s="1"/>
      <c r="N93" s="1"/>
    </row>
    <row r="94" spans="1:14" ht="12.75" x14ac:dyDescent="0.2">
      <c r="A94" s="11">
        <v>93</v>
      </c>
      <c r="B94" s="2" t="s">
        <v>126</v>
      </c>
      <c r="C94" s="13">
        <v>90</v>
      </c>
      <c r="D94" s="13">
        <v>172</v>
      </c>
      <c r="E94" s="13">
        <v>118</v>
      </c>
      <c r="F94" s="11"/>
      <c r="G94" s="11"/>
      <c r="H94" s="11"/>
      <c r="I94" s="11"/>
      <c r="J94" s="11"/>
      <c r="K94" s="15"/>
      <c r="L94" s="1"/>
      <c r="M94" s="1"/>
      <c r="N94" s="1"/>
    </row>
    <row r="95" spans="1:14" ht="12.75" x14ac:dyDescent="0.2">
      <c r="A95" s="11">
        <v>94</v>
      </c>
      <c r="B95" s="2" t="s">
        <v>127</v>
      </c>
      <c r="C95" s="13">
        <v>120</v>
      </c>
      <c r="D95" s="13">
        <v>204</v>
      </c>
      <c r="E95" s="13">
        <v>156</v>
      </c>
      <c r="F95" s="11"/>
      <c r="G95" s="11"/>
      <c r="H95" s="11"/>
      <c r="I95" s="11"/>
      <c r="J95" s="11"/>
      <c r="K95" s="15"/>
      <c r="L95" s="1"/>
      <c r="M95" s="1"/>
      <c r="N95" s="1"/>
    </row>
    <row r="96" spans="1:14" ht="12.75" x14ac:dyDescent="0.2">
      <c r="A96" s="11">
        <v>95</v>
      </c>
      <c r="B96" s="2" t="s">
        <v>128</v>
      </c>
      <c r="C96" s="13">
        <v>70</v>
      </c>
      <c r="D96" s="13">
        <v>90</v>
      </c>
      <c r="E96" s="13">
        <v>186</v>
      </c>
      <c r="F96" s="11"/>
      <c r="G96" s="11"/>
      <c r="H96" s="11"/>
      <c r="I96" s="11"/>
      <c r="J96" s="11"/>
      <c r="K96" s="15"/>
      <c r="L96" s="1"/>
      <c r="M96" s="1"/>
      <c r="N96" s="1"/>
    </row>
    <row r="97" spans="1:14" ht="12.75" x14ac:dyDescent="0.2">
      <c r="A97" s="11">
        <v>96</v>
      </c>
      <c r="B97" s="2" t="s">
        <v>129</v>
      </c>
      <c r="C97" s="13">
        <v>120</v>
      </c>
      <c r="D97" s="13">
        <v>104</v>
      </c>
      <c r="E97" s="13">
        <v>140</v>
      </c>
      <c r="F97" s="11"/>
      <c r="G97" s="11"/>
      <c r="H97" s="11"/>
      <c r="I97" s="11"/>
      <c r="J97" s="11"/>
      <c r="K97" s="15"/>
      <c r="L97" s="1"/>
      <c r="M97" s="1"/>
      <c r="N97" s="1"/>
    </row>
    <row r="98" spans="1:14" ht="12.75" x14ac:dyDescent="0.2">
      <c r="A98" s="11">
        <v>97</v>
      </c>
      <c r="B98" s="2" t="s">
        <v>130</v>
      </c>
      <c r="C98" s="13">
        <v>170</v>
      </c>
      <c r="D98" s="13">
        <v>162</v>
      </c>
      <c r="E98" s="13">
        <v>196</v>
      </c>
      <c r="F98" s="11"/>
      <c r="G98" s="11"/>
      <c r="H98" s="11"/>
      <c r="I98" s="11"/>
      <c r="J98" s="11"/>
      <c r="K98" s="15"/>
      <c r="L98" s="1"/>
      <c r="M98" s="1"/>
      <c r="N98" s="1"/>
    </row>
    <row r="99" spans="1:14" ht="12.75" x14ac:dyDescent="0.2">
      <c r="A99" s="11">
        <v>98</v>
      </c>
      <c r="B99" s="2" t="s">
        <v>131</v>
      </c>
      <c r="C99" s="13">
        <v>60</v>
      </c>
      <c r="D99" s="13">
        <v>116</v>
      </c>
      <c r="E99" s="13">
        <v>110</v>
      </c>
      <c r="F99" s="11"/>
      <c r="G99" s="11"/>
      <c r="H99" s="11"/>
      <c r="I99" s="11"/>
      <c r="J99" s="11"/>
      <c r="K99" s="15"/>
      <c r="L99" s="1"/>
      <c r="M99" s="1"/>
      <c r="N99" s="1"/>
    </row>
    <row r="100" spans="1:14" ht="12.75" x14ac:dyDescent="0.2">
      <c r="A100" s="11">
        <v>99</v>
      </c>
      <c r="B100" s="2" t="s">
        <v>132</v>
      </c>
      <c r="C100" s="13">
        <v>110</v>
      </c>
      <c r="D100" s="13">
        <v>178</v>
      </c>
      <c r="E100" s="13">
        <v>168</v>
      </c>
      <c r="F100" s="11"/>
      <c r="G100" s="11"/>
      <c r="H100" s="11"/>
      <c r="I100" s="11"/>
      <c r="J100" s="11"/>
      <c r="K100" s="15"/>
      <c r="L100" s="1"/>
      <c r="M100" s="1"/>
      <c r="N100" s="1"/>
    </row>
    <row r="101" spans="1:14" ht="12.75" x14ac:dyDescent="0.2">
      <c r="A101" s="11">
        <v>100</v>
      </c>
      <c r="B101" s="2" t="s">
        <v>133</v>
      </c>
      <c r="C101" s="13">
        <v>80</v>
      </c>
      <c r="D101" s="13">
        <v>102</v>
      </c>
      <c r="E101" s="13">
        <v>124</v>
      </c>
      <c r="F101" s="11"/>
      <c r="G101" s="11"/>
      <c r="H101" s="11"/>
      <c r="I101" s="11"/>
      <c r="J101" s="11"/>
      <c r="K101" s="15"/>
      <c r="L101" s="1"/>
      <c r="M101" s="1"/>
      <c r="N101" s="1"/>
    </row>
    <row r="102" spans="1:14" ht="12.75" x14ac:dyDescent="0.2">
      <c r="A102" s="11">
        <v>101</v>
      </c>
      <c r="B102" s="2" t="s">
        <v>134</v>
      </c>
      <c r="C102" s="13">
        <v>120</v>
      </c>
      <c r="D102" s="13">
        <v>150</v>
      </c>
      <c r="E102" s="13">
        <v>174</v>
      </c>
      <c r="F102" s="11"/>
      <c r="G102" s="11"/>
      <c r="H102" s="11"/>
      <c r="I102" s="11"/>
      <c r="J102" s="11"/>
      <c r="K102" s="15"/>
      <c r="L102" s="1"/>
      <c r="M102" s="1"/>
      <c r="N102" s="1"/>
    </row>
    <row r="103" spans="1:14" ht="12.75" x14ac:dyDescent="0.2">
      <c r="A103" s="11">
        <v>102</v>
      </c>
      <c r="B103" s="2" t="s">
        <v>135</v>
      </c>
      <c r="C103" s="13">
        <v>120</v>
      </c>
      <c r="D103" s="13">
        <v>110</v>
      </c>
      <c r="E103" s="13">
        <v>132</v>
      </c>
      <c r="F103" s="11"/>
      <c r="G103" s="11"/>
      <c r="H103" s="11"/>
      <c r="I103" s="11"/>
      <c r="J103" s="11"/>
      <c r="K103" s="15"/>
      <c r="L103" s="1"/>
      <c r="M103" s="1"/>
      <c r="N103" s="1"/>
    </row>
    <row r="104" spans="1:14" ht="12.75" x14ac:dyDescent="0.2">
      <c r="A104" s="11">
        <v>103</v>
      </c>
      <c r="B104" s="2" t="s">
        <v>136</v>
      </c>
      <c r="C104" s="13">
        <v>190</v>
      </c>
      <c r="D104" s="13">
        <v>232</v>
      </c>
      <c r="E104" s="13">
        <v>164</v>
      </c>
      <c r="F104" s="11"/>
      <c r="G104" s="11"/>
      <c r="H104" s="11"/>
      <c r="I104" s="11"/>
      <c r="J104" s="11"/>
      <c r="K104" s="15"/>
      <c r="L104" s="1"/>
      <c r="M104" s="1"/>
      <c r="N104" s="1"/>
    </row>
    <row r="105" spans="1:14" ht="12.75" x14ac:dyDescent="0.2">
      <c r="A105" s="11">
        <v>104</v>
      </c>
      <c r="B105" s="2" t="s">
        <v>137</v>
      </c>
      <c r="C105" s="13">
        <v>100</v>
      </c>
      <c r="D105" s="13">
        <v>102</v>
      </c>
      <c r="E105" s="13">
        <v>150</v>
      </c>
      <c r="F105" s="11"/>
      <c r="G105" s="11"/>
      <c r="H105" s="11"/>
      <c r="I105" s="11"/>
      <c r="J105" s="11"/>
      <c r="K105" s="15"/>
      <c r="L105" s="1"/>
      <c r="M105" s="1"/>
      <c r="N105" s="1"/>
    </row>
    <row r="106" spans="1:14" ht="12.75" x14ac:dyDescent="0.2">
      <c r="A106" s="11">
        <v>105</v>
      </c>
      <c r="B106" s="2" t="s">
        <v>138</v>
      </c>
      <c r="C106" s="13">
        <v>120</v>
      </c>
      <c r="D106" s="13">
        <v>140</v>
      </c>
      <c r="E106" s="13">
        <v>202</v>
      </c>
      <c r="F106" s="11"/>
      <c r="G106" s="11"/>
      <c r="H106" s="11"/>
      <c r="I106" s="11"/>
      <c r="J106" s="11"/>
      <c r="K106" s="15"/>
      <c r="L106" s="1"/>
      <c r="M106" s="1"/>
      <c r="N106" s="1"/>
    </row>
    <row r="107" spans="1:14" ht="12.75" x14ac:dyDescent="0.2">
      <c r="A107" s="11">
        <v>106</v>
      </c>
      <c r="B107" s="2" t="s">
        <v>139</v>
      </c>
      <c r="C107" s="13">
        <v>100</v>
      </c>
      <c r="D107" s="13">
        <v>148</v>
      </c>
      <c r="E107" s="13">
        <v>172</v>
      </c>
      <c r="F107" s="11"/>
      <c r="G107" s="11"/>
      <c r="H107" s="11"/>
      <c r="I107" s="11"/>
      <c r="J107" s="11"/>
      <c r="K107" s="15"/>
      <c r="L107" s="1"/>
      <c r="M107" s="1"/>
      <c r="N107" s="1"/>
    </row>
    <row r="108" spans="1:14" ht="12.75" x14ac:dyDescent="0.2">
      <c r="A108" s="11">
        <v>107</v>
      </c>
      <c r="B108" s="2" t="s">
        <v>140</v>
      </c>
      <c r="C108" s="13">
        <v>100</v>
      </c>
      <c r="D108" s="13">
        <v>138</v>
      </c>
      <c r="E108" s="13">
        <v>204</v>
      </c>
      <c r="F108" s="11"/>
      <c r="G108" s="11"/>
      <c r="H108" s="11"/>
      <c r="I108" s="11"/>
      <c r="J108" s="11"/>
      <c r="K108" s="15"/>
      <c r="L108" s="1"/>
      <c r="M108" s="1"/>
      <c r="N108" s="1"/>
    </row>
    <row r="109" spans="1:14" ht="12.75" x14ac:dyDescent="0.2">
      <c r="A109" s="11">
        <v>108</v>
      </c>
      <c r="B109" s="2" t="s">
        <v>141</v>
      </c>
      <c r="C109" s="13">
        <v>180</v>
      </c>
      <c r="D109" s="13">
        <v>126</v>
      </c>
      <c r="E109" s="13">
        <v>160</v>
      </c>
      <c r="F109" s="11"/>
      <c r="G109" s="11"/>
      <c r="H109" s="11"/>
      <c r="I109" s="11"/>
      <c r="J109" s="11"/>
      <c r="K109" s="15"/>
      <c r="L109" s="1"/>
      <c r="M109" s="1"/>
      <c r="N109" s="1"/>
    </row>
    <row r="110" spans="1:14" ht="12.75" x14ac:dyDescent="0.2">
      <c r="A110" s="11">
        <v>109</v>
      </c>
      <c r="B110" s="2" t="s">
        <v>142</v>
      </c>
      <c r="C110" s="13">
        <v>80</v>
      </c>
      <c r="D110" s="13">
        <v>136</v>
      </c>
      <c r="E110" s="13">
        <v>142</v>
      </c>
      <c r="F110" s="11"/>
      <c r="G110" s="11"/>
      <c r="H110" s="11"/>
      <c r="I110" s="11"/>
      <c r="J110" s="11"/>
      <c r="K110" s="15"/>
      <c r="L110" s="1"/>
      <c r="M110" s="1"/>
      <c r="N110" s="1"/>
    </row>
    <row r="111" spans="1:14" ht="12.75" x14ac:dyDescent="0.2">
      <c r="A111" s="11">
        <v>110</v>
      </c>
      <c r="B111" s="2" t="s">
        <v>143</v>
      </c>
      <c r="C111" s="13">
        <v>130</v>
      </c>
      <c r="D111" s="13">
        <v>190</v>
      </c>
      <c r="E111" s="13">
        <v>198</v>
      </c>
      <c r="F111" s="11"/>
      <c r="G111" s="11"/>
      <c r="H111" s="11"/>
      <c r="I111" s="11"/>
      <c r="J111" s="11"/>
      <c r="K111" s="15"/>
      <c r="L111" s="1"/>
      <c r="M111" s="1"/>
      <c r="N111" s="1"/>
    </row>
    <row r="112" spans="1:14" ht="12.75" x14ac:dyDescent="0.2">
      <c r="A112" s="11">
        <v>111</v>
      </c>
      <c r="B112" s="2" t="s">
        <v>144</v>
      </c>
      <c r="C112" s="13">
        <v>160</v>
      </c>
      <c r="D112" s="13">
        <v>110</v>
      </c>
      <c r="E112" s="13">
        <v>116</v>
      </c>
      <c r="F112" s="11"/>
      <c r="G112" s="11"/>
      <c r="H112" s="11"/>
      <c r="I112" s="11"/>
      <c r="J112" s="11"/>
      <c r="K112" s="15"/>
      <c r="L112" s="1"/>
      <c r="M112" s="1"/>
      <c r="N112" s="1"/>
    </row>
    <row r="113" spans="1:14" ht="12.75" x14ac:dyDescent="0.2">
      <c r="A113" s="11">
        <v>112</v>
      </c>
      <c r="B113" s="2" t="s">
        <v>145</v>
      </c>
      <c r="C113" s="13">
        <v>210</v>
      </c>
      <c r="D113" s="13">
        <v>166</v>
      </c>
      <c r="E113" s="13">
        <v>160</v>
      </c>
      <c r="F113" s="11"/>
      <c r="G113" s="11"/>
      <c r="H113" s="11"/>
      <c r="I113" s="11"/>
      <c r="J113" s="11"/>
      <c r="K113" s="15"/>
      <c r="L113" s="1"/>
      <c r="M113" s="1"/>
      <c r="N113" s="1"/>
    </row>
    <row r="114" spans="1:14" ht="12.75" x14ac:dyDescent="0.2">
      <c r="A114" s="11">
        <v>113</v>
      </c>
      <c r="B114" s="2" t="s">
        <v>146</v>
      </c>
      <c r="C114" s="13">
        <v>500</v>
      </c>
      <c r="D114" s="13">
        <v>40</v>
      </c>
      <c r="E114" s="13">
        <v>60</v>
      </c>
      <c r="F114" s="11"/>
      <c r="G114" s="11"/>
      <c r="H114" s="11"/>
      <c r="I114" s="11"/>
      <c r="J114" s="11"/>
      <c r="K114" s="15"/>
      <c r="L114" s="1"/>
      <c r="M114" s="1"/>
      <c r="N114" s="1"/>
    </row>
    <row r="115" spans="1:14" ht="12.75" x14ac:dyDescent="0.2">
      <c r="A115" s="11">
        <v>114</v>
      </c>
      <c r="B115" s="2" t="s">
        <v>147</v>
      </c>
      <c r="C115" s="13">
        <v>130</v>
      </c>
      <c r="D115" s="13">
        <v>164</v>
      </c>
      <c r="E115" s="13">
        <v>152</v>
      </c>
      <c r="F115" s="11"/>
      <c r="G115" s="11"/>
      <c r="H115" s="11"/>
      <c r="I115" s="11"/>
      <c r="J115" s="11"/>
      <c r="K115" s="15"/>
      <c r="L115" s="1"/>
      <c r="M115" s="1"/>
      <c r="N115" s="1"/>
    </row>
    <row r="116" spans="1:14" ht="12.75" x14ac:dyDescent="0.2">
      <c r="A116" s="11">
        <v>115</v>
      </c>
      <c r="B116" s="2" t="s">
        <v>148</v>
      </c>
      <c r="C116" s="13">
        <v>210</v>
      </c>
      <c r="D116" s="13">
        <v>142</v>
      </c>
      <c r="E116" s="13">
        <v>178</v>
      </c>
      <c r="F116" s="11"/>
      <c r="G116" s="11"/>
      <c r="H116" s="11"/>
      <c r="I116" s="11"/>
      <c r="J116" s="11"/>
      <c r="K116" s="15"/>
      <c r="L116" s="1"/>
      <c r="M116" s="1"/>
      <c r="N116" s="1"/>
    </row>
    <row r="117" spans="1:14" ht="12.75" x14ac:dyDescent="0.2">
      <c r="A117" s="11">
        <v>116</v>
      </c>
      <c r="B117" s="2" t="s">
        <v>149</v>
      </c>
      <c r="C117" s="13">
        <v>60</v>
      </c>
      <c r="D117" s="13">
        <v>122</v>
      </c>
      <c r="E117" s="13">
        <v>100</v>
      </c>
      <c r="F117" s="11"/>
      <c r="G117" s="11"/>
      <c r="H117" s="11"/>
      <c r="I117" s="11"/>
      <c r="J117" s="11"/>
      <c r="K117" s="15"/>
      <c r="L117" s="1"/>
      <c r="M117" s="1"/>
      <c r="N117" s="1"/>
    </row>
    <row r="118" spans="1:14" ht="12.75" x14ac:dyDescent="0.2">
      <c r="A118" s="11">
        <v>117</v>
      </c>
      <c r="B118" s="2" t="s">
        <v>150</v>
      </c>
      <c r="C118" s="13">
        <v>110</v>
      </c>
      <c r="D118" s="13">
        <v>176</v>
      </c>
      <c r="E118" s="13">
        <v>150</v>
      </c>
      <c r="F118" s="11"/>
      <c r="G118" s="11"/>
      <c r="H118" s="11"/>
      <c r="I118" s="11"/>
      <c r="J118" s="11"/>
      <c r="K118" s="15"/>
      <c r="L118" s="1"/>
      <c r="M118" s="1"/>
      <c r="N118" s="1"/>
    </row>
    <row r="119" spans="1:14" ht="12.75" x14ac:dyDescent="0.2">
      <c r="A119" s="11">
        <v>118</v>
      </c>
      <c r="B119" s="2" t="s">
        <v>151</v>
      </c>
      <c r="C119" s="13">
        <v>90</v>
      </c>
      <c r="D119" s="13">
        <v>112</v>
      </c>
      <c r="E119" s="13">
        <v>126</v>
      </c>
      <c r="F119" s="11"/>
      <c r="G119" s="11"/>
      <c r="H119" s="11"/>
      <c r="I119" s="11"/>
      <c r="J119" s="11"/>
      <c r="K119" s="15"/>
      <c r="L119" s="1"/>
      <c r="M119" s="1"/>
      <c r="N119" s="1"/>
    </row>
    <row r="120" spans="1:14" ht="12.75" x14ac:dyDescent="0.2">
      <c r="A120" s="11">
        <v>119</v>
      </c>
      <c r="B120" s="2" t="s">
        <v>152</v>
      </c>
      <c r="C120" s="13">
        <v>160</v>
      </c>
      <c r="D120" s="13">
        <v>172</v>
      </c>
      <c r="E120" s="13">
        <v>160</v>
      </c>
      <c r="F120" s="11"/>
      <c r="G120" s="11"/>
      <c r="H120" s="11"/>
      <c r="I120" s="11"/>
      <c r="J120" s="11"/>
      <c r="K120" s="15"/>
      <c r="L120" s="1"/>
      <c r="M120" s="1"/>
      <c r="N120" s="1"/>
    </row>
    <row r="121" spans="1:14" ht="12.75" x14ac:dyDescent="0.2">
      <c r="A121" s="11">
        <v>120</v>
      </c>
      <c r="B121" s="2" t="s">
        <v>153</v>
      </c>
      <c r="C121" s="13">
        <v>60</v>
      </c>
      <c r="D121" s="13">
        <v>130</v>
      </c>
      <c r="E121" s="13">
        <v>128</v>
      </c>
      <c r="F121" s="11"/>
      <c r="G121" s="11"/>
      <c r="H121" s="11"/>
      <c r="I121" s="11"/>
      <c r="J121" s="11"/>
      <c r="K121" s="15"/>
      <c r="L121" s="1"/>
      <c r="M121" s="1"/>
      <c r="N121" s="1"/>
    </row>
    <row r="122" spans="1:14" ht="12.75" x14ac:dyDescent="0.2">
      <c r="A122" s="11">
        <v>121</v>
      </c>
      <c r="B122" s="2" t="s">
        <v>154</v>
      </c>
      <c r="C122" s="13">
        <v>120</v>
      </c>
      <c r="D122" s="13">
        <v>194</v>
      </c>
      <c r="E122" s="13">
        <v>192</v>
      </c>
      <c r="F122" s="11"/>
      <c r="G122" s="11"/>
      <c r="H122" s="11"/>
      <c r="I122" s="11"/>
      <c r="J122" s="11"/>
      <c r="K122" s="15"/>
      <c r="L122" s="1"/>
      <c r="M122" s="1"/>
      <c r="N122" s="1"/>
    </row>
    <row r="123" spans="1:14" ht="12.75" x14ac:dyDescent="0.2">
      <c r="A123" s="11">
        <v>122</v>
      </c>
      <c r="B123" s="2" t="s">
        <v>155</v>
      </c>
      <c r="C123" s="13">
        <v>80</v>
      </c>
      <c r="D123" s="13">
        <v>154</v>
      </c>
      <c r="E123" s="13">
        <v>196</v>
      </c>
      <c r="F123" s="11"/>
      <c r="G123" s="11"/>
      <c r="H123" s="11"/>
      <c r="I123" s="11"/>
      <c r="J123" s="11"/>
      <c r="K123" s="15"/>
      <c r="L123" s="1"/>
      <c r="M123" s="1"/>
      <c r="N123" s="1"/>
    </row>
    <row r="124" spans="1:14" ht="12.75" x14ac:dyDescent="0.2">
      <c r="A124" s="11">
        <v>123</v>
      </c>
      <c r="B124" s="2" t="s">
        <v>156</v>
      </c>
      <c r="C124" s="13">
        <v>140</v>
      </c>
      <c r="D124" s="13">
        <v>176</v>
      </c>
      <c r="E124" s="13">
        <v>180</v>
      </c>
      <c r="F124" s="11"/>
      <c r="G124" s="11"/>
      <c r="H124" s="11"/>
      <c r="I124" s="11"/>
      <c r="J124" s="11"/>
      <c r="K124" s="15"/>
      <c r="L124" s="1"/>
      <c r="M124" s="1"/>
      <c r="N124" s="1"/>
    </row>
    <row r="125" spans="1:14" ht="12.75" x14ac:dyDescent="0.2">
      <c r="A125" s="11">
        <v>124</v>
      </c>
      <c r="B125" s="2" t="s">
        <v>157</v>
      </c>
      <c r="C125" s="13">
        <v>130</v>
      </c>
      <c r="D125" s="13">
        <v>172</v>
      </c>
      <c r="E125" s="13">
        <v>134</v>
      </c>
      <c r="F125" s="11"/>
      <c r="G125" s="11"/>
      <c r="H125" s="11"/>
      <c r="I125" s="11"/>
      <c r="J125" s="11"/>
      <c r="K125" s="15"/>
      <c r="L125" s="1"/>
      <c r="M125" s="1"/>
      <c r="N125" s="1"/>
    </row>
    <row r="126" spans="1:14" ht="12.75" x14ac:dyDescent="0.2">
      <c r="A126" s="11">
        <v>125</v>
      </c>
      <c r="B126" s="2" t="s">
        <v>158</v>
      </c>
      <c r="C126" s="13">
        <v>130</v>
      </c>
      <c r="D126" s="13">
        <v>198</v>
      </c>
      <c r="E126" s="13">
        <v>160</v>
      </c>
      <c r="F126" s="11"/>
      <c r="G126" s="11"/>
      <c r="H126" s="11"/>
      <c r="I126" s="11"/>
      <c r="J126" s="11"/>
      <c r="K126" s="15"/>
      <c r="L126" s="1"/>
      <c r="M126" s="1"/>
      <c r="N126" s="1"/>
    </row>
    <row r="127" spans="1:14" ht="12.75" x14ac:dyDescent="0.2">
      <c r="A127" s="11">
        <v>126</v>
      </c>
      <c r="B127" s="2" t="s">
        <v>159</v>
      </c>
      <c r="C127" s="13">
        <v>130</v>
      </c>
      <c r="D127" s="13">
        <v>214</v>
      </c>
      <c r="E127" s="13">
        <v>158</v>
      </c>
      <c r="F127" s="11"/>
      <c r="G127" s="11"/>
      <c r="H127" s="11"/>
      <c r="I127" s="11"/>
      <c r="J127" s="11"/>
      <c r="K127" s="15"/>
      <c r="L127" s="1"/>
      <c r="M127" s="1"/>
      <c r="N127" s="1"/>
    </row>
    <row r="128" spans="1:14" ht="12.75" x14ac:dyDescent="0.2">
      <c r="A128" s="11">
        <v>127</v>
      </c>
      <c r="B128" s="2" t="s">
        <v>160</v>
      </c>
      <c r="C128" s="13">
        <v>130</v>
      </c>
      <c r="D128" s="13">
        <v>184</v>
      </c>
      <c r="E128" s="13">
        <v>186</v>
      </c>
      <c r="F128" s="11"/>
      <c r="G128" s="11"/>
      <c r="H128" s="11"/>
      <c r="I128" s="11"/>
      <c r="J128" s="11"/>
      <c r="K128" s="15"/>
      <c r="L128" s="1"/>
      <c r="M128" s="1"/>
      <c r="N128" s="1"/>
    </row>
    <row r="129" spans="1:14" ht="12.75" x14ac:dyDescent="0.2">
      <c r="A129" s="11">
        <v>128</v>
      </c>
      <c r="B129" s="2" t="s">
        <v>161</v>
      </c>
      <c r="C129" s="13">
        <v>150</v>
      </c>
      <c r="D129" s="13">
        <v>148</v>
      </c>
      <c r="E129" s="13">
        <v>184</v>
      </c>
      <c r="F129" s="11"/>
      <c r="G129" s="11"/>
      <c r="H129" s="11"/>
      <c r="I129" s="11"/>
      <c r="J129" s="11"/>
      <c r="K129" s="15"/>
      <c r="L129" s="1"/>
      <c r="M129" s="1"/>
      <c r="N129" s="1"/>
    </row>
    <row r="130" spans="1:14" ht="12.75" x14ac:dyDescent="0.2">
      <c r="A130" s="11">
        <v>129</v>
      </c>
      <c r="B130" s="2" t="s">
        <v>162</v>
      </c>
      <c r="C130" s="13">
        <v>40</v>
      </c>
      <c r="D130" s="13">
        <v>42</v>
      </c>
      <c r="E130" s="13">
        <v>84</v>
      </c>
      <c r="F130" s="11"/>
      <c r="G130" s="11"/>
      <c r="H130" s="11"/>
      <c r="I130" s="11"/>
      <c r="J130" s="11"/>
      <c r="K130" s="15"/>
      <c r="L130" s="1"/>
      <c r="M130" s="1"/>
      <c r="N130" s="1"/>
    </row>
    <row r="131" spans="1:14" ht="12.75" x14ac:dyDescent="0.2">
      <c r="A131" s="11">
        <v>130</v>
      </c>
      <c r="B131" s="2" t="s">
        <v>163</v>
      </c>
      <c r="C131" s="13">
        <v>190</v>
      </c>
      <c r="D131" s="13">
        <v>192</v>
      </c>
      <c r="E131" s="13">
        <v>196</v>
      </c>
      <c r="F131" s="11"/>
      <c r="G131" s="11"/>
      <c r="H131" s="11"/>
      <c r="I131" s="11"/>
      <c r="J131" s="11"/>
      <c r="K131" s="15"/>
      <c r="L131" s="1"/>
      <c r="M131" s="1"/>
      <c r="N131" s="1"/>
    </row>
    <row r="132" spans="1:14" ht="12.75" x14ac:dyDescent="0.2">
      <c r="A132" s="11">
        <v>131</v>
      </c>
      <c r="B132" s="2" t="s">
        <v>164</v>
      </c>
      <c r="C132" s="13">
        <v>260</v>
      </c>
      <c r="D132" s="13">
        <v>186</v>
      </c>
      <c r="E132" s="13">
        <v>190</v>
      </c>
      <c r="F132" s="11"/>
      <c r="G132" s="11"/>
      <c r="H132" s="11"/>
      <c r="I132" s="11"/>
      <c r="J132" s="11"/>
      <c r="K132" s="15"/>
      <c r="L132" s="1"/>
      <c r="M132" s="1"/>
      <c r="N132" s="1"/>
    </row>
    <row r="133" spans="1:14" ht="12.75" x14ac:dyDescent="0.2">
      <c r="A133" s="11">
        <v>132</v>
      </c>
      <c r="B133" s="2" t="s">
        <v>165</v>
      </c>
      <c r="C133" s="13">
        <v>96</v>
      </c>
      <c r="D133" s="13">
        <v>110</v>
      </c>
      <c r="E133" s="13">
        <v>110</v>
      </c>
      <c r="F133" s="11"/>
      <c r="G133" s="11"/>
      <c r="H133" s="11"/>
      <c r="I133" s="11"/>
      <c r="J133" s="11"/>
      <c r="K133" s="15"/>
      <c r="L133" s="1"/>
      <c r="M133" s="1"/>
      <c r="N133" s="1"/>
    </row>
    <row r="134" spans="1:14" ht="12.75" x14ac:dyDescent="0.2">
      <c r="A134" s="11">
        <v>133</v>
      </c>
      <c r="B134" s="2" t="s">
        <v>166</v>
      </c>
      <c r="C134" s="13">
        <v>110</v>
      </c>
      <c r="D134" s="13">
        <v>114</v>
      </c>
      <c r="E134" s="13">
        <v>128</v>
      </c>
      <c r="F134" s="11"/>
      <c r="G134" s="11"/>
      <c r="H134" s="11"/>
      <c r="I134" s="11"/>
      <c r="J134" s="11"/>
      <c r="K134" s="15"/>
      <c r="L134" s="1"/>
      <c r="M134" s="1"/>
      <c r="N134" s="1"/>
    </row>
    <row r="135" spans="1:14" ht="12.75" x14ac:dyDescent="0.2">
      <c r="A135" s="11">
        <v>134</v>
      </c>
      <c r="B135" s="2" t="s">
        <v>167</v>
      </c>
      <c r="C135" s="13">
        <v>260</v>
      </c>
      <c r="D135" s="13">
        <v>186</v>
      </c>
      <c r="E135" s="13">
        <v>168</v>
      </c>
      <c r="F135" s="11"/>
      <c r="G135" s="11"/>
      <c r="H135" s="11"/>
      <c r="I135" s="11"/>
      <c r="J135" s="11"/>
      <c r="K135" s="15"/>
      <c r="L135" s="1"/>
      <c r="M135" s="1"/>
      <c r="N135" s="1"/>
    </row>
    <row r="136" spans="1:14" ht="12.75" x14ac:dyDescent="0.2">
      <c r="A136" s="11">
        <v>135</v>
      </c>
      <c r="B136" s="2" t="s">
        <v>168</v>
      </c>
      <c r="C136" s="13">
        <v>130</v>
      </c>
      <c r="D136" s="13">
        <v>192</v>
      </c>
      <c r="E136" s="13">
        <v>174</v>
      </c>
      <c r="F136" s="11"/>
      <c r="G136" s="11"/>
      <c r="H136" s="11"/>
      <c r="I136" s="11"/>
      <c r="J136" s="11"/>
      <c r="K136" s="15"/>
      <c r="L136" s="1"/>
      <c r="M136" s="1"/>
      <c r="N136" s="1"/>
    </row>
    <row r="137" spans="1:14" ht="12.75" x14ac:dyDescent="0.2">
      <c r="A137" s="11">
        <v>136</v>
      </c>
      <c r="B137" s="2" t="s">
        <v>169</v>
      </c>
      <c r="C137" s="13">
        <v>130</v>
      </c>
      <c r="D137" s="13">
        <v>238</v>
      </c>
      <c r="E137" s="13">
        <v>178</v>
      </c>
      <c r="F137" s="11"/>
      <c r="G137" s="11"/>
      <c r="H137" s="11"/>
      <c r="I137" s="11"/>
      <c r="J137" s="11"/>
      <c r="K137" s="15"/>
      <c r="L137" s="1"/>
      <c r="M137" s="1"/>
      <c r="N137" s="1"/>
    </row>
    <row r="138" spans="1:14" ht="12.75" x14ac:dyDescent="0.2">
      <c r="A138" s="11">
        <v>137</v>
      </c>
      <c r="B138" s="2" t="s">
        <v>170</v>
      </c>
      <c r="C138" s="13">
        <v>130</v>
      </c>
      <c r="D138" s="13">
        <v>156</v>
      </c>
      <c r="E138" s="13">
        <v>158</v>
      </c>
      <c r="F138" s="11"/>
      <c r="G138" s="11"/>
      <c r="H138" s="11"/>
      <c r="I138" s="11"/>
      <c r="J138" s="11"/>
      <c r="K138" s="15"/>
      <c r="L138" s="1"/>
      <c r="M138" s="1"/>
      <c r="N138" s="1"/>
    </row>
    <row r="139" spans="1:14" ht="12.75" x14ac:dyDescent="0.2">
      <c r="A139" s="11">
        <v>138</v>
      </c>
      <c r="B139" s="2" t="s">
        <v>171</v>
      </c>
      <c r="C139" s="13">
        <v>70</v>
      </c>
      <c r="D139" s="13">
        <v>132</v>
      </c>
      <c r="E139" s="13">
        <v>160</v>
      </c>
      <c r="F139" s="11"/>
      <c r="G139" s="11"/>
      <c r="H139" s="11"/>
      <c r="I139" s="11"/>
      <c r="J139" s="11"/>
      <c r="K139" s="15"/>
      <c r="L139" s="1"/>
      <c r="M139" s="1"/>
      <c r="N139" s="1"/>
    </row>
    <row r="140" spans="1:14" ht="12.75" x14ac:dyDescent="0.2">
      <c r="A140" s="11">
        <v>139</v>
      </c>
      <c r="B140" s="2" t="s">
        <v>172</v>
      </c>
      <c r="C140" s="13">
        <v>140</v>
      </c>
      <c r="D140" s="13">
        <v>180</v>
      </c>
      <c r="E140" s="13">
        <v>202</v>
      </c>
      <c r="F140" s="11"/>
      <c r="G140" s="11"/>
      <c r="H140" s="11"/>
      <c r="I140" s="11"/>
      <c r="J140" s="11"/>
      <c r="K140" s="15"/>
      <c r="L140" s="1"/>
      <c r="M140" s="1"/>
      <c r="N140" s="1"/>
    </row>
    <row r="141" spans="1:14" ht="12.75" x14ac:dyDescent="0.2">
      <c r="A141" s="11">
        <v>140</v>
      </c>
      <c r="B141" s="2" t="s">
        <v>173</v>
      </c>
      <c r="C141" s="13">
        <v>60</v>
      </c>
      <c r="D141" s="13">
        <v>148</v>
      </c>
      <c r="E141" s="13">
        <v>142</v>
      </c>
      <c r="F141" s="11"/>
      <c r="G141" s="11"/>
      <c r="H141" s="11"/>
      <c r="I141" s="11"/>
      <c r="J141" s="11"/>
      <c r="K141" s="15"/>
      <c r="L141" s="1"/>
      <c r="M141" s="1"/>
      <c r="N141" s="1"/>
    </row>
    <row r="142" spans="1:14" ht="12.75" x14ac:dyDescent="0.2">
      <c r="A142" s="11">
        <v>141</v>
      </c>
      <c r="B142" s="2" t="s">
        <v>174</v>
      </c>
      <c r="C142" s="13">
        <v>120</v>
      </c>
      <c r="D142" s="13">
        <v>190</v>
      </c>
      <c r="E142" s="13">
        <v>190</v>
      </c>
      <c r="F142" s="11"/>
      <c r="G142" s="11"/>
      <c r="H142" s="11"/>
      <c r="I142" s="11"/>
      <c r="J142" s="11"/>
      <c r="K142" s="15"/>
      <c r="L142" s="1"/>
      <c r="M142" s="1"/>
      <c r="N142" s="1"/>
    </row>
    <row r="143" spans="1:14" ht="12.75" x14ac:dyDescent="0.2">
      <c r="A143" s="11">
        <v>142</v>
      </c>
      <c r="B143" s="2" t="s">
        <v>175</v>
      </c>
      <c r="C143" s="13">
        <v>160</v>
      </c>
      <c r="D143" s="13">
        <v>182</v>
      </c>
      <c r="E143" s="13">
        <v>162</v>
      </c>
      <c r="F143" s="11"/>
      <c r="G143" s="11"/>
      <c r="H143" s="11"/>
      <c r="I143" s="11"/>
      <c r="J143" s="11"/>
      <c r="K143" s="15"/>
      <c r="L143" s="1"/>
      <c r="M143" s="1"/>
      <c r="N143" s="1"/>
    </row>
    <row r="144" spans="1:14" ht="12.75" x14ac:dyDescent="0.2">
      <c r="A144" s="11">
        <v>143</v>
      </c>
      <c r="B144" s="2" t="s">
        <v>176</v>
      </c>
      <c r="C144" s="13">
        <v>320</v>
      </c>
      <c r="D144" s="13">
        <v>180</v>
      </c>
      <c r="E144" s="13">
        <v>180</v>
      </c>
      <c r="F144" s="11"/>
      <c r="G144" s="11"/>
      <c r="H144" s="11"/>
      <c r="I144" s="11"/>
      <c r="J144" s="11"/>
      <c r="K144" s="15"/>
      <c r="L144" s="1"/>
      <c r="M144" s="1"/>
      <c r="N144" s="1"/>
    </row>
    <row r="145" spans="1:14" ht="12.75" x14ac:dyDescent="0.2">
      <c r="A145" s="11">
        <v>144</v>
      </c>
      <c r="B145" s="2" t="s">
        <v>177</v>
      </c>
      <c r="C145" s="13">
        <v>180</v>
      </c>
      <c r="D145" s="13">
        <v>198</v>
      </c>
      <c r="E145" s="13">
        <v>242</v>
      </c>
      <c r="F145" s="11"/>
      <c r="G145" s="11"/>
      <c r="H145" s="11"/>
      <c r="I145" s="11"/>
      <c r="J145" s="11"/>
      <c r="K145" s="15"/>
      <c r="L145" s="1"/>
      <c r="M145" s="1"/>
      <c r="N145" s="1"/>
    </row>
    <row r="146" spans="1:14" ht="12.75" x14ac:dyDescent="0.2">
      <c r="A146" s="11">
        <v>145</v>
      </c>
      <c r="B146" s="2" t="s">
        <v>178</v>
      </c>
      <c r="C146" s="13">
        <v>180</v>
      </c>
      <c r="D146" s="13">
        <v>232</v>
      </c>
      <c r="E146" s="13">
        <v>194</v>
      </c>
      <c r="F146" s="11"/>
      <c r="G146" s="11"/>
      <c r="H146" s="11"/>
      <c r="I146" s="11"/>
      <c r="J146" s="11"/>
      <c r="K146" s="15"/>
      <c r="L146" s="1"/>
      <c r="M146" s="1"/>
      <c r="N146" s="1"/>
    </row>
    <row r="147" spans="1:14" ht="12.75" x14ac:dyDescent="0.2">
      <c r="A147" s="11">
        <v>146</v>
      </c>
      <c r="B147" s="2" t="s">
        <v>179</v>
      </c>
      <c r="C147" s="13">
        <v>180</v>
      </c>
      <c r="D147" s="13">
        <v>242</v>
      </c>
      <c r="E147" s="13">
        <v>194</v>
      </c>
      <c r="F147" s="11"/>
      <c r="G147" s="11"/>
      <c r="H147" s="11"/>
      <c r="I147" s="11"/>
      <c r="J147" s="11"/>
      <c r="K147" s="15"/>
      <c r="L147" s="1"/>
      <c r="M147" s="1"/>
      <c r="N147" s="1"/>
    </row>
    <row r="148" spans="1:14" ht="12.75" x14ac:dyDescent="0.2">
      <c r="A148" s="11">
        <v>147</v>
      </c>
      <c r="B148" s="2" t="s">
        <v>180</v>
      </c>
      <c r="C148" s="13">
        <v>82</v>
      </c>
      <c r="D148" s="13">
        <v>128</v>
      </c>
      <c r="E148" s="13">
        <v>110</v>
      </c>
      <c r="F148" s="11"/>
      <c r="G148" s="11"/>
      <c r="H148" s="11"/>
      <c r="I148" s="11"/>
      <c r="J148" s="11"/>
      <c r="K148" s="15"/>
      <c r="L148" s="1"/>
      <c r="M148" s="1"/>
      <c r="N148" s="1"/>
    </row>
    <row r="149" spans="1:14" ht="12.75" x14ac:dyDescent="0.2">
      <c r="A149" s="11">
        <v>148</v>
      </c>
      <c r="B149" s="2" t="s">
        <v>181</v>
      </c>
      <c r="C149" s="13">
        <v>122</v>
      </c>
      <c r="D149" s="13">
        <v>170</v>
      </c>
      <c r="E149" s="13">
        <v>152</v>
      </c>
      <c r="F149" s="11"/>
      <c r="G149" s="11"/>
      <c r="H149" s="11"/>
      <c r="I149" s="11"/>
      <c r="J149" s="11"/>
      <c r="K149" s="15"/>
      <c r="L149" s="1"/>
      <c r="M149" s="1"/>
      <c r="N149" s="1"/>
    </row>
    <row r="150" spans="1:14" ht="12.75" x14ac:dyDescent="0.2">
      <c r="A150" s="11">
        <v>149</v>
      </c>
      <c r="B150" s="2" t="s">
        <v>182</v>
      </c>
      <c r="C150" s="13">
        <v>182</v>
      </c>
      <c r="D150" s="13">
        <v>250</v>
      </c>
      <c r="E150" s="13">
        <v>212</v>
      </c>
      <c r="F150" s="11"/>
      <c r="G150" s="11"/>
      <c r="H150" s="11"/>
      <c r="I150" s="11"/>
      <c r="J150" s="11"/>
      <c r="K150" s="15"/>
      <c r="L150" s="1"/>
      <c r="M150" s="1"/>
      <c r="N150" s="1"/>
    </row>
    <row r="151" spans="1:14" ht="12.75" x14ac:dyDescent="0.2">
      <c r="A151" s="11">
        <v>150</v>
      </c>
      <c r="B151" s="2" t="s">
        <v>183</v>
      </c>
      <c r="C151" s="13">
        <v>212</v>
      </c>
      <c r="D151" s="13">
        <v>284</v>
      </c>
      <c r="E151" s="13">
        <v>202</v>
      </c>
      <c r="F151" s="11"/>
      <c r="G151" s="11"/>
      <c r="H151" s="11"/>
      <c r="I151" s="11"/>
      <c r="J151" s="11"/>
      <c r="K151" s="15"/>
      <c r="L151" s="1"/>
      <c r="M151" s="1"/>
      <c r="N151" s="1"/>
    </row>
    <row r="152" spans="1:14" ht="12.75" x14ac:dyDescent="0.2">
      <c r="A152" s="9">
        <v>151</v>
      </c>
      <c r="B152" s="9" t="s">
        <v>184</v>
      </c>
      <c r="C152" s="13">
        <v>200</v>
      </c>
      <c r="D152" s="13">
        <v>220</v>
      </c>
      <c r="E152" s="13">
        <v>220</v>
      </c>
      <c r="F152" s="11"/>
      <c r="G152" s="11"/>
      <c r="H152" s="11"/>
      <c r="I152" s="11"/>
      <c r="J152" s="11"/>
      <c r="K152" s="15"/>
      <c r="L152" s="1"/>
      <c r="M152" s="1"/>
      <c r="N152" s="1"/>
    </row>
    <row r="153" spans="1:14" ht="12.75" x14ac:dyDescent="0.2">
      <c r="A153" s="2"/>
      <c r="B153" s="2"/>
      <c r="C153" s="11"/>
      <c r="D153" s="11"/>
      <c r="E153" s="11"/>
      <c r="F153" s="11"/>
      <c r="G153" s="11"/>
      <c r="H153" s="11"/>
      <c r="I153" s="11"/>
      <c r="J153" s="11"/>
      <c r="K153" s="15"/>
      <c r="L153" s="1"/>
      <c r="M153" s="1"/>
      <c r="N153" s="1"/>
    </row>
    <row r="154" spans="1:14" ht="12.75" x14ac:dyDescent="0.2">
      <c r="A154" s="2"/>
      <c r="B154" s="2"/>
      <c r="C154" s="11"/>
      <c r="D154" s="11"/>
      <c r="E154" s="11"/>
      <c r="F154" s="11"/>
      <c r="G154" s="11"/>
      <c r="H154" s="11"/>
      <c r="I154" s="11"/>
      <c r="J154" s="11"/>
      <c r="K154" s="15"/>
      <c r="L154" s="1"/>
      <c r="M154" s="1"/>
      <c r="N154" s="1"/>
    </row>
    <row r="155" spans="1:14" ht="12.75" x14ac:dyDescent="0.2">
      <c r="A155" s="2"/>
      <c r="B155" s="2"/>
      <c r="C155" s="11"/>
      <c r="D155" s="11"/>
      <c r="E155" s="11"/>
      <c r="F155" s="11"/>
      <c r="G155" s="11"/>
      <c r="H155" s="11"/>
      <c r="I155" s="11"/>
      <c r="J155" s="11"/>
      <c r="K155" s="15"/>
      <c r="L155" s="1"/>
      <c r="M155" s="1"/>
      <c r="N155" s="1"/>
    </row>
    <row r="156" spans="1:14" ht="12.75" x14ac:dyDescent="0.2">
      <c r="A156" s="2"/>
      <c r="B156" s="2"/>
      <c r="C156" s="11"/>
      <c r="D156" s="11"/>
      <c r="E156" s="11"/>
      <c r="F156" s="11"/>
      <c r="G156" s="11"/>
      <c r="H156" s="11"/>
      <c r="I156" s="11"/>
      <c r="J156" s="11"/>
      <c r="K156" s="15"/>
      <c r="L156" s="1"/>
      <c r="M156" s="1"/>
      <c r="N156" s="1"/>
    </row>
    <row r="157" spans="1:14" ht="12.75" x14ac:dyDescent="0.2">
      <c r="A157" s="2"/>
      <c r="B157" s="2"/>
      <c r="C157" s="11"/>
      <c r="D157" s="11"/>
      <c r="E157" s="11"/>
      <c r="F157" s="11"/>
      <c r="G157" s="11"/>
      <c r="H157" s="11"/>
      <c r="I157" s="11"/>
      <c r="J157" s="11"/>
      <c r="K157" s="15"/>
      <c r="L157" s="1"/>
      <c r="M157" s="1"/>
      <c r="N157" s="1"/>
    </row>
    <row r="158" spans="1:14" ht="12.75" x14ac:dyDescent="0.2">
      <c r="A158" s="2"/>
      <c r="B158" s="2"/>
      <c r="C158" s="11"/>
      <c r="D158" s="11"/>
      <c r="E158" s="11"/>
      <c r="F158" s="11"/>
      <c r="G158" s="11"/>
      <c r="H158" s="11"/>
      <c r="I158" s="11"/>
      <c r="J158" s="11"/>
      <c r="K158" s="15"/>
      <c r="L158" s="1"/>
      <c r="M158" s="1"/>
      <c r="N158" s="1"/>
    </row>
    <row r="159" spans="1:14" ht="12.75" x14ac:dyDescent="0.2">
      <c r="A159" s="2"/>
      <c r="B159" s="2"/>
      <c r="C159" s="11"/>
      <c r="D159" s="11"/>
      <c r="E159" s="11"/>
      <c r="F159" s="11"/>
      <c r="G159" s="11"/>
      <c r="H159" s="11"/>
      <c r="I159" s="11"/>
      <c r="J159" s="11"/>
      <c r="K159" s="15"/>
      <c r="L159" s="1"/>
      <c r="M159" s="1"/>
      <c r="N159" s="1"/>
    </row>
    <row r="160" spans="1:14" ht="12.75" x14ac:dyDescent="0.2">
      <c r="A160" s="2"/>
      <c r="B160" s="2"/>
      <c r="C160" s="11"/>
      <c r="D160" s="11"/>
      <c r="E160" s="11"/>
      <c r="F160" s="11"/>
      <c r="G160" s="11"/>
      <c r="H160" s="11"/>
      <c r="I160" s="11"/>
      <c r="J160" s="11"/>
      <c r="K160" s="15"/>
      <c r="L160" s="1"/>
      <c r="M160" s="1"/>
      <c r="N160" s="1"/>
    </row>
    <row r="161" spans="1:14" ht="12.75" x14ac:dyDescent="0.2">
      <c r="A161" s="2"/>
      <c r="B161" s="2"/>
      <c r="C161" s="11"/>
      <c r="D161" s="11"/>
      <c r="E161" s="11"/>
      <c r="F161" s="11"/>
      <c r="G161" s="11"/>
      <c r="H161" s="11"/>
      <c r="I161" s="11"/>
      <c r="J161" s="11"/>
      <c r="K161" s="15"/>
      <c r="L161" s="1"/>
      <c r="M161" s="1"/>
      <c r="N161" s="1"/>
    </row>
    <row r="162" spans="1:14" ht="12.75" x14ac:dyDescent="0.2">
      <c r="A162" s="2"/>
      <c r="B162" s="2"/>
      <c r="C162" s="11"/>
      <c r="D162" s="11"/>
      <c r="E162" s="11"/>
      <c r="F162" s="11"/>
      <c r="G162" s="11"/>
      <c r="H162" s="11"/>
      <c r="I162" s="11"/>
      <c r="J162" s="11"/>
      <c r="K162" s="15"/>
      <c r="L162" s="1"/>
      <c r="M162" s="1"/>
      <c r="N162" s="1"/>
    </row>
    <row r="163" spans="1:14" ht="12.75" x14ac:dyDescent="0.2">
      <c r="A163" s="2"/>
      <c r="B163" s="2"/>
      <c r="C163" s="11"/>
      <c r="D163" s="11"/>
      <c r="E163" s="11"/>
      <c r="F163" s="11"/>
      <c r="G163" s="11"/>
      <c r="H163" s="11"/>
      <c r="I163" s="11"/>
      <c r="J163" s="11"/>
      <c r="K163" s="15"/>
      <c r="L163" s="1"/>
      <c r="M163" s="1"/>
      <c r="N163" s="1"/>
    </row>
    <row r="164" spans="1:14" ht="12.75" x14ac:dyDescent="0.2">
      <c r="A164" s="2"/>
      <c r="B164" s="2"/>
      <c r="C164" s="11"/>
      <c r="D164" s="11"/>
      <c r="E164" s="11"/>
      <c r="F164" s="11"/>
      <c r="G164" s="11"/>
      <c r="H164" s="11"/>
      <c r="I164" s="11"/>
      <c r="J164" s="11"/>
      <c r="K164" s="15"/>
      <c r="L164" s="1"/>
      <c r="M164" s="1"/>
      <c r="N164" s="1"/>
    </row>
    <row r="165" spans="1:14" ht="12.75" x14ac:dyDescent="0.2">
      <c r="C165" s="9"/>
      <c r="D165" s="9"/>
      <c r="E165" s="9"/>
      <c r="F165" s="9"/>
      <c r="G165" s="9"/>
      <c r="H165" s="9"/>
      <c r="I165" s="9"/>
      <c r="J165" s="1"/>
      <c r="L165" s="1"/>
    </row>
    <row r="166" spans="1:14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</row>
    <row r="167" spans="1:14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</row>
    <row r="168" spans="1:14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</row>
    <row r="169" spans="1:14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</row>
    <row r="170" spans="1:14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</row>
    <row r="171" spans="1:14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</row>
    <row r="172" spans="1:14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</row>
    <row r="173" spans="1:14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</row>
    <row r="174" spans="1:14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</row>
    <row r="175" spans="1:14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</row>
    <row r="176" spans="1:14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</row>
    <row r="177" spans="1:10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</row>
    <row r="178" spans="1:10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</row>
    <row r="179" spans="1:10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</row>
    <row r="180" spans="1:10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</row>
    <row r="181" spans="1:10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</row>
    <row r="182" spans="1:10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</row>
    <row r="183" spans="1:10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</row>
    <row r="184" spans="1:10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</row>
    <row r="185" spans="1:10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</row>
    <row r="186" spans="1:10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</row>
    <row r="187" spans="1:10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</row>
    <row r="188" spans="1:10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</row>
    <row r="189" spans="1:10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</row>
    <row r="190" spans="1:10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</row>
    <row r="191" spans="1:10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</row>
    <row r="192" spans="1:10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</row>
    <row r="193" spans="1:10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</row>
    <row r="194" spans="1:10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</row>
    <row r="195" spans="1:10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</row>
    <row r="196" spans="1:10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</row>
    <row r="197" spans="1:10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</row>
    <row r="198" spans="1:10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</row>
    <row r="199" spans="1:10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</row>
    <row r="200" spans="1:10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</row>
    <row r="201" spans="1:10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</row>
    <row r="202" spans="1:10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</row>
    <row r="203" spans="1:10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</row>
    <row r="204" spans="1:10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</row>
    <row r="205" spans="1:10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</row>
    <row r="206" spans="1:10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</row>
    <row r="207" spans="1:10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</row>
    <row r="208" spans="1:10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</row>
    <row r="209" spans="1:10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</row>
    <row r="210" spans="1:10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</row>
    <row r="211" spans="1:10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</row>
    <row r="212" spans="1:10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</row>
    <row r="213" spans="1:10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</row>
    <row r="214" spans="1:10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</row>
    <row r="215" spans="1:10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</row>
    <row r="216" spans="1:10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</row>
    <row r="217" spans="1:10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</row>
    <row r="218" spans="1:10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</row>
    <row r="219" spans="1:10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</row>
    <row r="220" spans="1:10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</row>
    <row r="221" spans="1:10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</row>
    <row r="222" spans="1:10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</row>
    <row r="223" spans="1:10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</row>
    <row r="224" spans="1:10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</row>
    <row r="225" spans="1:10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</row>
    <row r="226" spans="1:10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</row>
    <row r="227" spans="1:10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</row>
    <row r="228" spans="1:10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</row>
    <row r="229" spans="1:10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</row>
    <row r="230" spans="1:10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</row>
    <row r="231" spans="1:10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</row>
    <row r="232" spans="1:10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</row>
    <row r="233" spans="1:10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</row>
    <row r="234" spans="1:10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</row>
    <row r="235" spans="1:10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</row>
    <row r="236" spans="1:10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</row>
    <row r="237" spans="1:10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</row>
    <row r="238" spans="1:10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</row>
    <row r="239" spans="1:10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</row>
    <row r="240" spans="1:10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</row>
    <row r="241" spans="1:10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</row>
    <row r="242" spans="1:10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</row>
    <row r="243" spans="1:10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</row>
    <row r="244" spans="1:10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</row>
    <row r="245" spans="1:10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</row>
    <row r="246" spans="1:10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</row>
    <row r="247" spans="1:10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</row>
    <row r="248" spans="1:10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</row>
    <row r="249" spans="1:10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</row>
    <row r="250" spans="1:10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</row>
    <row r="251" spans="1:10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</row>
    <row r="252" spans="1:10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</row>
    <row r="253" spans="1:10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</row>
    <row r="254" spans="1:10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</row>
    <row r="255" spans="1:10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</row>
    <row r="256" spans="1:10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</row>
    <row r="257" spans="1:10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</row>
    <row r="258" spans="1:10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</row>
    <row r="259" spans="1:10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</row>
    <row r="260" spans="1:10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</row>
    <row r="261" spans="1:10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</row>
    <row r="262" spans="1:10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</row>
    <row r="263" spans="1:10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</row>
    <row r="264" spans="1:10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</row>
    <row r="265" spans="1:10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</row>
    <row r="266" spans="1:10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</row>
    <row r="267" spans="1:10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</row>
    <row r="268" spans="1:10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</row>
    <row r="269" spans="1:10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</row>
    <row r="270" spans="1:10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</row>
    <row r="271" spans="1:10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</row>
    <row r="272" spans="1:10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</row>
    <row r="273" spans="1:10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</row>
    <row r="274" spans="1:10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</row>
    <row r="275" spans="1:10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</row>
    <row r="276" spans="1:10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</row>
    <row r="277" spans="1:10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</row>
    <row r="278" spans="1:10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</row>
    <row r="279" spans="1:10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</row>
    <row r="280" spans="1:10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</row>
    <row r="281" spans="1:10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</row>
    <row r="282" spans="1:10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</row>
    <row r="283" spans="1:10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</row>
    <row r="284" spans="1:10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</row>
    <row r="285" spans="1:10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</row>
    <row r="286" spans="1:10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</row>
    <row r="287" spans="1:10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</row>
    <row r="288" spans="1:10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</row>
    <row r="289" spans="1:10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</row>
    <row r="290" spans="1:10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</row>
    <row r="291" spans="1:10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</row>
    <row r="292" spans="1:10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</row>
    <row r="293" spans="1:10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</row>
    <row r="294" spans="1:10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</row>
    <row r="295" spans="1:10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</row>
    <row r="296" spans="1:10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</row>
    <row r="297" spans="1:10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</row>
    <row r="298" spans="1:10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</row>
    <row r="299" spans="1:10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</row>
    <row r="300" spans="1:10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</row>
    <row r="301" spans="1:10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</row>
    <row r="302" spans="1:10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</row>
    <row r="303" spans="1:10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</row>
    <row r="304" spans="1:10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</row>
    <row r="305" spans="1:10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</row>
    <row r="306" spans="1:10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</row>
    <row r="307" spans="1:10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</row>
    <row r="308" spans="1:10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</row>
    <row r="309" spans="1:10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</row>
    <row r="310" spans="1:10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</row>
    <row r="311" spans="1:10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</row>
    <row r="312" spans="1:10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</row>
    <row r="313" spans="1:10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</row>
    <row r="314" spans="1:10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</row>
    <row r="315" spans="1:10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</row>
    <row r="316" spans="1:10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</row>
    <row r="317" spans="1:10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</row>
    <row r="318" spans="1:10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</row>
    <row r="319" spans="1:10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</row>
    <row r="320" spans="1:10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</row>
    <row r="321" spans="1:10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</row>
    <row r="322" spans="1:10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</row>
    <row r="323" spans="1:10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</row>
    <row r="324" spans="1:10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</row>
    <row r="325" spans="1:10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</row>
    <row r="326" spans="1:10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</row>
    <row r="327" spans="1:10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</row>
    <row r="328" spans="1:10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</row>
    <row r="329" spans="1:10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</row>
    <row r="330" spans="1:10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</row>
    <row r="331" spans="1:10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</row>
    <row r="332" spans="1:10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</row>
    <row r="333" spans="1:10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</row>
    <row r="334" spans="1:10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</row>
    <row r="335" spans="1:10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</row>
    <row r="336" spans="1:10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</row>
    <row r="337" spans="1:10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</row>
    <row r="338" spans="1:10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</row>
    <row r="339" spans="1:10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</row>
    <row r="340" spans="1:10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</row>
    <row r="341" spans="1:10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</row>
    <row r="342" spans="1:10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</row>
    <row r="343" spans="1:10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</row>
    <row r="344" spans="1:10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</row>
    <row r="345" spans="1:10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</row>
    <row r="346" spans="1:10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</row>
    <row r="347" spans="1:10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</row>
    <row r="348" spans="1:10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</row>
    <row r="349" spans="1:10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</row>
    <row r="350" spans="1:10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</row>
    <row r="351" spans="1:10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</row>
    <row r="352" spans="1:10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</row>
    <row r="353" spans="1:10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</row>
    <row r="354" spans="1:10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</row>
    <row r="355" spans="1:10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</row>
    <row r="356" spans="1:10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</row>
    <row r="357" spans="1:10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</row>
    <row r="358" spans="1:10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</row>
    <row r="359" spans="1:10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</row>
    <row r="360" spans="1:10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</row>
    <row r="361" spans="1:10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</row>
    <row r="362" spans="1:10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</row>
    <row r="363" spans="1:10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</row>
    <row r="364" spans="1:10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</row>
    <row r="365" spans="1:10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</row>
    <row r="366" spans="1:10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</row>
    <row r="367" spans="1:10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</row>
    <row r="368" spans="1:10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</row>
    <row r="369" spans="1:10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</row>
    <row r="370" spans="1:10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</row>
    <row r="371" spans="1:10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</row>
    <row r="372" spans="1:10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</row>
    <row r="373" spans="1:10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</row>
    <row r="374" spans="1:10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</row>
    <row r="375" spans="1:10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</row>
    <row r="376" spans="1:10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</row>
    <row r="377" spans="1:10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</row>
    <row r="378" spans="1:10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</row>
    <row r="379" spans="1:10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</row>
    <row r="380" spans="1:10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</row>
    <row r="381" spans="1:10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</row>
    <row r="382" spans="1:10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</row>
    <row r="383" spans="1:10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</row>
    <row r="384" spans="1:10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</row>
    <row r="385" spans="1:10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</row>
    <row r="386" spans="1:10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</row>
    <row r="387" spans="1:10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</row>
    <row r="388" spans="1:10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</row>
    <row r="389" spans="1:10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</row>
    <row r="390" spans="1:10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</row>
    <row r="391" spans="1:10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</row>
    <row r="392" spans="1:10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</row>
    <row r="393" spans="1:10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</row>
    <row r="394" spans="1:10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</row>
    <row r="395" spans="1:10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</row>
    <row r="396" spans="1:10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</row>
    <row r="397" spans="1:10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</row>
    <row r="398" spans="1:10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</row>
    <row r="399" spans="1:10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</row>
    <row r="400" spans="1:10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</row>
    <row r="401" spans="1:10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</row>
    <row r="402" spans="1:10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</row>
    <row r="403" spans="1:10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</row>
    <row r="404" spans="1:10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</row>
    <row r="405" spans="1:10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</row>
    <row r="406" spans="1:10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</row>
    <row r="407" spans="1:10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</row>
    <row r="408" spans="1:10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</row>
    <row r="409" spans="1:10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</row>
    <row r="410" spans="1:10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</row>
    <row r="411" spans="1:10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</row>
    <row r="412" spans="1:10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</row>
    <row r="413" spans="1:10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</row>
    <row r="414" spans="1:10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</row>
    <row r="415" spans="1:10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</row>
    <row r="416" spans="1:10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</row>
    <row r="417" spans="1:10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</row>
    <row r="418" spans="1:10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</row>
    <row r="419" spans="1:10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</row>
    <row r="420" spans="1:10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</row>
    <row r="421" spans="1:10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</row>
    <row r="422" spans="1:10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</row>
    <row r="423" spans="1:10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</row>
    <row r="424" spans="1:10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</row>
    <row r="425" spans="1:10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</row>
    <row r="426" spans="1:10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</row>
    <row r="427" spans="1:10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</row>
    <row r="428" spans="1:10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</row>
    <row r="429" spans="1:10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</row>
    <row r="430" spans="1:10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</row>
    <row r="431" spans="1:10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</row>
    <row r="432" spans="1:10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</row>
    <row r="433" spans="1:10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</row>
    <row r="434" spans="1:10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</row>
    <row r="435" spans="1:10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</row>
    <row r="436" spans="1:10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</row>
    <row r="437" spans="1:10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</row>
    <row r="438" spans="1:10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</row>
    <row r="439" spans="1:10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</row>
    <row r="440" spans="1:10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</row>
    <row r="441" spans="1:10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</row>
    <row r="442" spans="1:10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</row>
    <row r="443" spans="1:10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</row>
    <row r="444" spans="1:10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</row>
    <row r="445" spans="1:10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</row>
    <row r="446" spans="1:10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</row>
    <row r="447" spans="1:10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</row>
    <row r="448" spans="1:10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</row>
    <row r="449" spans="1:10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</row>
    <row r="450" spans="1:10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</row>
    <row r="451" spans="1:10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</row>
    <row r="452" spans="1:10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</row>
    <row r="453" spans="1:10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</row>
    <row r="454" spans="1:10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</row>
    <row r="455" spans="1:10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</row>
    <row r="456" spans="1:10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</row>
    <row r="457" spans="1:10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</row>
    <row r="458" spans="1:10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</row>
    <row r="459" spans="1:10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</row>
    <row r="460" spans="1:10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</row>
    <row r="461" spans="1:10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</row>
    <row r="462" spans="1:10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</row>
    <row r="463" spans="1:10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</row>
    <row r="464" spans="1:10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</row>
    <row r="465" spans="1:10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</row>
    <row r="466" spans="1:10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</row>
    <row r="467" spans="1:10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</row>
    <row r="468" spans="1:10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</row>
    <row r="469" spans="1:10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</row>
    <row r="470" spans="1:10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</row>
    <row r="471" spans="1:10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</row>
    <row r="472" spans="1:10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</row>
    <row r="473" spans="1:10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</row>
    <row r="474" spans="1:10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</row>
    <row r="475" spans="1:10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</row>
    <row r="476" spans="1:10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</row>
    <row r="477" spans="1:10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</row>
    <row r="478" spans="1:10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</row>
    <row r="479" spans="1:10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</row>
    <row r="480" spans="1:10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</row>
    <row r="481" spans="1:10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</row>
    <row r="482" spans="1:10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</row>
    <row r="483" spans="1:10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</row>
    <row r="484" spans="1:10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</row>
    <row r="485" spans="1:10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</row>
    <row r="486" spans="1:10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</row>
    <row r="487" spans="1:10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</row>
    <row r="488" spans="1:10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</row>
    <row r="489" spans="1:10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</row>
    <row r="490" spans="1:10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</row>
    <row r="491" spans="1:10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</row>
    <row r="492" spans="1:10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</row>
    <row r="493" spans="1:10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</row>
    <row r="494" spans="1:10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</row>
    <row r="495" spans="1:10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</row>
    <row r="496" spans="1:10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</row>
    <row r="497" spans="1:10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</row>
    <row r="498" spans="1:10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</row>
    <row r="499" spans="1:10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</row>
    <row r="500" spans="1:10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</row>
    <row r="501" spans="1:10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</row>
    <row r="502" spans="1:10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</row>
    <row r="503" spans="1:10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</row>
    <row r="504" spans="1:10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</row>
    <row r="505" spans="1:10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</row>
    <row r="506" spans="1:10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</row>
    <row r="507" spans="1:10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</row>
    <row r="508" spans="1:10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</row>
    <row r="509" spans="1:10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</row>
    <row r="510" spans="1:10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</row>
    <row r="511" spans="1:10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</row>
    <row r="512" spans="1:10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</row>
    <row r="513" spans="1:10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</row>
    <row r="514" spans="1:10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</row>
    <row r="515" spans="1:10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</row>
    <row r="516" spans="1:10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</row>
    <row r="517" spans="1:10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</row>
    <row r="518" spans="1:10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</row>
    <row r="519" spans="1:10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</row>
    <row r="520" spans="1:10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</row>
    <row r="521" spans="1:10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</row>
    <row r="522" spans="1:10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</row>
    <row r="523" spans="1:10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</row>
    <row r="524" spans="1:10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</row>
    <row r="525" spans="1:10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</row>
    <row r="526" spans="1:10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</row>
    <row r="527" spans="1:10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</row>
    <row r="528" spans="1:10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</row>
    <row r="529" spans="1:10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</row>
    <row r="530" spans="1:10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</row>
    <row r="531" spans="1:10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</row>
    <row r="532" spans="1:10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</row>
    <row r="533" spans="1:10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</row>
    <row r="534" spans="1:10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</row>
    <row r="535" spans="1:10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</row>
    <row r="536" spans="1:10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</row>
    <row r="537" spans="1:10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</row>
    <row r="538" spans="1:10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</row>
    <row r="539" spans="1:10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</row>
    <row r="540" spans="1:10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</row>
    <row r="541" spans="1:10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</row>
    <row r="542" spans="1:10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</row>
    <row r="543" spans="1:10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</row>
    <row r="544" spans="1:10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</row>
    <row r="545" spans="1:10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</row>
    <row r="546" spans="1:10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</row>
    <row r="547" spans="1:10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</row>
    <row r="548" spans="1:10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</row>
    <row r="549" spans="1:10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</row>
    <row r="550" spans="1:10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</row>
    <row r="551" spans="1:10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</row>
    <row r="552" spans="1:10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</row>
    <row r="553" spans="1:10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</row>
    <row r="554" spans="1:10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</row>
    <row r="555" spans="1:10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</row>
    <row r="556" spans="1:10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</row>
    <row r="557" spans="1:10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</row>
    <row r="558" spans="1:10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</row>
    <row r="559" spans="1:10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</row>
    <row r="560" spans="1:10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</row>
    <row r="561" spans="1:10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</row>
    <row r="562" spans="1:10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</row>
    <row r="563" spans="1:10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</row>
    <row r="564" spans="1:10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</row>
    <row r="565" spans="1:10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</row>
    <row r="566" spans="1:10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</row>
    <row r="567" spans="1:10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</row>
    <row r="568" spans="1:10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</row>
    <row r="569" spans="1:10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</row>
    <row r="570" spans="1:10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</row>
    <row r="571" spans="1:10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</row>
    <row r="572" spans="1:10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</row>
    <row r="573" spans="1:10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</row>
    <row r="574" spans="1:10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</row>
    <row r="575" spans="1:10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</row>
    <row r="576" spans="1:10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</row>
    <row r="577" spans="1:10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</row>
    <row r="578" spans="1:10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</row>
    <row r="579" spans="1:10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</row>
    <row r="580" spans="1:10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</row>
    <row r="581" spans="1:10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</row>
    <row r="582" spans="1:10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</row>
    <row r="583" spans="1:10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</row>
    <row r="584" spans="1:10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</row>
    <row r="585" spans="1:10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</row>
    <row r="586" spans="1:10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</row>
    <row r="587" spans="1:10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</row>
    <row r="588" spans="1:10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</row>
    <row r="589" spans="1:10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</row>
    <row r="590" spans="1:10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</row>
    <row r="591" spans="1:10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</row>
    <row r="592" spans="1:10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</row>
    <row r="593" spans="1:10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</row>
    <row r="594" spans="1:10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</row>
    <row r="595" spans="1:10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</row>
    <row r="596" spans="1:10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</row>
    <row r="597" spans="1:10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</row>
    <row r="598" spans="1:10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</row>
    <row r="599" spans="1:10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</row>
    <row r="600" spans="1:10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</row>
    <row r="601" spans="1:10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</row>
    <row r="602" spans="1:10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</row>
    <row r="603" spans="1:10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</row>
    <row r="604" spans="1:10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</row>
    <row r="605" spans="1:10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</row>
    <row r="606" spans="1:10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</row>
    <row r="607" spans="1:10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</row>
    <row r="608" spans="1:10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</row>
    <row r="609" spans="1:10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</row>
    <row r="610" spans="1:10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</row>
    <row r="611" spans="1:10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</row>
    <row r="612" spans="1:10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</row>
    <row r="613" spans="1:10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</row>
    <row r="614" spans="1:10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</row>
    <row r="615" spans="1:10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</row>
    <row r="616" spans="1:10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</row>
    <row r="617" spans="1:10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</row>
    <row r="618" spans="1:10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</row>
    <row r="619" spans="1:10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</row>
    <row r="620" spans="1:10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</row>
    <row r="621" spans="1:10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</row>
    <row r="622" spans="1:10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</row>
    <row r="623" spans="1:10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</row>
    <row r="624" spans="1:10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</row>
    <row r="625" spans="1:10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</row>
    <row r="626" spans="1:10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</row>
    <row r="627" spans="1:10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</row>
    <row r="628" spans="1:10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</row>
    <row r="629" spans="1:10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</row>
    <row r="630" spans="1:10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</row>
    <row r="631" spans="1:10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</row>
    <row r="632" spans="1:10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</row>
    <row r="633" spans="1:10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</row>
    <row r="634" spans="1:10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</row>
    <row r="635" spans="1:10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</row>
    <row r="636" spans="1:10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</row>
    <row r="637" spans="1:10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</row>
    <row r="638" spans="1:10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</row>
    <row r="639" spans="1:10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</row>
    <row r="640" spans="1:10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</row>
    <row r="641" spans="1:10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</row>
    <row r="642" spans="1:10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</row>
    <row r="643" spans="1:10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</row>
    <row r="644" spans="1:10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</row>
    <row r="645" spans="1:10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</row>
    <row r="646" spans="1:10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</row>
    <row r="647" spans="1:10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</row>
    <row r="648" spans="1:10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</row>
    <row r="649" spans="1:10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</row>
    <row r="650" spans="1:10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</row>
    <row r="651" spans="1:10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</row>
    <row r="652" spans="1:10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</row>
    <row r="653" spans="1:10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</row>
    <row r="654" spans="1:10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</row>
    <row r="655" spans="1:10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</row>
    <row r="656" spans="1:10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</row>
    <row r="657" spans="1:10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</row>
    <row r="658" spans="1:10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</row>
    <row r="659" spans="1:10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</row>
    <row r="660" spans="1:10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</row>
    <row r="661" spans="1:10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</row>
    <row r="662" spans="1:10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</row>
    <row r="663" spans="1:10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</row>
    <row r="664" spans="1:10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</row>
    <row r="665" spans="1:10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</row>
    <row r="666" spans="1:10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</row>
    <row r="667" spans="1:10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</row>
    <row r="668" spans="1:10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</row>
    <row r="669" spans="1:10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</row>
    <row r="670" spans="1:10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</row>
    <row r="671" spans="1:10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</row>
    <row r="672" spans="1:10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</row>
    <row r="673" spans="1:10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</row>
    <row r="674" spans="1:10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</row>
    <row r="675" spans="1:10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</row>
    <row r="676" spans="1:10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</row>
    <row r="677" spans="1:10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</row>
    <row r="678" spans="1:10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</row>
    <row r="679" spans="1:10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</row>
    <row r="680" spans="1:10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</row>
    <row r="681" spans="1:10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</row>
    <row r="682" spans="1:10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</row>
    <row r="683" spans="1:10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</row>
    <row r="684" spans="1:10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</row>
    <row r="685" spans="1:10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</row>
    <row r="686" spans="1:10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</row>
    <row r="687" spans="1:10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</row>
    <row r="688" spans="1:10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</row>
    <row r="689" spans="1:10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</row>
    <row r="690" spans="1:10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</row>
    <row r="691" spans="1:10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</row>
    <row r="692" spans="1:10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</row>
    <row r="693" spans="1:10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</row>
    <row r="694" spans="1:10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</row>
    <row r="695" spans="1:10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</row>
    <row r="696" spans="1:10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</row>
    <row r="697" spans="1:10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</row>
    <row r="698" spans="1:10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</row>
    <row r="699" spans="1:10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</row>
    <row r="700" spans="1:10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</row>
    <row r="701" spans="1:10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</row>
    <row r="702" spans="1:10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</row>
    <row r="703" spans="1:10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</row>
    <row r="704" spans="1:10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</row>
    <row r="705" spans="1:10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</row>
    <row r="706" spans="1:10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</row>
    <row r="707" spans="1:10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</row>
    <row r="708" spans="1:10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</row>
    <row r="709" spans="1:10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</row>
    <row r="710" spans="1:10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</row>
    <row r="711" spans="1:10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</row>
    <row r="712" spans="1:10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</row>
    <row r="713" spans="1:10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</row>
    <row r="714" spans="1:10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</row>
    <row r="715" spans="1:10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</row>
    <row r="716" spans="1:10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</row>
    <row r="717" spans="1:10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</row>
    <row r="718" spans="1:10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</row>
    <row r="719" spans="1:10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</row>
    <row r="720" spans="1:10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</row>
    <row r="721" spans="1:10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</row>
    <row r="722" spans="1:10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</row>
    <row r="723" spans="1:10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</row>
    <row r="724" spans="1:10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</row>
    <row r="725" spans="1:10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</row>
    <row r="726" spans="1:10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</row>
    <row r="727" spans="1:10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</row>
    <row r="728" spans="1:10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</row>
    <row r="729" spans="1:10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</row>
    <row r="730" spans="1:10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</row>
    <row r="731" spans="1:10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</row>
    <row r="732" spans="1:10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</row>
    <row r="733" spans="1:10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</row>
    <row r="734" spans="1:10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</row>
    <row r="735" spans="1:10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</row>
    <row r="736" spans="1:10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</row>
    <row r="737" spans="1:10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</row>
    <row r="738" spans="1:10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</row>
    <row r="739" spans="1:10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</row>
    <row r="740" spans="1:10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</row>
    <row r="741" spans="1:10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</row>
    <row r="742" spans="1:10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</row>
    <row r="743" spans="1:10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</row>
    <row r="744" spans="1:10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</row>
    <row r="745" spans="1:10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</row>
    <row r="746" spans="1:10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</row>
    <row r="747" spans="1:10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</row>
    <row r="748" spans="1:10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</row>
    <row r="749" spans="1:10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</row>
    <row r="750" spans="1:10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</row>
    <row r="751" spans="1:10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</row>
    <row r="752" spans="1:10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</row>
    <row r="753" spans="1:10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</row>
    <row r="754" spans="1:10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</row>
    <row r="755" spans="1:10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</row>
    <row r="756" spans="1:10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</row>
    <row r="757" spans="1:10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</row>
    <row r="758" spans="1:10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</row>
    <row r="759" spans="1:10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</row>
    <row r="760" spans="1:10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</row>
    <row r="761" spans="1:10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</row>
    <row r="762" spans="1:10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</row>
    <row r="763" spans="1:10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</row>
    <row r="764" spans="1:10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</row>
    <row r="765" spans="1:10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</row>
    <row r="766" spans="1:10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</row>
    <row r="767" spans="1:10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</row>
    <row r="768" spans="1:10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</row>
    <row r="769" spans="1:10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</row>
    <row r="770" spans="1:10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</row>
    <row r="771" spans="1:10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</row>
    <row r="772" spans="1:10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</row>
    <row r="773" spans="1:10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</row>
    <row r="774" spans="1:10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</row>
    <row r="775" spans="1:10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</row>
    <row r="776" spans="1:10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</row>
    <row r="777" spans="1:10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</row>
    <row r="778" spans="1:10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</row>
    <row r="779" spans="1:10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</row>
    <row r="780" spans="1:10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</row>
    <row r="781" spans="1:10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</row>
    <row r="782" spans="1:10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</row>
    <row r="783" spans="1:10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</row>
    <row r="784" spans="1:10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</row>
    <row r="785" spans="1:10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</row>
    <row r="786" spans="1:10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</row>
    <row r="787" spans="1:10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</row>
    <row r="788" spans="1:10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</row>
    <row r="789" spans="1:10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</row>
    <row r="790" spans="1:10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</row>
    <row r="791" spans="1:10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</row>
    <row r="792" spans="1:10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</row>
    <row r="793" spans="1:10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</row>
    <row r="794" spans="1:10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</row>
    <row r="795" spans="1:10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</row>
    <row r="796" spans="1:10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</row>
    <row r="797" spans="1:10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</row>
    <row r="798" spans="1:10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</row>
    <row r="799" spans="1:10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  <row r="800" spans="1:10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</row>
    <row r="801" spans="1:10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</row>
    <row r="802" spans="1:10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</row>
    <row r="803" spans="1:10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</row>
    <row r="804" spans="1:10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</row>
    <row r="805" spans="1:10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</row>
    <row r="806" spans="1:10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</row>
    <row r="807" spans="1:10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</row>
    <row r="808" spans="1:10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</row>
    <row r="809" spans="1:10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</row>
    <row r="810" spans="1:10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</row>
    <row r="811" spans="1:10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</row>
    <row r="812" spans="1:10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</row>
    <row r="813" spans="1:10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</row>
    <row r="814" spans="1:10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</row>
    <row r="815" spans="1:10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</row>
    <row r="816" spans="1:10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</row>
    <row r="817" spans="1:10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</row>
    <row r="818" spans="1:10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</row>
    <row r="819" spans="1:10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</row>
    <row r="820" spans="1:10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</row>
    <row r="821" spans="1:10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</row>
    <row r="822" spans="1:10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</row>
    <row r="823" spans="1:10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</row>
    <row r="824" spans="1:10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</row>
    <row r="825" spans="1:10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</row>
    <row r="826" spans="1:10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</row>
    <row r="827" spans="1:10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</row>
    <row r="828" spans="1:10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</row>
    <row r="829" spans="1:10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</row>
    <row r="830" spans="1:10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</row>
    <row r="831" spans="1:10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</row>
    <row r="832" spans="1:10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</row>
    <row r="833" spans="1:10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</row>
    <row r="834" spans="1:10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</row>
    <row r="835" spans="1:10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</row>
    <row r="836" spans="1:10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</row>
    <row r="837" spans="1:10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</row>
    <row r="838" spans="1:10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</row>
    <row r="839" spans="1:10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</row>
    <row r="840" spans="1:10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</row>
    <row r="841" spans="1:10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</row>
    <row r="842" spans="1:10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</row>
    <row r="843" spans="1:10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</row>
    <row r="844" spans="1:10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</row>
    <row r="845" spans="1:10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</row>
    <row r="846" spans="1:10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</row>
    <row r="847" spans="1:10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</row>
    <row r="848" spans="1:10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</row>
    <row r="849" spans="1:10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</row>
    <row r="850" spans="1:10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</row>
    <row r="851" spans="1:10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</row>
    <row r="852" spans="1:10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</row>
    <row r="853" spans="1:10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</row>
    <row r="854" spans="1:10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</row>
    <row r="855" spans="1:10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</row>
    <row r="856" spans="1:10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</row>
    <row r="857" spans="1:10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</row>
    <row r="858" spans="1:10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</row>
    <row r="859" spans="1:10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</row>
    <row r="860" spans="1:10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</row>
    <row r="861" spans="1:10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</row>
    <row r="862" spans="1:10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</row>
    <row r="863" spans="1:10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</row>
    <row r="864" spans="1:10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</row>
    <row r="865" spans="1:10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</row>
    <row r="866" spans="1:10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</row>
    <row r="867" spans="1:10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</row>
    <row r="868" spans="1:10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</row>
    <row r="869" spans="1:10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</row>
    <row r="870" spans="1:10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</row>
    <row r="871" spans="1:10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</row>
    <row r="872" spans="1:10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</row>
    <row r="873" spans="1:10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</row>
    <row r="874" spans="1:10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</row>
    <row r="875" spans="1:10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</row>
    <row r="876" spans="1:10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</row>
    <row r="877" spans="1:10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</row>
    <row r="878" spans="1:10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</row>
    <row r="879" spans="1:10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</row>
    <row r="880" spans="1:10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</row>
    <row r="881" spans="1:10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</row>
    <row r="882" spans="1:10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</row>
    <row r="883" spans="1:10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</row>
    <row r="884" spans="1:10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</row>
    <row r="885" spans="1:10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</row>
    <row r="886" spans="1:10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</row>
    <row r="887" spans="1:10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</row>
    <row r="888" spans="1:10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</row>
    <row r="889" spans="1:10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</row>
    <row r="890" spans="1:10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</row>
    <row r="891" spans="1:10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</row>
    <row r="892" spans="1:10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</row>
    <row r="893" spans="1:10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</row>
    <row r="894" spans="1:10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</row>
    <row r="895" spans="1:10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</row>
    <row r="896" spans="1:10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</row>
    <row r="897" spans="1:10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</row>
    <row r="898" spans="1:10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</row>
    <row r="899" spans="1:10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</row>
    <row r="900" spans="1:10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</row>
    <row r="901" spans="1:10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</row>
    <row r="902" spans="1:10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</row>
    <row r="903" spans="1:10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</row>
    <row r="904" spans="1:10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</row>
    <row r="905" spans="1:10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</row>
    <row r="906" spans="1:10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</row>
    <row r="907" spans="1:10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</row>
    <row r="908" spans="1:10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</row>
    <row r="909" spans="1:10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</row>
    <row r="910" spans="1:10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</row>
    <row r="911" spans="1:10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</row>
    <row r="912" spans="1:10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</row>
    <row r="913" spans="1:10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</row>
    <row r="914" spans="1:10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</row>
    <row r="915" spans="1:10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</row>
    <row r="916" spans="1:10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</row>
    <row r="917" spans="1:10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</row>
    <row r="918" spans="1:10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</row>
    <row r="919" spans="1:10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</row>
    <row r="920" spans="1:10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</row>
    <row r="921" spans="1:10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</row>
    <row r="922" spans="1:10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</row>
    <row r="923" spans="1:10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</row>
    <row r="924" spans="1:10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</row>
    <row r="925" spans="1:10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</row>
    <row r="926" spans="1:10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</row>
    <row r="927" spans="1:10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</row>
    <row r="928" spans="1:10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</row>
    <row r="929" spans="1:10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</row>
    <row r="930" spans="1:10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</row>
    <row r="931" spans="1:10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</row>
    <row r="932" spans="1:10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</row>
    <row r="933" spans="1:10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</row>
    <row r="934" spans="1:10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</row>
    <row r="935" spans="1:10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</row>
    <row r="936" spans="1:10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</row>
    <row r="937" spans="1:10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</row>
    <row r="938" spans="1:10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</row>
    <row r="939" spans="1:10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</row>
    <row r="940" spans="1:10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</row>
    <row r="941" spans="1:10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</row>
    <row r="942" spans="1:10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</row>
    <row r="943" spans="1:10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</row>
    <row r="944" spans="1:10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</row>
    <row r="945" spans="1:10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</row>
    <row r="946" spans="1:10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</row>
    <row r="947" spans="1:10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</row>
    <row r="948" spans="1:10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</row>
    <row r="949" spans="1:10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</row>
    <row r="950" spans="1:10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</row>
    <row r="951" spans="1:10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</row>
    <row r="952" spans="1:10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</row>
    <row r="953" spans="1:10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</row>
    <row r="954" spans="1:10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</row>
    <row r="955" spans="1:10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</row>
    <row r="956" spans="1:10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</row>
    <row r="957" spans="1:10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</row>
    <row r="958" spans="1:10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</row>
    <row r="959" spans="1:10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</row>
    <row r="960" spans="1:10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</row>
    <row r="961" spans="1:10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</row>
    <row r="962" spans="1:10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</row>
    <row r="963" spans="1:10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</row>
    <row r="964" spans="1:10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</row>
    <row r="965" spans="1:10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</row>
    <row r="966" spans="1:10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</row>
    <row r="967" spans="1:10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</row>
    <row r="968" spans="1:10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</row>
    <row r="969" spans="1:10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</row>
    <row r="970" spans="1:10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</row>
    <row r="971" spans="1:10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</row>
    <row r="972" spans="1:10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</row>
    <row r="973" spans="1:10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</row>
    <row r="974" spans="1:10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</row>
    <row r="975" spans="1:10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</row>
    <row r="976" spans="1:10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</row>
    <row r="977" spans="1:10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</row>
    <row r="978" spans="1:10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</row>
    <row r="979" spans="1:10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</row>
    <row r="980" spans="1:10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</row>
    <row r="981" spans="1:10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</row>
    <row r="982" spans="1:10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</row>
    <row r="983" spans="1:10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</row>
    <row r="984" spans="1:10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</row>
    <row r="985" spans="1:10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</row>
    <row r="986" spans="1:10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</row>
    <row r="987" spans="1:10" ht="12.75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</row>
    <row r="988" spans="1:10" ht="12.75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</row>
    <row r="989" spans="1:10" ht="12.75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</row>
    <row r="990" spans="1:10" ht="12.75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</row>
    <row r="991" spans="1:10" ht="12.75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</row>
    <row r="992" spans="1:10" ht="12.75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</row>
    <row r="993" spans="1:10" ht="12.75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</row>
    <row r="994" spans="1:10" ht="12.75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</row>
    <row r="995" spans="1:10" ht="12.75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</row>
    <row r="996" spans="1:10" ht="12.75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</row>
    <row r="997" spans="1:10" ht="12.75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</row>
    <row r="998" spans="1:10" ht="12.75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</row>
    <row r="999" spans="1:10" ht="12.75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5703125" customWidth="1"/>
    <col min="2" max="2" width="9" customWidth="1"/>
    <col min="3" max="3" width="9.85546875" customWidth="1"/>
    <col min="4" max="4" width="7.5703125" customWidth="1"/>
    <col min="5" max="5" width="8.28515625" customWidth="1"/>
    <col min="6" max="6" width="9.28515625" customWidth="1"/>
    <col min="7" max="7" width="6.42578125" customWidth="1"/>
    <col min="8" max="8" width="5" customWidth="1"/>
    <col min="9" max="9" width="7.5703125" customWidth="1"/>
    <col min="10" max="10" width="6.85546875" customWidth="1"/>
    <col min="11" max="11" width="5.28515625" customWidth="1"/>
    <col min="12" max="12" width="7.42578125" customWidth="1"/>
    <col min="13" max="13" width="7.5703125" customWidth="1"/>
    <col min="14" max="14" width="10.140625" customWidth="1"/>
    <col min="15" max="15" width="9.28515625" customWidth="1"/>
    <col min="16" max="16" width="4.5703125" customWidth="1"/>
    <col min="17" max="17" width="9.140625" customWidth="1"/>
    <col min="18" max="18" width="6.140625" customWidth="1"/>
    <col min="19" max="19" width="6.28515625" customWidth="1"/>
  </cols>
  <sheetData>
    <row r="1" spans="1:19" ht="15.75" customHeight="1" x14ac:dyDescent="0.2">
      <c r="A1" s="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</row>
    <row r="2" spans="1:19" ht="15.75" customHeight="1" x14ac:dyDescent="0.2">
      <c r="A2" s="1" t="s">
        <v>190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0.8</v>
      </c>
      <c r="H2" s="1">
        <v>1</v>
      </c>
      <c r="I2" s="1">
        <v>0.8</v>
      </c>
      <c r="J2" s="1">
        <v>0.8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ht="15.75" customHeight="1" x14ac:dyDescent="0.2">
      <c r="A3" s="1" t="s">
        <v>191</v>
      </c>
      <c r="B3" s="1">
        <v>1.25</v>
      </c>
      <c r="C3" s="1">
        <v>1</v>
      </c>
      <c r="D3" s="1">
        <v>0.8</v>
      </c>
      <c r="E3" s="1">
        <v>0.8</v>
      </c>
      <c r="F3" s="1">
        <v>1</v>
      </c>
      <c r="G3" s="1">
        <v>1.25</v>
      </c>
      <c r="H3" s="1">
        <v>0.8</v>
      </c>
      <c r="I3" s="1">
        <v>0.8</v>
      </c>
      <c r="J3" s="1">
        <v>1.25</v>
      </c>
      <c r="K3" s="1">
        <v>1</v>
      </c>
      <c r="L3" s="1">
        <v>1</v>
      </c>
      <c r="M3" s="1">
        <v>1</v>
      </c>
      <c r="N3" s="1">
        <v>1</v>
      </c>
      <c r="O3" s="1">
        <v>0.8</v>
      </c>
      <c r="P3" s="1">
        <v>1.25</v>
      </c>
      <c r="Q3" s="1">
        <v>1</v>
      </c>
      <c r="R3" s="1">
        <v>1.25</v>
      </c>
      <c r="S3" s="1">
        <v>0.8</v>
      </c>
    </row>
    <row r="4" spans="1:19" ht="15.75" customHeight="1" x14ac:dyDescent="0.2">
      <c r="A4" s="1" t="s">
        <v>192</v>
      </c>
      <c r="B4" s="1">
        <v>1</v>
      </c>
      <c r="C4" s="1">
        <v>1.25</v>
      </c>
      <c r="D4" s="1">
        <v>1</v>
      </c>
      <c r="E4" s="1">
        <v>1</v>
      </c>
      <c r="F4" s="1">
        <v>1</v>
      </c>
      <c r="G4" s="1">
        <v>0.8</v>
      </c>
      <c r="H4" s="1">
        <v>1.25</v>
      </c>
      <c r="I4" s="1">
        <v>1</v>
      </c>
      <c r="J4" s="1">
        <v>0.8</v>
      </c>
      <c r="K4" s="1">
        <v>1</v>
      </c>
      <c r="L4" s="1">
        <v>1</v>
      </c>
      <c r="M4" s="1">
        <v>1.25</v>
      </c>
      <c r="N4" s="1">
        <v>0.8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19" ht="15.75" customHeight="1" x14ac:dyDescent="0.2">
      <c r="A5" s="1" t="s">
        <v>193</v>
      </c>
      <c r="B5" s="1">
        <v>1</v>
      </c>
      <c r="C5" s="1">
        <v>1</v>
      </c>
      <c r="D5" s="1">
        <v>1</v>
      </c>
      <c r="E5" s="1">
        <v>0.8</v>
      </c>
      <c r="F5" s="1">
        <v>0.8</v>
      </c>
      <c r="G5" s="1">
        <v>0.8</v>
      </c>
      <c r="H5" s="1">
        <v>1</v>
      </c>
      <c r="I5" s="1">
        <v>0.8</v>
      </c>
      <c r="J5" s="1">
        <v>0.8</v>
      </c>
      <c r="K5" s="1">
        <v>1</v>
      </c>
      <c r="L5" s="1">
        <v>1</v>
      </c>
      <c r="M5" s="1">
        <v>1.25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1.25</v>
      </c>
    </row>
    <row r="6" spans="1:19" ht="15.75" customHeight="1" x14ac:dyDescent="0.2">
      <c r="A6" s="1" t="s">
        <v>194</v>
      </c>
      <c r="B6" s="1">
        <v>1</v>
      </c>
      <c r="C6" s="1">
        <v>1</v>
      </c>
      <c r="D6" s="1">
        <v>0.8</v>
      </c>
      <c r="E6" s="1">
        <v>1.25</v>
      </c>
      <c r="F6" s="1">
        <v>1</v>
      </c>
      <c r="G6" s="1">
        <v>1.25</v>
      </c>
      <c r="H6" s="1">
        <v>0.8</v>
      </c>
      <c r="I6" s="1">
        <v>1</v>
      </c>
      <c r="J6" s="1">
        <v>1.25</v>
      </c>
      <c r="K6" s="1">
        <v>1.25</v>
      </c>
      <c r="L6" s="1">
        <v>1</v>
      </c>
      <c r="M6" s="1">
        <v>0.8</v>
      </c>
      <c r="N6" s="1">
        <v>1.25</v>
      </c>
      <c r="O6" s="1">
        <v>1</v>
      </c>
      <c r="P6" s="1">
        <v>1</v>
      </c>
      <c r="Q6" s="1">
        <v>1</v>
      </c>
      <c r="R6" s="1">
        <v>1</v>
      </c>
      <c r="S6" s="1">
        <v>1</v>
      </c>
    </row>
    <row r="7" spans="1:19" ht="15.75" customHeight="1" x14ac:dyDescent="0.2">
      <c r="A7" s="1" t="s">
        <v>195</v>
      </c>
      <c r="B7" s="1">
        <v>1</v>
      </c>
      <c r="C7" s="1">
        <v>0.8</v>
      </c>
      <c r="D7" s="1">
        <v>1.25</v>
      </c>
      <c r="E7" s="1">
        <v>1</v>
      </c>
      <c r="F7" s="1">
        <v>0.8</v>
      </c>
      <c r="G7" s="1">
        <v>1</v>
      </c>
      <c r="H7" s="1">
        <v>1.25</v>
      </c>
      <c r="I7" s="1">
        <v>1</v>
      </c>
      <c r="J7" s="1">
        <v>0.8</v>
      </c>
      <c r="K7" s="1">
        <v>1.25</v>
      </c>
      <c r="L7" s="1">
        <v>1</v>
      </c>
      <c r="M7" s="1">
        <v>1</v>
      </c>
      <c r="N7" s="1">
        <v>1</v>
      </c>
      <c r="O7" s="1">
        <v>1</v>
      </c>
      <c r="P7" s="1">
        <v>1.25</v>
      </c>
      <c r="Q7" s="1">
        <v>1</v>
      </c>
      <c r="R7" s="1">
        <v>1</v>
      </c>
      <c r="S7" s="1">
        <v>1</v>
      </c>
    </row>
    <row r="8" spans="1:19" ht="15.75" customHeight="1" x14ac:dyDescent="0.2">
      <c r="A8" s="1" t="s">
        <v>196</v>
      </c>
      <c r="B8" s="1">
        <v>1</v>
      </c>
      <c r="C8" s="1">
        <v>0.8</v>
      </c>
      <c r="D8" s="1">
        <v>0.8</v>
      </c>
      <c r="E8" s="1">
        <v>0.8</v>
      </c>
      <c r="F8" s="1">
        <v>1</v>
      </c>
      <c r="G8" s="1">
        <v>1</v>
      </c>
      <c r="H8" s="1">
        <v>1</v>
      </c>
      <c r="I8" s="1">
        <v>0.8</v>
      </c>
      <c r="J8" s="1">
        <v>0.8</v>
      </c>
      <c r="K8" s="1">
        <v>0.8</v>
      </c>
      <c r="L8" s="1">
        <v>1</v>
      </c>
      <c r="M8" s="1">
        <v>1.25</v>
      </c>
      <c r="N8" s="1">
        <v>1</v>
      </c>
      <c r="O8" s="1">
        <v>1.25</v>
      </c>
      <c r="P8" s="1">
        <v>1</v>
      </c>
      <c r="Q8" s="1">
        <v>1</v>
      </c>
      <c r="R8" s="1">
        <v>1.25</v>
      </c>
      <c r="S8" s="1">
        <v>0.8</v>
      </c>
    </row>
    <row r="9" spans="1:19" ht="15.75" customHeight="1" x14ac:dyDescent="0.2">
      <c r="A9" s="1" t="s">
        <v>197</v>
      </c>
      <c r="B9" s="1">
        <v>0.8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1.25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1.25</v>
      </c>
      <c r="P9" s="1">
        <v>1</v>
      </c>
      <c r="Q9" s="1">
        <v>1</v>
      </c>
      <c r="R9" s="1">
        <v>0.8</v>
      </c>
      <c r="S9" s="1">
        <v>1</v>
      </c>
    </row>
    <row r="10" spans="1:19" ht="15.75" customHeight="1" x14ac:dyDescent="0.2">
      <c r="A10" s="1" t="s">
        <v>198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1.25</v>
      </c>
      <c r="H10" s="1">
        <v>1</v>
      </c>
      <c r="I10" s="1">
        <v>1</v>
      </c>
      <c r="J10" s="1">
        <v>0.8</v>
      </c>
      <c r="K10" s="1">
        <v>0.8</v>
      </c>
      <c r="L10" s="1">
        <v>0.8</v>
      </c>
      <c r="M10" s="1">
        <v>1</v>
      </c>
      <c r="N10" s="1">
        <v>0.8</v>
      </c>
      <c r="O10" s="1">
        <v>1</v>
      </c>
      <c r="P10" s="1">
        <v>1.25</v>
      </c>
      <c r="Q10" s="1">
        <v>1</v>
      </c>
      <c r="R10" s="1">
        <v>1</v>
      </c>
      <c r="S10" s="1">
        <v>1.25</v>
      </c>
    </row>
    <row r="11" spans="1:19" ht="15.75" customHeight="1" x14ac:dyDescent="0.2">
      <c r="A11" s="1" t="s">
        <v>199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0.8</v>
      </c>
      <c r="H11" s="1">
        <v>1.25</v>
      </c>
      <c r="I11" s="1">
        <v>1</v>
      </c>
      <c r="J11" s="1">
        <v>1.25</v>
      </c>
      <c r="K11" s="1">
        <v>0.8</v>
      </c>
      <c r="L11" s="1">
        <v>0.8</v>
      </c>
      <c r="M11" s="1">
        <v>1.25</v>
      </c>
      <c r="N11" s="1">
        <v>1</v>
      </c>
      <c r="O11" s="1">
        <v>1</v>
      </c>
      <c r="P11" s="1">
        <v>1.25</v>
      </c>
      <c r="Q11" s="1">
        <v>0.8</v>
      </c>
      <c r="R11" s="1">
        <v>1</v>
      </c>
      <c r="S11" s="1">
        <v>1</v>
      </c>
    </row>
    <row r="12" spans="1:19" ht="15.75" customHeight="1" x14ac:dyDescent="0.2">
      <c r="A12" s="1" t="s">
        <v>200</v>
      </c>
      <c r="B12" s="1">
        <v>1</v>
      </c>
      <c r="C12" s="1">
        <v>1</v>
      </c>
      <c r="D12" s="1">
        <v>1</v>
      </c>
      <c r="E12" s="1">
        <v>1</v>
      </c>
      <c r="F12" s="1">
        <v>1.25</v>
      </c>
      <c r="G12" s="1">
        <v>1.25</v>
      </c>
      <c r="H12" s="1">
        <v>1</v>
      </c>
      <c r="I12" s="1">
        <v>1</v>
      </c>
      <c r="J12" s="1">
        <v>1</v>
      </c>
      <c r="K12" s="1">
        <v>1.25</v>
      </c>
      <c r="L12" s="1">
        <v>0.8</v>
      </c>
      <c r="M12" s="1">
        <v>0.8</v>
      </c>
      <c r="N12" s="1">
        <v>1</v>
      </c>
      <c r="O12" s="1">
        <v>1</v>
      </c>
      <c r="P12" s="1">
        <v>1</v>
      </c>
      <c r="Q12" s="1">
        <v>0.8</v>
      </c>
      <c r="R12" s="1">
        <v>1</v>
      </c>
      <c r="S12" s="1">
        <v>1</v>
      </c>
    </row>
    <row r="13" spans="1:19" ht="15.75" customHeight="1" x14ac:dyDescent="0.2">
      <c r="A13" s="1" t="s">
        <v>201</v>
      </c>
      <c r="B13" s="1">
        <v>1</v>
      </c>
      <c r="C13" s="1">
        <v>1</v>
      </c>
      <c r="D13" s="1">
        <v>0.8</v>
      </c>
      <c r="E13" s="1">
        <v>0.8</v>
      </c>
      <c r="F13" s="1">
        <v>1.25</v>
      </c>
      <c r="G13" s="1">
        <v>1.25</v>
      </c>
      <c r="H13" s="1">
        <v>0.8</v>
      </c>
      <c r="I13" s="1">
        <v>1</v>
      </c>
      <c r="J13" s="1">
        <v>0.8</v>
      </c>
      <c r="K13" s="1">
        <v>0.8</v>
      </c>
      <c r="L13" s="1">
        <v>1.25</v>
      </c>
      <c r="M13" s="1">
        <v>0.8</v>
      </c>
      <c r="N13" s="1">
        <v>1</v>
      </c>
      <c r="O13" s="1">
        <v>1</v>
      </c>
      <c r="P13" s="1">
        <v>1</v>
      </c>
      <c r="Q13" s="1">
        <v>0.8</v>
      </c>
      <c r="R13" s="1">
        <v>1</v>
      </c>
      <c r="S13" s="1">
        <v>1</v>
      </c>
    </row>
    <row r="14" spans="1:19" ht="15.75" customHeight="1" x14ac:dyDescent="0.2">
      <c r="A14" s="1" t="s">
        <v>202</v>
      </c>
      <c r="B14" s="1">
        <v>1</v>
      </c>
      <c r="C14" s="1">
        <v>1</v>
      </c>
      <c r="D14" s="1">
        <v>1.25</v>
      </c>
      <c r="E14" s="1">
        <v>1</v>
      </c>
      <c r="F14" s="1">
        <v>0.8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1.25</v>
      </c>
      <c r="M14" s="1">
        <v>0.8</v>
      </c>
      <c r="N14" s="1">
        <v>0.8</v>
      </c>
      <c r="O14" s="1">
        <v>1</v>
      </c>
      <c r="P14" s="1">
        <v>1</v>
      </c>
      <c r="Q14" s="1">
        <v>0.8</v>
      </c>
      <c r="R14" s="1">
        <v>1</v>
      </c>
      <c r="S14" s="1">
        <v>1</v>
      </c>
    </row>
    <row r="15" spans="1:19" ht="15.75" customHeight="1" x14ac:dyDescent="0.2">
      <c r="A15" s="1" t="s">
        <v>203</v>
      </c>
      <c r="B15" s="1">
        <v>1</v>
      </c>
      <c r="C15" s="1">
        <v>1.25</v>
      </c>
      <c r="D15" s="1">
        <v>1</v>
      </c>
      <c r="E15" s="1">
        <v>1.25</v>
      </c>
      <c r="F15" s="1">
        <v>1</v>
      </c>
      <c r="G15" s="1">
        <v>1</v>
      </c>
      <c r="H15" s="1">
        <v>1</v>
      </c>
      <c r="I15" s="1">
        <v>1</v>
      </c>
      <c r="J15" s="1">
        <v>0.8</v>
      </c>
      <c r="K15" s="1">
        <v>1</v>
      </c>
      <c r="L15" s="1">
        <v>1</v>
      </c>
      <c r="M15" s="1">
        <v>1</v>
      </c>
      <c r="N15" s="1">
        <v>1</v>
      </c>
      <c r="O15" s="1">
        <v>0.8</v>
      </c>
      <c r="P15" s="1">
        <v>1</v>
      </c>
      <c r="Q15" s="1">
        <v>1</v>
      </c>
      <c r="R15" s="1">
        <v>0.8</v>
      </c>
      <c r="S15" s="1">
        <v>1</v>
      </c>
    </row>
    <row r="16" spans="1:19" ht="15.75" customHeight="1" x14ac:dyDescent="0.2">
      <c r="A16" s="1" t="s">
        <v>204</v>
      </c>
      <c r="B16" s="1">
        <v>1</v>
      </c>
      <c r="C16" s="1">
        <v>1</v>
      </c>
      <c r="D16" s="1">
        <v>1.25</v>
      </c>
      <c r="E16" s="1">
        <v>1</v>
      </c>
      <c r="F16" s="1">
        <v>1.25</v>
      </c>
      <c r="G16" s="1">
        <v>1</v>
      </c>
      <c r="H16" s="1">
        <v>1</v>
      </c>
      <c r="I16" s="1">
        <v>1</v>
      </c>
      <c r="J16" s="1">
        <v>0.8</v>
      </c>
      <c r="K16" s="1">
        <v>0.8</v>
      </c>
      <c r="L16" s="1">
        <v>0.8</v>
      </c>
      <c r="M16" s="1">
        <v>1.25</v>
      </c>
      <c r="N16" s="1">
        <v>1</v>
      </c>
      <c r="O16" s="1">
        <v>1</v>
      </c>
      <c r="P16" s="1">
        <v>0.8</v>
      </c>
      <c r="Q16" s="1">
        <v>1.25</v>
      </c>
      <c r="R16" s="1">
        <v>1</v>
      </c>
      <c r="S16" s="1">
        <v>1</v>
      </c>
    </row>
    <row r="17" spans="1:19" ht="15.75" customHeight="1" x14ac:dyDescent="0.2">
      <c r="A17" s="1" t="s">
        <v>205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0.8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1.25</v>
      </c>
      <c r="R17" s="1">
        <v>1</v>
      </c>
      <c r="S17" s="1">
        <v>0.8</v>
      </c>
    </row>
    <row r="18" spans="1:19" ht="15.75" customHeight="1" x14ac:dyDescent="0.2">
      <c r="A18" s="1" t="s">
        <v>206</v>
      </c>
      <c r="B18" s="1">
        <v>1</v>
      </c>
      <c r="C18" s="1">
        <v>0.8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1.25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1.25</v>
      </c>
      <c r="P18" s="1">
        <v>1</v>
      </c>
      <c r="Q18" s="1">
        <v>1</v>
      </c>
      <c r="R18" s="1">
        <v>0.8</v>
      </c>
      <c r="S18" s="1">
        <v>0.8</v>
      </c>
    </row>
    <row r="19" spans="1:19" ht="15.75" customHeight="1" x14ac:dyDescent="0.2">
      <c r="A19" s="1" t="s">
        <v>207</v>
      </c>
      <c r="B19" s="1">
        <v>1</v>
      </c>
      <c r="C19" s="1">
        <v>1.25</v>
      </c>
      <c r="D19" s="1">
        <v>1</v>
      </c>
      <c r="E19" s="1">
        <v>0.8</v>
      </c>
      <c r="F19" s="1">
        <v>1</v>
      </c>
      <c r="G19" s="1">
        <v>1</v>
      </c>
      <c r="H19" s="1">
        <v>1</v>
      </c>
      <c r="I19" s="1">
        <v>1</v>
      </c>
      <c r="J19" s="1">
        <v>0.8</v>
      </c>
      <c r="K19" s="1">
        <v>0.8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1.25</v>
      </c>
      <c r="R19" s="1">
        <v>1.25</v>
      </c>
      <c r="S19" s="1">
        <v>1</v>
      </c>
    </row>
  </sheetData>
  <conditionalFormatting sqref="B2:S19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25" customWidth="1"/>
    <col min="4" max="4" width="87.7109375" customWidth="1"/>
  </cols>
  <sheetData>
    <row r="1" spans="1:26" ht="15.75" customHeight="1" x14ac:dyDescent="0.2">
      <c r="A1" s="8" t="s">
        <v>9</v>
      </c>
      <c r="B1" s="8" t="s">
        <v>208</v>
      </c>
      <c r="C1" s="8" t="s">
        <v>209</v>
      </c>
      <c r="D1" s="8" t="s">
        <v>210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">
      <c r="A2" s="1">
        <v>1</v>
      </c>
      <c r="B2" s="1" t="s">
        <v>23</v>
      </c>
      <c r="C2" s="1" t="s">
        <v>211</v>
      </c>
      <c r="D2" s="1" t="s">
        <v>212</v>
      </c>
    </row>
    <row r="3" spans="1:26" ht="15.75" customHeight="1" x14ac:dyDescent="0.2">
      <c r="A3" s="1">
        <v>2</v>
      </c>
      <c r="B3" s="1" t="s">
        <v>26</v>
      </c>
      <c r="C3" s="1" t="s">
        <v>213</v>
      </c>
      <c r="D3" s="1" t="s">
        <v>214</v>
      </c>
    </row>
    <row r="4" spans="1:26" ht="15.75" customHeight="1" x14ac:dyDescent="0.2">
      <c r="A4" s="1">
        <v>3</v>
      </c>
      <c r="B4" s="1" t="s">
        <v>28</v>
      </c>
      <c r="C4" s="1" t="s">
        <v>213</v>
      </c>
      <c r="D4" s="1" t="s">
        <v>215</v>
      </c>
    </row>
    <row r="5" spans="1:26" ht="15.75" customHeight="1" x14ac:dyDescent="0.2">
      <c r="A5" s="1">
        <v>4</v>
      </c>
      <c r="B5" s="1" t="s">
        <v>29</v>
      </c>
      <c r="C5" s="1" t="s">
        <v>216</v>
      </c>
      <c r="D5" s="1" t="s">
        <v>217</v>
      </c>
    </row>
    <row r="6" spans="1:26" ht="15.75" customHeight="1" x14ac:dyDescent="0.2">
      <c r="A6" s="1">
        <v>5</v>
      </c>
      <c r="B6" s="1" t="s">
        <v>31</v>
      </c>
      <c r="C6" s="1" t="s">
        <v>216</v>
      </c>
      <c r="D6" s="1" t="s">
        <v>218</v>
      </c>
    </row>
    <row r="7" spans="1:26" ht="15.75" customHeight="1" x14ac:dyDescent="0.2">
      <c r="A7" s="1">
        <v>6</v>
      </c>
      <c r="B7" s="1" t="s">
        <v>33</v>
      </c>
      <c r="C7" s="1" t="s">
        <v>219</v>
      </c>
      <c r="D7" s="1" t="s">
        <v>220</v>
      </c>
    </row>
    <row r="8" spans="1:26" ht="15.75" customHeight="1" x14ac:dyDescent="0.2">
      <c r="A8" s="1">
        <v>7</v>
      </c>
      <c r="B8" s="1" t="s">
        <v>34</v>
      </c>
      <c r="C8" s="1" t="s">
        <v>221</v>
      </c>
      <c r="D8" s="1" t="s">
        <v>222</v>
      </c>
    </row>
    <row r="9" spans="1:26" ht="15.75" customHeight="1" x14ac:dyDescent="0.2">
      <c r="A9" s="1">
        <v>8</v>
      </c>
      <c r="B9" s="1" t="s">
        <v>35</v>
      </c>
      <c r="C9" s="1" t="s">
        <v>223</v>
      </c>
      <c r="D9" s="1" t="s">
        <v>224</v>
      </c>
    </row>
    <row r="10" spans="1:26" ht="15.75" customHeight="1" x14ac:dyDescent="0.2">
      <c r="A10" s="1">
        <v>9</v>
      </c>
      <c r="B10" s="1" t="s">
        <v>37</v>
      </c>
      <c r="C10" s="1" t="s">
        <v>223</v>
      </c>
      <c r="D10" s="1" t="s">
        <v>225</v>
      </c>
    </row>
    <row r="11" spans="1:26" ht="15.75" customHeight="1" x14ac:dyDescent="0.2">
      <c r="A11" s="1">
        <v>10</v>
      </c>
      <c r="B11" s="1" t="s">
        <v>38</v>
      </c>
      <c r="C11" s="1" t="s">
        <v>226</v>
      </c>
      <c r="D11" s="1" t="s">
        <v>227</v>
      </c>
    </row>
    <row r="12" spans="1:26" ht="15.75" customHeight="1" x14ac:dyDescent="0.2">
      <c r="A12" s="1">
        <v>11</v>
      </c>
      <c r="B12" s="1" t="s">
        <v>39</v>
      </c>
      <c r="C12" s="1" t="s">
        <v>226</v>
      </c>
      <c r="D12" s="1" t="s">
        <v>227</v>
      </c>
    </row>
    <row r="13" spans="1:26" ht="15.75" customHeight="1" x14ac:dyDescent="0.2">
      <c r="A13" s="1">
        <v>12</v>
      </c>
      <c r="B13" s="1" t="s">
        <v>40</v>
      </c>
      <c r="C13" s="1" t="s">
        <v>228</v>
      </c>
      <c r="D13" s="1" t="s">
        <v>229</v>
      </c>
    </row>
    <row r="14" spans="1:26" ht="15.75" customHeight="1" x14ac:dyDescent="0.2">
      <c r="A14" s="1">
        <v>13</v>
      </c>
      <c r="B14" s="1" t="s">
        <v>41</v>
      </c>
      <c r="C14" s="1" t="s">
        <v>230</v>
      </c>
      <c r="D14" s="1" t="s">
        <v>227</v>
      </c>
    </row>
    <row r="15" spans="1:26" ht="15.75" customHeight="1" x14ac:dyDescent="0.2">
      <c r="A15" s="1">
        <v>14</v>
      </c>
      <c r="B15" s="1" t="s">
        <v>44</v>
      </c>
      <c r="C15" s="1" t="s">
        <v>230</v>
      </c>
      <c r="D15" s="1" t="s">
        <v>227</v>
      </c>
    </row>
    <row r="16" spans="1:26" ht="15.75" customHeight="1" x14ac:dyDescent="0.2">
      <c r="A16" s="1">
        <v>15</v>
      </c>
      <c r="B16" s="1" t="s">
        <v>48</v>
      </c>
      <c r="C16" s="1" t="s">
        <v>231</v>
      </c>
      <c r="D16" s="1" t="s">
        <v>232</v>
      </c>
    </row>
    <row r="17" spans="1:4" ht="15.75" customHeight="1" x14ac:dyDescent="0.2">
      <c r="A17" s="1">
        <v>16</v>
      </c>
      <c r="B17" s="1" t="s">
        <v>49</v>
      </c>
      <c r="C17" s="1" t="s">
        <v>233</v>
      </c>
      <c r="D17" s="1" t="s">
        <v>234</v>
      </c>
    </row>
    <row r="18" spans="1:4" ht="15.75" customHeight="1" x14ac:dyDescent="0.2">
      <c r="A18" s="1">
        <v>17</v>
      </c>
      <c r="B18" s="1" t="s">
        <v>50</v>
      </c>
      <c r="C18" s="1" t="s">
        <v>235</v>
      </c>
      <c r="D18" s="1" t="s">
        <v>234</v>
      </c>
    </row>
    <row r="19" spans="1:4" ht="15.75" customHeight="1" x14ac:dyDescent="0.2">
      <c r="A19" s="1">
        <v>18</v>
      </c>
      <c r="B19" s="1" t="s">
        <v>51</v>
      </c>
      <c r="C19" s="1" t="s">
        <v>235</v>
      </c>
      <c r="D19" s="1" t="s">
        <v>236</v>
      </c>
    </row>
    <row r="20" spans="1:4" ht="15.75" customHeight="1" x14ac:dyDescent="0.2">
      <c r="A20" s="1">
        <v>19</v>
      </c>
      <c r="B20" s="1" t="s">
        <v>52</v>
      </c>
      <c r="C20" s="1" t="s">
        <v>237</v>
      </c>
      <c r="D20" s="1" t="s">
        <v>238</v>
      </c>
    </row>
    <row r="21" spans="1:4" ht="15.75" customHeight="1" x14ac:dyDescent="0.2">
      <c r="A21" s="1">
        <v>20</v>
      </c>
      <c r="B21" s="1" t="s">
        <v>53</v>
      </c>
      <c r="C21" s="1" t="s">
        <v>239</v>
      </c>
      <c r="D21" s="1" t="s">
        <v>240</v>
      </c>
    </row>
    <row r="22" spans="1:4" ht="15.75" customHeight="1" x14ac:dyDescent="0.2">
      <c r="A22" s="1">
        <v>21</v>
      </c>
      <c r="B22" s="1" t="s">
        <v>54</v>
      </c>
      <c r="C22" s="1" t="s">
        <v>241</v>
      </c>
      <c r="D22" s="1" t="s">
        <v>242</v>
      </c>
    </row>
    <row r="23" spans="1:4" ht="15.75" customHeight="1" x14ac:dyDescent="0.2">
      <c r="A23" s="1">
        <v>22</v>
      </c>
      <c r="B23" s="1" t="s">
        <v>55</v>
      </c>
      <c r="C23" s="1" t="s">
        <v>243</v>
      </c>
      <c r="D23" s="1" t="s">
        <v>244</v>
      </c>
    </row>
    <row r="24" spans="1:4" ht="15.75" customHeight="1" x14ac:dyDescent="0.2">
      <c r="A24" s="1">
        <v>23</v>
      </c>
      <c r="B24" s="1" t="s">
        <v>56</v>
      </c>
      <c r="C24" s="1" t="s">
        <v>245</v>
      </c>
      <c r="D24" s="1" t="s">
        <v>246</v>
      </c>
    </row>
    <row r="25" spans="1:4" ht="15.75" customHeight="1" x14ac:dyDescent="0.2">
      <c r="A25" s="1">
        <v>24</v>
      </c>
      <c r="B25" s="1" t="s">
        <v>57</v>
      </c>
      <c r="C25" s="1" t="s">
        <v>247</v>
      </c>
      <c r="D25" s="1" t="s">
        <v>248</v>
      </c>
    </row>
    <row r="26" spans="1:4" ht="15.75" customHeight="1" x14ac:dyDescent="0.2">
      <c r="A26" s="1">
        <v>25</v>
      </c>
      <c r="B26" s="1" t="s">
        <v>58</v>
      </c>
      <c r="C26" s="1" t="s">
        <v>249</v>
      </c>
      <c r="D26" s="1" t="s">
        <v>250</v>
      </c>
    </row>
    <row r="27" spans="1:4" ht="15.75" customHeight="1" x14ac:dyDescent="0.2">
      <c r="A27" s="1">
        <v>26</v>
      </c>
      <c r="B27" s="1" t="s">
        <v>59</v>
      </c>
      <c r="C27" s="1" t="s">
        <v>251</v>
      </c>
      <c r="D27" s="1" t="s">
        <v>252</v>
      </c>
    </row>
    <row r="28" spans="1:4" ht="15.75" customHeight="1" x14ac:dyDescent="0.2">
      <c r="A28" s="1">
        <v>27</v>
      </c>
      <c r="B28" s="1" t="s">
        <v>60</v>
      </c>
      <c r="C28" s="1" t="s">
        <v>253</v>
      </c>
      <c r="D28" s="1" t="s">
        <v>254</v>
      </c>
    </row>
    <row r="29" spans="1:4" ht="15.75" customHeight="1" x14ac:dyDescent="0.2">
      <c r="A29" s="1">
        <v>28</v>
      </c>
      <c r="B29" s="1" t="s">
        <v>61</v>
      </c>
      <c r="C29" s="1" t="s">
        <v>255</v>
      </c>
      <c r="D29" s="1" t="s">
        <v>256</v>
      </c>
    </row>
    <row r="30" spans="1:4" ht="15.75" customHeight="1" x14ac:dyDescent="0.2">
      <c r="A30" s="1">
        <v>29</v>
      </c>
      <c r="B30" s="1" t="s">
        <v>257</v>
      </c>
      <c r="C30" s="1" t="s">
        <v>258</v>
      </c>
      <c r="D30" s="1" t="s">
        <v>259</v>
      </c>
    </row>
    <row r="31" spans="1:4" ht="12.75" x14ac:dyDescent="0.2">
      <c r="A31" s="1">
        <v>30</v>
      </c>
      <c r="B31" s="1" t="s">
        <v>63</v>
      </c>
      <c r="C31" s="1" t="s">
        <v>258</v>
      </c>
      <c r="D31" s="1" t="s">
        <v>260</v>
      </c>
    </row>
    <row r="32" spans="1:4" ht="12.75" x14ac:dyDescent="0.2">
      <c r="A32" s="1">
        <v>31</v>
      </c>
      <c r="B32" s="1" t="s">
        <v>64</v>
      </c>
      <c r="C32" s="1" t="s">
        <v>261</v>
      </c>
      <c r="D32" s="1" t="s">
        <v>262</v>
      </c>
    </row>
    <row r="33" spans="1:4" ht="12.75" x14ac:dyDescent="0.2">
      <c r="A33" s="1">
        <v>32</v>
      </c>
      <c r="B33" s="1" t="s">
        <v>257</v>
      </c>
      <c r="C33" s="1" t="s">
        <v>263</v>
      </c>
      <c r="D33" s="1" t="s">
        <v>264</v>
      </c>
    </row>
    <row r="34" spans="1:4" ht="12.75" x14ac:dyDescent="0.2">
      <c r="A34" s="1">
        <v>33</v>
      </c>
      <c r="B34" s="1" t="s">
        <v>66</v>
      </c>
      <c r="C34" s="1" t="s">
        <v>265</v>
      </c>
      <c r="D34" s="1" t="s">
        <v>266</v>
      </c>
    </row>
    <row r="35" spans="1:4" ht="12.75" x14ac:dyDescent="0.2">
      <c r="A35" s="1">
        <v>34</v>
      </c>
      <c r="B35" s="1" t="s">
        <v>67</v>
      </c>
      <c r="C35" s="1" t="s">
        <v>267</v>
      </c>
      <c r="D35" s="1" t="s">
        <v>268</v>
      </c>
    </row>
    <row r="36" spans="1:4" ht="12.75" x14ac:dyDescent="0.2">
      <c r="A36" s="1">
        <v>35</v>
      </c>
      <c r="B36" s="1" t="s">
        <v>68</v>
      </c>
      <c r="C36" s="1" t="s">
        <v>269</v>
      </c>
      <c r="D36" s="1" t="s">
        <v>270</v>
      </c>
    </row>
    <row r="37" spans="1:4" ht="12.75" x14ac:dyDescent="0.2">
      <c r="A37" s="1">
        <v>36</v>
      </c>
      <c r="B37" s="1" t="s">
        <v>69</v>
      </c>
      <c r="C37" s="1" t="s">
        <v>269</v>
      </c>
      <c r="D37" s="1" t="s">
        <v>271</v>
      </c>
    </row>
    <row r="38" spans="1:4" ht="12.75" x14ac:dyDescent="0.2">
      <c r="A38" s="1">
        <v>37</v>
      </c>
      <c r="B38" s="1" t="s">
        <v>70</v>
      </c>
      <c r="C38" s="1" t="s">
        <v>272</v>
      </c>
      <c r="D38" s="1" t="s">
        <v>273</v>
      </c>
    </row>
    <row r="39" spans="1:4" ht="12.75" x14ac:dyDescent="0.2">
      <c r="A39" s="1">
        <v>38</v>
      </c>
      <c r="B39" s="1" t="s">
        <v>71</v>
      </c>
      <c r="C39" s="1" t="s">
        <v>274</v>
      </c>
      <c r="D39" s="1" t="s">
        <v>275</v>
      </c>
    </row>
    <row r="40" spans="1:4" ht="12.75" x14ac:dyDescent="0.2">
      <c r="A40" s="1">
        <v>39</v>
      </c>
      <c r="B40" s="1" t="s">
        <v>72</v>
      </c>
      <c r="C40" s="1" t="s">
        <v>276</v>
      </c>
      <c r="D40" s="1" t="s">
        <v>277</v>
      </c>
    </row>
    <row r="41" spans="1:4" ht="12.75" x14ac:dyDescent="0.2">
      <c r="A41" s="1">
        <v>40</v>
      </c>
      <c r="B41" s="1" t="s">
        <v>73</v>
      </c>
      <c r="C41" s="1" t="s">
        <v>276</v>
      </c>
      <c r="D41" s="1" t="s">
        <v>278</v>
      </c>
    </row>
    <row r="42" spans="1:4" ht="12.75" x14ac:dyDescent="0.2">
      <c r="A42" s="1">
        <v>41</v>
      </c>
      <c r="B42" s="1" t="s">
        <v>74</v>
      </c>
      <c r="C42" s="1" t="s">
        <v>279</v>
      </c>
      <c r="D42" s="1" t="s">
        <v>280</v>
      </c>
    </row>
    <row r="43" spans="1:4" ht="12.75" x14ac:dyDescent="0.2">
      <c r="A43" s="1">
        <v>42</v>
      </c>
      <c r="B43" s="1" t="s">
        <v>75</v>
      </c>
      <c r="C43" s="1" t="s">
        <v>281</v>
      </c>
      <c r="D43" s="1" t="s">
        <v>282</v>
      </c>
    </row>
    <row r="44" spans="1:4" ht="12.75" x14ac:dyDescent="0.2">
      <c r="A44" s="1">
        <v>43</v>
      </c>
      <c r="B44" s="1" t="s">
        <v>76</v>
      </c>
      <c r="C44" s="1" t="s">
        <v>283</v>
      </c>
      <c r="D44" s="1" t="s">
        <v>284</v>
      </c>
    </row>
    <row r="45" spans="1:4" ht="12.75" x14ac:dyDescent="0.2">
      <c r="A45" s="1">
        <v>44</v>
      </c>
      <c r="B45" s="1" t="s">
        <v>77</v>
      </c>
      <c r="C45" s="1" t="s">
        <v>283</v>
      </c>
      <c r="D45" s="1" t="s">
        <v>285</v>
      </c>
    </row>
    <row r="46" spans="1:4" ht="12.75" x14ac:dyDescent="0.2">
      <c r="A46" s="1">
        <v>45</v>
      </c>
      <c r="B46" s="1" t="s">
        <v>78</v>
      </c>
      <c r="C46" s="1" t="s">
        <v>283</v>
      </c>
      <c r="D46" s="1" t="s">
        <v>286</v>
      </c>
    </row>
    <row r="47" spans="1:4" ht="12.75" x14ac:dyDescent="0.2">
      <c r="A47" s="1">
        <v>46</v>
      </c>
      <c r="B47" s="1" t="s">
        <v>79</v>
      </c>
      <c r="C47" s="1" t="s">
        <v>287</v>
      </c>
      <c r="D47" s="1" t="s">
        <v>288</v>
      </c>
    </row>
    <row r="48" spans="1:4" ht="12.75" x14ac:dyDescent="0.2">
      <c r="A48" s="1">
        <v>47</v>
      </c>
      <c r="B48" s="1" t="s">
        <v>80</v>
      </c>
      <c r="C48" s="1" t="s">
        <v>289</v>
      </c>
      <c r="D48" s="1" t="s">
        <v>290</v>
      </c>
    </row>
    <row r="49" spans="1:4" ht="12.75" x14ac:dyDescent="0.2">
      <c r="A49" s="1">
        <v>48</v>
      </c>
      <c r="B49" s="1" t="s">
        <v>81</v>
      </c>
      <c r="C49" s="1" t="s">
        <v>228</v>
      </c>
      <c r="D49" s="1" t="s">
        <v>291</v>
      </c>
    </row>
    <row r="50" spans="1:4" ht="12.75" x14ac:dyDescent="0.2">
      <c r="A50" s="1">
        <v>49</v>
      </c>
      <c r="B50" s="1" t="s">
        <v>82</v>
      </c>
      <c r="C50" s="1" t="s">
        <v>228</v>
      </c>
      <c r="D50" s="1" t="s">
        <v>292</v>
      </c>
    </row>
    <row r="51" spans="1:4" ht="12.75" x14ac:dyDescent="0.2">
      <c r="A51" s="1">
        <v>50</v>
      </c>
      <c r="B51" s="1" t="s">
        <v>83</v>
      </c>
      <c r="C51" s="1" t="s">
        <v>293</v>
      </c>
      <c r="D51" s="1" t="s">
        <v>294</v>
      </c>
    </row>
    <row r="52" spans="1:4" ht="12.75" x14ac:dyDescent="0.2">
      <c r="A52" s="1">
        <v>51</v>
      </c>
      <c r="B52" s="1" t="s">
        <v>84</v>
      </c>
      <c r="C52" s="1" t="s">
        <v>295</v>
      </c>
      <c r="D52" s="1" t="s">
        <v>296</v>
      </c>
    </row>
    <row r="53" spans="1:4" ht="12.75" x14ac:dyDescent="0.2">
      <c r="A53" s="1">
        <v>52</v>
      </c>
      <c r="B53" s="1" t="s">
        <v>85</v>
      </c>
      <c r="C53" s="1" t="s">
        <v>297</v>
      </c>
      <c r="D53" s="1" t="s">
        <v>298</v>
      </c>
    </row>
    <row r="54" spans="1:4" ht="12.75" x14ac:dyDescent="0.2">
      <c r="A54" s="1">
        <v>53</v>
      </c>
      <c r="B54" s="1" t="s">
        <v>86</v>
      </c>
      <c r="C54" s="1" t="s">
        <v>299</v>
      </c>
      <c r="D54" s="1" t="s">
        <v>300</v>
      </c>
    </row>
    <row r="55" spans="1:4" ht="12.75" x14ac:dyDescent="0.2">
      <c r="A55" s="1">
        <v>54</v>
      </c>
      <c r="B55" s="1" t="s">
        <v>87</v>
      </c>
      <c r="C55" s="1" t="s">
        <v>301</v>
      </c>
      <c r="D55" s="1" t="s">
        <v>302</v>
      </c>
    </row>
    <row r="56" spans="1:4" ht="12.75" x14ac:dyDescent="0.2">
      <c r="A56" s="1">
        <v>55</v>
      </c>
      <c r="B56" s="1" t="s">
        <v>88</v>
      </c>
      <c r="C56" s="1" t="s">
        <v>303</v>
      </c>
      <c r="D56" s="1" t="s">
        <v>304</v>
      </c>
    </row>
    <row r="57" spans="1:4" ht="12.75" x14ac:dyDescent="0.2">
      <c r="A57" s="1">
        <v>56</v>
      </c>
      <c r="B57" s="1" t="s">
        <v>89</v>
      </c>
      <c r="C57" s="1" t="s">
        <v>305</v>
      </c>
      <c r="D57" s="1" t="s">
        <v>306</v>
      </c>
    </row>
    <row r="58" spans="1:4" ht="12.75" x14ac:dyDescent="0.2">
      <c r="A58" s="1">
        <v>57</v>
      </c>
      <c r="B58" s="1" t="s">
        <v>90</v>
      </c>
      <c r="C58" s="1" t="s">
        <v>307</v>
      </c>
      <c r="D58" s="1" t="s">
        <v>308</v>
      </c>
    </row>
    <row r="59" spans="1:4" ht="12.75" x14ac:dyDescent="0.2">
      <c r="A59" s="1">
        <v>58</v>
      </c>
      <c r="B59" s="1" t="s">
        <v>91</v>
      </c>
      <c r="C59" s="1" t="s">
        <v>309</v>
      </c>
      <c r="D59" s="1" t="s">
        <v>310</v>
      </c>
    </row>
    <row r="60" spans="1:4" ht="12.75" x14ac:dyDescent="0.2">
      <c r="A60" s="1">
        <v>59</v>
      </c>
      <c r="B60" s="1" t="s">
        <v>92</v>
      </c>
      <c r="C60" s="1" t="s">
        <v>311</v>
      </c>
      <c r="D60" s="1" t="s">
        <v>312</v>
      </c>
    </row>
    <row r="61" spans="1:4" ht="12.75" x14ac:dyDescent="0.2">
      <c r="A61" s="1">
        <v>60</v>
      </c>
      <c r="B61" s="1" t="s">
        <v>93</v>
      </c>
      <c r="C61" s="1" t="s">
        <v>313</v>
      </c>
      <c r="D61" s="1" t="s">
        <v>314</v>
      </c>
    </row>
    <row r="62" spans="1:4" ht="12.75" x14ac:dyDescent="0.2">
      <c r="A62" s="1">
        <v>61</v>
      </c>
      <c r="B62" s="1" t="s">
        <v>94</v>
      </c>
      <c r="C62" s="1" t="s">
        <v>313</v>
      </c>
      <c r="D62" s="1" t="s">
        <v>315</v>
      </c>
    </row>
    <row r="63" spans="1:4" ht="12.75" x14ac:dyDescent="0.2">
      <c r="A63" s="1">
        <v>62</v>
      </c>
      <c r="B63" s="1" t="s">
        <v>95</v>
      </c>
      <c r="C63" s="1" t="s">
        <v>313</v>
      </c>
      <c r="D63" s="1" t="s">
        <v>316</v>
      </c>
    </row>
    <row r="64" spans="1:4" ht="12.75" x14ac:dyDescent="0.2">
      <c r="A64" s="1">
        <v>63</v>
      </c>
      <c r="B64" s="1" t="s">
        <v>96</v>
      </c>
      <c r="C64" s="1" t="s">
        <v>317</v>
      </c>
      <c r="D64" s="1" t="s">
        <v>318</v>
      </c>
    </row>
    <row r="65" spans="1:4" ht="12.75" x14ac:dyDescent="0.2">
      <c r="A65" s="1">
        <v>64</v>
      </c>
      <c r="B65" s="1" t="s">
        <v>97</v>
      </c>
      <c r="C65" s="1" t="s">
        <v>319</v>
      </c>
      <c r="D65" s="1" t="s">
        <v>291</v>
      </c>
    </row>
    <row r="66" spans="1:4" ht="12.75" x14ac:dyDescent="0.2">
      <c r="A66" s="1">
        <v>65</v>
      </c>
      <c r="B66" s="1" t="s">
        <v>98</v>
      </c>
      <c r="C66" s="1" t="s">
        <v>319</v>
      </c>
      <c r="D66" s="1" t="s">
        <v>320</v>
      </c>
    </row>
    <row r="67" spans="1:4" ht="12.75" x14ac:dyDescent="0.2">
      <c r="A67" s="1">
        <v>66</v>
      </c>
      <c r="B67" s="1" t="s">
        <v>99</v>
      </c>
      <c r="C67" s="1" t="s">
        <v>307</v>
      </c>
      <c r="D67" s="1" t="s">
        <v>321</v>
      </c>
    </row>
    <row r="68" spans="1:4" ht="12.75" x14ac:dyDescent="0.2">
      <c r="A68" s="1">
        <v>67</v>
      </c>
      <c r="B68" s="1" t="s">
        <v>100</v>
      </c>
      <c r="C68" s="1" t="s">
        <v>307</v>
      </c>
      <c r="D68" s="1" t="s">
        <v>322</v>
      </c>
    </row>
    <row r="69" spans="1:4" ht="12.75" x14ac:dyDescent="0.2">
      <c r="A69" s="1">
        <v>68</v>
      </c>
      <c r="B69" s="1" t="s">
        <v>101</v>
      </c>
      <c r="C69" s="1" t="s">
        <v>323</v>
      </c>
      <c r="D69" s="1" t="s">
        <v>324</v>
      </c>
    </row>
    <row r="70" spans="1:4" ht="12.75" x14ac:dyDescent="0.2">
      <c r="A70" s="1">
        <v>69</v>
      </c>
      <c r="B70" s="1" t="s">
        <v>102</v>
      </c>
      <c r="C70" s="1" t="s">
        <v>325</v>
      </c>
      <c r="D70" s="1" t="s">
        <v>326</v>
      </c>
    </row>
    <row r="71" spans="1:4" ht="12.75" x14ac:dyDescent="0.2">
      <c r="A71" s="1">
        <v>70</v>
      </c>
      <c r="B71" s="1" t="s">
        <v>103</v>
      </c>
      <c r="C71" s="1" t="s">
        <v>283</v>
      </c>
      <c r="D71" s="1" t="s">
        <v>327</v>
      </c>
    </row>
    <row r="72" spans="1:4" ht="12.75" x14ac:dyDescent="0.2">
      <c r="A72" s="1">
        <v>71</v>
      </c>
      <c r="B72" s="1" t="s">
        <v>104</v>
      </c>
      <c r="C72" s="1" t="s">
        <v>283</v>
      </c>
      <c r="D72" s="1" t="s">
        <v>328</v>
      </c>
    </row>
    <row r="73" spans="1:4" ht="12.75" x14ac:dyDescent="0.2">
      <c r="A73" s="1">
        <v>72</v>
      </c>
      <c r="B73" s="1" t="s">
        <v>105</v>
      </c>
      <c r="C73" s="1" t="s">
        <v>329</v>
      </c>
      <c r="D73" s="1" t="s">
        <v>330</v>
      </c>
    </row>
    <row r="74" spans="1:4" ht="12.75" x14ac:dyDescent="0.2">
      <c r="A74" s="1">
        <v>73</v>
      </c>
      <c r="B74" s="1" t="s">
        <v>106</v>
      </c>
      <c r="C74" s="1" t="s">
        <v>331</v>
      </c>
      <c r="D74" s="1" t="s">
        <v>332</v>
      </c>
    </row>
    <row r="75" spans="1:4" ht="12.75" x14ac:dyDescent="0.2">
      <c r="A75" s="1">
        <v>74</v>
      </c>
      <c r="B75" s="1" t="s">
        <v>107</v>
      </c>
      <c r="C75" s="1" t="s">
        <v>333</v>
      </c>
      <c r="D75" s="1" t="s">
        <v>334</v>
      </c>
    </row>
    <row r="76" spans="1:4" ht="12.75" x14ac:dyDescent="0.2">
      <c r="A76" s="1">
        <v>75</v>
      </c>
      <c r="B76" s="1" t="s">
        <v>108</v>
      </c>
      <c r="C76" s="1" t="s">
        <v>335</v>
      </c>
      <c r="D76" s="1" t="s">
        <v>336</v>
      </c>
    </row>
    <row r="77" spans="1:4" ht="12.75" x14ac:dyDescent="0.2">
      <c r="A77" s="1">
        <v>76</v>
      </c>
      <c r="B77" s="1" t="s">
        <v>109</v>
      </c>
      <c r="C77" s="1" t="s">
        <v>335</v>
      </c>
      <c r="D77" s="1" t="s">
        <v>337</v>
      </c>
    </row>
    <row r="78" spans="1:4" ht="12.75" x14ac:dyDescent="0.2">
      <c r="A78" s="1">
        <v>77</v>
      </c>
      <c r="B78" s="1" t="s">
        <v>110</v>
      </c>
      <c r="C78" s="1" t="s">
        <v>338</v>
      </c>
      <c r="D78" s="1" t="s">
        <v>339</v>
      </c>
    </row>
    <row r="79" spans="1:4" ht="12.75" x14ac:dyDescent="0.2">
      <c r="A79" s="1">
        <v>78</v>
      </c>
      <c r="B79" s="1" t="s">
        <v>111</v>
      </c>
      <c r="C79" s="1" t="s">
        <v>341</v>
      </c>
      <c r="D79" s="1" t="s">
        <v>342</v>
      </c>
    </row>
    <row r="80" spans="1:4" ht="12.75" x14ac:dyDescent="0.2">
      <c r="A80" s="1">
        <v>79</v>
      </c>
      <c r="B80" s="1" t="s">
        <v>112</v>
      </c>
      <c r="C80" s="1" t="s">
        <v>303</v>
      </c>
      <c r="D80" s="1" t="s">
        <v>346</v>
      </c>
    </row>
    <row r="81" spans="1:4" ht="12.75" x14ac:dyDescent="0.2">
      <c r="A81" s="1">
        <v>80</v>
      </c>
      <c r="B81" s="1" t="s">
        <v>113</v>
      </c>
      <c r="C81" s="1" t="s">
        <v>303</v>
      </c>
      <c r="D81" s="1" t="s">
        <v>348</v>
      </c>
    </row>
    <row r="82" spans="1:4" ht="12.75" x14ac:dyDescent="0.2">
      <c r="A82" s="1">
        <v>81</v>
      </c>
      <c r="B82" s="1" t="s">
        <v>114</v>
      </c>
      <c r="C82" s="1" t="s">
        <v>349</v>
      </c>
      <c r="D82" s="1" t="s">
        <v>350</v>
      </c>
    </row>
    <row r="83" spans="1:4" ht="12.75" x14ac:dyDescent="0.2">
      <c r="A83" s="1">
        <v>82</v>
      </c>
      <c r="B83" s="1" t="s">
        <v>115</v>
      </c>
      <c r="C83" s="1" t="s">
        <v>349</v>
      </c>
      <c r="D83" s="1" t="s">
        <v>351</v>
      </c>
    </row>
    <row r="84" spans="1:4" ht="12.75" x14ac:dyDescent="0.2">
      <c r="A84" s="1">
        <v>83</v>
      </c>
      <c r="B84" s="1" t="s">
        <v>352</v>
      </c>
      <c r="C84" s="1" t="s">
        <v>353</v>
      </c>
      <c r="D84" s="1" t="s">
        <v>354</v>
      </c>
    </row>
    <row r="85" spans="1:4" ht="12.75" x14ac:dyDescent="0.2">
      <c r="A85" s="1">
        <v>84</v>
      </c>
      <c r="B85" s="1" t="s">
        <v>117</v>
      </c>
      <c r="C85" s="1" t="s">
        <v>241</v>
      </c>
      <c r="D85" s="1" t="s">
        <v>355</v>
      </c>
    </row>
    <row r="86" spans="1:4" ht="12.75" x14ac:dyDescent="0.2">
      <c r="A86" s="1">
        <v>85</v>
      </c>
      <c r="B86" s="1" t="s">
        <v>118</v>
      </c>
      <c r="C86" s="1" t="s">
        <v>356</v>
      </c>
      <c r="D86" s="1" t="s">
        <v>357</v>
      </c>
    </row>
    <row r="87" spans="1:4" ht="12.75" x14ac:dyDescent="0.2">
      <c r="A87" s="1">
        <v>86</v>
      </c>
      <c r="B87" s="1" t="s">
        <v>119</v>
      </c>
      <c r="C87" s="1" t="s">
        <v>358</v>
      </c>
      <c r="D87" s="1" t="s">
        <v>359</v>
      </c>
    </row>
    <row r="88" spans="1:4" ht="12.75" x14ac:dyDescent="0.2">
      <c r="A88" s="1">
        <v>87</v>
      </c>
      <c r="B88" s="1" t="s">
        <v>120</v>
      </c>
      <c r="C88" s="1" t="s">
        <v>360</v>
      </c>
      <c r="D88" s="1" t="s">
        <v>361</v>
      </c>
    </row>
    <row r="89" spans="1:4" ht="12.75" x14ac:dyDescent="0.2">
      <c r="A89" s="1">
        <v>88</v>
      </c>
      <c r="B89" s="1" t="s">
        <v>121</v>
      </c>
      <c r="C89" s="1" t="s">
        <v>362</v>
      </c>
      <c r="D89" s="1" t="s">
        <v>363</v>
      </c>
    </row>
    <row r="90" spans="1:4" ht="12.75" x14ac:dyDescent="0.2">
      <c r="A90" s="1">
        <v>89</v>
      </c>
      <c r="B90" s="1" t="s">
        <v>122</v>
      </c>
      <c r="C90" s="1" t="s">
        <v>331</v>
      </c>
      <c r="D90" s="1" t="s">
        <v>364</v>
      </c>
    </row>
    <row r="91" spans="1:4" ht="12.75" x14ac:dyDescent="0.2">
      <c r="A91" s="1">
        <v>90</v>
      </c>
      <c r="B91" s="1" t="s">
        <v>123</v>
      </c>
      <c r="C91" s="1" t="s">
        <v>365</v>
      </c>
      <c r="D91" s="1" t="s">
        <v>366</v>
      </c>
    </row>
    <row r="92" spans="1:4" ht="12.75" x14ac:dyDescent="0.2">
      <c r="A92" s="1">
        <v>91</v>
      </c>
      <c r="B92" s="1" t="s">
        <v>124</v>
      </c>
      <c r="C92" s="1" t="s">
        <v>360</v>
      </c>
      <c r="D92" s="1" t="s">
        <v>367</v>
      </c>
    </row>
    <row r="93" spans="1:4" ht="12.75" x14ac:dyDescent="0.2">
      <c r="A93" s="1">
        <v>92</v>
      </c>
      <c r="B93" s="1" t="s">
        <v>125</v>
      </c>
      <c r="C93" s="1" t="s">
        <v>368</v>
      </c>
      <c r="D93" s="1" t="s">
        <v>369</v>
      </c>
    </row>
    <row r="94" spans="1:4" ht="12.75" x14ac:dyDescent="0.2">
      <c r="A94" s="1">
        <v>93</v>
      </c>
      <c r="B94" s="1" t="s">
        <v>126</v>
      </c>
      <c r="C94" s="1" t="s">
        <v>370</v>
      </c>
      <c r="D94" s="1" t="s">
        <v>371</v>
      </c>
    </row>
    <row r="95" spans="1:4" ht="12.75" x14ac:dyDescent="0.2">
      <c r="A95" s="1">
        <v>94</v>
      </c>
      <c r="B95" s="1" t="s">
        <v>127</v>
      </c>
      <c r="C95" s="1" t="s">
        <v>373</v>
      </c>
      <c r="D95" s="1" t="s">
        <v>374</v>
      </c>
    </row>
    <row r="96" spans="1:4" ht="12.75" x14ac:dyDescent="0.2">
      <c r="A96" s="1">
        <v>95</v>
      </c>
      <c r="B96" s="1" t="s">
        <v>128</v>
      </c>
      <c r="C96" s="1" t="s">
        <v>333</v>
      </c>
      <c r="D96" s="1" t="s">
        <v>375</v>
      </c>
    </row>
    <row r="97" spans="1:4" ht="12.75" x14ac:dyDescent="0.2">
      <c r="A97" s="1">
        <v>96</v>
      </c>
      <c r="B97" s="1" t="s">
        <v>129</v>
      </c>
      <c r="C97" s="1" t="s">
        <v>378</v>
      </c>
      <c r="D97" s="1" t="s">
        <v>379</v>
      </c>
    </row>
    <row r="98" spans="1:4" ht="12.75" x14ac:dyDescent="0.2">
      <c r="A98" s="1">
        <v>97</v>
      </c>
      <c r="B98" s="1" t="s">
        <v>130</v>
      </c>
      <c r="C98" s="1" t="s">
        <v>381</v>
      </c>
      <c r="D98" s="1" t="s">
        <v>382</v>
      </c>
    </row>
    <row r="99" spans="1:4" ht="12.75" x14ac:dyDescent="0.2">
      <c r="A99" s="1">
        <v>98</v>
      </c>
      <c r="B99" s="1" t="s">
        <v>131</v>
      </c>
      <c r="C99" s="1" t="s">
        <v>313</v>
      </c>
      <c r="D99" s="1" t="s">
        <v>385</v>
      </c>
    </row>
    <row r="100" spans="1:4" ht="12.75" x14ac:dyDescent="0.2">
      <c r="A100" s="1">
        <v>99</v>
      </c>
      <c r="B100" s="1" t="s">
        <v>132</v>
      </c>
      <c r="C100" s="1" t="s">
        <v>255</v>
      </c>
      <c r="D100" s="1" t="s">
        <v>387</v>
      </c>
    </row>
    <row r="101" spans="1:4" ht="12.75" x14ac:dyDescent="0.2">
      <c r="A101" s="1">
        <v>100</v>
      </c>
      <c r="B101" s="1" t="s">
        <v>133</v>
      </c>
      <c r="C101" s="1" t="s">
        <v>389</v>
      </c>
      <c r="D101" s="1" t="s">
        <v>390</v>
      </c>
    </row>
    <row r="102" spans="1:4" ht="12.75" x14ac:dyDescent="0.2">
      <c r="A102" s="1">
        <v>101</v>
      </c>
      <c r="B102" s="1" t="s">
        <v>134</v>
      </c>
      <c r="C102" s="1" t="s">
        <v>389</v>
      </c>
      <c r="D102" s="1" t="s">
        <v>392</v>
      </c>
    </row>
    <row r="103" spans="1:4" ht="12.75" x14ac:dyDescent="0.2">
      <c r="A103" s="1">
        <v>102</v>
      </c>
      <c r="B103" s="1" t="s">
        <v>135</v>
      </c>
      <c r="C103" s="1" t="s">
        <v>394</v>
      </c>
      <c r="D103" s="1" t="s">
        <v>395</v>
      </c>
    </row>
    <row r="104" spans="1:4" ht="12.75" x14ac:dyDescent="0.2">
      <c r="A104" s="1">
        <v>103</v>
      </c>
      <c r="B104" s="1" t="s">
        <v>136</v>
      </c>
      <c r="C104" s="1" t="s">
        <v>396</v>
      </c>
      <c r="D104" s="1" t="s">
        <v>398</v>
      </c>
    </row>
    <row r="105" spans="1:4" ht="12.75" x14ac:dyDescent="0.2">
      <c r="A105" s="1">
        <v>104</v>
      </c>
      <c r="B105" s="1" t="s">
        <v>137</v>
      </c>
      <c r="C105" s="1" t="s">
        <v>399</v>
      </c>
      <c r="D105" s="1" t="s">
        <v>400</v>
      </c>
    </row>
    <row r="106" spans="1:4" ht="12.75" x14ac:dyDescent="0.2">
      <c r="A106" s="1">
        <v>105</v>
      </c>
      <c r="B106" s="1" t="s">
        <v>138</v>
      </c>
      <c r="C106" s="1" t="s">
        <v>399</v>
      </c>
      <c r="D106" s="1" t="s">
        <v>403</v>
      </c>
    </row>
    <row r="107" spans="1:4" ht="12.75" x14ac:dyDescent="0.2">
      <c r="A107" s="1">
        <v>106</v>
      </c>
      <c r="B107" s="1" t="s">
        <v>139</v>
      </c>
      <c r="C107" s="1" t="s">
        <v>405</v>
      </c>
      <c r="D107" s="1" t="s">
        <v>406</v>
      </c>
    </row>
    <row r="108" spans="1:4" ht="12.75" x14ac:dyDescent="0.2">
      <c r="A108" s="1">
        <v>107</v>
      </c>
      <c r="B108" s="1" t="s">
        <v>140</v>
      </c>
      <c r="C108" s="1" t="s">
        <v>408</v>
      </c>
      <c r="D108" s="1" t="s">
        <v>410</v>
      </c>
    </row>
    <row r="109" spans="1:4" ht="12.75" x14ac:dyDescent="0.2">
      <c r="A109" s="1">
        <v>108</v>
      </c>
      <c r="B109" s="1" t="s">
        <v>141</v>
      </c>
      <c r="C109" s="1" t="s">
        <v>412</v>
      </c>
      <c r="D109" s="1" t="s">
        <v>414</v>
      </c>
    </row>
    <row r="110" spans="1:4" ht="12.75" x14ac:dyDescent="0.2">
      <c r="A110" s="1">
        <v>109</v>
      </c>
      <c r="B110" s="1" t="s">
        <v>142</v>
      </c>
      <c r="C110" s="1" t="s">
        <v>415</v>
      </c>
      <c r="D110" s="1" t="s">
        <v>416</v>
      </c>
    </row>
    <row r="111" spans="1:4" ht="12.75" x14ac:dyDescent="0.2">
      <c r="A111" s="1">
        <v>110</v>
      </c>
      <c r="B111" s="1" t="s">
        <v>143</v>
      </c>
      <c r="C111" s="1" t="s">
        <v>415</v>
      </c>
      <c r="D111" s="1" t="s">
        <v>421</v>
      </c>
    </row>
    <row r="112" spans="1:4" ht="12.75" x14ac:dyDescent="0.2">
      <c r="A112" s="1">
        <v>111</v>
      </c>
      <c r="B112" s="1" t="s">
        <v>144</v>
      </c>
      <c r="C112" s="1" t="s">
        <v>399</v>
      </c>
      <c r="D112" s="1" t="s">
        <v>424</v>
      </c>
    </row>
    <row r="113" spans="1:4" ht="12.75" x14ac:dyDescent="0.2">
      <c r="A113" s="1">
        <v>112</v>
      </c>
      <c r="B113" s="1" t="s">
        <v>145</v>
      </c>
      <c r="C113" s="1" t="s">
        <v>399</v>
      </c>
      <c r="D113" s="1" t="s">
        <v>425</v>
      </c>
    </row>
    <row r="114" spans="1:4" ht="12.75" x14ac:dyDescent="0.2">
      <c r="A114" s="1">
        <v>113</v>
      </c>
      <c r="B114" s="1" t="s">
        <v>146</v>
      </c>
      <c r="C114" s="1" t="s">
        <v>269</v>
      </c>
      <c r="D114" s="1" t="s">
        <v>427</v>
      </c>
    </row>
    <row r="115" spans="1:4" ht="12.75" x14ac:dyDescent="0.2">
      <c r="A115" s="1">
        <v>114</v>
      </c>
      <c r="B115" s="1" t="s">
        <v>147</v>
      </c>
      <c r="C115" s="1" t="s">
        <v>429</v>
      </c>
      <c r="D115" s="1" t="s">
        <v>431</v>
      </c>
    </row>
    <row r="116" spans="1:4" ht="12.75" x14ac:dyDescent="0.2">
      <c r="A116" s="1">
        <v>115</v>
      </c>
      <c r="B116" s="1" t="s">
        <v>148</v>
      </c>
      <c r="C116" s="1" t="s">
        <v>433</v>
      </c>
      <c r="D116" s="1" t="s">
        <v>434</v>
      </c>
    </row>
    <row r="117" spans="1:4" ht="12.75" x14ac:dyDescent="0.2">
      <c r="A117" s="1">
        <v>116</v>
      </c>
      <c r="B117" s="1" t="s">
        <v>149</v>
      </c>
      <c r="C117" s="1" t="s">
        <v>436</v>
      </c>
      <c r="D117" s="1" t="s">
        <v>438</v>
      </c>
    </row>
    <row r="118" spans="1:4" ht="12.75" x14ac:dyDescent="0.2">
      <c r="A118" s="1">
        <v>117</v>
      </c>
      <c r="B118" s="1" t="s">
        <v>150</v>
      </c>
      <c r="C118" s="1" t="s">
        <v>440</v>
      </c>
      <c r="D118" s="1" t="s">
        <v>441</v>
      </c>
    </row>
    <row r="119" spans="1:4" ht="12.75" x14ac:dyDescent="0.2">
      <c r="A119" s="1">
        <v>118</v>
      </c>
      <c r="B119" s="1" t="s">
        <v>151</v>
      </c>
      <c r="C119" s="1" t="s">
        <v>442</v>
      </c>
      <c r="D119" s="1" t="s">
        <v>444</v>
      </c>
    </row>
    <row r="120" spans="1:4" ht="12.75" x14ac:dyDescent="0.2">
      <c r="A120" s="1">
        <v>119</v>
      </c>
      <c r="B120" s="1" t="s">
        <v>152</v>
      </c>
      <c r="C120" s="1" t="s">
        <v>445</v>
      </c>
      <c r="D120" s="1" t="s">
        <v>447</v>
      </c>
    </row>
    <row r="121" spans="1:4" ht="12.75" x14ac:dyDescent="0.2">
      <c r="A121" s="1">
        <v>120</v>
      </c>
      <c r="B121" s="1" t="s">
        <v>153</v>
      </c>
      <c r="C121" s="1" t="s">
        <v>448</v>
      </c>
      <c r="D121" s="1" t="s">
        <v>450</v>
      </c>
    </row>
    <row r="122" spans="1:4" ht="12.75" x14ac:dyDescent="0.2">
      <c r="A122" s="1">
        <v>121</v>
      </c>
      <c r="B122" s="1" t="s">
        <v>154</v>
      </c>
      <c r="C122" s="1" t="s">
        <v>448</v>
      </c>
      <c r="D122" s="1" t="s">
        <v>452</v>
      </c>
    </row>
    <row r="123" spans="1:4" ht="12.75" x14ac:dyDescent="0.2">
      <c r="A123" s="1">
        <v>122</v>
      </c>
      <c r="B123" s="1" t="s">
        <v>453</v>
      </c>
      <c r="C123" s="1" t="s">
        <v>396</v>
      </c>
      <c r="D123" s="1" t="s">
        <v>455</v>
      </c>
    </row>
    <row r="124" spans="1:4" ht="12.75" x14ac:dyDescent="0.2">
      <c r="A124" s="1">
        <v>123</v>
      </c>
      <c r="B124" s="1" t="s">
        <v>156</v>
      </c>
      <c r="C124" s="1" t="s">
        <v>456</v>
      </c>
      <c r="D124" s="1" t="s">
        <v>458</v>
      </c>
    </row>
    <row r="125" spans="1:4" ht="12.75" x14ac:dyDescent="0.2">
      <c r="A125" s="1">
        <v>124</v>
      </c>
      <c r="B125" s="1" t="s">
        <v>157</v>
      </c>
      <c r="C125" s="1" t="s">
        <v>459</v>
      </c>
      <c r="D125" s="1" t="s">
        <v>460</v>
      </c>
    </row>
    <row r="126" spans="1:4" ht="12.75" x14ac:dyDescent="0.2">
      <c r="A126" s="1">
        <v>125</v>
      </c>
      <c r="B126" s="1" t="s">
        <v>158</v>
      </c>
      <c r="C126" s="1" t="s">
        <v>462</v>
      </c>
      <c r="D126" s="1" t="s">
        <v>463</v>
      </c>
    </row>
    <row r="127" spans="1:4" ht="12.75" x14ac:dyDescent="0.2">
      <c r="A127" s="1">
        <v>126</v>
      </c>
      <c r="B127" s="1" t="s">
        <v>159</v>
      </c>
      <c r="C127" s="1" t="s">
        <v>464</v>
      </c>
      <c r="D127" s="1" t="s">
        <v>466</v>
      </c>
    </row>
    <row r="128" spans="1:4" ht="12.75" x14ac:dyDescent="0.2">
      <c r="A128" s="1">
        <v>127</v>
      </c>
      <c r="B128" s="1" t="s">
        <v>160</v>
      </c>
      <c r="C128" s="1" t="s">
        <v>468</v>
      </c>
      <c r="D128" s="1" t="s">
        <v>470</v>
      </c>
    </row>
    <row r="129" spans="1:4" ht="12.75" x14ac:dyDescent="0.2">
      <c r="A129" s="1">
        <v>128</v>
      </c>
      <c r="B129" s="1" t="s">
        <v>161</v>
      </c>
      <c r="C129" s="1" t="s">
        <v>471</v>
      </c>
      <c r="D129" s="1" t="s">
        <v>473</v>
      </c>
    </row>
    <row r="130" spans="1:4" ht="12.75" x14ac:dyDescent="0.2">
      <c r="A130" s="1">
        <v>129</v>
      </c>
      <c r="B130" s="1" t="s">
        <v>162</v>
      </c>
      <c r="C130" s="1" t="s">
        <v>475</v>
      </c>
      <c r="D130" s="1" t="s">
        <v>227</v>
      </c>
    </row>
    <row r="131" spans="1:4" ht="12.75" x14ac:dyDescent="0.2">
      <c r="A131" s="1">
        <v>130</v>
      </c>
      <c r="B131" s="1" t="s">
        <v>163</v>
      </c>
      <c r="C131" s="1" t="s">
        <v>476</v>
      </c>
      <c r="D131" s="1" t="s">
        <v>477</v>
      </c>
    </row>
    <row r="132" spans="1:4" ht="12.75" x14ac:dyDescent="0.2">
      <c r="A132" s="1">
        <v>131</v>
      </c>
      <c r="B132" s="1" t="s">
        <v>164</v>
      </c>
      <c r="C132" s="1" t="s">
        <v>360</v>
      </c>
      <c r="D132" s="1" t="s">
        <v>480</v>
      </c>
    </row>
    <row r="133" spans="1:4" ht="12.75" x14ac:dyDescent="0.2">
      <c r="A133" s="1">
        <v>132</v>
      </c>
      <c r="B133" s="1" t="s">
        <v>165</v>
      </c>
      <c r="C133" s="1" t="s">
        <v>481</v>
      </c>
      <c r="D133" s="1" t="s">
        <v>227</v>
      </c>
    </row>
    <row r="134" spans="1:4" ht="12.75" x14ac:dyDescent="0.2">
      <c r="A134" s="1">
        <v>133</v>
      </c>
      <c r="B134" s="1" t="s">
        <v>166</v>
      </c>
      <c r="C134" s="1" t="s">
        <v>233</v>
      </c>
      <c r="D134" s="1" t="s">
        <v>483</v>
      </c>
    </row>
    <row r="135" spans="1:4" ht="12.75" x14ac:dyDescent="0.2">
      <c r="A135" s="1">
        <v>134</v>
      </c>
      <c r="B135" s="1" t="s">
        <v>167</v>
      </c>
      <c r="C135" s="1" t="s">
        <v>485</v>
      </c>
      <c r="D135" s="1" t="s">
        <v>487</v>
      </c>
    </row>
    <row r="136" spans="1:4" ht="12.75" x14ac:dyDescent="0.2">
      <c r="A136" s="1">
        <v>135</v>
      </c>
      <c r="B136" s="1" t="s">
        <v>168</v>
      </c>
      <c r="C136" s="1" t="s">
        <v>488</v>
      </c>
      <c r="D136" s="1" t="s">
        <v>250</v>
      </c>
    </row>
    <row r="137" spans="1:4" ht="12.75" x14ac:dyDescent="0.2">
      <c r="A137" s="1">
        <v>136</v>
      </c>
      <c r="B137" s="1" t="s">
        <v>169</v>
      </c>
      <c r="C137" s="1" t="s">
        <v>490</v>
      </c>
      <c r="D137" s="1" t="s">
        <v>492</v>
      </c>
    </row>
    <row r="138" spans="1:4" ht="12.75" x14ac:dyDescent="0.2">
      <c r="A138" s="1">
        <v>137</v>
      </c>
      <c r="B138" s="1" t="s">
        <v>170</v>
      </c>
      <c r="C138" s="1" t="s">
        <v>233</v>
      </c>
      <c r="D138" s="1" t="s">
        <v>495</v>
      </c>
    </row>
    <row r="139" spans="1:4" ht="12.75" x14ac:dyDescent="0.2">
      <c r="A139" s="1">
        <v>138</v>
      </c>
      <c r="B139" s="1" t="s">
        <v>171</v>
      </c>
      <c r="C139" s="1" t="s">
        <v>496</v>
      </c>
      <c r="D139" s="1" t="s">
        <v>497</v>
      </c>
    </row>
    <row r="140" spans="1:4" ht="12.75" x14ac:dyDescent="0.2">
      <c r="A140" s="1">
        <v>139</v>
      </c>
      <c r="B140" s="1" t="s">
        <v>172</v>
      </c>
      <c r="C140" s="1" t="s">
        <v>500</v>
      </c>
      <c r="D140" s="1" t="s">
        <v>501</v>
      </c>
    </row>
    <row r="141" spans="1:4" ht="12.75" x14ac:dyDescent="0.2">
      <c r="A141" s="1">
        <v>140</v>
      </c>
      <c r="B141" s="1" t="s">
        <v>173</v>
      </c>
      <c r="C141" s="1" t="s">
        <v>253</v>
      </c>
      <c r="D141" s="1" t="s">
        <v>502</v>
      </c>
    </row>
    <row r="142" spans="1:4" ht="12.75" x14ac:dyDescent="0.2">
      <c r="A142" s="1">
        <v>141</v>
      </c>
      <c r="B142" s="1" t="s">
        <v>174</v>
      </c>
      <c r="C142" s="1" t="s">
        <v>503</v>
      </c>
      <c r="D142" s="1" t="s">
        <v>504</v>
      </c>
    </row>
    <row r="143" spans="1:4" ht="12.75" x14ac:dyDescent="0.2">
      <c r="A143" s="1">
        <v>142</v>
      </c>
      <c r="B143" s="1" t="s">
        <v>175</v>
      </c>
      <c r="C143" s="1" t="s">
        <v>505</v>
      </c>
      <c r="D143" s="1" t="s">
        <v>506</v>
      </c>
    </row>
    <row r="144" spans="1:4" ht="12.75" x14ac:dyDescent="0.2">
      <c r="A144" s="1">
        <v>143</v>
      </c>
      <c r="B144" s="1" t="s">
        <v>176</v>
      </c>
      <c r="C144" s="1" t="s">
        <v>507</v>
      </c>
      <c r="D144" s="1" t="s">
        <v>508</v>
      </c>
    </row>
    <row r="145" spans="1:4" ht="12.75" x14ac:dyDescent="0.2">
      <c r="A145" s="1">
        <v>144</v>
      </c>
      <c r="B145" s="1" t="s">
        <v>177</v>
      </c>
      <c r="C145" s="1" t="s">
        <v>509</v>
      </c>
      <c r="D145" s="1" t="s">
        <v>510</v>
      </c>
    </row>
    <row r="146" spans="1:4" ht="12.75" x14ac:dyDescent="0.2">
      <c r="A146" s="1">
        <v>145</v>
      </c>
      <c r="B146" s="1" t="s">
        <v>178</v>
      </c>
      <c r="C146" s="1" t="s">
        <v>488</v>
      </c>
      <c r="D146" s="1" t="s">
        <v>250</v>
      </c>
    </row>
    <row r="147" spans="1:4" ht="12.75" x14ac:dyDescent="0.2">
      <c r="A147" s="1">
        <v>146</v>
      </c>
      <c r="B147" s="1" t="s">
        <v>179</v>
      </c>
      <c r="C147" s="1" t="s">
        <v>490</v>
      </c>
      <c r="D147" s="1" t="s">
        <v>511</v>
      </c>
    </row>
    <row r="148" spans="1:4" ht="12.75" x14ac:dyDescent="0.2">
      <c r="A148" s="1">
        <v>147</v>
      </c>
      <c r="B148" s="1" t="s">
        <v>180</v>
      </c>
      <c r="C148" s="1" t="s">
        <v>512</v>
      </c>
      <c r="D148" s="1" t="s">
        <v>513</v>
      </c>
    </row>
    <row r="149" spans="1:4" ht="12.75" x14ac:dyDescent="0.2">
      <c r="A149" s="1">
        <v>148</v>
      </c>
      <c r="B149" s="1" t="s">
        <v>181</v>
      </c>
      <c r="C149" s="1" t="s">
        <v>512</v>
      </c>
      <c r="D149" s="1" t="s">
        <v>514</v>
      </c>
    </row>
    <row r="150" spans="1:4" ht="12.75" x14ac:dyDescent="0.2">
      <c r="A150" s="1">
        <v>149</v>
      </c>
      <c r="B150" s="1" t="s">
        <v>182</v>
      </c>
      <c r="C150" s="1" t="s">
        <v>515</v>
      </c>
      <c r="D150" s="1" t="s">
        <v>516</v>
      </c>
    </row>
    <row r="151" spans="1:4" ht="12.75" x14ac:dyDescent="0.2">
      <c r="A151" s="1">
        <v>150</v>
      </c>
      <c r="B151" s="1" t="s">
        <v>183</v>
      </c>
      <c r="C151" s="1" t="s">
        <v>319</v>
      </c>
      <c r="D151" s="1" t="s">
        <v>517</v>
      </c>
    </row>
    <row r="152" spans="1:4" ht="12.75" x14ac:dyDescent="0.2">
      <c r="A152" s="1">
        <v>151</v>
      </c>
      <c r="B152" s="1" t="s">
        <v>184</v>
      </c>
      <c r="C152" s="1" t="s">
        <v>481</v>
      </c>
      <c r="D152" s="1" t="s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2.85546875" customWidth="1"/>
    <col min="2" max="2" width="27.140625" customWidth="1"/>
    <col min="3" max="3" width="38.42578125" customWidth="1"/>
  </cols>
  <sheetData>
    <row r="1" spans="1:7" ht="15.75" customHeight="1" x14ac:dyDescent="0.2">
      <c r="A1" s="1" t="s">
        <v>340</v>
      </c>
      <c r="B1" s="1" t="s">
        <v>343</v>
      </c>
      <c r="C1" s="1" t="s">
        <v>344</v>
      </c>
      <c r="D1" s="1" t="s">
        <v>345</v>
      </c>
    </row>
    <row r="2" spans="1:7" ht="15.75" customHeight="1" x14ac:dyDescent="0.2">
      <c r="A2" s="38" t="s">
        <v>347</v>
      </c>
      <c r="B2" s="38" t="s">
        <v>372</v>
      </c>
      <c r="C2" s="1" t="s">
        <v>376</v>
      </c>
      <c r="D2" s="1" t="s">
        <v>377</v>
      </c>
    </row>
    <row r="3" spans="1:7" ht="15.75" customHeight="1" x14ac:dyDescent="0.2">
      <c r="A3" s="38" t="s">
        <v>380</v>
      </c>
      <c r="B3" s="1" t="s">
        <v>383</v>
      </c>
      <c r="C3" s="1" t="s">
        <v>384</v>
      </c>
      <c r="D3" s="1" t="s">
        <v>386</v>
      </c>
    </row>
    <row r="4" spans="1:7" ht="15.75" customHeight="1" x14ac:dyDescent="0.2">
      <c r="A4" s="38" t="s">
        <v>388</v>
      </c>
      <c r="B4" s="1" t="s">
        <v>383</v>
      </c>
      <c r="C4" s="1" t="s">
        <v>391</v>
      </c>
      <c r="D4" s="1" t="s">
        <v>386</v>
      </c>
    </row>
    <row r="5" spans="1:7" ht="15.75" customHeight="1" x14ac:dyDescent="0.2">
      <c r="A5" s="38" t="s">
        <v>393</v>
      </c>
      <c r="B5" s="38" t="s">
        <v>397</v>
      </c>
      <c r="C5" s="1" t="s">
        <v>401</v>
      </c>
      <c r="D5" s="1" t="s">
        <v>402</v>
      </c>
    </row>
    <row r="6" spans="1:7" ht="15.75" customHeight="1" x14ac:dyDescent="0.2">
      <c r="A6" s="38" t="s">
        <v>404</v>
      </c>
      <c r="B6" s="38" t="s">
        <v>407</v>
      </c>
      <c r="C6" s="1" t="s">
        <v>409</v>
      </c>
      <c r="D6" s="1" t="s">
        <v>411</v>
      </c>
    </row>
    <row r="7" spans="1:7" ht="15.75" customHeight="1" x14ac:dyDescent="0.2">
      <c r="A7" s="38" t="s">
        <v>413</v>
      </c>
      <c r="B7" s="38" t="s">
        <v>417</v>
      </c>
      <c r="C7" s="1" t="s">
        <v>418</v>
      </c>
      <c r="D7" s="1" t="s">
        <v>419</v>
      </c>
    </row>
    <row r="8" spans="1:7" ht="15.75" customHeight="1" x14ac:dyDescent="0.2">
      <c r="A8" s="38" t="s">
        <v>420</v>
      </c>
      <c r="B8" s="1" t="s">
        <v>422</v>
      </c>
      <c r="C8" s="1" t="s">
        <v>423</v>
      </c>
      <c r="D8" s="1" t="s">
        <v>377</v>
      </c>
    </row>
    <row r="9" spans="1:7" ht="15.75" customHeight="1" x14ac:dyDescent="0.2">
      <c r="A9" s="38" t="s">
        <v>426</v>
      </c>
      <c r="B9" s="1" t="s">
        <v>422</v>
      </c>
      <c r="C9" s="1" t="s">
        <v>428</v>
      </c>
      <c r="D9" s="1" t="s">
        <v>430</v>
      </c>
      <c r="G9" s="1"/>
    </row>
    <row r="10" spans="1:7" ht="15.75" customHeight="1" x14ac:dyDescent="0.2">
      <c r="A10" s="38" t="s">
        <v>432</v>
      </c>
      <c r="B10" s="1" t="s">
        <v>422</v>
      </c>
      <c r="C10" s="1" t="s">
        <v>435</v>
      </c>
      <c r="D10" s="1" t="s">
        <v>437</v>
      </c>
    </row>
    <row r="11" spans="1:7" ht="15.75" customHeight="1" x14ac:dyDescent="0.2">
      <c r="A11" s="38" t="s">
        <v>439</v>
      </c>
      <c r="B11" s="38" t="s">
        <v>443</v>
      </c>
      <c r="C11" s="1" t="s">
        <v>446</v>
      </c>
      <c r="D11" s="1" t="s">
        <v>377</v>
      </c>
    </row>
    <row r="12" spans="1:7" ht="15.75" customHeight="1" x14ac:dyDescent="0.2">
      <c r="B12" s="38" t="s">
        <v>449</v>
      </c>
      <c r="C12" s="1" t="s">
        <v>451</v>
      </c>
      <c r="D12" s="1" t="s">
        <v>377</v>
      </c>
    </row>
    <row r="13" spans="1:7" ht="15.75" customHeight="1" x14ac:dyDescent="0.2">
      <c r="A13" s="1" t="s">
        <v>422</v>
      </c>
      <c r="B13" s="38" t="s">
        <v>454</v>
      </c>
      <c r="C13" s="1" t="s">
        <v>457</v>
      </c>
      <c r="D13" s="1" t="s">
        <v>422</v>
      </c>
    </row>
    <row r="14" spans="1:7" ht="15.75" customHeight="1" x14ac:dyDescent="0.2">
      <c r="A14" s="1"/>
      <c r="B14" s="1"/>
      <c r="C14" s="1"/>
      <c r="D14" s="1"/>
    </row>
    <row r="15" spans="1:7" ht="15.75" customHeight="1" x14ac:dyDescent="0.2">
      <c r="A15" s="38" t="s">
        <v>461</v>
      </c>
      <c r="B15" s="1" t="s">
        <v>422</v>
      </c>
      <c r="C15" s="1" t="s">
        <v>465</v>
      </c>
      <c r="D15" s="1" t="s">
        <v>430</v>
      </c>
    </row>
    <row r="16" spans="1:7" ht="15.75" customHeight="1" x14ac:dyDescent="0.2">
      <c r="A16" s="1" t="s">
        <v>467</v>
      </c>
      <c r="B16" s="1" t="s">
        <v>422</v>
      </c>
      <c r="C16" s="1" t="s">
        <v>469</v>
      </c>
      <c r="D16" s="1" t="s">
        <v>422</v>
      </c>
    </row>
    <row r="17" spans="1:4" ht="15.75" customHeight="1" x14ac:dyDescent="0.2">
      <c r="A17" s="1" t="s">
        <v>467</v>
      </c>
      <c r="B17" s="1" t="s">
        <v>422</v>
      </c>
      <c r="C17" s="1" t="s">
        <v>472</v>
      </c>
      <c r="D17" s="1" t="s">
        <v>422</v>
      </c>
    </row>
    <row r="18" spans="1:4" ht="15.75" customHeight="1" x14ac:dyDescent="0.2">
      <c r="A18" s="38" t="s">
        <v>474</v>
      </c>
      <c r="B18" s="1" t="s">
        <v>422</v>
      </c>
      <c r="C18" s="1" t="s">
        <v>478</v>
      </c>
      <c r="D18" s="1" t="s">
        <v>430</v>
      </c>
    </row>
    <row r="19" spans="1:4" ht="15.75" customHeight="1" x14ac:dyDescent="0.2">
      <c r="A19" s="38" t="s">
        <v>479</v>
      </c>
      <c r="B19" s="38" t="s">
        <v>482</v>
      </c>
      <c r="C19" s="1" t="s">
        <v>484</v>
      </c>
      <c r="D19" s="1" t="s">
        <v>486</v>
      </c>
    </row>
    <row r="20" spans="1:4" ht="15.75" customHeight="1" x14ac:dyDescent="0.2">
      <c r="A20" s="38" t="s">
        <v>489</v>
      </c>
      <c r="B20" s="1" t="s">
        <v>422</v>
      </c>
      <c r="C20" s="1" t="s">
        <v>491</v>
      </c>
      <c r="D20" s="1" t="s">
        <v>493</v>
      </c>
    </row>
    <row r="21" spans="1:4" ht="15.75" customHeight="1" x14ac:dyDescent="0.2">
      <c r="A21" s="38" t="s">
        <v>494</v>
      </c>
      <c r="B21" s="1" t="s">
        <v>422</v>
      </c>
      <c r="C21" s="1" t="s">
        <v>498</v>
      </c>
      <c r="D21" s="1" t="s">
        <v>499</v>
      </c>
    </row>
  </sheetData>
  <hyperlinks>
    <hyperlink ref="A2" r:id="rId1"/>
    <hyperlink ref="B2" r:id="rId2" location="gid=1488557536"/>
    <hyperlink ref="A3" r:id="rId3"/>
    <hyperlink ref="A4" r:id="rId4"/>
    <hyperlink ref="A5" r:id="rId5"/>
    <hyperlink ref="B5" r:id="rId6"/>
    <hyperlink ref="A6" r:id="rId7"/>
    <hyperlink ref="B6" r:id="rId8"/>
    <hyperlink ref="A7" r:id="rId9"/>
    <hyperlink ref="B7" r:id="rId10"/>
    <hyperlink ref="A8" r:id="rId11"/>
    <hyperlink ref="A9" r:id="rId12"/>
    <hyperlink ref="A10" r:id="rId13"/>
    <hyperlink ref="A11" r:id="rId14"/>
    <hyperlink ref="B11" r:id="rId15"/>
    <hyperlink ref="B12" r:id="rId16"/>
    <hyperlink ref="B13" r:id="rId17"/>
    <hyperlink ref="A15" r:id="rId18"/>
    <hyperlink ref="A18" r:id="rId19"/>
    <hyperlink ref="A19" r:id="rId20"/>
    <hyperlink ref="B19" r:id="rId21"/>
    <hyperlink ref="A20" r:id="rId22"/>
    <hyperlink ref="A21" r:id="rId23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1.5703125" customWidth="1"/>
    <col min="2" max="2" width="25.28515625" customWidth="1"/>
    <col min="3" max="3" width="21.5703125" customWidth="1"/>
    <col min="4" max="4" width="12.5703125" customWidth="1"/>
    <col min="5" max="5" width="12.140625" customWidth="1"/>
    <col min="6" max="6" width="15.42578125" customWidth="1"/>
    <col min="7" max="7" width="24.42578125" customWidth="1"/>
    <col min="8" max="10" width="21.5703125" customWidth="1"/>
  </cols>
  <sheetData>
    <row r="1" spans="1:11" ht="15.75" customHeight="1" x14ac:dyDescent="0.2">
      <c r="A1" t="s">
        <v>519</v>
      </c>
      <c r="B1" s="1" t="s">
        <v>520</v>
      </c>
      <c r="C1" s="1" t="s">
        <v>521</v>
      </c>
      <c r="D1" t="s">
        <v>522</v>
      </c>
      <c r="E1" t="s">
        <v>523</v>
      </c>
      <c r="F1" t="s">
        <v>524</v>
      </c>
      <c r="G1" t="s">
        <v>525</v>
      </c>
      <c r="H1" s="1" t="s">
        <v>520</v>
      </c>
      <c r="I1" s="1" t="s">
        <v>526</v>
      </c>
      <c r="J1" s="1" t="s">
        <v>527</v>
      </c>
      <c r="K1" s="1"/>
    </row>
    <row r="2" spans="1:11" ht="15.75" customHeight="1" x14ac:dyDescent="0.2">
      <c r="A2" s="39">
        <v>42561.478881446761</v>
      </c>
      <c r="B2" s="1" t="s">
        <v>529</v>
      </c>
      <c r="F2" s="1" t="s">
        <v>49</v>
      </c>
      <c r="G2" s="1">
        <v>9</v>
      </c>
      <c r="H2" s="40"/>
      <c r="I2" s="40"/>
      <c r="J2" s="40"/>
    </row>
    <row r="3" spans="1:11" ht="15.75" customHeight="1" x14ac:dyDescent="0.2">
      <c r="A3" s="39">
        <v>42561.479045335647</v>
      </c>
      <c r="B3" s="1" t="s">
        <v>529</v>
      </c>
      <c r="F3" s="1" t="s">
        <v>50</v>
      </c>
      <c r="G3" s="1">
        <v>17</v>
      </c>
      <c r="H3" s="40"/>
      <c r="I3" s="40"/>
      <c r="J3" s="40"/>
    </row>
    <row r="4" spans="1:11" ht="15.75" customHeight="1" x14ac:dyDescent="0.2">
      <c r="A4" s="39">
        <v>42561.48366597222</v>
      </c>
      <c r="B4" s="1" t="s">
        <v>533</v>
      </c>
      <c r="C4" s="1" t="s">
        <v>167</v>
      </c>
      <c r="D4" s="1">
        <v>308</v>
      </c>
      <c r="E4" s="1">
        <v>836</v>
      </c>
    </row>
    <row r="5" spans="1:11" ht="15.75" customHeight="1" x14ac:dyDescent="0.2">
      <c r="A5" s="39">
        <v>42561.535333321764</v>
      </c>
      <c r="B5" s="1" t="s">
        <v>534</v>
      </c>
      <c r="C5" s="1" t="s">
        <v>51</v>
      </c>
      <c r="D5" s="1">
        <v>95</v>
      </c>
      <c r="E5" s="1">
        <v>316</v>
      </c>
    </row>
    <row r="6" spans="1:11" ht="15.75" customHeight="1" x14ac:dyDescent="0.2">
      <c r="A6" s="39">
        <v>42561.553713680551</v>
      </c>
      <c r="B6" s="1" t="s">
        <v>534</v>
      </c>
      <c r="C6" s="1" t="s">
        <v>53</v>
      </c>
      <c r="D6" s="1">
        <v>10</v>
      </c>
      <c r="E6" s="1">
        <v>18</v>
      </c>
    </row>
    <row r="7" spans="1:11" ht="15.75" customHeight="1" x14ac:dyDescent="0.2">
      <c r="A7" s="39">
        <v>42561.562454837964</v>
      </c>
      <c r="B7" s="1" t="s">
        <v>534</v>
      </c>
      <c r="C7" s="1" t="s">
        <v>166</v>
      </c>
      <c r="D7" s="1">
        <v>170</v>
      </c>
      <c r="E7" s="1">
        <v>483</v>
      </c>
    </row>
    <row r="8" spans="1:11" ht="15.75" customHeight="1" x14ac:dyDescent="0.2">
      <c r="A8" s="39">
        <v>42561.571971979167</v>
      </c>
      <c r="B8" s="1" t="s">
        <v>529</v>
      </c>
      <c r="F8" s="1" t="s">
        <v>168</v>
      </c>
      <c r="G8" s="1">
        <v>31</v>
      </c>
      <c r="H8" s="40"/>
      <c r="I8" s="40"/>
      <c r="J8" s="40"/>
    </row>
    <row r="9" spans="1:11" ht="15.75" customHeight="1" x14ac:dyDescent="0.2">
      <c r="A9" s="39">
        <v>42561.688749502311</v>
      </c>
      <c r="B9" s="1" t="s">
        <v>533</v>
      </c>
      <c r="C9" s="1" t="s">
        <v>75</v>
      </c>
      <c r="D9" s="1">
        <v>269</v>
      </c>
      <c r="E9" s="1">
        <v>859</v>
      </c>
    </row>
    <row r="10" spans="1:11" ht="15.75" customHeight="1" x14ac:dyDescent="0.2">
      <c r="A10" s="39">
        <v>42561.726249525462</v>
      </c>
      <c r="B10" s="1" t="s">
        <v>533</v>
      </c>
      <c r="C10" s="1" t="s">
        <v>50</v>
      </c>
      <c r="D10" s="1">
        <v>73</v>
      </c>
      <c r="E10" s="1">
        <v>140</v>
      </c>
    </row>
    <row r="11" spans="1:11" ht="15.75" customHeight="1" x14ac:dyDescent="0.2">
      <c r="A11" s="39">
        <v>42561.759148958328</v>
      </c>
      <c r="B11" s="1" t="s">
        <v>533</v>
      </c>
      <c r="C11" s="1" t="s">
        <v>75</v>
      </c>
      <c r="D11" s="1">
        <v>128</v>
      </c>
      <c r="E11" s="1">
        <v>403</v>
      </c>
    </row>
    <row r="12" spans="1:11" ht="15.75" customHeight="1" x14ac:dyDescent="0.2">
      <c r="A12" s="39">
        <v>42561.759309537039</v>
      </c>
      <c r="B12" s="1" t="s">
        <v>533</v>
      </c>
      <c r="C12" s="1" t="s">
        <v>55</v>
      </c>
      <c r="D12" s="1">
        <v>143</v>
      </c>
      <c r="E12" s="1">
        <v>374</v>
      </c>
    </row>
    <row r="13" spans="1:11" ht="15.75" customHeight="1" x14ac:dyDescent="0.2">
      <c r="A13" s="39">
        <v>42561.759633668982</v>
      </c>
      <c r="B13" s="1" t="s">
        <v>533</v>
      </c>
      <c r="C13" s="1" t="s">
        <v>51</v>
      </c>
      <c r="D13" s="1">
        <v>304</v>
      </c>
      <c r="E13" s="1">
        <v>541</v>
      </c>
    </row>
    <row r="14" spans="1:11" ht="15.75" customHeight="1" x14ac:dyDescent="0.2">
      <c r="A14" s="39">
        <v>42561.760035312502</v>
      </c>
      <c r="B14" s="1" t="s">
        <v>533</v>
      </c>
      <c r="C14" s="1" t="s">
        <v>50</v>
      </c>
      <c r="D14" s="1">
        <v>152</v>
      </c>
      <c r="E14" s="1">
        <v>290</v>
      </c>
    </row>
    <row r="15" spans="1:11" ht="15.75" customHeight="1" x14ac:dyDescent="0.2">
      <c r="A15" s="39">
        <v>42561.760207384257</v>
      </c>
      <c r="B15" s="1" t="s">
        <v>533</v>
      </c>
      <c r="C15" s="1" t="s">
        <v>53</v>
      </c>
      <c r="D15" s="1">
        <v>110</v>
      </c>
      <c r="E15" s="1">
        <v>293</v>
      </c>
    </row>
    <row r="16" spans="1:11" ht="15.75" customHeight="1" x14ac:dyDescent="0.2">
      <c r="A16" s="39">
        <v>42561.760506041668</v>
      </c>
      <c r="B16" s="1" t="s">
        <v>533</v>
      </c>
      <c r="C16" s="1" t="s">
        <v>44</v>
      </c>
      <c r="D16" s="1">
        <v>85</v>
      </c>
      <c r="E16" s="1">
        <v>92</v>
      </c>
    </row>
    <row r="17" spans="1:9" ht="15.75" customHeight="1" x14ac:dyDescent="0.2">
      <c r="A17" s="39">
        <v>42561.761417141199</v>
      </c>
      <c r="B17" s="1" t="s">
        <v>533</v>
      </c>
      <c r="C17" s="1" t="s">
        <v>48</v>
      </c>
      <c r="D17" s="1">
        <v>92</v>
      </c>
      <c r="E17" s="1">
        <v>277</v>
      </c>
    </row>
    <row r="18" spans="1:9" ht="15.75" customHeight="1" x14ac:dyDescent="0.2">
      <c r="A18" s="39">
        <v>42561.761651944442</v>
      </c>
      <c r="B18" s="1" t="s">
        <v>533</v>
      </c>
      <c r="C18" s="1" t="s">
        <v>167</v>
      </c>
      <c r="D18" s="1">
        <v>239</v>
      </c>
      <c r="E18" s="1">
        <v>627</v>
      </c>
    </row>
    <row r="19" spans="1:9" ht="15.75" customHeight="1" x14ac:dyDescent="0.2">
      <c r="A19" s="39">
        <v>42561.762948668984</v>
      </c>
      <c r="B19" s="1" t="s">
        <v>533</v>
      </c>
      <c r="C19" s="1" t="s">
        <v>53</v>
      </c>
      <c r="D19" s="1">
        <v>172</v>
      </c>
      <c r="E19" s="1">
        <v>467</v>
      </c>
    </row>
    <row r="20" spans="1:9" ht="15.75" customHeight="1" x14ac:dyDescent="0.2">
      <c r="A20" s="39">
        <v>42561.766064479161</v>
      </c>
      <c r="B20" s="1"/>
      <c r="F20" s="1" t="s">
        <v>158</v>
      </c>
      <c r="G20" s="1">
        <v>30</v>
      </c>
      <c r="H20" s="1" t="s">
        <v>529</v>
      </c>
      <c r="I20" s="40"/>
    </row>
    <row r="21" spans="1:9" ht="15.75" customHeight="1" x14ac:dyDescent="0.2">
      <c r="A21" s="39">
        <v>42561.769926909721</v>
      </c>
      <c r="B21" s="1"/>
      <c r="F21" s="1" t="s">
        <v>158</v>
      </c>
      <c r="G21" s="1">
        <v>29</v>
      </c>
      <c r="H21" s="1" t="s">
        <v>529</v>
      </c>
      <c r="I21" s="40"/>
    </row>
    <row r="22" spans="1:9" ht="15.75" customHeight="1" x14ac:dyDescent="0.2">
      <c r="A22" s="39">
        <v>42561.771270115743</v>
      </c>
      <c r="F22" s="1" t="s">
        <v>161</v>
      </c>
      <c r="G22" s="1">
        <v>25</v>
      </c>
      <c r="H22" s="1" t="s">
        <v>529</v>
      </c>
      <c r="I22" s="40"/>
    </row>
    <row r="23" spans="1:9" ht="15.75" customHeight="1" x14ac:dyDescent="0.2">
      <c r="A23" s="39">
        <v>42561.782625787033</v>
      </c>
      <c r="F23" s="1" t="s">
        <v>168</v>
      </c>
      <c r="G23" s="1">
        <v>30</v>
      </c>
      <c r="H23" s="1" t="s">
        <v>529</v>
      </c>
      <c r="I23" s="40"/>
    </row>
    <row r="24" spans="1:9" ht="15.75" customHeight="1" x14ac:dyDescent="0.2">
      <c r="A24" s="39">
        <v>42561.793497962964</v>
      </c>
      <c r="F24" s="1" t="s">
        <v>130</v>
      </c>
      <c r="G24" s="1">
        <v>30</v>
      </c>
      <c r="H24" s="1" t="s">
        <v>529</v>
      </c>
      <c r="I24" s="40"/>
    </row>
    <row r="25" spans="1:9" ht="15.75" customHeight="1" x14ac:dyDescent="0.2">
      <c r="A25" s="39">
        <v>42561.79833200232</v>
      </c>
      <c r="F25" s="1" t="s">
        <v>159</v>
      </c>
      <c r="G25" s="1">
        <v>33</v>
      </c>
      <c r="H25" s="1" t="s">
        <v>529</v>
      </c>
      <c r="I25" s="40"/>
    </row>
    <row r="26" spans="1:9" ht="15.75" customHeight="1" x14ac:dyDescent="0.2">
      <c r="A26" s="39">
        <v>42561.798771238427</v>
      </c>
      <c r="F26" s="1" t="s">
        <v>159</v>
      </c>
      <c r="G26" s="1">
        <v>31</v>
      </c>
      <c r="H26" s="1" t="s">
        <v>529</v>
      </c>
      <c r="I26" s="40"/>
    </row>
    <row r="27" spans="1:9" ht="15.75" customHeight="1" x14ac:dyDescent="0.2">
      <c r="A27" s="39">
        <v>42561.799745798606</v>
      </c>
      <c r="C27" s="1" t="s">
        <v>167</v>
      </c>
      <c r="D27" s="1">
        <v>396</v>
      </c>
      <c r="E27" s="1">
        <v>1099</v>
      </c>
      <c r="H27" s="1" t="s">
        <v>533</v>
      </c>
      <c r="I27" s="40"/>
    </row>
    <row r="28" spans="1:9" ht="15.75" customHeight="1" x14ac:dyDescent="0.2">
      <c r="A28" s="39">
        <v>42561.818979814816</v>
      </c>
      <c r="C28" s="1" t="s">
        <v>130</v>
      </c>
      <c r="D28" s="1">
        <v>133</v>
      </c>
      <c r="E28" s="1">
        <v>277</v>
      </c>
      <c r="H28" s="1" t="s">
        <v>533</v>
      </c>
      <c r="I28" s="40"/>
    </row>
    <row r="29" spans="1:9" ht="15.75" customHeight="1" x14ac:dyDescent="0.2">
      <c r="A29" s="39">
        <v>42561.825608530096</v>
      </c>
      <c r="F29" s="1" t="s">
        <v>158</v>
      </c>
      <c r="G29" s="1">
        <v>31</v>
      </c>
      <c r="H29" s="1" t="s">
        <v>529</v>
      </c>
      <c r="I29" s="40"/>
    </row>
    <row r="30" spans="1:9" ht="15.75" customHeight="1" x14ac:dyDescent="0.2">
      <c r="A30" s="39">
        <v>42561.839475868052</v>
      </c>
      <c r="F30" s="1" t="s">
        <v>136</v>
      </c>
      <c r="G30" s="1">
        <v>38</v>
      </c>
      <c r="H30" s="1" t="s">
        <v>529</v>
      </c>
      <c r="I30" s="40"/>
    </row>
    <row r="31" spans="1:9" ht="12.75" x14ac:dyDescent="0.2">
      <c r="A31" s="39">
        <v>42561.92665306713</v>
      </c>
      <c r="C31" s="1" t="s">
        <v>167</v>
      </c>
      <c r="D31" s="1">
        <v>353</v>
      </c>
      <c r="E31" s="1">
        <v>933</v>
      </c>
      <c r="H31" s="1" t="s">
        <v>533</v>
      </c>
      <c r="I31" s="40"/>
    </row>
    <row r="32" spans="1:9" ht="12.75" x14ac:dyDescent="0.2">
      <c r="A32" s="39">
        <v>42562.053234317129</v>
      </c>
      <c r="C32" s="1" t="s">
        <v>132</v>
      </c>
      <c r="D32" s="1">
        <v>348</v>
      </c>
      <c r="E32" s="1">
        <v>831</v>
      </c>
      <c r="H32" s="1" t="s">
        <v>533</v>
      </c>
      <c r="I32" s="40"/>
    </row>
    <row r="33" spans="1:9" ht="12.75" x14ac:dyDescent="0.2">
      <c r="A33" s="39">
        <v>42562.064024780091</v>
      </c>
      <c r="F33" s="1" t="s">
        <v>75</v>
      </c>
      <c r="G33" s="1">
        <v>26</v>
      </c>
      <c r="H33" s="1" t="s">
        <v>529</v>
      </c>
      <c r="I33" s="40"/>
    </row>
    <row r="34" spans="1:9" ht="12.75" x14ac:dyDescent="0.2">
      <c r="A34" s="39">
        <v>42562.179117662032</v>
      </c>
      <c r="C34" s="1" t="s">
        <v>100</v>
      </c>
      <c r="D34" s="1">
        <v>576</v>
      </c>
      <c r="E34" s="1">
        <v>888</v>
      </c>
      <c r="H34" s="1" t="s">
        <v>534</v>
      </c>
      <c r="I34" s="40"/>
    </row>
    <row r="35" spans="1:9" ht="12.75" x14ac:dyDescent="0.2">
      <c r="A35" s="39">
        <v>42562.179931354171</v>
      </c>
      <c r="C35" s="1" t="s">
        <v>100</v>
      </c>
      <c r="D35" s="1">
        <v>253</v>
      </c>
      <c r="E35" s="1">
        <v>417</v>
      </c>
      <c r="H35" s="1" t="s">
        <v>533</v>
      </c>
      <c r="I35" s="40"/>
    </row>
    <row r="36" spans="1:9" ht="12.75" x14ac:dyDescent="0.2">
      <c r="A36" s="39">
        <v>42562.190415844903</v>
      </c>
      <c r="F36" s="1" t="s">
        <v>55</v>
      </c>
      <c r="G36" s="1">
        <v>23</v>
      </c>
      <c r="H36" s="1" t="s">
        <v>529</v>
      </c>
      <c r="I36" s="40"/>
    </row>
    <row r="37" spans="1:9" ht="12.75" x14ac:dyDescent="0.2">
      <c r="A37" s="39">
        <v>42562.191511909725</v>
      </c>
      <c r="F37" s="1" t="s">
        <v>103</v>
      </c>
      <c r="G37" s="1">
        <v>21</v>
      </c>
      <c r="H37" s="1" t="s">
        <v>529</v>
      </c>
      <c r="I37" s="40"/>
    </row>
    <row r="38" spans="1:9" ht="12.75" x14ac:dyDescent="0.2">
      <c r="A38" s="39">
        <v>42562.192664120375</v>
      </c>
      <c r="C38" s="1" t="s">
        <v>126</v>
      </c>
      <c r="D38" s="1">
        <v>76</v>
      </c>
      <c r="E38" s="1">
        <v>133</v>
      </c>
      <c r="H38" s="1" t="s">
        <v>533</v>
      </c>
      <c r="I38" s="40"/>
    </row>
    <row r="39" spans="1:9" ht="12.75" x14ac:dyDescent="0.2">
      <c r="A39" s="39">
        <v>42562.206518576393</v>
      </c>
      <c r="F39" s="1" t="s">
        <v>127</v>
      </c>
      <c r="G39" s="1">
        <v>29</v>
      </c>
      <c r="H39" s="1" t="s">
        <v>529</v>
      </c>
      <c r="I39" s="40"/>
    </row>
    <row r="40" spans="1:9" ht="12.75" x14ac:dyDescent="0.2">
      <c r="A40" s="39">
        <v>42562.206619351855</v>
      </c>
      <c r="F40" s="1" t="s">
        <v>127</v>
      </c>
      <c r="G40" s="1">
        <v>29</v>
      </c>
      <c r="H40" s="1" t="s">
        <v>529</v>
      </c>
      <c r="I40" s="40"/>
    </row>
    <row r="41" spans="1:9" ht="12.75" x14ac:dyDescent="0.2">
      <c r="A41" s="39">
        <v>42562.20878163194</v>
      </c>
      <c r="F41" s="1" t="s">
        <v>125</v>
      </c>
      <c r="G41" s="1">
        <v>12</v>
      </c>
      <c r="H41" s="1" t="s">
        <v>529</v>
      </c>
      <c r="I41" s="40"/>
    </row>
    <row r="42" spans="1:9" ht="12.75" x14ac:dyDescent="0.2">
      <c r="A42" s="39">
        <v>42562.212728981482</v>
      </c>
      <c r="F42" s="1" t="s">
        <v>132</v>
      </c>
      <c r="G42" s="1">
        <v>25</v>
      </c>
      <c r="H42" s="1" t="s">
        <v>529</v>
      </c>
      <c r="I42" s="40"/>
    </row>
    <row r="43" spans="1:9" ht="12.75" x14ac:dyDescent="0.2">
      <c r="A43" s="39">
        <v>42562.260362314817</v>
      </c>
      <c r="C43" s="1" t="s">
        <v>163</v>
      </c>
      <c r="D43" s="1">
        <v>63</v>
      </c>
      <c r="E43" s="1">
        <v>728</v>
      </c>
      <c r="H43" s="1" t="s">
        <v>533</v>
      </c>
      <c r="I43" s="40"/>
    </row>
    <row r="44" spans="1:9" ht="12.75" x14ac:dyDescent="0.2">
      <c r="A44" s="39">
        <v>42562.38699702546</v>
      </c>
      <c r="F44" s="1" t="s">
        <v>51</v>
      </c>
      <c r="G44" s="1">
        <v>29</v>
      </c>
      <c r="H44" s="1" t="s">
        <v>529</v>
      </c>
      <c r="I44" s="40"/>
    </row>
    <row r="45" spans="1:9" ht="12.75" x14ac:dyDescent="0.2">
      <c r="A45" s="39">
        <v>42562.391942685186</v>
      </c>
      <c r="F45" s="1" t="s">
        <v>48</v>
      </c>
      <c r="G45" s="1">
        <v>21</v>
      </c>
      <c r="H45" s="1" t="s">
        <v>529</v>
      </c>
      <c r="I45" s="40"/>
    </row>
    <row r="46" spans="1:9" ht="12.75" x14ac:dyDescent="0.2">
      <c r="A46" s="39">
        <v>42562.392299988423</v>
      </c>
      <c r="F46" s="1" t="s">
        <v>75</v>
      </c>
      <c r="G46" s="1">
        <v>28</v>
      </c>
      <c r="H46" s="1" t="s">
        <v>529</v>
      </c>
      <c r="I46" s="40"/>
    </row>
    <row r="47" spans="1:9" ht="12.75" x14ac:dyDescent="0.2">
      <c r="A47" s="39">
        <v>42562.40309850694</v>
      </c>
      <c r="F47" s="1" t="s">
        <v>53</v>
      </c>
      <c r="G47" s="1">
        <v>20</v>
      </c>
      <c r="H47" s="1" t="s">
        <v>529</v>
      </c>
      <c r="I47" s="40"/>
    </row>
    <row r="48" spans="1:9" ht="12.75" x14ac:dyDescent="0.2">
      <c r="A48" s="39">
        <v>42562.403600555554</v>
      </c>
      <c r="F48" s="1" t="s">
        <v>176</v>
      </c>
      <c r="G48" s="1">
        <v>46</v>
      </c>
      <c r="H48" s="1" t="s">
        <v>529</v>
      </c>
      <c r="I48" s="40"/>
    </row>
    <row r="49" spans="1:9" ht="12.75" x14ac:dyDescent="0.2">
      <c r="A49" s="39">
        <v>42562.405271886571</v>
      </c>
      <c r="C49" s="1" t="s">
        <v>166</v>
      </c>
      <c r="D49" s="1">
        <v>230</v>
      </c>
      <c r="E49" s="1">
        <v>622</v>
      </c>
      <c r="H49" s="1" t="s">
        <v>534</v>
      </c>
      <c r="I49" s="40"/>
    </row>
    <row r="50" spans="1:9" ht="12.75" x14ac:dyDescent="0.2">
      <c r="A50" s="39">
        <v>42562.412867662038</v>
      </c>
      <c r="F50" s="1" t="s">
        <v>51</v>
      </c>
      <c r="G50" s="1">
        <v>31</v>
      </c>
      <c r="H50" s="1" t="s">
        <v>529</v>
      </c>
      <c r="I50" s="40"/>
    </row>
    <row r="51" spans="1:9" ht="12.75" x14ac:dyDescent="0.2">
      <c r="A51" s="39">
        <v>42562.426739386574</v>
      </c>
      <c r="C51" s="1" t="s">
        <v>163</v>
      </c>
      <c r="D51" s="1">
        <v>91</v>
      </c>
      <c r="E51" s="1">
        <v>1097</v>
      </c>
      <c r="H51" s="1" t="s">
        <v>533</v>
      </c>
      <c r="I51" s="40"/>
    </row>
    <row r="52" spans="1:9" ht="12.75" x14ac:dyDescent="0.2">
      <c r="A52" s="39">
        <v>42562.43440435185</v>
      </c>
      <c r="F52" s="1" t="s">
        <v>158</v>
      </c>
      <c r="G52" s="1">
        <v>30</v>
      </c>
      <c r="H52" s="1" t="s">
        <v>529</v>
      </c>
      <c r="I52" s="40"/>
    </row>
    <row r="53" spans="1:9" ht="12.75" x14ac:dyDescent="0.2">
      <c r="A53" s="39">
        <v>42562.47005596065</v>
      </c>
      <c r="F53" s="1" t="s">
        <v>154</v>
      </c>
      <c r="G53" s="1">
        <v>736</v>
      </c>
      <c r="H53" s="1" t="s">
        <v>535</v>
      </c>
      <c r="I53" s="40"/>
    </row>
    <row r="54" spans="1:9" ht="12.75" x14ac:dyDescent="0.2">
      <c r="A54" s="39">
        <v>42562.572714872687</v>
      </c>
      <c r="F54" s="1" t="s">
        <v>52</v>
      </c>
      <c r="G54" s="1">
        <v>7</v>
      </c>
      <c r="H54" s="1" t="s">
        <v>529</v>
      </c>
      <c r="I54" s="40"/>
    </row>
    <row r="55" spans="1:9" ht="12.75" x14ac:dyDescent="0.2">
      <c r="A55" s="39">
        <v>42562.577665798613</v>
      </c>
      <c r="F55" s="1" t="s">
        <v>137</v>
      </c>
      <c r="G55" s="1">
        <v>13</v>
      </c>
      <c r="H55" s="1" t="s">
        <v>529</v>
      </c>
      <c r="I55" s="40"/>
    </row>
    <row r="56" spans="1:9" ht="12.75" x14ac:dyDescent="0.2">
      <c r="A56" s="39">
        <v>42562.586744456014</v>
      </c>
      <c r="C56" s="1" t="s">
        <v>169</v>
      </c>
      <c r="D56" s="1">
        <v>169</v>
      </c>
      <c r="E56" s="1">
        <v>420</v>
      </c>
      <c r="H56" s="1" t="s">
        <v>533</v>
      </c>
      <c r="I56" s="40"/>
    </row>
    <row r="57" spans="1:9" ht="12.75" x14ac:dyDescent="0.2">
      <c r="A57" s="39">
        <v>42562.588204965279</v>
      </c>
      <c r="C57" s="1" t="s">
        <v>103</v>
      </c>
      <c r="D57" s="1">
        <v>308</v>
      </c>
      <c r="E57" s="1">
        <v>491</v>
      </c>
      <c r="H57" s="1" t="s">
        <v>533</v>
      </c>
      <c r="I57" s="40"/>
    </row>
    <row r="58" spans="1:9" ht="12.75" x14ac:dyDescent="0.2">
      <c r="A58" s="39">
        <v>42562.588697650463</v>
      </c>
      <c r="C58" s="1" t="s">
        <v>50</v>
      </c>
      <c r="D58" s="1">
        <v>10</v>
      </c>
      <c r="E58" s="1">
        <v>25</v>
      </c>
      <c r="H58" s="1" t="s">
        <v>534</v>
      </c>
      <c r="I58" s="40"/>
    </row>
    <row r="59" spans="1:9" ht="12.75" x14ac:dyDescent="0.2">
      <c r="A59" s="39">
        <v>42562.589148784726</v>
      </c>
      <c r="C59" s="1" t="s">
        <v>50</v>
      </c>
      <c r="D59" s="1">
        <v>111</v>
      </c>
      <c r="E59" s="1">
        <v>209</v>
      </c>
      <c r="H59" s="1" t="s">
        <v>533</v>
      </c>
      <c r="I59" s="40"/>
    </row>
    <row r="60" spans="1:9" ht="12.75" x14ac:dyDescent="0.2">
      <c r="A60" s="39">
        <v>42562.591563564813</v>
      </c>
      <c r="F60" s="1" t="s">
        <v>55</v>
      </c>
      <c r="G60" s="1">
        <v>23</v>
      </c>
      <c r="H60" s="1" t="s">
        <v>529</v>
      </c>
      <c r="I60" s="40"/>
    </row>
    <row r="61" spans="1:9" ht="12.75" x14ac:dyDescent="0.2">
      <c r="A61" s="39">
        <v>42562.592331168984</v>
      </c>
      <c r="C61" s="1" t="s">
        <v>53</v>
      </c>
      <c r="D61" s="1">
        <v>112</v>
      </c>
      <c r="E61" s="1">
        <v>311</v>
      </c>
      <c r="H61" s="1" t="s">
        <v>533</v>
      </c>
      <c r="I61" s="40"/>
    </row>
    <row r="62" spans="1:9" ht="12.75" x14ac:dyDescent="0.2">
      <c r="A62" s="39">
        <v>42562.592536747688</v>
      </c>
      <c r="F62" s="1" t="s">
        <v>161</v>
      </c>
      <c r="G62" s="1">
        <v>24</v>
      </c>
      <c r="H62" s="1" t="s">
        <v>529</v>
      </c>
      <c r="I62" s="40"/>
    </row>
    <row r="63" spans="1:9" ht="12.75" x14ac:dyDescent="0.2">
      <c r="A63" s="39">
        <v>42562.596472812496</v>
      </c>
      <c r="C63" s="1" t="s">
        <v>66</v>
      </c>
      <c r="D63" s="1">
        <v>217</v>
      </c>
      <c r="E63" s="1">
        <v>363</v>
      </c>
      <c r="H63" s="1" t="s">
        <v>533</v>
      </c>
      <c r="I63" s="40"/>
    </row>
    <row r="64" spans="1:9" ht="12.75" x14ac:dyDescent="0.2">
      <c r="A64" s="39">
        <v>42562.60312792824</v>
      </c>
      <c r="C64" s="1" t="s">
        <v>50</v>
      </c>
      <c r="D64" s="1">
        <v>190</v>
      </c>
      <c r="E64" s="1">
        <v>352</v>
      </c>
      <c r="H64" s="1" t="s">
        <v>533</v>
      </c>
      <c r="I64" s="40"/>
    </row>
    <row r="65" spans="1:9" ht="12.75" x14ac:dyDescent="0.2">
      <c r="A65" s="39">
        <v>42562.621856284721</v>
      </c>
      <c r="C65" s="1" t="s">
        <v>51</v>
      </c>
      <c r="D65" s="1">
        <v>250</v>
      </c>
      <c r="E65" s="1">
        <v>550</v>
      </c>
      <c r="H65" s="1" t="s">
        <v>533</v>
      </c>
      <c r="I65" s="40"/>
    </row>
    <row r="66" spans="1:9" ht="12.75" x14ac:dyDescent="0.2">
      <c r="A66" s="39">
        <v>42562.626320324074</v>
      </c>
      <c r="C66" s="1" t="s">
        <v>96</v>
      </c>
      <c r="D66" s="1">
        <v>56</v>
      </c>
      <c r="E66" s="1">
        <v>65</v>
      </c>
      <c r="G66" s="1">
        <v>9</v>
      </c>
      <c r="H66" s="1" t="s">
        <v>529</v>
      </c>
      <c r="I66" s="40"/>
    </row>
    <row r="67" spans="1:9" ht="12.75" x14ac:dyDescent="0.2">
      <c r="A67" s="39">
        <v>42562.632002349535</v>
      </c>
      <c r="F67" s="1" t="s">
        <v>51</v>
      </c>
      <c r="G67" s="1">
        <v>2</v>
      </c>
      <c r="H67" s="1" t="s">
        <v>535</v>
      </c>
      <c r="I67" s="40"/>
    </row>
    <row r="68" spans="1:9" ht="12.75" x14ac:dyDescent="0.2">
      <c r="A68" s="39">
        <v>42562.632474224534</v>
      </c>
      <c r="F68" s="1" t="s">
        <v>130</v>
      </c>
      <c r="G68" s="1">
        <v>30</v>
      </c>
      <c r="H68" s="1" t="s">
        <v>529</v>
      </c>
      <c r="I68" s="40"/>
    </row>
    <row r="69" spans="1:9" ht="12.75" x14ac:dyDescent="0.2">
      <c r="A69" s="39">
        <v>42562.655611562499</v>
      </c>
      <c r="B69" s="1"/>
      <c r="C69" s="1" t="s">
        <v>166</v>
      </c>
      <c r="D69" s="1">
        <v>377</v>
      </c>
      <c r="E69" s="1">
        <v>394</v>
      </c>
      <c r="F69" s="1" t="s">
        <v>166</v>
      </c>
      <c r="G69" s="1">
        <v>17</v>
      </c>
      <c r="H69" s="1" t="s">
        <v>529</v>
      </c>
      <c r="I69" s="40"/>
    </row>
    <row r="70" spans="1:9" ht="12.75" x14ac:dyDescent="0.2">
      <c r="A70" s="39">
        <v>42562.672228055555</v>
      </c>
      <c r="F70" s="1" t="s">
        <v>176</v>
      </c>
      <c r="G70" s="1">
        <v>44</v>
      </c>
      <c r="H70" s="1" t="s">
        <v>529</v>
      </c>
      <c r="I70" s="40"/>
    </row>
    <row r="71" spans="1:9" ht="12.75" x14ac:dyDescent="0.2">
      <c r="A71" s="39">
        <v>42562.673050150464</v>
      </c>
      <c r="F71" s="1" t="s">
        <v>160</v>
      </c>
      <c r="G71" s="1">
        <v>29</v>
      </c>
      <c r="H71" s="1" t="s">
        <v>529</v>
      </c>
      <c r="I71" s="40"/>
    </row>
    <row r="72" spans="1:9" ht="12.75" x14ac:dyDescent="0.2">
      <c r="A72" s="39">
        <v>42562.673649629629</v>
      </c>
      <c r="F72" s="1" t="s">
        <v>75</v>
      </c>
      <c r="G72" s="1">
        <v>26</v>
      </c>
      <c r="H72" s="1" t="s">
        <v>529</v>
      </c>
      <c r="I72" s="40"/>
    </row>
    <row r="73" spans="1:9" ht="12.75" x14ac:dyDescent="0.2">
      <c r="A73" s="39">
        <v>42562.683570821755</v>
      </c>
      <c r="C73" s="1" t="s">
        <v>57</v>
      </c>
      <c r="D73" s="1">
        <v>278</v>
      </c>
      <c r="E73" s="1">
        <v>647</v>
      </c>
      <c r="H73" s="1" t="s">
        <v>533</v>
      </c>
      <c r="I73" s="40"/>
    </row>
    <row r="74" spans="1:9" ht="12.75" x14ac:dyDescent="0.2">
      <c r="A74" s="39">
        <v>42562.702448472221</v>
      </c>
      <c r="F74" s="1" t="s">
        <v>130</v>
      </c>
      <c r="G74" s="1">
        <v>30</v>
      </c>
      <c r="H74" s="1" t="s">
        <v>529</v>
      </c>
      <c r="I74" s="40"/>
    </row>
    <row r="75" spans="1:9" ht="12.75" x14ac:dyDescent="0.2">
      <c r="A75" s="39">
        <v>42562.710233460646</v>
      </c>
      <c r="C75" s="1" t="s">
        <v>168</v>
      </c>
      <c r="D75" s="1">
        <v>291</v>
      </c>
      <c r="E75" s="1">
        <v>603</v>
      </c>
      <c r="H75" s="1" t="s">
        <v>533</v>
      </c>
      <c r="I75" s="40"/>
    </row>
    <row r="76" spans="1:9" ht="12.75" x14ac:dyDescent="0.2">
      <c r="A76" s="39">
        <v>42562.719992673607</v>
      </c>
      <c r="F76" s="1" t="s">
        <v>166</v>
      </c>
      <c r="G76" s="1">
        <v>21</v>
      </c>
      <c r="H76" s="1" t="s">
        <v>529</v>
      </c>
      <c r="I76" s="40"/>
    </row>
    <row r="77" spans="1:9" ht="12.75" x14ac:dyDescent="0.2">
      <c r="A77" s="39">
        <v>42562.745860694442</v>
      </c>
      <c r="F77" s="1" t="s">
        <v>107</v>
      </c>
      <c r="G77" s="1">
        <v>11</v>
      </c>
      <c r="H77" s="1" t="s">
        <v>529</v>
      </c>
      <c r="I77" s="40"/>
    </row>
    <row r="78" spans="1:9" ht="12.75" x14ac:dyDescent="0.2">
      <c r="A78" s="39">
        <v>42562.746009548609</v>
      </c>
      <c r="F78" s="1" t="s">
        <v>96</v>
      </c>
      <c r="G78" s="1">
        <v>9</v>
      </c>
      <c r="H78" s="1" t="s">
        <v>529</v>
      </c>
      <c r="I78" s="40"/>
    </row>
    <row r="79" spans="1:9" ht="12.75" x14ac:dyDescent="0.2">
      <c r="A79" s="39">
        <v>42562.746153402783</v>
      </c>
      <c r="F79" s="1" t="s">
        <v>57</v>
      </c>
      <c r="G79" s="1">
        <v>24</v>
      </c>
      <c r="H79" s="1" t="s">
        <v>529</v>
      </c>
      <c r="I79" s="40"/>
    </row>
    <row r="80" spans="1:9" ht="12.75" x14ac:dyDescent="0.2">
      <c r="A80" s="39">
        <v>42562.746259988431</v>
      </c>
      <c r="F80" s="1" t="s">
        <v>56</v>
      </c>
      <c r="G80" s="1">
        <v>11</v>
      </c>
      <c r="H80" s="1" t="s">
        <v>529</v>
      </c>
      <c r="I80" s="40"/>
    </row>
    <row r="81" spans="1:9" ht="12.75" x14ac:dyDescent="0.2">
      <c r="A81" s="39">
        <v>42562.746493125</v>
      </c>
      <c r="F81" s="1" t="s">
        <v>135</v>
      </c>
      <c r="G81" s="1">
        <v>18</v>
      </c>
      <c r="H81" s="1" t="s">
        <v>529</v>
      </c>
      <c r="I81" s="40"/>
    </row>
    <row r="82" spans="1:9" ht="12.75" x14ac:dyDescent="0.2">
      <c r="A82" s="39">
        <v>42562.7466206713</v>
      </c>
      <c r="F82" s="1" t="s">
        <v>91</v>
      </c>
      <c r="G82" s="1">
        <v>19</v>
      </c>
      <c r="H82" s="1" t="s">
        <v>529</v>
      </c>
      <c r="I82" s="40"/>
    </row>
    <row r="83" spans="1:9" ht="12.75" x14ac:dyDescent="0.2">
      <c r="A83" s="39">
        <v>42562.746790046294</v>
      </c>
      <c r="F83" s="1" t="s">
        <v>142</v>
      </c>
      <c r="G83" s="1">
        <v>16</v>
      </c>
      <c r="H83" s="1" t="s">
        <v>529</v>
      </c>
      <c r="I83" s="40"/>
    </row>
    <row r="84" spans="1:9" ht="12.75" x14ac:dyDescent="0.2">
      <c r="A84" s="39">
        <v>42562.752217106477</v>
      </c>
      <c r="F84" s="1" t="s">
        <v>152</v>
      </c>
      <c r="G84" s="1">
        <v>29</v>
      </c>
      <c r="H84" s="1" t="s">
        <v>529</v>
      </c>
      <c r="I84" s="40"/>
    </row>
    <row r="85" spans="1:9" ht="12.75" x14ac:dyDescent="0.2">
      <c r="A85" s="39">
        <v>42562.757357499999</v>
      </c>
      <c r="C85" s="1" t="s">
        <v>50</v>
      </c>
      <c r="D85" s="1">
        <v>232</v>
      </c>
      <c r="E85" s="1">
        <v>434</v>
      </c>
      <c r="H85" s="1" t="s">
        <v>533</v>
      </c>
      <c r="I85" s="40"/>
    </row>
    <row r="86" spans="1:9" ht="12.75" x14ac:dyDescent="0.2">
      <c r="A86" s="39">
        <v>42562.769326574075</v>
      </c>
      <c r="F86" s="1" t="s">
        <v>129</v>
      </c>
      <c r="G86" s="1">
        <v>16</v>
      </c>
      <c r="H86" s="1" t="s">
        <v>529</v>
      </c>
      <c r="I86" s="40"/>
    </row>
    <row r="87" spans="1:9" ht="12.75" x14ac:dyDescent="0.2">
      <c r="A87" s="39">
        <v>42562.810543657411</v>
      </c>
      <c r="C87" s="1" t="s">
        <v>166</v>
      </c>
      <c r="D87" s="1">
        <v>358</v>
      </c>
      <c r="E87" s="1">
        <v>658</v>
      </c>
      <c r="H87" s="1" t="s">
        <v>534</v>
      </c>
      <c r="I87" s="40"/>
    </row>
    <row r="88" spans="1:9" ht="12.75" x14ac:dyDescent="0.2">
      <c r="A88" s="39">
        <v>42562.861659131944</v>
      </c>
      <c r="F88" s="1" t="s">
        <v>150</v>
      </c>
      <c r="G88" s="1">
        <v>22</v>
      </c>
      <c r="H88" s="1" t="s">
        <v>529</v>
      </c>
      <c r="I88" s="40"/>
    </row>
    <row r="89" spans="1:9" ht="12.75" x14ac:dyDescent="0.2">
      <c r="A89" s="39">
        <v>42562.878660428236</v>
      </c>
      <c r="C89" s="1" t="s">
        <v>31</v>
      </c>
      <c r="D89" s="1">
        <v>288</v>
      </c>
      <c r="E89" s="1">
        <v>465</v>
      </c>
      <c r="H89" s="1" t="s">
        <v>533</v>
      </c>
      <c r="I89" s="40"/>
    </row>
    <row r="90" spans="1:9" ht="12.75" x14ac:dyDescent="0.2">
      <c r="A90" s="39">
        <v>42562.88222929398</v>
      </c>
      <c r="F90" s="1" t="s">
        <v>96</v>
      </c>
      <c r="G90" s="1">
        <v>4</v>
      </c>
      <c r="H90" s="1" t="s">
        <v>529</v>
      </c>
      <c r="I90" s="40"/>
    </row>
    <row r="91" spans="1:9" ht="12.75" x14ac:dyDescent="0.2">
      <c r="A91" s="39">
        <v>42562.890518865737</v>
      </c>
      <c r="F91" s="1" t="s">
        <v>164</v>
      </c>
      <c r="G91" s="1">
        <v>44</v>
      </c>
      <c r="H91" s="1" t="s">
        <v>529</v>
      </c>
      <c r="I91" s="40"/>
    </row>
    <row r="92" spans="1:9" ht="12.75" x14ac:dyDescent="0.2">
      <c r="A92" s="39">
        <v>42562.912793437499</v>
      </c>
      <c r="F92" s="1" t="s">
        <v>164</v>
      </c>
      <c r="G92" s="1">
        <v>42</v>
      </c>
      <c r="H92" s="1" t="s">
        <v>529</v>
      </c>
      <c r="I92" s="40"/>
    </row>
    <row r="93" spans="1:9" ht="12.75" x14ac:dyDescent="0.2">
      <c r="A93" s="39">
        <v>42562.917330787037</v>
      </c>
      <c r="F93" s="1" t="s">
        <v>156</v>
      </c>
      <c r="G93" s="1">
        <v>29</v>
      </c>
      <c r="H93" s="1" t="s">
        <v>529</v>
      </c>
      <c r="I93" s="40"/>
    </row>
    <row r="94" spans="1:9" ht="12.75" x14ac:dyDescent="0.2">
      <c r="A94" s="39">
        <v>42562.92661299769</v>
      </c>
      <c r="C94" s="1" t="s">
        <v>37</v>
      </c>
      <c r="D94" s="1">
        <v>742</v>
      </c>
      <c r="E94" s="1">
        <v>1231</v>
      </c>
      <c r="H94" s="1" t="s">
        <v>533</v>
      </c>
      <c r="I94" s="40"/>
    </row>
    <row r="95" spans="1:9" ht="12.75" x14ac:dyDescent="0.2">
      <c r="A95" s="39">
        <v>42562.941498067128</v>
      </c>
      <c r="F95" s="1" t="s">
        <v>96</v>
      </c>
      <c r="G95" s="1">
        <v>14</v>
      </c>
      <c r="H95" s="1" t="s">
        <v>529</v>
      </c>
      <c r="I95" s="40"/>
    </row>
    <row r="96" spans="1:9" ht="12.75" x14ac:dyDescent="0.2">
      <c r="A96" s="39">
        <v>42562.952817187499</v>
      </c>
      <c r="F96" s="1" t="s">
        <v>51</v>
      </c>
      <c r="G96" s="1">
        <v>28</v>
      </c>
      <c r="H96" s="1" t="s">
        <v>529</v>
      </c>
      <c r="I96" s="40"/>
    </row>
    <row r="97" spans="1:9" ht="12.75" x14ac:dyDescent="0.2">
      <c r="A97" s="39">
        <v>42562.975048437496</v>
      </c>
      <c r="F97" s="1" t="s">
        <v>130</v>
      </c>
      <c r="G97" s="1">
        <v>26</v>
      </c>
      <c r="H97" s="1" t="s">
        <v>529</v>
      </c>
      <c r="I97" s="40"/>
    </row>
    <row r="98" spans="1:9" ht="12.75" x14ac:dyDescent="0.2">
      <c r="A98" s="39">
        <v>42563.001581296296</v>
      </c>
      <c r="F98" s="1" t="s">
        <v>50</v>
      </c>
      <c r="G98" s="1">
        <v>17</v>
      </c>
      <c r="H98" s="1" t="s">
        <v>529</v>
      </c>
      <c r="I98" s="40"/>
    </row>
    <row r="99" spans="1:9" ht="12.75" x14ac:dyDescent="0.2">
      <c r="A99" s="39">
        <v>42563.003050740735</v>
      </c>
      <c r="F99" s="1" t="s">
        <v>50</v>
      </c>
      <c r="G99" s="1">
        <v>16</v>
      </c>
      <c r="H99" s="1" t="s">
        <v>529</v>
      </c>
      <c r="I99" s="40"/>
    </row>
    <row r="100" spans="1:9" ht="12.75" x14ac:dyDescent="0.2">
      <c r="A100" s="39">
        <v>42563.003603680554</v>
      </c>
      <c r="F100" s="1" t="s">
        <v>74</v>
      </c>
      <c r="G100" s="1">
        <v>13</v>
      </c>
      <c r="H100" s="1" t="s">
        <v>529</v>
      </c>
      <c r="I100" s="40"/>
    </row>
    <row r="101" spans="1:9" ht="12.75" x14ac:dyDescent="0.2">
      <c r="A101" s="39">
        <v>42563.048812465277</v>
      </c>
      <c r="F101" s="1" t="s">
        <v>95</v>
      </c>
      <c r="G101" s="1">
        <v>34</v>
      </c>
      <c r="H101" s="1" t="s">
        <v>529</v>
      </c>
      <c r="I101" s="40"/>
    </row>
    <row r="102" spans="1:9" ht="12.75" x14ac:dyDescent="0.2">
      <c r="A102" s="39">
        <v>42563.062974270833</v>
      </c>
      <c r="C102" s="1" t="s">
        <v>50</v>
      </c>
      <c r="D102" s="1">
        <v>256</v>
      </c>
      <c r="E102" s="1">
        <v>486</v>
      </c>
      <c r="H102" s="1" t="s">
        <v>533</v>
      </c>
      <c r="I102" s="40"/>
    </row>
    <row r="103" spans="1:9" ht="12.75" x14ac:dyDescent="0.2">
      <c r="A103" s="39">
        <v>42563.063657256949</v>
      </c>
      <c r="C103" s="1" t="s">
        <v>50</v>
      </c>
      <c r="D103" s="1">
        <v>296</v>
      </c>
      <c r="E103" s="1">
        <v>566</v>
      </c>
      <c r="H103" s="1" t="s">
        <v>533</v>
      </c>
      <c r="I103" s="40"/>
    </row>
    <row r="104" spans="1:9" ht="12.75" x14ac:dyDescent="0.2">
      <c r="A104" s="39">
        <v>42563.063722951389</v>
      </c>
      <c r="F104" s="1" t="s">
        <v>90</v>
      </c>
      <c r="G104" s="1">
        <v>27</v>
      </c>
      <c r="H104" s="1" t="s">
        <v>529</v>
      </c>
      <c r="I104" s="40"/>
    </row>
    <row r="105" spans="1:9" ht="12.75" x14ac:dyDescent="0.2">
      <c r="A105" s="39">
        <v>42563.063829803243</v>
      </c>
      <c r="F105" s="1" t="s">
        <v>146</v>
      </c>
      <c r="G105" s="1">
        <v>9</v>
      </c>
      <c r="H105" s="1" t="s">
        <v>529</v>
      </c>
      <c r="I105" s="40"/>
    </row>
    <row r="106" spans="1:9" ht="12.75" x14ac:dyDescent="0.2">
      <c r="A106" s="39">
        <v>42563.064381932869</v>
      </c>
      <c r="F106" s="1" t="s">
        <v>140</v>
      </c>
      <c r="G106" s="1">
        <v>21</v>
      </c>
      <c r="H106" s="1" t="s">
        <v>529</v>
      </c>
      <c r="I106" s="40"/>
    </row>
    <row r="107" spans="1:9" ht="12.75" x14ac:dyDescent="0.2">
      <c r="A107" s="39">
        <v>42563.071279965283</v>
      </c>
      <c r="F107" s="1" t="s">
        <v>146</v>
      </c>
      <c r="G107" s="1">
        <v>10</v>
      </c>
      <c r="H107" s="1" t="s">
        <v>529</v>
      </c>
      <c r="I107" s="40"/>
    </row>
    <row r="108" spans="1:9" ht="12.75" x14ac:dyDescent="0.2">
      <c r="A108" s="39">
        <v>42563.075027743056</v>
      </c>
      <c r="C108" s="1" t="s">
        <v>44</v>
      </c>
      <c r="D108" s="1">
        <v>129</v>
      </c>
      <c r="E108" s="1">
        <v>138</v>
      </c>
      <c r="H108" s="1" t="s">
        <v>533</v>
      </c>
      <c r="I108" s="40"/>
    </row>
    <row r="109" spans="1:9" ht="12.75" x14ac:dyDescent="0.2">
      <c r="A109" s="39">
        <v>42563.078031875004</v>
      </c>
      <c r="C109" s="1" t="s">
        <v>77</v>
      </c>
      <c r="D109" s="1">
        <v>290</v>
      </c>
      <c r="E109" s="1">
        <v>438</v>
      </c>
      <c r="H109" s="1" t="s">
        <v>533</v>
      </c>
      <c r="I109" s="40"/>
    </row>
    <row r="110" spans="1:9" ht="12.75" x14ac:dyDescent="0.2">
      <c r="A110" s="39">
        <v>42563.078876296291</v>
      </c>
      <c r="C110" s="1" t="s">
        <v>53</v>
      </c>
      <c r="D110" s="1">
        <v>206</v>
      </c>
      <c r="E110" s="1">
        <v>535</v>
      </c>
      <c r="H110" s="1" t="s">
        <v>533</v>
      </c>
      <c r="I110" s="40"/>
    </row>
    <row r="111" spans="1:9" ht="12.75" x14ac:dyDescent="0.2">
      <c r="A111" s="39">
        <v>42563.083943275458</v>
      </c>
      <c r="C111" s="1" t="s">
        <v>31</v>
      </c>
      <c r="D111" s="1">
        <v>19</v>
      </c>
      <c r="E111" s="1">
        <v>45</v>
      </c>
      <c r="H111" s="1" t="s">
        <v>533</v>
      </c>
      <c r="I111" s="40"/>
    </row>
    <row r="112" spans="1:9" ht="12.75" x14ac:dyDescent="0.2">
      <c r="A112" s="39">
        <v>42563.101595138884</v>
      </c>
      <c r="C112" s="1" t="s">
        <v>50</v>
      </c>
      <c r="D112" s="1">
        <v>115</v>
      </c>
      <c r="E112" s="1">
        <v>215</v>
      </c>
      <c r="H112" s="1" t="s">
        <v>533</v>
      </c>
      <c r="I112" s="40"/>
    </row>
    <row r="113" spans="1:9" ht="12.75" x14ac:dyDescent="0.2">
      <c r="A113" s="39">
        <v>42563.107196111116</v>
      </c>
      <c r="F113" s="1" t="s">
        <v>88</v>
      </c>
      <c r="G113" s="1">
        <v>32</v>
      </c>
      <c r="H113" s="1" t="s">
        <v>529</v>
      </c>
      <c r="I113" s="40"/>
    </row>
    <row r="114" spans="1:9" ht="12.75" x14ac:dyDescent="0.2">
      <c r="A114" s="39">
        <v>42563.107322719909</v>
      </c>
      <c r="F114" s="1" t="s">
        <v>94</v>
      </c>
      <c r="G114" s="1">
        <v>16</v>
      </c>
      <c r="H114" s="1" t="s">
        <v>529</v>
      </c>
      <c r="I114" s="40"/>
    </row>
    <row r="115" spans="1:9" ht="12.75" x14ac:dyDescent="0.2">
      <c r="A115" s="39">
        <v>42563.115463101851</v>
      </c>
      <c r="F115" s="1" t="s">
        <v>41</v>
      </c>
      <c r="G115" s="1">
        <v>147152</v>
      </c>
      <c r="H115" s="1" t="s">
        <v>535</v>
      </c>
      <c r="I115" s="40"/>
    </row>
    <row r="116" spans="1:9" ht="12.75" x14ac:dyDescent="0.2">
      <c r="A116" s="39">
        <v>42563.115799074076</v>
      </c>
      <c r="F116" s="1" t="s">
        <v>41</v>
      </c>
      <c r="G116" s="1">
        <v>5</v>
      </c>
      <c r="H116" s="1" t="s">
        <v>529</v>
      </c>
      <c r="I116" s="40"/>
    </row>
    <row r="117" spans="1:9" ht="12.75" x14ac:dyDescent="0.2">
      <c r="A117" s="39">
        <v>42563.116129305556</v>
      </c>
      <c r="F117" s="1" t="s">
        <v>51</v>
      </c>
      <c r="G117" s="1">
        <v>27</v>
      </c>
      <c r="H117" s="1" t="s">
        <v>529</v>
      </c>
      <c r="I117" s="40"/>
    </row>
    <row r="118" spans="1:9" ht="12.75" x14ac:dyDescent="0.2">
      <c r="A118" s="39">
        <v>42563.123131053246</v>
      </c>
      <c r="F118" s="1" t="s">
        <v>41</v>
      </c>
      <c r="G118" s="1">
        <v>6</v>
      </c>
      <c r="H118" s="1" t="s">
        <v>529</v>
      </c>
      <c r="I118" s="40"/>
    </row>
    <row r="119" spans="1:9" ht="12.75" x14ac:dyDescent="0.2">
      <c r="A119" s="39">
        <v>42563.128254675925</v>
      </c>
      <c r="F119" s="1" t="s">
        <v>160</v>
      </c>
      <c r="G119" s="1">
        <v>29</v>
      </c>
      <c r="H119" s="1" t="s">
        <v>529</v>
      </c>
      <c r="I119" s="40"/>
    </row>
    <row r="120" spans="1:9" ht="12.75" x14ac:dyDescent="0.2">
      <c r="A120" s="39">
        <v>42563.1380799537</v>
      </c>
      <c r="F120" s="1" t="s">
        <v>167</v>
      </c>
      <c r="G120" s="1">
        <v>38</v>
      </c>
      <c r="H120" s="1" t="s">
        <v>529</v>
      </c>
      <c r="I120" s="40"/>
    </row>
    <row r="121" spans="1:9" ht="12.75" x14ac:dyDescent="0.2">
      <c r="A121" s="39">
        <v>42563.14138079861</v>
      </c>
      <c r="F121" s="1" t="s">
        <v>73</v>
      </c>
      <c r="G121" s="1">
        <v>31</v>
      </c>
      <c r="H121" s="1" t="s">
        <v>529</v>
      </c>
      <c r="I121" s="40"/>
    </row>
    <row r="122" spans="1:9" ht="12.75" x14ac:dyDescent="0.2">
      <c r="A122" s="39">
        <v>42563.141968379627</v>
      </c>
      <c r="F122" s="1" t="s">
        <v>134</v>
      </c>
      <c r="G122" s="1">
        <v>21</v>
      </c>
      <c r="H122" s="1" t="s">
        <v>529</v>
      </c>
      <c r="I122" s="40"/>
    </row>
    <row r="123" spans="1:9" ht="12.75" x14ac:dyDescent="0.2">
      <c r="A123" s="39">
        <v>42563.142398750002</v>
      </c>
      <c r="C123" s="1" t="s">
        <v>134</v>
      </c>
      <c r="D123" s="1">
        <v>227</v>
      </c>
      <c r="E123" s="1">
        <v>466</v>
      </c>
      <c r="H123" s="1" t="s">
        <v>533</v>
      </c>
      <c r="I123" s="40"/>
    </row>
    <row r="124" spans="1:9" ht="12.75" x14ac:dyDescent="0.2">
      <c r="A124" s="39">
        <v>42563.162685763891</v>
      </c>
      <c r="F124" s="1" t="s">
        <v>169</v>
      </c>
      <c r="G124" s="1">
        <v>37</v>
      </c>
      <c r="H124" s="1" t="s">
        <v>529</v>
      </c>
      <c r="I124" s="40"/>
    </row>
    <row r="125" spans="1:9" ht="12.75" x14ac:dyDescent="0.2">
      <c r="A125" s="39">
        <v>42563.163147928237</v>
      </c>
      <c r="F125" s="1" t="s">
        <v>169</v>
      </c>
      <c r="G125" s="1">
        <v>38</v>
      </c>
      <c r="H125" s="1" t="s">
        <v>529</v>
      </c>
      <c r="I125" s="40"/>
    </row>
    <row r="126" spans="1:9" ht="12.75" x14ac:dyDescent="0.2">
      <c r="A126" s="39">
        <v>42563.163383900464</v>
      </c>
      <c r="F126" s="1" t="s">
        <v>169</v>
      </c>
      <c r="G126" s="1">
        <v>35</v>
      </c>
      <c r="H126" s="1" t="s">
        <v>529</v>
      </c>
      <c r="I126" s="40"/>
    </row>
    <row r="127" spans="1:9" ht="12.75" x14ac:dyDescent="0.2">
      <c r="A127" s="39">
        <v>42563.163604594913</v>
      </c>
      <c r="F127" s="1" t="s">
        <v>169</v>
      </c>
      <c r="G127" s="1">
        <v>36</v>
      </c>
      <c r="H127" s="1" t="s">
        <v>529</v>
      </c>
      <c r="I127" s="40"/>
    </row>
    <row r="128" spans="1:9" ht="12.75" x14ac:dyDescent="0.2">
      <c r="A128" s="39">
        <v>42563.167629999996</v>
      </c>
      <c r="F128" s="1" t="s">
        <v>80</v>
      </c>
      <c r="G128" s="1">
        <v>23</v>
      </c>
      <c r="H128" s="1" t="s">
        <v>529</v>
      </c>
      <c r="I128" s="40"/>
    </row>
    <row r="129" spans="1:9" ht="12.75" x14ac:dyDescent="0.2">
      <c r="A129" s="39">
        <v>42563.16774149306</v>
      </c>
      <c r="F129" s="1" t="s">
        <v>80</v>
      </c>
      <c r="G129" s="1">
        <v>23</v>
      </c>
      <c r="H129" s="1" t="s">
        <v>529</v>
      </c>
      <c r="I129" s="40"/>
    </row>
    <row r="130" spans="1:9" ht="12.75" x14ac:dyDescent="0.2">
      <c r="A130" s="39">
        <v>42563.16785730324</v>
      </c>
      <c r="F130" s="1" t="s">
        <v>80</v>
      </c>
      <c r="G130" s="1">
        <v>24</v>
      </c>
      <c r="H130" s="1" t="s">
        <v>529</v>
      </c>
      <c r="I130" s="40"/>
    </row>
    <row r="131" spans="1:9" ht="12.75" x14ac:dyDescent="0.2">
      <c r="A131" s="39">
        <v>42563.172484930554</v>
      </c>
      <c r="F131" s="1" t="s">
        <v>111</v>
      </c>
      <c r="G131" s="1">
        <v>30</v>
      </c>
      <c r="H131" s="1" t="s">
        <v>529</v>
      </c>
      <c r="I131" s="40"/>
    </row>
    <row r="132" spans="1:9" ht="12.75" x14ac:dyDescent="0.2">
      <c r="A132" s="39">
        <v>42563.172603969906</v>
      </c>
      <c r="F132" s="1" t="s">
        <v>111</v>
      </c>
      <c r="G132" s="1">
        <v>31</v>
      </c>
      <c r="H132" s="1" t="s">
        <v>529</v>
      </c>
      <c r="I132" s="40"/>
    </row>
    <row r="133" spans="1:9" ht="12.75" x14ac:dyDescent="0.2">
      <c r="A133" s="39">
        <v>42563.17993662037</v>
      </c>
      <c r="F133" s="1" t="s">
        <v>175</v>
      </c>
      <c r="G133" s="1">
        <v>31</v>
      </c>
      <c r="H133" s="1" t="s">
        <v>529</v>
      </c>
      <c r="I133" s="40"/>
    </row>
    <row r="134" spans="1:9" ht="12.75" x14ac:dyDescent="0.2">
      <c r="A134" s="39">
        <v>42563.193755844906</v>
      </c>
      <c r="F134" s="1" t="s">
        <v>113</v>
      </c>
      <c r="G134" s="1">
        <v>35</v>
      </c>
      <c r="H134" s="1" t="s">
        <v>529</v>
      </c>
      <c r="I134" s="40"/>
    </row>
    <row r="135" spans="1:9" ht="12.75" x14ac:dyDescent="0.2">
      <c r="A135" s="39">
        <v>42563.193889062502</v>
      </c>
      <c r="F135" s="1" t="s">
        <v>113</v>
      </c>
      <c r="G135" s="1">
        <v>35</v>
      </c>
      <c r="H135" s="1" t="s">
        <v>529</v>
      </c>
      <c r="I135" s="40"/>
    </row>
    <row r="136" spans="1:9" ht="12.75" x14ac:dyDescent="0.2">
      <c r="A136" s="39">
        <v>42563.193984432874</v>
      </c>
      <c r="F136" s="1" t="s">
        <v>113</v>
      </c>
      <c r="G136" s="1">
        <v>35</v>
      </c>
      <c r="H136" s="1" t="s">
        <v>529</v>
      </c>
      <c r="I136" s="40"/>
    </row>
    <row r="137" spans="1:9" ht="12.75" x14ac:dyDescent="0.2">
      <c r="A137" s="39">
        <v>42563.19430239583</v>
      </c>
      <c r="F137" s="1" t="s">
        <v>113</v>
      </c>
      <c r="G137" s="1">
        <v>34</v>
      </c>
      <c r="H137" s="1" t="s">
        <v>529</v>
      </c>
      <c r="I137" s="40"/>
    </row>
    <row r="138" spans="1:9" ht="12.75" x14ac:dyDescent="0.2">
      <c r="A138" s="39">
        <v>42563.194594756947</v>
      </c>
      <c r="F138" s="1" t="s">
        <v>113</v>
      </c>
      <c r="G138" s="1">
        <v>35</v>
      </c>
      <c r="H138" s="1" t="s">
        <v>529</v>
      </c>
      <c r="I138" s="40"/>
    </row>
    <row r="139" spans="1:9" ht="12.75" x14ac:dyDescent="0.2">
      <c r="A139" s="39">
        <v>42563.195316655096</v>
      </c>
      <c r="F139" s="1" t="s">
        <v>115</v>
      </c>
      <c r="G139" s="1">
        <v>26</v>
      </c>
      <c r="H139" s="1" t="s">
        <v>529</v>
      </c>
      <c r="I139" s="40"/>
    </row>
    <row r="140" spans="1:9" ht="12.75" x14ac:dyDescent="0.2">
      <c r="A140" s="39">
        <v>42563.19545078704</v>
      </c>
      <c r="F140" s="1" t="s">
        <v>114</v>
      </c>
      <c r="G140" s="1">
        <v>12</v>
      </c>
      <c r="H140" s="1" t="s">
        <v>529</v>
      </c>
      <c r="I140" s="40"/>
    </row>
    <row r="141" spans="1:9" ht="12.75" x14ac:dyDescent="0.2">
      <c r="A141" s="39">
        <v>42563.200402442133</v>
      </c>
      <c r="F141" s="1" t="s">
        <v>92</v>
      </c>
      <c r="G141" s="1">
        <v>42</v>
      </c>
      <c r="H141" s="1" t="s">
        <v>529</v>
      </c>
      <c r="I141" s="40"/>
    </row>
    <row r="142" spans="1:9" ht="12.75" x14ac:dyDescent="0.2">
      <c r="A142" s="39">
        <v>42563.203319120366</v>
      </c>
      <c r="F142" s="1" t="s">
        <v>141</v>
      </c>
      <c r="G142" s="1">
        <v>21</v>
      </c>
      <c r="H142" s="1" t="s">
        <v>529</v>
      </c>
      <c r="I142" s="40"/>
    </row>
    <row r="143" spans="1:9" ht="12.75" x14ac:dyDescent="0.2">
      <c r="A143" s="39">
        <v>42563.203897500003</v>
      </c>
      <c r="F143" s="1" t="s">
        <v>173</v>
      </c>
      <c r="G143" s="1">
        <v>16</v>
      </c>
      <c r="H143" s="1" t="s">
        <v>529</v>
      </c>
      <c r="I143" s="40"/>
    </row>
    <row r="144" spans="1:9" ht="12.75" x14ac:dyDescent="0.2">
      <c r="A144" s="39">
        <v>42563.229231527774</v>
      </c>
      <c r="F144" s="1" t="s">
        <v>55</v>
      </c>
      <c r="G144" s="1">
        <v>24</v>
      </c>
      <c r="H144" s="1" t="s">
        <v>529</v>
      </c>
      <c r="I144" s="40"/>
    </row>
    <row r="145" spans="1:9" ht="12.75" x14ac:dyDescent="0.2">
      <c r="A145" s="39">
        <v>42563.234651261577</v>
      </c>
      <c r="F145" s="1" t="s">
        <v>75</v>
      </c>
      <c r="G145" s="1">
        <v>300</v>
      </c>
      <c r="H145" s="1" t="s">
        <v>535</v>
      </c>
      <c r="I145" s="40"/>
    </row>
    <row r="146" spans="1:9" ht="12.75" x14ac:dyDescent="0.2">
      <c r="A146" s="39">
        <v>42563.245712569449</v>
      </c>
      <c r="F146" s="1" t="s">
        <v>40</v>
      </c>
      <c r="G146" s="1">
        <v>18</v>
      </c>
      <c r="H146" s="1" t="s">
        <v>529</v>
      </c>
      <c r="I146" s="40"/>
    </row>
    <row r="147" spans="1:9" ht="12.75" x14ac:dyDescent="0.2">
      <c r="A147" s="39">
        <v>42563.245846053236</v>
      </c>
      <c r="F147" s="1" t="s">
        <v>40</v>
      </c>
      <c r="G147" s="1">
        <v>18</v>
      </c>
      <c r="H147" s="1" t="s">
        <v>529</v>
      </c>
      <c r="I147" s="40"/>
    </row>
    <row r="148" spans="1:9" ht="12.75" x14ac:dyDescent="0.2">
      <c r="A148" s="39">
        <v>42563.245949328702</v>
      </c>
      <c r="F148" s="1" t="s">
        <v>40</v>
      </c>
      <c r="G148" s="1">
        <v>19</v>
      </c>
      <c r="H148" s="1" t="s">
        <v>529</v>
      </c>
      <c r="I148" s="40"/>
    </row>
    <row r="149" spans="1:9" ht="12.75" x14ac:dyDescent="0.2">
      <c r="A149" s="39">
        <v>42563.246846909722</v>
      </c>
      <c r="F149" s="1" t="s">
        <v>119</v>
      </c>
      <c r="G149" s="1">
        <v>16</v>
      </c>
      <c r="H149" s="1" t="s">
        <v>529</v>
      </c>
      <c r="I149" s="40"/>
    </row>
    <row r="150" spans="1:9" ht="12.75" x14ac:dyDescent="0.2">
      <c r="A150" s="39">
        <v>42563.247027650461</v>
      </c>
      <c r="F150" s="1" t="s">
        <v>119</v>
      </c>
      <c r="G150" s="1">
        <v>16</v>
      </c>
      <c r="H150" s="1" t="s">
        <v>529</v>
      </c>
      <c r="I150" s="40"/>
    </row>
    <row r="151" spans="1:9" ht="12.75" x14ac:dyDescent="0.2">
      <c r="A151" s="39">
        <v>42563.247156307873</v>
      </c>
      <c r="F151" s="1" t="s">
        <v>119</v>
      </c>
      <c r="G151" s="1">
        <v>16</v>
      </c>
      <c r="H151" s="1" t="s">
        <v>529</v>
      </c>
      <c r="I151" s="40"/>
    </row>
    <row r="152" spans="1:9" ht="12.75" x14ac:dyDescent="0.2">
      <c r="A152" s="39">
        <v>42563.262334259256</v>
      </c>
      <c r="F152" s="1" t="s">
        <v>154</v>
      </c>
      <c r="G152" s="1">
        <v>30</v>
      </c>
      <c r="H152" s="1" t="s">
        <v>529</v>
      </c>
      <c r="I152" s="40"/>
    </row>
    <row r="153" spans="1:9" ht="12.75" x14ac:dyDescent="0.2">
      <c r="A153" s="39">
        <v>42563.26336597222</v>
      </c>
      <c r="F153" s="1" t="s">
        <v>23</v>
      </c>
      <c r="G153" s="1">
        <v>15</v>
      </c>
      <c r="H153" s="1" t="s">
        <v>529</v>
      </c>
      <c r="I153" s="40"/>
    </row>
    <row r="154" spans="1:9" ht="12.75" x14ac:dyDescent="0.2">
      <c r="A154" s="39">
        <v>42563.26394311343</v>
      </c>
      <c r="F154" s="1" t="s">
        <v>128</v>
      </c>
      <c r="G154" s="1">
        <v>12</v>
      </c>
      <c r="H154" s="1" t="s">
        <v>529</v>
      </c>
      <c r="I154" s="40"/>
    </row>
    <row r="155" spans="1:9" ht="12.75" x14ac:dyDescent="0.2">
      <c r="A155" s="39">
        <v>42563.265138495372</v>
      </c>
      <c r="F155" s="1" t="s">
        <v>34</v>
      </c>
      <c r="G155" s="1">
        <v>13</v>
      </c>
      <c r="H155" s="1" t="s">
        <v>529</v>
      </c>
      <c r="I155" s="40"/>
    </row>
    <row r="156" spans="1:9" ht="12.75" x14ac:dyDescent="0.2">
      <c r="A156" s="39">
        <v>42563.265258657411</v>
      </c>
      <c r="F156" s="1" t="s">
        <v>34</v>
      </c>
      <c r="G156" s="1">
        <v>13</v>
      </c>
      <c r="H156" s="1" t="s">
        <v>529</v>
      </c>
      <c r="I156" s="40"/>
    </row>
    <row r="157" spans="1:9" ht="12.75" x14ac:dyDescent="0.2">
      <c r="A157" s="39">
        <v>42563.26620121528</v>
      </c>
      <c r="F157" s="1" t="s">
        <v>29</v>
      </c>
      <c r="G157" s="1">
        <v>13</v>
      </c>
      <c r="H157" s="1" t="s">
        <v>529</v>
      </c>
      <c r="I157" s="40"/>
    </row>
    <row r="158" spans="1:9" ht="12.75" x14ac:dyDescent="0.2">
      <c r="A158" s="39">
        <v>42563.266315300927</v>
      </c>
      <c r="F158" s="1" t="s">
        <v>29</v>
      </c>
      <c r="G158" s="1">
        <v>13</v>
      </c>
      <c r="H158" s="1" t="s">
        <v>529</v>
      </c>
      <c r="I158" s="40"/>
    </row>
    <row r="159" spans="1:9" ht="12.75" x14ac:dyDescent="0.2">
      <c r="A159" s="39">
        <v>42563.266426400463</v>
      </c>
      <c r="F159" s="1" t="s">
        <v>29</v>
      </c>
      <c r="G159" s="1">
        <v>14</v>
      </c>
      <c r="H159" s="1" t="s">
        <v>529</v>
      </c>
      <c r="I159" s="40"/>
    </row>
    <row r="160" spans="1:9" ht="12.75" x14ac:dyDescent="0.2">
      <c r="A160" s="39">
        <v>42563.303409375003</v>
      </c>
      <c r="F160" s="1" t="s">
        <v>175</v>
      </c>
      <c r="G160" s="1">
        <v>32</v>
      </c>
      <c r="H160" s="1" t="s">
        <v>529</v>
      </c>
      <c r="I160" s="40"/>
    </row>
    <row r="161" spans="1:9" ht="12.75" x14ac:dyDescent="0.2">
      <c r="A161" s="39">
        <v>42563.317705486115</v>
      </c>
      <c r="F161" s="1" t="s">
        <v>115</v>
      </c>
      <c r="G161" s="1">
        <v>24</v>
      </c>
      <c r="H161" s="1" t="s">
        <v>529</v>
      </c>
      <c r="I161" s="40"/>
    </row>
    <row r="162" spans="1:9" ht="12.75" x14ac:dyDescent="0.2">
      <c r="A162" s="39">
        <v>42563.319026724537</v>
      </c>
      <c r="F162" s="1" t="s">
        <v>127</v>
      </c>
      <c r="G162" s="1">
        <v>30</v>
      </c>
      <c r="H162" s="1" t="s">
        <v>529</v>
      </c>
      <c r="I162" s="40"/>
    </row>
    <row r="163" spans="1:9" ht="12.75" x14ac:dyDescent="0.2">
      <c r="A163" s="39">
        <v>42563.320408622691</v>
      </c>
      <c r="F163" s="1" t="s">
        <v>68</v>
      </c>
      <c r="G163" s="1">
        <v>16</v>
      </c>
      <c r="H163" s="1" t="s">
        <v>529</v>
      </c>
      <c r="I163" s="40"/>
    </row>
    <row r="164" spans="1:9" ht="12.75" x14ac:dyDescent="0.2">
      <c r="A164" s="39">
        <v>42563.322529641198</v>
      </c>
      <c r="F164" s="1" t="s">
        <v>174</v>
      </c>
      <c r="G164" s="1">
        <v>30</v>
      </c>
      <c r="H164" s="1" t="s">
        <v>529</v>
      </c>
      <c r="I164" s="40"/>
    </row>
    <row r="165" spans="1:9" ht="12.75" x14ac:dyDescent="0.2">
      <c r="A165" s="39">
        <v>42563.326494780093</v>
      </c>
      <c r="F165" s="1" t="s">
        <v>144</v>
      </c>
      <c r="G165" s="1">
        <v>16</v>
      </c>
      <c r="H165" s="1" t="s">
        <v>529</v>
      </c>
      <c r="I165" s="40"/>
    </row>
    <row r="166" spans="1:9" ht="12.75" x14ac:dyDescent="0.2">
      <c r="A166" s="39">
        <v>42563.326843217597</v>
      </c>
      <c r="F166" s="1" t="s">
        <v>144</v>
      </c>
      <c r="G166" s="1">
        <v>16</v>
      </c>
      <c r="H166" s="1" t="s">
        <v>529</v>
      </c>
      <c r="I166" s="40"/>
    </row>
    <row r="167" spans="1:9" ht="12.75" x14ac:dyDescent="0.2">
      <c r="A167" s="39">
        <v>42563.332473854171</v>
      </c>
      <c r="F167" s="1" t="s">
        <v>51</v>
      </c>
      <c r="G167" s="1">
        <v>28</v>
      </c>
      <c r="H167" s="1" t="s">
        <v>529</v>
      </c>
      <c r="I167" s="1">
        <v>2</v>
      </c>
    </row>
    <row r="168" spans="1:9" ht="12.75" x14ac:dyDescent="0.2">
      <c r="A168" s="39">
        <v>42563.337505937496</v>
      </c>
      <c r="F168" s="1" t="s">
        <v>109</v>
      </c>
      <c r="G168" s="1">
        <v>31</v>
      </c>
      <c r="H168" s="1" t="s">
        <v>529</v>
      </c>
      <c r="I168" s="1">
        <v>1</v>
      </c>
    </row>
    <row r="169" spans="1:9" ht="12.75" x14ac:dyDescent="0.2">
      <c r="A169" s="39">
        <v>42563.341876273145</v>
      </c>
      <c r="F169" s="1" t="s">
        <v>61</v>
      </c>
      <c r="G169" s="1">
        <v>23</v>
      </c>
      <c r="H169" s="1" t="s">
        <v>529</v>
      </c>
      <c r="I169" s="1">
        <v>1</v>
      </c>
    </row>
    <row r="170" spans="1:9" ht="12.75" x14ac:dyDescent="0.2">
      <c r="A170" s="39">
        <v>42563.350136273148</v>
      </c>
      <c r="F170" s="1" t="s">
        <v>126</v>
      </c>
      <c r="G170" s="1">
        <v>18</v>
      </c>
      <c r="H170" s="1" t="s">
        <v>529</v>
      </c>
      <c r="I170" s="1">
        <v>2</v>
      </c>
    </row>
    <row r="171" spans="1:9" ht="12.75" x14ac:dyDescent="0.2">
      <c r="A171" s="39">
        <v>42563.352986562502</v>
      </c>
      <c r="F171" s="1" t="s">
        <v>168</v>
      </c>
      <c r="G171" s="1">
        <v>29</v>
      </c>
      <c r="H171" s="1" t="s">
        <v>529</v>
      </c>
      <c r="I171" s="1">
        <v>2</v>
      </c>
    </row>
    <row r="172" spans="1:9" ht="12.75" x14ac:dyDescent="0.2">
      <c r="A172" s="39">
        <v>42563.370689247684</v>
      </c>
      <c r="F172" s="1" t="s">
        <v>170</v>
      </c>
      <c r="G172" s="1">
        <v>20</v>
      </c>
      <c r="H172" s="1" t="s">
        <v>535</v>
      </c>
      <c r="I172" s="1">
        <v>2</v>
      </c>
    </row>
    <row r="173" spans="1:9" ht="12.75" x14ac:dyDescent="0.2">
      <c r="A173" s="39">
        <v>42563.37556424769</v>
      </c>
      <c r="F173" s="1" t="s">
        <v>28</v>
      </c>
      <c r="G173" s="1">
        <v>33</v>
      </c>
      <c r="H173" s="1" t="s">
        <v>529</v>
      </c>
      <c r="I173" s="1">
        <v>3</v>
      </c>
    </row>
    <row r="174" spans="1:9" ht="12.75" x14ac:dyDescent="0.2">
      <c r="A174" s="39">
        <v>42563.379606076385</v>
      </c>
      <c r="F174" s="1" t="s">
        <v>170</v>
      </c>
      <c r="G174" s="1">
        <v>23</v>
      </c>
      <c r="H174" s="1" t="s">
        <v>529</v>
      </c>
    </row>
    <row r="175" spans="1:9" ht="12.75" x14ac:dyDescent="0.2">
      <c r="A175" s="39">
        <v>42563.380147430551</v>
      </c>
      <c r="F175" s="1" t="s">
        <v>170</v>
      </c>
      <c r="G175" s="1">
        <v>24</v>
      </c>
      <c r="H175" s="1" t="s">
        <v>529</v>
      </c>
    </row>
    <row r="176" spans="1:9" ht="12.75" x14ac:dyDescent="0.2">
      <c r="A176" s="39">
        <v>42563.380625648148</v>
      </c>
      <c r="F176" s="1" t="s">
        <v>170</v>
      </c>
      <c r="G176" s="1">
        <v>24</v>
      </c>
      <c r="H176" s="1" t="s">
        <v>529</v>
      </c>
    </row>
    <row r="177" spans="1:9" ht="12.75" x14ac:dyDescent="0.2">
      <c r="A177" s="39">
        <v>42563.381373773147</v>
      </c>
      <c r="F177" s="1" t="s">
        <v>170</v>
      </c>
      <c r="G177" s="1">
        <v>24</v>
      </c>
      <c r="H177" s="1" t="s">
        <v>529</v>
      </c>
    </row>
    <row r="178" spans="1:9" ht="12.75" x14ac:dyDescent="0.2">
      <c r="A178" s="39">
        <v>42563.381902361114</v>
      </c>
      <c r="F178" s="1" t="s">
        <v>170</v>
      </c>
      <c r="G178" s="1">
        <v>16</v>
      </c>
      <c r="H178" s="1" t="s">
        <v>529</v>
      </c>
      <c r="I178" s="1">
        <v>1</v>
      </c>
    </row>
    <row r="179" spans="1:9" ht="12.75" x14ac:dyDescent="0.2">
      <c r="A179" s="39">
        <v>42563.382072939814</v>
      </c>
      <c r="F179" s="1" t="s">
        <v>170</v>
      </c>
      <c r="G179" s="1">
        <v>30</v>
      </c>
      <c r="H179" s="1" t="s">
        <v>529</v>
      </c>
      <c r="I179" s="1">
        <v>2</v>
      </c>
    </row>
    <row r="180" spans="1:9" ht="12.75" x14ac:dyDescent="0.2">
      <c r="A180" s="39">
        <v>42563.382468946758</v>
      </c>
      <c r="F180" s="1" t="s">
        <v>170</v>
      </c>
      <c r="G180" s="1">
        <v>24</v>
      </c>
      <c r="H180" s="1" t="s">
        <v>529</v>
      </c>
      <c r="I180" s="1">
        <v>1</v>
      </c>
    </row>
    <row r="181" spans="1:9" ht="12.75" x14ac:dyDescent="0.2">
      <c r="A181" s="39">
        <v>42563.382503634261</v>
      </c>
      <c r="F181" s="1" t="s">
        <v>170</v>
      </c>
      <c r="G181" s="1">
        <v>24</v>
      </c>
      <c r="H181" s="1" t="s">
        <v>535</v>
      </c>
      <c r="I181" s="1">
        <v>1</v>
      </c>
    </row>
    <row r="182" spans="1:9" ht="12.75" x14ac:dyDescent="0.2">
      <c r="A182" s="39">
        <v>42563.385234976857</v>
      </c>
      <c r="F182" s="1" t="s">
        <v>104</v>
      </c>
      <c r="G182" s="1">
        <v>34</v>
      </c>
      <c r="H182" s="1" t="s">
        <v>529</v>
      </c>
    </row>
    <row r="183" spans="1:9" ht="12.75" x14ac:dyDescent="0.2">
      <c r="A183" s="39">
        <v>42563.385334849532</v>
      </c>
      <c r="F183" s="1" t="s">
        <v>104</v>
      </c>
      <c r="G183" s="1">
        <v>36</v>
      </c>
      <c r="H183" s="1" t="s">
        <v>529</v>
      </c>
    </row>
    <row r="184" spans="1:9" ht="12.75" x14ac:dyDescent="0.2">
      <c r="A184" s="39">
        <v>42563.388921273145</v>
      </c>
      <c r="F184" s="1" t="s">
        <v>170</v>
      </c>
      <c r="G184" s="1">
        <v>25</v>
      </c>
      <c r="H184" s="1" t="s">
        <v>529</v>
      </c>
    </row>
    <row r="185" spans="1:9" ht="12.75" x14ac:dyDescent="0.2">
      <c r="A185" s="39">
        <v>42563.389810138891</v>
      </c>
      <c r="C185" s="1" t="s">
        <v>167</v>
      </c>
      <c r="D185" s="1">
        <v>450</v>
      </c>
      <c r="E185" s="1">
        <v>1227</v>
      </c>
      <c r="H185" s="1" t="s">
        <v>533</v>
      </c>
    </row>
    <row r="186" spans="1:9" ht="12.75" x14ac:dyDescent="0.2">
      <c r="A186" s="39">
        <v>42563.394196712965</v>
      </c>
      <c r="F186" s="1" t="s">
        <v>69</v>
      </c>
      <c r="G186" s="1">
        <v>33</v>
      </c>
      <c r="H186" s="1" t="s">
        <v>529</v>
      </c>
    </row>
    <row r="187" spans="1:9" ht="12.75" x14ac:dyDescent="0.2">
      <c r="A187" s="39">
        <v>42563.395750335651</v>
      </c>
      <c r="F187" s="1" t="s">
        <v>83</v>
      </c>
      <c r="G187" s="1">
        <v>7</v>
      </c>
      <c r="H187" s="1" t="s">
        <v>529</v>
      </c>
    </row>
    <row r="188" spans="1:9" ht="12.75" x14ac:dyDescent="0.2">
      <c r="A188" s="39">
        <v>42563.396476643524</v>
      </c>
      <c r="F188" s="1" t="s">
        <v>130</v>
      </c>
      <c r="G188" s="1">
        <v>29</v>
      </c>
      <c r="H188" s="1" t="s">
        <v>529</v>
      </c>
    </row>
    <row r="189" spans="1:9" ht="12.75" x14ac:dyDescent="0.2">
      <c r="A189" s="39">
        <v>42563.403004282409</v>
      </c>
      <c r="F189" s="1" t="s">
        <v>51</v>
      </c>
      <c r="G189" s="1">
        <v>28</v>
      </c>
      <c r="H189" s="1" t="s">
        <v>529</v>
      </c>
      <c r="I189" s="1">
        <v>2</v>
      </c>
    </row>
    <row r="190" spans="1:9" ht="12.75" x14ac:dyDescent="0.2">
      <c r="A190" s="39">
        <v>42563.403918541662</v>
      </c>
      <c r="F190" s="1" t="s">
        <v>169</v>
      </c>
      <c r="G190" s="1">
        <v>37</v>
      </c>
      <c r="H190" s="1" t="s">
        <v>529</v>
      </c>
      <c r="I190" s="1">
        <v>2</v>
      </c>
    </row>
    <row r="191" spans="1:9" ht="12.75" x14ac:dyDescent="0.2">
      <c r="A191" s="39">
        <v>42563.408840243057</v>
      </c>
      <c r="F191" s="1" t="s">
        <v>37</v>
      </c>
      <c r="G191" s="1">
        <v>33</v>
      </c>
      <c r="H191" s="1" t="s">
        <v>529</v>
      </c>
      <c r="I191" s="1">
        <v>2</v>
      </c>
    </row>
    <row r="192" spans="1:9" ht="12.75" x14ac:dyDescent="0.2">
      <c r="A192" s="39">
        <v>42563.415404467596</v>
      </c>
      <c r="F192" s="1" t="s">
        <v>106</v>
      </c>
      <c r="G192" s="1">
        <v>31</v>
      </c>
      <c r="H192" s="1" t="s">
        <v>529</v>
      </c>
      <c r="I192" s="1">
        <v>3</v>
      </c>
    </row>
    <row r="193" spans="1:9" ht="12.75" x14ac:dyDescent="0.2">
      <c r="A193" s="39">
        <v>42563.425853912035</v>
      </c>
      <c r="F193" s="1" t="s">
        <v>106</v>
      </c>
      <c r="G193" s="1">
        <v>30</v>
      </c>
      <c r="H193" s="1" t="s">
        <v>529</v>
      </c>
      <c r="I193" s="1">
        <v>3</v>
      </c>
    </row>
    <row r="194" spans="1:9" ht="12.75" x14ac:dyDescent="0.2">
      <c r="A194" s="39">
        <v>42563.427001111108</v>
      </c>
      <c r="F194" s="1" t="s">
        <v>106</v>
      </c>
      <c r="G194" s="1">
        <v>30</v>
      </c>
      <c r="H194" s="1" t="s">
        <v>529</v>
      </c>
      <c r="I194" s="1">
        <v>4</v>
      </c>
    </row>
    <row r="195" spans="1:9" ht="12.75" x14ac:dyDescent="0.2">
      <c r="A195" s="39">
        <v>42563.440680462962</v>
      </c>
      <c r="F195" s="1" t="s">
        <v>106</v>
      </c>
      <c r="G195" s="1">
        <v>373</v>
      </c>
      <c r="H195" s="1" t="s">
        <v>535</v>
      </c>
      <c r="I195" s="1">
        <v>57</v>
      </c>
    </row>
    <row r="196" spans="1:9" ht="12.75" x14ac:dyDescent="0.2">
      <c r="A196" s="39">
        <v>42563.441308969908</v>
      </c>
      <c r="F196" s="1" t="s">
        <v>106</v>
      </c>
      <c r="G196" s="1">
        <v>373342</v>
      </c>
      <c r="H196" s="1" t="s">
        <v>535</v>
      </c>
      <c r="I196" s="1">
        <v>5754</v>
      </c>
    </row>
    <row r="197" spans="1:9" ht="12.75" x14ac:dyDescent="0.2">
      <c r="A197" s="39">
        <v>42563.44545298611</v>
      </c>
      <c r="F197" s="1" t="s">
        <v>51</v>
      </c>
      <c r="G197" s="1">
        <v>29</v>
      </c>
      <c r="H197" s="1" t="s">
        <v>529</v>
      </c>
      <c r="I197" s="1">
        <v>2</v>
      </c>
    </row>
    <row r="198" spans="1:9" ht="12.75" x14ac:dyDescent="0.2">
      <c r="A198" s="39">
        <v>42563.445822905094</v>
      </c>
      <c r="F198" s="1" t="s">
        <v>51</v>
      </c>
      <c r="G198" s="1">
        <v>28</v>
      </c>
      <c r="H198" s="1" t="s">
        <v>529</v>
      </c>
      <c r="I198" s="1">
        <v>2</v>
      </c>
    </row>
    <row r="199" spans="1:9" ht="12.75" x14ac:dyDescent="0.2">
      <c r="A199" s="39">
        <v>42563.468747037041</v>
      </c>
      <c r="C199" s="1" t="s">
        <v>44</v>
      </c>
      <c r="D199" s="1">
        <v>61</v>
      </c>
      <c r="E199" s="1">
        <v>205</v>
      </c>
      <c r="H199" s="1" t="s">
        <v>533</v>
      </c>
    </row>
    <row r="200" spans="1:9" ht="12.75" x14ac:dyDescent="0.2">
      <c r="A200" s="39">
        <v>42563.476398356477</v>
      </c>
      <c r="F200" s="1" t="s">
        <v>130</v>
      </c>
      <c r="G200" s="1">
        <v>31</v>
      </c>
      <c r="H200" s="1" t="s">
        <v>529</v>
      </c>
      <c r="I200" s="1">
        <v>2</v>
      </c>
    </row>
    <row r="201" spans="1:9" ht="12.75" x14ac:dyDescent="0.2">
      <c r="A201" s="39">
        <v>42563.49855340278</v>
      </c>
      <c r="F201" s="1" t="s">
        <v>68</v>
      </c>
      <c r="G201" s="1">
        <v>16</v>
      </c>
      <c r="H201" s="1" t="s">
        <v>529</v>
      </c>
      <c r="I201" s="1">
        <v>3</v>
      </c>
    </row>
    <row r="202" spans="1:9" ht="12.75" x14ac:dyDescent="0.2">
      <c r="A202" s="39">
        <v>42563.499949432866</v>
      </c>
      <c r="F202" s="1" t="s">
        <v>166</v>
      </c>
      <c r="G202" s="1">
        <v>16</v>
      </c>
      <c r="H202" s="1" t="s">
        <v>529</v>
      </c>
    </row>
    <row r="203" spans="1:9" ht="12.75" x14ac:dyDescent="0.2">
      <c r="A203" s="39">
        <v>42563.500139606476</v>
      </c>
      <c r="F203" s="1" t="s">
        <v>168</v>
      </c>
      <c r="G203" s="1">
        <v>32</v>
      </c>
      <c r="H203" s="1" t="s">
        <v>529</v>
      </c>
    </row>
    <row r="204" spans="1:9" ht="12.75" x14ac:dyDescent="0.2">
      <c r="A204" s="39">
        <v>42563.516658541666</v>
      </c>
      <c r="C204" s="1" t="s">
        <v>167</v>
      </c>
      <c r="D204" s="1">
        <v>302</v>
      </c>
      <c r="E204" s="1">
        <v>792</v>
      </c>
      <c r="H204" s="1" t="s">
        <v>533</v>
      </c>
    </row>
    <row r="205" spans="1:9" ht="12.75" x14ac:dyDescent="0.2">
      <c r="A205" s="39">
        <v>42563.527281562499</v>
      </c>
      <c r="F205" s="1" t="s">
        <v>88</v>
      </c>
      <c r="G205" s="1">
        <v>36</v>
      </c>
      <c r="H205" s="1" t="s">
        <v>529</v>
      </c>
      <c r="I205" s="1">
        <v>3</v>
      </c>
    </row>
    <row r="206" spans="1:9" ht="12.75" x14ac:dyDescent="0.2">
      <c r="A206" s="39">
        <v>42563.531443935186</v>
      </c>
      <c r="F206" s="1" t="s">
        <v>106</v>
      </c>
      <c r="G206" s="1">
        <v>30</v>
      </c>
      <c r="H206" s="1" t="s">
        <v>529</v>
      </c>
      <c r="I206" s="1">
        <v>1</v>
      </c>
    </row>
    <row r="207" spans="1:9" ht="12.75" x14ac:dyDescent="0.2">
      <c r="A207" s="39">
        <v>42563.532120381948</v>
      </c>
      <c r="F207" s="1" t="s">
        <v>176</v>
      </c>
      <c r="G207" s="1">
        <v>45</v>
      </c>
      <c r="H207" s="1" t="s">
        <v>529</v>
      </c>
      <c r="I207" s="1">
        <v>3</v>
      </c>
    </row>
    <row r="208" spans="1:9" ht="12.75" x14ac:dyDescent="0.2">
      <c r="A208" s="39">
        <v>42563.53774994213</v>
      </c>
      <c r="C208" s="1" t="s">
        <v>50</v>
      </c>
      <c r="D208" s="1">
        <v>74</v>
      </c>
      <c r="E208" s="1">
        <v>141</v>
      </c>
      <c r="H208" s="1" t="s">
        <v>533</v>
      </c>
    </row>
    <row r="209" spans="1:9" ht="12.75" x14ac:dyDescent="0.2">
      <c r="A209" s="39">
        <v>42563.540759849537</v>
      </c>
      <c r="F209" s="1" t="s">
        <v>89</v>
      </c>
      <c r="G209" s="1">
        <v>12</v>
      </c>
      <c r="H209" s="1" t="s">
        <v>529</v>
      </c>
    </row>
    <row r="210" spans="1:9" ht="12.75" x14ac:dyDescent="0.2">
      <c r="A210" s="39">
        <v>42563.541811770832</v>
      </c>
      <c r="C210" s="1" t="s">
        <v>50</v>
      </c>
      <c r="D210" s="1">
        <v>67</v>
      </c>
      <c r="E210" s="1">
        <v>128</v>
      </c>
      <c r="H210" s="1" t="s">
        <v>533</v>
      </c>
    </row>
    <row r="211" spans="1:9" ht="12.75" x14ac:dyDescent="0.2">
      <c r="A211" s="39">
        <v>42563.543959710645</v>
      </c>
      <c r="F211" s="1" t="s">
        <v>95</v>
      </c>
      <c r="G211" s="1">
        <v>34</v>
      </c>
      <c r="H211" s="1" t="s">
        <v>529</v>
      </c>
      <c r="I211" s="1">
        <v>2</v>
      </c>
    </row>
    <row r="212" spans="1:9" ht="12.75" x14ac:dyDescent="0.2">
      <c r="A212" s="39">
        <v>42563.543988599537</v>
      </c>
      <c r="F212" s="1" t="s">
        <v>130</v>
      </c>
      <c r="G212" s="1">
        <v>32</v>
      </c>
      <c r="H212" s="1" t="s">
        <v>529</v>
      </c>
    </row>
    <row r="213" spans="1:9" ht="12.75" x14ac:dyDescent="0.2">
      <c r="A213" s="39">
        <v>42563.544274328699</v>
      </c>
      <c r="F213" s="1" t="s">
        <v>130</v>
      </c>
      <c r="G213" s="1">
        <v>29</v>
      </c>
      <c r="H213" s="1" t="s">
        <v>529</v>
      </c>
      <c r="I213" s="1">
        <v>1</v>
      </c>
    </row>
    <row r="214" spans="1:9" ht="12.75" x14ac:dyDescent="0.2">
      <c r="A214" s="39">
        <v>42563.548945879629</v>
      </c>
      <c r="C214" s="1" t="s">
        <v>53</v>
      </c>
      <c r="D214" s="1">
        <v>40</v>
      </c>
      <c r="E214" s="1">
        <v>234</v>
      </c>
      <c r="H214" s="1" t="s">
        <v>533</v>
      </c>
    </row>
    <row r="215" spans="1:9" ht="12.75" x14ac:dyDescent="0.2">
      <c r="A215" s="39">
        <v>42563.559760138887</v>
      </c>
      <c r="C215" s="1" t="s">
        <v>168</v>
      </c>
      <c r="D215" s="1">
        <v>400</v>
      </c>
      <c r="E215" s="1">
        <v>537</v>
      </c>
      <c r="H215" s="1" t="s">
        <v>533</v>
      </c>
    </row>
    <row r="216" spans="1:9" ht="12.75" x14ac:dyDescent="0.2">
      <c r="A216" s="39">
        <v>42563.562230185184</v>
      </c>
      <c r="F216" s="1" t="s">
        <v>78</v>
      </c>
      <c r="G216" s="1">
        <v>34</v>
      </c>
      <c r="H216" s="1" t="s">
        <v>529</v>
      </c>
      <c r="I216" s="1">
        <v>2</v>
      </c>
    </row>
    <row r="217" spans="1:9" ht="12.75" x14ac:dyDescent="0.2">
      <c r="A217" s="39">
        <v>42563.602918819444</v>
      </c>
      <c r="F217" s="1" t="s">
        <v>136</v>
      </c>
      <c r="G217" s="1">
        <v>42</v>
      </c>
      <c r="H217" s="1" t="s">
        <v>529</v>
      </c>
    </row>
    <row r="218" spans="1:9" ht="12.75" x14ac:dyDescent="0.2">
      <c r="A218" s="39">
        <v>42563.602997245369</v>
      </c>
      <c r="F218" s="1" t="s">
        <v>113</v>
      </c>
      <c r="G218" s="1">
        <v>37</v>
      </c>
      <c r="H218" s="1" t="s">
        <v>529</v>
      </c>
      <c r="I218" s="1">
        <v>3</v>
      </c>
    </row>
    <row r="219" spans="1:9" ht="12.75" x14ac:dyDescent="0.2">
      <c r="A219" s="39">
        <v>42563.605288900464</v>
      </c>
      <c r="C219" s="1" t="s">
        <v>50</v>
      </c>
      <c r="D219" s="1">
        <v>149</v>
      </c>
      <c r="E219" s="1">
        <v>278</v>
      </c>
      <c r="H219" s="1" t="s">
        <v>533</v>
      </c>
    </row>
    <row r="220" spans="1:9" ht="12.75" x14ac:dyDescent="0.2">
      <c r="A220" s="39">
        <v>42563.62719107639</v>
      </c>
      <c r="C220" s="1" t="s">
        <v>84</v>
      </c>
      <c r="D220" s="1">
        <v>367</v>
      </c>
      <c r="E220" s="1">
        <v>600</v>
      </c>
      <c r="H220" s="1" t="s">
        <v>533</v>
      </c>
    </row>
    <row r="221" spans="1:9" ht="12.75" x14ac:dyDescent="0.2">
      <c r="A221" s="39">
        <v>42563.635966122689</v>
      </c>
      <c r="F221" s="1" t="s">
        <v>157</v>
      </c>
      <c r="G221" s="1">
        <v>23</v>
      </c>
      <c r="H221" s="1" t="s">
        <v>529</v>
      </c>
      <c r="I221" s="1">
        <v>1</v>
      </c>
    </row>
    <row r="222" spans="1:9" ht="12.75" x14ac:dyDescent="0.2">
      <c r="A222" s="39">
        <v>42563.636402627315</v>
      </c>
      <c r="F222" s="1" t="s">
        <v>160</v>
      </c>
      <c r="G222" s="1">
        <v>29</v>
      </c>
      <c r="H222" s="1" t="s">
        <v>529</v>
      </c>
      <c r="I222" s="1">
        <v>1</v>
      </c>
    </row>
    <row r="223" spans="1:9" ht="12.75" x14ac:dyDescent="0.2">
      <c r="A223" s="39">
        <v>42563.637349236116</v>
      </c>
      <c r="F223" s="1" t="s">
        <v>182</v>
      </c>
      <c r="G223" s="1">
        <v>47</v>
      </c>
      <c r="H223" s="1" t="s">
        <v>529</v>
      </c>
    </row>
    <row r="224" spans="1:9" ht="12.75" x14ac:dyDescent="0.2">
      <c r="A224" s="39">
        <v>42563.637764432875</v>
      </c>
      <c r="F224" s="1" t="s">
        <v>160</v>
      </c>
      <c r="G224" s="1">
        <v>29</v>
      </c>
      <c r="H224" s="1" t="s">
        <v>529</v>
      </c>
      <c r="I224" s="1">
        <v>2</v>
      </c>
    </row>
    <row r="225" spans="1:9" ht="12.75" x14ac:dyDescent="0.2">
      <c r="A225" s="39">
        <v>42563.660685694442</v>
      </c>
      <c r="F225" s="1" t="s">
        <v>136</v>
      </c>
      <c r="G225" s="1">
        <v>41</v>
      </c>
      <c r="H225" s="1" t="s">
        <v>529</v>
      </c>
    </row>
    <row r="226" spans="1:9" ht="12.75" x14ac:dyDescent="0.2">
      <c r="A226" s="39">
        <v>42563.662548888889</v>
      </c>
      <c r="F226" s="1" t="s">
        <v>82</v>
      </c>
      <c r="G226" s="1">
        <v>7</v>
      </c>
      <c r="H226" s="1" t="s">
        <v>535</v>
      </c>
    </row>
    <row r="227" spans="1:9" ht="12.75" x14ac:dyDescent="0.2">
      <c r="A227" s="39">
        <v>42563.670616817129</v>
      </c>
      <c r="F227" s="1" t="s">
        <v>161</v>
      </c>
      <c r="G227" s="1">
        <v>26</v>
      </c>
      <c r="H227" s="1" t="s">
        <v>529</v>
      </c>
      <c r="I227" s="1">
        <v>4</v>
      </c>
    </row>
    <row r="228" spans="1:9" ht="12.75" x14ac:dyDescent="0.2">
      <c r="A228" s="39">
        <v>42563.671352939811</v>
      </c>
      <c r="F228" s="1" t="s">
        <v>143</v>
      </c>
      <c r="G228" s="1">
        <v>34</v>
      </c>
      <c r="H228" s="1" t="s">
        <v>529</v>
      </c>
      <c r="I228" s="1">
        <v>2</v>
      </c>
    </row>
    <row r="229" spans="1:9" ht="12.75" x14ac:dyDescent="0.2">
      <c r="A229" s="39">
        <v>42563.671787754633</v>
      </c>
      <c r="F229" s="1" t="s">
        <v>143</v>
      </c>
      <c r="G229" s="1">
        <v>34</v>
      </c>
      <c r="H229" s="1" t="s">
        <v>529</v>
      </c>
      <c r="I229" s="1">
        <v>3</v>
      </c>
    </row>
    <row r="230" spans="1:9" ht="12.75" x14ac:dyDescent="0.2">
      <c r="A230" s="39">
        <v>42563.67239097222</v>
      </c>
      <c r="F230" s="1" t="s">
        <v>33</v>
      </c>
      <c r="G230" s="1">
        <v>33</v>
      </c>
      <c r="H230" s="1" t="s">
        <v>529</v>
      </c>
      <c r="I230" s="1">
        <v>1</v>
      </c>
    </row>
    <row r="231" spans="1:9" ht="12.75" x14ac:dyDescent="0.2">
      <c r="A231" s="39">
        <v>42563.672851226853</v>
      </c>
      <c r="F231" s="1" t="s">
        <v>147</v>
      </c>
      <c r="G231" s="1">
        <v>25</v>
      </c>
      <c r="H231" s="1" t="s">
        <v>529</v>
      </c>
      <c r="I231" s="1">
        <v>5</v>
      </c>
    </row>
    <row r="232" spans="1:9" ht="12.75" x14ac:dyDescent="0.2">
      <c r="A232" s="39">
        <v>42563.673168159723</v>
      </c>
      <c r="F232" s="1" t="s">
        <v>147</v>
      </c>
      <c r="G232" s="1">
        <v>24</v>
      </c>
      <c r="H232" s="1" t="s">
        <v>529</v>
      </c>
      <c r="I232" s="1">
        <v>5</v>
      </c>
    </row>
    <row r="233" spans="1:9" ht="12.75" x14ac:dyDescent="0.2">
      <c r="A233" s="39">
        <v>42563.673403831017</v>
      </c>
      <c r="F233" s="1" t="s">
        <v>147</v>
      </c>
      <c r="G233" s="1">
        <v>25</v>
      </c>
      <c r="H233" s="1" t="s">
        <v>529</v>
      </c>
      <c r="I233" s="1">
        <v>3</v>
      </c>
    </row>
    <row r="234" spans="1:9" ht="12.75" x14ac:dyDescent="0.2">
      <c r="A234" s="39">
        <v>42563.673458541671</v>
      </c>
      <c r="F234" s="1" t="s">
        <v>106</v>
      </c>
      <c r="G234" s="1">
        <v>30</v>
      </c>
      <c r="H234" s="1" t="s">
        <v>529</v>
      </c>
      <c r="I234" s="1">
        <v>6</v>
      </c>
    </row>
    <row r="235" spans="1:9" ht="12.75" x14ac:dyDescent="0.2">
      <c r="A235" s="39">
        <v>42563.673816770832</v>
      </c>
      <c r="F235" s="1" t="s">
        <v>156</v>
      </c>
      <c r="G235" s="1">
        <v>29</v>
      </c>
      <c r="H235" s="1" t="s">
        <v>529</v>
      </c>
      <c r="I235" s="1">
        <v>2</v>
      </c>
    </row>
    <row r="236" spans="1:9" ht="12.75" x14ac:dyDescent="0.2">
      <c r="A236" s="39">
        <v>42563.6742103125</v>
      </c>
      <c r="F236" s="1" t="s">
        <v>28</v>
      </c>
      <c r="G236" s="1">
        <v>559</v>
      </c>
      <c r="H236" s="1" t="s">
        <v>535</v>
      </c>
      <c r="I236" s="1">
        <v>563</v>
      </c>
    </row>
    <row r="237" spans="1:9" ht="12.75" x14ac:dyDescent="0.2">
      <c r="A237" s="39">
        <v>42563.677664421295</v>
      </c>
      <c r="F237" s="1" t="s">
        <v>168</v>
      </c>
      <c r="G237" s="1">
        <v>28</v>
      </c>
      <c r="H237" s="1" t="s">
        <v>529</v>
      </c>
      <c r="I237" s="1">
        <v>2</v>
      </c>
    </row>
    <row r="238" spans="1:9" ht="12.75" x14ac:dyDescent="0.2">
      <c r="A238" s="39">
        <v>42563.67841079861</v>
      </c>
      <c r="F238" s="1" t="s">
        <v>41</v>
      </c>
      <c r="G238" s="1">
        <v>5</v>
      </c>
      <c r="H238" s="1" t="s">
        <v>529</v>
      </c>
    </row>
    <row r="239" spans="1:9" ht="12.75" x14ac:dyDescent="0.2">
      <c r="A239" s="39">
        <v>42563.682336504629</v>
      </c>
      <c r="F239" s="1" t="s">
        <v>159</v>
      </c>
      <c r="G239" s="1">
        <v>32</v>
      </c>
      <c r="H239" s="1" t="s">
        <v>529</v>
      </c>
    </row>
    <row r="240" spans="1:9" ht="12.75" x14ac:dyDescent="0.2">
      <c r="A240" s="39">
        <v>42563.687083171295</v>
      </c>
      <c r="F240" s="1" t="s">
        <v>90</v>
      </c>
      <c r="G240" s="1">
        <v>24</v>
      </c>
      <c r="H240" s="1" t="s">
        <v>529</v>
      </c>
      <c r="I240" s="1">
        <v>1</v>
      </c>
    </row>
    <row r="241" spans="1:9" ht="12.75" x14ac:dyDescent="0.2">
      <c r="A241" s="39">
        <v>42563.687430833335</v>
      </c>
      <c r="F241" s="1" t="s">
        <v>90</v>
      </c>
      <c r="G241" s="1">
        <v>24</v>
      </c>
      <c r="H241" s="1" t="s">
        <v>529</v>
      </c>
      <c r="I241" s="1">
        <v>1</v>
      </c>
    </row>
    <row r="242" spans="1:9" ht="12.75" x14ac:dyDescent="0.2">
      <c r="A242" s="39">
        <v>42563.690988275463</v>
      </c>
      <c r="F242" s="1" t="s">
        <v>166</v>
      </c>
      <c r="G242" s="1">
        <v>36</v>
      </c>
      <c r="H242" s="1" t="s">
        <v>529</v>
      </c>
    </row>
    <row r="243" spans="1:9" ht="12.75" x14ac:dyDescent="0.2">
      <c r="A243" s="39">
        <v>42563.706976076384</v>
      </c>
      <c r="C243" s="1" t="s">
        <v>75</v>
      </c>
      <c r="D243" s="1">
        <v>249</v>
      </c>
      <c r="E243" s="1">
        <v>777</v>
      </c>
      <c r="H243" s="1" t="s">
        <v>533</v>
      </c>
    </row>
    <row r="244" spans="1:9" ht="12.75" x14ac:dyDescent="0.2">
      <c r="A244" s="39">
        <v>42563.713241979167</v>
      </c>
      <c r="F244" s="1" t="s">
        <v>156</v>
      </c>
      <c r="G244" s="1">
        <v>30</v>
      </c>
      <c r="H244" s="1" t="s">
        <v>529</v>
      </c>
      <c r="I244" s="1">
        <v>3</v>
      </c>
    </row>
    <row r="245" spans="1:9" ht="12.75" x14ac:dyDescent="0.2">
      <c r="A245" s="39">
        <v>42563.713556469906</v>
      </c>
      <c r="F245" s="1" t="s">
        <v>156</v>
      </c>
      <c r="G245" s="1">
        <v>31</v>
      </c>
      <c r="H245" s="1" t="s">
        <v>529</v>
      </c>
      <c r="I245" s="1">
        <v>2</v>
      </c>
    </row>
    <row r="246" spans="1:9" ht="12.75" x14ac:dyDescent="0.2">
      <c r="A246" s="39">
        <v>42563.713611053245</v>
      </c>
      <c r="C246" s="1" t="s">
        <v>23</v>
      </c>
      <c r="D246" s="1">
        <v>154</v>
      </c>
      <c r="E246" s="1">
        <v>406</v>
      </c>
      <c r="H246" s="1" t="s">
        <v>534</v>
      </c>
    </row>
    <row r="247" spans="1:9" ht="12.75" x14ac:dyDescent="0.2">
      <c r="A247" s="39">
        <v>42563.713811180554</v>
      </c>
      <c r="F247" s="1" t="s">
        <v>156</v>
      </c>
      <c r="G247" s="1">
        <v>31</v>
      </c>
      <c r="H247" s="1" t="s">
        <v>529</v>
      </c>
      <c r="I247" s="1">
        <v>3</v>
      </c>
    </row>
    <row r="248" spans="1:9" ht="12.75" x14ac:dyDescent="0.2">
      <c r="A248" s="39">
        <v>42563.721212060183</v>
      </c>
      <c r="F248" s="1" t="s">
        <v>124</v>
      </c>
      <c r="G248" s="1">
        <v>26</v>
      </c>
      <c r="H248" s="1" t="s">
        <v>529</v>
      </c>
    </row>
    <row r="249" spans="1:9" ht="12.75" x14ac:dyDescent="0.2">
      <c r="A249" s="39">
        <v>42563.721630752319</v>
      </c>
      <c r="F249" s="1" t="s">
        <v>106</v>
      </c>
      <c r="G249" s="1">
        <v>30</v>
      </c>
      <c r="H249" s="1" t="s">
        <v>529</v>
      </c>
    </row>
    <row r="250" spans="1:9" ht="12.75" x14ac:dyDescent="0.2">
      <c r="A250" s="39">
        <v>42563.723400995368</v>
      </c>
      <c r="F250" s="1" t="s">
        <v>172</v>
      </c>
      <c r="G250" s="1">
        <v>32</v>
      </c>
      <c r="H250" s="1" t="s">
        <v>529</v>
      </c>
    </row>
    <row r="251" spans="1:9" ht="12.75" x14ac:dyDescent="0.2">
      <c r="A251" s="39">
        <v>42563.726662777779</v>
      </c>
      <c r="F251" s="1" t="s">
        <v>71</v>
      </c>
      <c r="G251" s="1">
        <v>31</v>
      </c>
      <c r="H251" s="1" t="s">
        <v>529</v>
      </c>
    </row>
    <row r="252" spans="1:9" ht="12.75" x14ac:dyDescent="0.2">
      <c r="A252" s="39">
        <v>42563.727348935186</v>
      </c>
      <c r="F252" s="1" t="s">
        <v>164</v>
      </c>
      <c r="G252" s="1">
        <v>444</v>
      </c>
      <c r="H252" s="1" t="s">
        <v>535</v>
      </c>
      <c r="I252" s="1">
        <v>83</v>
      </c>
    </row>
    <row r="253" spans="1:9" ht="12.75" x14ac:dyDescent="0.2">
      <c r="A253" s="39">
        <v>42563.728119652777</v>
      </c>
      <c r="F253" s="1" t="s">
        <v>176</v>
      </c>
      <c r="G253" s="1">
        <v>43</v>
      </c>
      <c r="H253" s="1" t="s">
        <v>529</v>
      </c>
    </row>
    <row r="254" spans="1:9" ht="12.75" x14ac:dyDescent="0.2">
      <c r="A254" s="39">
        <v>42563.735254444444</v>
      </c>
      <c r="F254" s="1" t="s">
        <v>122</v>
      </c>
      <c r="G254" s="1">
        <v>38</v>
      </c>
      <c r="H254" s="1" t="s">
        <v>529</v>
      </c>
    </row>
    <row r="255" spans="1:9" ht="12.75" x14ac:dyDescent="0.2">
      <c r="A255" s="39">
        <v>42563.744084432867</v>
      </c>
      <c r="F255" s="1" t="s">
        <v>136</v>
      </c>
      <c r="G255" s="1">
        <v>40</v>
      </c>
      <c r="H255" s="1" t="s">
        <v>529</v>
      </c>
      <c r="I255" s="1">
        <v>2</v>
      </c>
    </row>
    <row r="256" spans="1:9" ht="12.75" x14ac:dyDescent="0.2">
      <c r="A256" s="39">
        <v>42563.74718914352</v>
      </c>
      <c r="F256" s="1" t="s">
        <v>120</v>
      </c>
      <c r="G256" s="1">
        <v>31</v>
      </c>
      <c r="H256" s="1" t="s">
        <v>529</v>
      </c>
    </row>
    <row r="257" spans="1:9" ht="12.75" x14ac:dyDescent="0.2">
      <c r="A257" s="39">
        <v>42563.75177787037</v>
      </c>
      <c r="F257" s="1" t="s">
        <v>127</v>
      </c>
      <c r="G257" s="1">
        <v>29</v>
      </c>
      <c r="H257" s="1" t="s">
        <v>529</v>
      </c>
      <c r="I257" s="1">
        <v>2</v>
      </c>
    </row>
    <row r="258" spans="1:9" ht="12.75" x14ac:dyDescent="0.2">
      <c r="A258" s="39">
        <v>42563.753000879631</v>
      </c>
      <c r="F258" s="1" t="s">
        <v>88</v>
      </c>
      <c r="G258" s="1">
        <v>30</v>
      </c>
      <c r="H258" s="1" t="s">
        <v>529</v>
      </c>
      <c r="I258" s="1">
        <v>1</v>
      </c>
    </row>
    <row r="259" spans="1:9" ht="12.75" x14ac:dyDescent="0.2">
      <c r="A259" s="39">
        <v>42563.753428495373</v>
      </c>
      <c r="F259" s="1" t="s">
        <v>138</v>
      </c>
      <c r="G259" s="1">
        <v>22</v>
      </c>
      <c r="H259" s="1" t="s">
        <v>529</v>
      </c>
    </row>
    <row r="260" spans="1:9" ht="12.75" x14ac:dyDescent="0.2">
      <c r="A260" s="39">
        <v>42563.75352677083</v>
      </c>
      <c r="F260" s="1" t="s">
        <v>138</v>
      </c>
      <c r="G260" s="1">
        <v>23</v>
      </c>
      <c r="H260" s="1" t="s">
        <v>529</v>
      </c>
    </row>
    <row r="261" spans="1:9" ht="12.75" x14ac:dyDescent="0.2">
      <c r="A261" s="39">
        <v>42563.755512800926</v>
      </c>
      <c r="C261" s="1" t="s">
        <v>55</v>
      </c>
      <c r="D261" s="1">
        <v>271</v>
      </c>
      <c r="E261" s="1">
        <v>713</v>
      </c>
      <c r="H261" s="1" t="s">
        <v>533</v>
      </c>
    </row>
    <row r="262" spans="1:9" ht="12.75" x14ac:dyDescent="0.2">
      <c r="A262" s="39">
        <v>42563.755573738425</v>
      </c>
      <c r="C262" s="1" t="s">
        <v>82</v>
      </c>
      <c r="D262" s="1">
        <v>436</v>
      </c>
      <c r="E262" s="1">
        <v>815</v>
      </c>
      <c r="H262" s="1" t="s">
        <v>533</v>
      </c>
    </row>
    <row r="263" spans="1:9" ht="12.75" x14ac:dyDescent="0.2">
      <c r="A263" s="39">
        <v>42563.761294143522</v>
      </c>
      <c r="F263" s="1" t="s">
        <v>98</v>
      </c>
      <c r="G263" s="1">
        <v>25</v>
      </c>
      <c r="H263" s="1" t="s">
        <v>529</v>
      </c>
    </row>
    <row r="264" spans="1:9" ht="12.75" x14ac:dyDescent="0.2">
      <c r="A264" s="39">
        <v>42563.766428252318</v>
      </c>
      <c r="F264" s="1" t="s">
        <v>99</v>
      </c>
      <c r="G264" s="1">
        <v>24</v>
      </c>
      <c r="H264" s="1" t="s">
        <v>529</v>
      </c>
    </row>
    <row r="265" spans="1:9" ht="12.75" x14ac:dyDescent="0.2">
      <c r="A265" s="39">
        <v>42563.767275439815</v>
      </c>
      <c r="F265" s="1" t="s">
        <v>182</v>
      </c>
      <c r="G265" s="1">
        <v>50</v>
      </c>
      <c r="H265" s="1" t="s">
        <v>529</v>
      </c>
    </row>
    <row r="266" spans="1:9" ht="12.75" x14ac:dyDescent="0.2">
      <c r="A266" s="39">
        <v>42563.767412893518</v>
      </c>
      <c r="F266" s="1" t="s">
        <v>182</v>
      </c>
      <c r="G266" s="1">
        <v>51</v>
      </c>
      <c r="H266" s="1" t="s">
        <v>529</v>
      </c>
    </row>
    <row r="267" spans="1:9" ht="12.75" x14ac:dyDescent="0.2">
      <c r="A267" s="39">
        <v>42563.796115196761</v>
      </c>
      <c r="F267" s="1" t="s">
        <v>50</v>
      </c>
      <c r="G267" s="1">
        <v>16</v>
      </c>
      <c r="H267" s="1" t="s">
        <v>529</v>
      </c>
      <c r="I267" s="1">
        <v>3</v>
      </c>
    </row>
    <row r="268" spans="1:9" ht="12.75" x14ac:dyDescent="0.2">
      <c r="A268" s="39">
        <v>42563.807688877314</v>
      </c>
      <c r="F268" s="1" t="s">
        <v>132</v>
      </c>
      <c r="G268" s="1">
        <v>26</v>
      </c>
      <c r="H268" s="1" t="s">
        <v>529</v>
      </c>
      <c r="I268" s="1">
        <v>3</v>
      </c>
    </row>
    <row r="269" spans="1:9" ht="12.75" x14ac:dyDescent="0.2">
      <c r="A269" s="39">
        <v>42563.807872268517</v>
      </c>
      <c r="F269" s="1" t="s">
        <v>132</v>
      </c>
      <c r="G269" s="1">
        <v>25</v>
      </c>
      <c r="H269" s="1" t="s">
        <v>529</v>
      </c>
      <c r="I269" s="1">
        <v>1</v>
      </c>
    </row>
    <row r="270" spans="1:9" ht="12.75" x14ac:dyDescent="0.2">
      <c r="A270" s="39">
        <v>42563.810562997685</v>
      </c>
      <c r="F270" s="1" t="s">
        <v>156</v>
      </c>
      <c r="G270" s="1">
        <v>30</v>
      </c>
      <c r="H270" s="1" t="s">
        <v>529</v>
      </c>
      <c r="I270" s="1">
        <v>2</v>
      </c>
    </row>
    <row r="271" spans="1:9" ht="12.75" x14ac:dyDescent="0.2">
      <c r="A271" s="39">
        <v>42563.818473414351</v>
      </c>
      <c r="F271" s="1" t="s">
        <v>162</v>
      </c>
      <c r="G271" s="1">
        <v>3</v>
      </c>
      <c r="H271" s="1" t="s">
        <v>529</v>
      </c>
    </row>
    <row r="272" spans="1:9" ht="12.75" x14ac:dyDescent="0.2">
      <c r="A272" s="39">
        <v>42563.81858162037</v>
      </c>
      <c r="F272" s="1" t="s">
        <v>84</v>
      </c>
      <c r="G272" s="1">
        <v>15</v>
      </c>
      <c r="H272" s="1" t="s">
        <v>529</v>
      </c>
      <c r="I272" s="1">
        <v>1</v>
      </c>
    </row>
    <row r="273" spans="1:9" ht="12.75" x14ac:dyDescent="0.2">
      <c r="A273" s="39">
        <v>42563.82089278935</v>
      </c>
      <c r="F273" s="1" t="s">
        <v>49</v>
      </c>
      <c r="G273" s="1">
        <v>14</v>
      </c>
      <c r="H273" s="1" t="s">
        <v>529</v>
      </c>
      <c r="I273" s="1">
        <v>15</v>
      </c>
    </row>
    <row r="274" spans="1:9" ht="12.75" x14ac:dyDescent="0.2">
      <c r="A274" s="39">
        <v>42563.828575277774</v>
      </c>
      <c r="F274" s="1" t="s">
        <v>91</v>
      </c>
      <c r="G274" s="1">
        <v>29</v>
      </c>
      <c r="H274" s="1" t="s">
        <v>539</v>
      </c>
    </row>
    <row r="275" spans="1:9" ht="12.75" x14ac:dyDescent="0.2">
      <c r="A275" s="39">
        <v>42563.830011192127</v>
      </c>
      <c r="F275" s="1" t="s">
        <v>130</v>
      </c>
      <c r="G275" s="1">
        <v>31</v>
      </c>
      <c r="H275" s="1" t="s">
        <v>529</v>
      </c>
    </row>
    <row r="276" spans="1:9" ht="12.75" x14ac:dyDescent="0.2">
      <c r="A276" s="39">
        <v>42563.844423553237</v>
      </c>
      <c r="F276" s="1" t="s">
        <v>110</v>
      </c>
      <c r="G276" s="1">
        <v>20</v>
      </c>
      <c r="H276" s="1" t="s">
        <v>529</v>
      </c>
      <c r="I276" s="1">
        <v>2</v>
      </c>
    </row>
    <row r="277" spans="1:9" ht="12.75" x14ac:dyDescent="0.2">
      <c r="A277" s="39">
        <v>42563.852209675926</v>
      </c>
      <c r="F277" s="1" t="s">
        <v>180</v>
      </c>
      <c r="G277" s="1">
        <v>13</v>
      </c>
      <c r="H277" s="1" t="s">
        <v>529</v>
      </c>
      <c r="I277" s="1">
        <v>1</v>
      </c>
    </row>
    <row r="278" spans="1:9" ht="12.75" x14ac:dyDescent="0.2">
      <c r="A278" s="39">
        <v>42563.854436956019</v>
      </c>
      <c r="F278" s="1" t="s">
        <v>136</v>
      </c>
      <c r="G278" s="1">
        <v>41</v>
      </c>
      <c r="H278" s="1" t="s">
        <v>529</v>
      </c>
    </row>
    <row r="279" spans="1:9" ht="12.75" x14ac:dyDescent="0.2">
      <c r="A279" s="39">
        <v>42563.855806203705</v>
      </c>
      <c r="F279" s="1" t="s">
        <v>96</v>
      </c>
      <c r="G279" s="1">
        <v>100</v>
      </c>
      <c r="H279" s="1" t="s">
        <v>535</v>
      </c>
      <c r="I279" s="1">
        <v>5</v>
      </c>
    </row>
    <row r="280" spans="1:9" ht="12.75" x14ac:dyDescent="0.2">
      <c r="A280" s="39">
        <v>42563.900602175927</v>
      </c>
      <c r="C280" s="1" t="s">
        <v>167</v>
      </c>
      <c r="D280" s="1">
        <v>1626</v>
      </c>
      <c r="E280" s="1">
        <v>1667</v>
      </c>
      <c r="H280" s="1" t="s">
        <v>534</v>
      </c>
    </row>
    <row r="281" spans="1:9" ht="12.75" x14ac:dyDescent="0.2">
      <c r="A281" s="39">
        <v>42563.906283298609</v>
      </c>
      <c r="C281" s="1" t="s">
        <v>51</v>
      </c>
      <c r="D281" s="1">
        <v>406</v>
      </c>
      <c r="E281" s="1">
        <v>726</v>
      </c>
      <c r="H281" s="1" t="s">
        <v>533</v>
      </c>
    </row>
    <row r="282" spans="1:9" ht="12.75" x14ac:dyDescent="0.2">
      <c r="A282" s="39">
        <v>42563.909706828708</v>
      </c>
      <c r="C282" s="1" t="s">
        <v>53</v>
      </c>
      <c r="D282" s="1">
        <v>143</v>
      </c>
      <c r="E282" s="1">
        <v>376</v>
      </c>
      <c r="H282" s="1" t="s">
        <v>533</v>
      </c>
    </row>
    <row r="283" spans="1:9" ht="12.75" x14ac:dyDescent="0.2">
      <c r="A283" s="39">
        <v>42563.912294039357</v>
      </c>
      <c r="C283" s="1" t="s">
        <v>88</v>
      </c>
      <c r="D283" s="1">
        <v>107</v>
      </c>
      <c r="E283" s="1">
        <v>285</v>
      </c>
      <c r="H283" s="1" t="s">
        <v>533</v>
      </c>
    </row>
    <row r="284" spans="1:9" ht="12.75" x14ac:dyDescent="0.2">
      <c r="A284" s="39">
        <v>42563.914129722223</v>
      </c>
      <c r="F284" s="1" t="s">
        <v>167</v>
      </c>
      <c r="G284" s="1">
        <v>40</v>
      </c>
      <c r="H284" s="1" t="s">
        <v>529</v>
      </c>
    </row>
    <row r="285" spans="1:9" ht="12.75" x14ac:dyDescent="0.2">
      <c r="A285" s="39">
        <v>42563.914559780096</v>
      </c>
      <c r="F285" s="1" t="s">
        <v>132</v>
      </c>
      <c r="G285" s="1">
        <v>25</v>
      </c>
      <c r="H285" s="1" t="s">
        <v>529</v>
      </c>
    </row>
    <row r="286" spans="1:9" ht="12.75" x14ac:dyDescent="0.2">
      <c r="A286" s="39">
        <v>42563.915033495374</v>
      </c>
      <c r="F286" s="1" t="s">
        <v>169</v>
      </c>
      <c r="G286" s="1">
        <v>36</v>
      </c>
      <c r="H286" s="1" t="s">
        <v>529</v>
      </c>
    </row>
    <row r="287" spans="1:9" ht="12.75" x14ac:dyDescent="0.2">
      <c r="A287" s="39">
        <v>42563.915415173615</v>
      </c>
      <c r="F287" s="1" t="s">
        <v>75</v>
      </c>
      <c r="G287" s="1">
        <v>27</v>
      </c>
      <c r="H287" s="1" t="s">
        <v>529</v>
      </c>
    </row>
    <row r="288" spans="1:9" ht="12.75" x14ac:dyDescent="0.2">
      <c r="A288" s="39">
        <v>42563.915721990736</v>
      </c>
      <c r="F288" s="1" t="s">
        <v>86</v>
      </c>
      <c r="G288" s="1">
        <v>23</v>
      </c>
      <c r="H288" s="1" t="s">
        <v>529</v>
      </c>
    </row>
    <row r="289" spans="1:9" ht="12.75" x14ac:dyDescent="0.2">
      <c r="A289" s="39">
        <v>42563.916169537042</v>
      </c>
      <c r="F289" s="1" t="s">
        <v>157</v>
      </c>
      <c r="G289" s="1">
        <v>23</v>
      </c>
      <c r="H289" s="1" t="s">
        <v>529</v>
      </c>
    </row>
    <row r="290" spans="1:9" ht="12.75" x14ac:dyDescent="0.2">
      <c r="A290" s="39">
        <v>42563.927963692127</v>
      </c>
      <c r="C290" s="1" t="s">
        <v>168</v>
      </c>
      <c r="D290" s="1">
        <v>150</v>
      </c>
      <c r="E290" s="1">
        <v>313</v>
      </c>
      <c r="H290" s="1" t="s">
        <v>533</v>
      </c>
    </row>
    <row r="291" spans="1:9" ht="12.75" x14ac:dyDescent="0.2">
      <c r="A291" s="39">
        <v>42563.940753495372</v>
      </c>
      <c r="C291" s="1" t="s">
        <v>136</v>
      </c>
      <c r="D291" s="1">
        <v>499</v>
      </c>
      <c r="E291" s="1">
        <v>1370</v>
      </c>
      <c r="H291" s="1" t="s">
        <v>533</v>
      </c>
    </row>
    <row r="292" spans="1:9" ht="12.75" x14ac:dyDescent="0.2">
      <c r="A292" s="39">
        <v>42563.941241909721</v>
      </c>
      <c r="F292" s="1" t="s">
        <v>64</v>
      </c>
      <c r="G292" s="1">
        <v>35</v>
      </c>
      <c r="H292" s="1" t="s">
        <v>529</v>
      </c>
      <c r="I292" s="1">
        <v>2</v>
      </c>
    </row>
    <row r="293" spans="1:9" ht="12.75" x14ac:dyDescent="0.2">
      <c r="A293" s="39">
        <v>42563.941565578702</v>
      </c>
      <c r="F293" s="1" t="s">
        <v>64</v>
      </c>
      <c r="G293" s="1">
        <v>35</v>
      </c>
      <c r="H293" s="1" t="s">
        <v>529</v>
      </c>
      <c r="I293" s="1">
        <v>2</v>
      </c>
    </row>
    <row r="294" spans="1:9" ht="12.75" x14ac:dyDescent="0.2">
      <c r="A294" s="39">
        <v>42563.944407303235</v>
      </c>
      <c r="C294" s="1" t="s">
        <v>50</v>
      </c>
      <c r="D294" s="1">
        <v>260</v>
      </c>
      <c r="E294" s="1">
        <v>489</v>
      </c>
      <c r="H294" s="1" t="s">
        <v>533</v>
      </c>
    </row>
    <row r="295" spans="1:9" ht="12.75" x14ac:dyDescent="0.2">
      <c r="A295" s="39">
        <v>42563.945827094911</v>
      </c>
      <c r="C295" s="1" t="s">
        <v>82</v>
      </c>
      <c r="D295" s="1">
        <v>455</v>
      </c>
      <c r="E295" s="1">
        <v>845</v>
      </c>
      <c r="H295" s="1" t="s">
        <v>533</v>
      </c>
    </row>
    <row r="296" spans="1:9" ht="12.75" x14ac:dyDescent="0.2">
      <c r="A296" s="39">
        <v>42563.948625300924</v>
      </c>
      <c r="F296" s="1" t="s">
        <v>129</v>
      </c>
      <c r="G296" s="1">
        <v>13</v>
      </c>
      <c r="H296" s="1" t="s">
        <v>529</v>
      </c>
      <c r="I296" s="1">
        <v>1</v>
      </c>
    </row>
    <row r="297" spans="1:9" ht="12.75" x14ac:dyDescent="0.2">
      <c r="A297" s="39">
        <v>42563.953989594913</v>
      </c>
      <c r="F297" s="1" t="s">
        <v>157</v>
      </c>
      <c r="G297" s="1">
        <v>20</v>
      </c>
      <c r="H297" s="1" t="s">
        <v>529</v>
      </c>
      <c r="I297" s="1">
        <v>1</v>
      </c>
    </row>
    <row r="298" spans="1:9" ht="12.75" x14ac:dyDescent="0.2">
      <c r="A298" s="39">
        <v>42563.957901030095</v>
      </c>
      <c r="C298" s="1" t="s">
        <v>168</v>
      </c>
      <c r="D298" s="1">
        <v>447</v>
      </c>
      <c r="E298" s="1">
        <v>892</v>
      </c>
      <c r="H298" s="1" t="s">
        <v>533</v>
      </c>
    </row>
    <row r="299" spans="1:9" ht="12.75" x14ac:dyDescent="0.2">
      <c r="A299" s="39">
        <v>42563.967962025461</v>
      </c>
      <c r="F299" s="1" t="s">
        <v>67</v>
      </c>
      <c r="G299" s="1">
        <v>34</v>
      </c>
      <c r="H299" s="1" t="s">
        <v>529</v>
      </c>
      <c r="I299" s="1">
        <v>2</v>
      </c>
    </row>
    <row r="300" spans="1:9" ht="12.75" x14ac:dyDescent="0.2">
      <c r="A300" s="39">
        <v>42563.974162962964</v>
      </c>
      <c r="F300" s="1" t="s">
        <v>40</v>
      </c>
      <c r="G300" s="1">
        <v>18</v>
      </c>
      <c r="H300" s="1" t="s">
        <v>529</v>
      </c>
      <c r="I300" s="1">
        <v>2</v>
      </c>
    </row>
    <row r="301" spans="1:9" ht="12.75" x14ac:dyDescent="0.2">
      <c r="A301" s="39">
        <v>42563.988694039348</v>
      </c>
      <c r="C301" s="1" t="s">
        <v>168</v>
      </c>
      <c r="D301" s="1">
        <v>506</v>
      </c>
      <c r="E301" s="1">
        <v>1020</v>
      </c>
      <c r="H301" s="1" t="s">
        <v>533</v>
      </c>
    </row>
    <row r="302" spans="1:9" ht="12.75" x14ac:dyDescent="0.2">
      <c r="A302" s="39">
        <v>42564.006707824075</v>
      </c>
      <c r="F302" s="1" t="s">
        <v>157</v>
      </c>
      <c r="G302" s="1">
        <v>25</v>
      </c>
      <c r="H302" s="1" t="s">
        <v>529</v>
      </c>
      <c r="I302" s="1">
        <v>2</v>
      </c>
    </row>
    <row r="303" spans="1:9" ht="12.75" x14ac:dyDescent="0.2">
      <c r="A303" s="39">
        <v>42564.012197488424</v>
      </c>
      <c r="C303" s="1" t="s">
        <v>55</v>
      </c>
      <c r="D303" s="1">
        <v>164</v>
      </c>
      <c r="E303" s="1">
        <v>428</v>
      </c>
      <c r="H303" s="1" t="s">
        <v>533</v>
      </c>
    </row>
    <row r="304" spans="1:9" ht="12.75" x14ac:dyDescent="0.2">
      <c r="A304" s="39">
        <v>42564.012805451392</v>
      </c>
      <c r="F304" s="1" t="s">
        <v>55</v>
      </c>
      <c r="G304" s="1">
        <v>26</v>
      </c>
      <c r="H304" s="1" t="s">
        <v>529</v>
      </c>
      <c r="I304" s="1">
        <v>2</v>
      </c>
    </row>
    <row r="305" spans="1:9" ht="12.75" x14ac:dyDescent="0.2">
      <c r="A305" s="39">
        <v>42564.016292824075</v>
      </c>
      <c r="F305" s="1" t="s">
        <v>84</v>
      </c>
      <c r="G305" s="1">
        <v>16</v>
      </c>
      <c r="H305" s="1" t="s">
        <v>529</v>
      </c>
    </row>
    <row r="306" spans="1:9" ht="12.75" x14ac:dyDescent="0.2">
      <c r="A306" s="39">
        <v>42564.038857222222</v>
      </c>
      <c r="F306" s="1" t="s">
        <v>50</v>
      </c>
      <c r="G306" s="1">
        <v>16</v>
      </c>
      <c r="H306" s="1" t="s">
        <v>529</v>
      </c>
      <c r="I306" s="1">
        <v>2</v>
      </c>
    </row>
    <row r="307" spans="1:9" ht="12.75" x14ac:dyDescent="0.2">
      <c r="A307" s="39">
        <v>42564.039043379627</v>
      </c>
      <c r="F307" s="1" t="s">
        <v>166</v>
      </c>
      <c r="G307" s="1">
        <v>14</v>
      </c>
      <c r="H307" s="1" t="s">
        <v>529</v>
      </c>
      <c r="I307" s="1">
        <v>1</v>
      </c>
    </row>
    <row r="308" spans="1:9" ht="12.75" x14ac:dyDescent="0.2">
      <c r="A308" s="39">
        <v>42564.03949185185</v>
      </c>
      <c r="C308" s="1" t="s">
        <v>51</v>
      </c>
      <c r="D308" s="1">
        <v>226</v>
      </c>
      <c r="E308" s="1">
        <v>400</v>
      </c>
      <c r="H308" s="1" t="s">
        <v>533</v>
      </c>
    </row>
    <row r="309" spans="1:9" ht="12.75" x14ac:dyDescent="0.2">
      <c r="A309" s="39">
        <v>42564.039688136574</v>
      </c>
      <c r="F309" s="1" t="s">
        <v>166</v>
      </c>
      <c r="G309" s="1">
        <v>15</v>
      </c>
      <c r="H309" s="1" t="s">
        <v>529</v>
      </c>
      <c r="I309" s="1">
        <v>1</v>
      </c>
    </row>
    <row r="310" spans="1:9" ht="12.75" x14ac:dyDescent="0.2">
      <c r="A310" s="39">
        <v>42564.04007043982</v>
      </c>
      <c r="F310" s="1" t="s">
        <v>166</v>
      </c>
      <c r="G310" s="1">
        <v>14</v>
      </c>
      <c r="H310" s="1" t="s">
        <v>529</v>
      </c>
      <c r="I310" s="1">
        <v>1</v>
      </c>
    </row>
    <row r="311" spans="1:9" ht="12.75" x14ac:dyDescent="0.2">
      <c r="A311" s="39">
        <v>42564.040131458329</v>
      </c>
      <c r="F311" s="1" t="s">
        <v>51</v>
      </c>
      <c r="G311" s="1">
        <v>29</v>
      </c>
      <c r="H311" s="1" t="s">
        <v>529</v>
      </c>
      <c r="I311" s="1">
        <v>2</v>
      </c>
    </row>
    <row r="312" spans="1:9" ht="12.75" x14ac:dyDescent="0.2">
      <c r="A312" s="39">
        <v>42564.040407638888</v>
      </c>
      <c r="F312" s="1" t="s">
        <v>166</v>
      </c>
      <c r="G312" s="1">
        <v>14</v>
      </c>
      <c r="H312" s="1" t="s">
        <v>529</v>
      </c>
      <c r="I312" s="1">
        <v>1</v>
      </c>
    </row>
    <row r="313" spans="1:9" ht="12.75" x14ac:dyDescent="0.2">
      <c r="A313" s="39">
        <v>42564.04057542824</v>
      </c>
      <c r="F313" s="1" t="s">
        <v>51</v>
      </c>
      <c r="G313" s="1">
        <v>29</v>
      </c>
      <c r="H313" s="1" t="s">
        <v>529</v>
      </c>
      <c r="I313" s="1">
        <v>2</v>
      </c>
    </row>
    <row r="314" spans="1:9" ht="12.75" x14ac:dyDescent="0.2">
      <c r="A314" s="39">
        <v>42564.040681817132</v>
      </c>
      <c r="F314" s="1" t="s">
        <v>166</v>
      </c>
      <c r="G314" s="1">
        <v>15</v>
      </c>
      <c r="H314" s="1" t="s">
        <v>529</v>
      </c>
      <c r="I314" s="1">
        <v>1</v>
      </c>
    </row>
    <row r="315" spans="1:9" ht="12.75" x14ac:dyDescent="0.2">
      <c r="A315" s="39">
        <v>42564.04099011574</v>
      </c>
      <c r="F315" s="1" t="s">
        <v>166</v>
      </c>
      <c r="G315" s="1">
        <v>14</v>
      </c>
      <c r="H315" s="1" t="s">
        <v>529</v>
      </c>
      <c r="I315" s="1">
        <v>1</v>
      </c>
    </row>
    <row r="316" spans="1:9" ht="12.75" x14ac:dyDescent="0.2">
      <c r="A316" s="39">
        <v>42564.041258796293</v>
      </c>
      <c r="F316" s="1" t="s">
        <v>166</v>
      </c>
      <c r="G316" s="1">
        <v>14</v>
      </c>
      <c r="H316" s="1" t="s">
        <v>529</v>
      </c>
      <c r="I316" s="1">
        <v>1</v>
      </c>
    </row>
    <row r="317" spans="1:9" ht="12.75" x14ac:dyDescent="0.2">
      <c r="A317" s="39">
        <v>42564.042239050927</v>
      </c>
      <c r="C317" s="1" t="s">
        <v>168</v>
      </c>
      <c r="D317" s="1">
        <v>473</v>
      </c>
      <c r="E317" s="1">
        <v>952</v>
      </c>
      <c r="H317" s="1" t="s">
        <v>533</v>
      </c>
    </row>
    <row r="318" spans="1:9" ht="12.75" x14ac:dyDescent="0.2">
      <c r="A318" s="39">
        <v>42564.0529321875</v>
      </c>
      <c r="F318" s="1" t="s">
        <v>167</v>
      </c>
      <c r="G318" s="1">
        <v>748</v>
      </c>
      <c r="H318" s="1" t="s">
        <v>535</v>
      </c>
      <c r="I318" s="1">
        <v>787</v>
      </c>
    </row>
    <row r="319" spans="1:9" ht="12.75" x14ac:dyDescent="0.2">
      <c r="A319" s="39">
        <v>42564.059478136573</v>
      </c>
      <c r="F319" s="1" t="s">
        <v>110</v>
      </c>
      <c r="G319" s="1">
        <v>320</v>
      </c>
      <c r="H319" s="1" t="s">
        <v>535</v>
      </c>
      <c r="I319" s="1">
        <v>42</v>
      </c>
    </row>
    <row r="320" spans="1:9" ht="12.75" x14ac:dyDescent="0.2">
      <c r="A320" s="39">
        <v>42564.068569166666</v>
      </c>
      <c r="C320" s="1" t="s">
        <v>167</v>
      </c>
      <c r="D320" s="1">
        <v>407</v>
      </c>
      <c r="E320" s="1">
        <v>1128</v>
      </c>
      <c r="H320" s="1" t="s">
        <v>533</v>
      </c>
    </row>
    <row r="321" spans="1:9" ht="12.75" x14ac:dyDescent="0.2">
      <c r="A321" s="39">
        <v>42564.069744641209</v>
      </c>
      <c r="F321" s="1" t="s">
        <v>97</v>
      </c>
      <c r="G321" s="1">
        <v>16</v>
      </c>
      <c r="H321" s="1" t="s">
        <v>529</v>
      </c>
      <c r="I321" s="1">
        <v>1</v>
      </c>
    </row>
    <row r="322" spans="1:9" ht="12.75" x14ac:dyDescent="0.2">
      <c r="A322" s="39">
        <v>42564.095256863424</v>
      </c>
      <c r="C322" s="1" t="s">
        <v>169</v>
      </c>
      <c r="D322" s="1">
        <v>457</v>
      </c>
      <c r="E322" s="1">
        <v>1138</v>
      </c>
      <c r="H322" s="1" t="s">
        <v>533</v>
      </c>
    </row>
    <row r="323" spans="1:9" ht="12.75" x14ac:dyDescent="0.2">
      <c r="A323" s="39">
        <v>42564.101682546301</v>
      </c>
      <c r="F323" s="1" t="s">
        <v>92</v>
      </c>
      <c r="G323" s="1">
        <v>43</v>
      </c>
      <c r="H323" s="1" t="s">
        <v>529</v>
      </c>
      <c r="I323" s="1">
        <v>3</v>
      </c>
    </row>
    <row r="324" spans="1:9" ht="12.75" x14ac:dyDescent="0.2">
      <c r="A324" s="39">
        <v>42564.102119398143</v>
      </c>
      <c r="F324" s="1" t="s">
        <v>176</v>
      </c>
      <c r="G324" s="1">
        <v>43</v>
      </c>
      <c r="H324" s="1" t="s">
        <v>529</v>
      </c>
      <c r="I324" s="1">
        <v>2</v>
      </c>
    </row>
    <row r="325" spans="1:9" ht="12.75" x14ac:dyDescent="0.2">
      <c r="A325" s="39">
        <v>42564.102237905092</v>
      </c>
      <c r="C325" s="1" t="s">
        <v>50</v>
      </c>
      <c r="D325" s="1">
        <v>10</v>
      </c>
      <c r="E325" s="1">
        <v>15</v>
      </c>
      <c r="H325" s="1" t="s">
        <v>534</v>
      </c>
    </row>
    <row r="326" spans="1:9" ht="12.75" x14ac:dyDescent="0.2">
      <c r="A326" s="39">
        <v>42564.10721736111</v>
      </c>
      <c r="C326" s="1" t="s">
        <v>167</v>
      </c>
      <c r="D326" s="1">
        <v>456</v>
      </c>
      <c r="E326" s="1">
        <v>1199</v>
      </c>
      <c r="H326" s="1" t="s">
        <v>533</v>
      </c>
    </row>
    <row r="327" spans="1:9" ht="12.75" x14ac:dyDescent="0.2">
      <c r="A327" s="39">
        <v>42564.110019131942</v>
      </c>
      <c r="F327" s="1" t="s">
        <v>181</v>
      </c>
      <c r="G327" s="1">
        <v>25</v>
      </c>
      <c r="H327" s="1" t="s">
        <v>529</v>
      </c>
      <c r="I327" s="1">
        <v>2</v>
      </c>
    </row>
    <row r="328" spans="1:9" ht="12.75" x14ac:dyDescent="0.2">
      <c r="A328" s="39">
        <v>42564.124324537042</v>
      </c>
      <c r="F328" s="1" t="s">
        <v>51</v>
      </c>
      <c r="G328" s="1">
        <v>29</v>
      </c>
      <c r="H328" s="1" t="s">
        <v>529</v>
      </c>
      <c r="I328" s="1">
        <v>1</v>
      </c>
    </row>
    <row r="329" spans="1:9" ht="12.75" x14ac:dyDescent="0.2">
      <c r="A329" s="39">
        <v>42564.143187916663</v>
      </c>
      <c r="C329" s="1" t="s">
        <v>53</v>
      </c>
      <c r="D329" s="1">
        <v>191</v>
      </c>
      <c r="E329" s="1">
        <v>478</v>
      </c>
      <c r="H329" s="1" t="s">
        <v>533</v>
      </c>
    </row>
    <row r="330" spans="1:9" ht="12.75" x14ac:dyDescent="0.2">
      <c r="A330" s="39">
        <v>42564.150637106482</v>
      </c>
      <c r="F330" s="1" t="s">
        <v>58</v>
      </c>
      <c r="G330" s="1">
        <v>65</v>
      </c>
      <c r="H330" s="1" t="s">
        <v>535</v>
      </c>
      <c r="I330" s="1">
        <v>17</v>
      </c>
    </row>
    <row r="331" spans="1:9" ht="12.75" x14ac:dyDescent="0.2">
      <c r="A331" s="39">
        <v>42564.16996457176</v>
      </c>
      <c r="C331" s="1" t="s">
        <v>50</v>
      </c>
      <c r="D331" s="1">
        <v>72</v>
      </c>
      <c r="E331" s="1">
        <v>125</v>
      </c>
      <c r="H331" s="1" t="s">
        <v>533</v>
      </c>
    </row>
    <row r="332" spans="1:9" ht="12.75" x14ac:dyDescent="0.2">
      <c r="A332" s="39">
        <v>42564.179223043982</v>
      </c>
      <c r="F332" s="1" t="s">
        <v>51</v>
      </c>
      <c r="G332" s="1">
        <v>194</v>
      </c>
      <c r="H332" s="1" t="s">
        <v>535</v>
      </c>
    </row>
    <row r="333" spans="1:9" ht="12.75" x14ac:dyDescent="0.2">
      <c r="A333" s="39">
        <v>42564.293306782405</v>
      </c>
      <c r="C333" s="1" t="s">
        <v>92</v>
      </c>
      <c r="D333" s="1">
        <v>340</v>
      </c>
      <c r="E333" s="1">
        <v>500</v>
      </c>
      <c r="H333" s="1" t="s">
        <v>533</v>
      </c>
    </row>
    <row r="334" spans="1:9" ht="12.75" x14ac:dyDescent="0.2">
      <c r="A334" s="39">
        <v>42564.314305138891</v>
      </c>
      <c r="F334" s="1" t="s">
        <v>101</v>
      </c>
      <c r="G334" s="1">
        <v>36</v>
      </c>
      <c r="H334" s="1" t="s">
        <v>529</v>
      </c>
    </row>
    <row r="335" spans="1:9" ht="12.75" x14ac:dyDescent="0.2">
      <c r="A335" s="39">
        <v>42564.315064826384</v>
      </c>
      <c r="F335" s="1" t="s">
        <v>128</v>
      </c>
      <c r="G335" s="1">
        <v>11</v>
      </c>
      <c r="H335" s="1" t="s">
        <v>529</v>
      </c>
      <c r="I335" s="1">
        <v>1</v>
      </c>
    </row>
    <row r="336" spans="1:9" ht="12.75" x14ac:dyDescent="0.2">
      <c r="A336" s="39">
        <v>42564.335542060187</v>
      </c>
      <c r="F336" s="1" t="s">
        <v>109</v>
      </c>
      <c r="G336" s="1">
        <v>474</v>
      </c>
      <c r="H336" s="1" t="s">
        <v>535</v>
      </c>
      <c r="I336" s="1">
        <v>508</v>
      </c>
    </row>
    <row r="337" spans="1:9" ht="12.75" x14ac:dyDescent="0.2">
      <c r="A337" s="39">
        <v>42564.358752673608</v>
      </c>
      <c r="C337" s="1" t="s">
        <v>118</v>
      </c>
      <c r="D337" s="1">
        <v>190</v>
      </c>
      <c r="E337" s="1">
        <v>318</v>
      </c>
      <c r="H337" s="1" t="s">
        <v>533</v>
      </c>
    </row>
    <row r="338" spans="1:9" ht="12.75" x14ac:dyDescent="0.2">
      <c r="A338" s="39">
        <v>42564.361437071755</v>
      </c>
      <c r="F338" s="1" t="s">
        <v>167</v>
      </c>
      <c r="G338" s="1">
        <v>42</v>
      </c>
      <c r="H338" s="1" t="s">
        <v>529</v>
      </c>
      <c r="I338" s="1">
        <v>3</v>
      </c>
    </row>
    <row r="339" spans="1:9" ht="12.75" x14ac:dyDescent="0.2">
      <c r="A339" s="39">
        <v>42564.369536585647</v>
      </c>
      <c r="F339" s="1" t="s">
        <v>141</v>
      </c>
      <c r="G339" s="1">
        <v>23</v>
      </c>
      <c r="H339" s="1" t="s">
        <v>529</v>
      </c>
      <c r="I339" s="1">
        <v>3</v>
      </c>
    </row>
    <row r="340" spans="1:9" ht="12.75" x14ac:dyDescent="0.2">
      <c r="A340" s="39">
        <v>42564.370301354167</v>
      </c>
      <c r="F340" s="1" t="s">
        <v>130</v>
      </c>
      <c r="G340" s="1">
        <v>31</v>
      </c>
      <c r="H340" s="1" t="s">
        <v>529</v>
      </c>
      <c r="I340" s="1">
        <v>2</v>
      </c>
    </row>
    <row r="341" spans="1:9" ht="12.75" x14ac:dyDescent="0.2">
      <c r="A341" s="39">
        <v>42564.383004386575</v>
      </c>
      <c r="F341" s="1" t="s">
        <v>82</v>
      </c>
      <c r="G341" s="1">
        <v>27</v>
      </c>
      <c r="H341" s="1" t="s">
        <v>529</v>
      </c>
      <c r="I341" s="1">
        <v>2</v>
      </c>
    </row>
    <row r="342" spans="1:9" ht="12.75" x14ac:dyDescent="0.2">
      <c r="A342" s="39">
        <v>42564.389836516202</v>
      </c>
      <c r="F342" s="1" t="s">
        <v>28</v>
      </c>
      <c r="G342" s="1">
        <v>34</v>
      </c>
      <c r="H342" s="1" t="s">
        <v>529</v>
      </c>
      <c r="I342" s="1">
        <v>2</v>
      </c>
    </row>
    <row r="343" spans="1:9" ht="12.75" x14ac:dyDescent="0.2">
      <c r="A343" s="39">
        <v>42564.398387685185</v>
      </c>
      <c r="C343" s="1" t="s">
        <v>167</v>
      </c>
      <c r="D343" s="1">
        <v>368</v>
      </c>
      <c r="E343" s="1">
        <v>998</v>
      </c>
      <c r="H343" s="1" t="s">
        <v>533</v>
      </c>
    </row>
    <row r="344" spans="1:9" ht="12.75" x14ac:dyDescent="0.2">
      <c r="A344" s="39">
        <v>42564.422170532409</v>
      </c>
      <c r="F344" s="1" t="s">
        <v>51</v>
      </c>
      <c r="G344" s="1">
        <v>28</v>
      </c>
      <c r="H344" s="1" t="s">
        <v>529</v>
      </c>
      <c r="I344" s="1">
        <v>2</v>
      </c>
    </row>
    <row r="345" spans="1:9" ht="12.75" x14ac:dyDescent="0.2">
      <c r="A345" s="39">
        <v>42564.427797071759</v>
      </c>
      <c r="F345" s="1" t="s">
        <v>148</v>
      </c>
      <c r="G345" s="1">
        <v>29</v>
      </c>
      <c r="H345" s="1" t="s">
        <v>529</v>
      </c>
      <c r="I345" s="1">
        <v>2</v>
      </c>
    </row>
    <row r="346" spans="1:9" ht="12.75" x14ac:dyDescent="0.2">
      <c r="A346" s="39">
        <v>42564.430705196763</v>
      </c>
      <c r="C346" s="1" t="s">
        <v>168</v>
      </c>
      <c r="D346" s="1">
        <v>800</v>
      </c>
      <c r="E346" s="1">
        <v>828</v>
      </c>
      <c r="H346" s="1" t="s">
        <v>534</v>
      </c>
    </row>
    <row r="347" spans="1:9" ht="12.75" x14ac:dyDescent="0.2">
      <c r="A347" s="39">
        <v>42564.436295497682</v>
      </c>
      <c r="C347" s="1" t="s">
        <v>135</v>
      </c>
      <c r="D347" s="1">
        <v>13</v>
      </c>
      <c r="E347" s="1">
        <v>20</v>
      </c>
      <c r="H347" s="1" t="s">
        <v>534</v>
      </c>
    </row>
    <row r="348" spans="1:9" ht="12.75" x14ac:dyDescent="0.2">
      <c r="A348" s="39">
        <v>42564.442267488426</v>
      </c>
      <c r="F348" s="1" t="s">
        <v>125</v>
      </c>
      <c r="G348" s="1">
        <v>10</v>
      </c>
      <c r="H348" s="1" t="s">
        <v>529</v>
      </c>
      <c r="I348" s="1">
        <v>0</v>
      </c>
    </row>
    <row r="349" spans="1:9" ht="12.75" x14ac:dyDescent="0.2">
      <c r="A349" s="39">
        <v>42564.460058993056</v>
      </c>
      <c r="F349" s="1" t="s">
        <v>150</v>
      </c>
      <c r="G349" s="1">
        <v>25</v>
      </c>
      <c r="H349" s="1" t="s">
        <v>529</v>
      </c>
      <c r="I349" s="1">
        <v>2</v>
      </c>
    </row>
    <row r="350" spans="1:9" ht="12.75" x14ac:dyDescent="0.2">
      <c r="A350" s="39">
        <v>42564.462329907408</v>
      </c>
      <c r="F350" s="1" t="s">
        <v>143</v>
      </c>
      <c r="G350" s="1">
        <v>31</v>
      </c>
      <c r="H350" s="1" t="s">
        <v>529</v>
      </c>
      <c r="I350" s="1">
        <v>1</v>
      </c>
    </row>
    <row r="351" spans="1:9" ht="12.75" x14ac:dyDescent="0.2">
      <c r="A351" s="39">
        <v>42564.46252854167</v>
      </c>
      <c r="F351" s="1" t="s">
        <v>143</v>
      </c>
      <c r="G351" s="1">
        <v>32</v>
      </c>
      <c r="H351" s="1" t="s">
        <v>529</v>
      </c>
      <c r="I351" s="1">
        <v>1</v>
      </c>
    </row>
    <row r="352" spans="1:9" ht="12.75" x14ac:dyDescent="0.2">
      <c r="A352" s="39">
        <v>42564.462717627313</v>
      </c>
      <c r="F352" s="1" t="s">
        <v>61</v>
      </c>
      <c r="G352" s="1">
        <v>22</v>
      </c>
      <c r="H352" s="1" t="s">
        <v>529</v>
      </c>
    </row>
    <row r="353" spans="1:9" ht="12.75" x14ac:dyDescent="0.2">
      <c r="A353" s="39">
        <v>42564.462836006947</v>
      </c>
      <c r="F353" s="1" t="s">
        <v>61</v>
      </c>
      <c r="G353" s="1">
        <v>22</v>
      </c>
      <c r="H353" s="1" t="s">
        <v>529</v>
      </c>
    </row>
    <row r="354" spans="1:9" ht="12.75" x14ac:dyDescent="0.2">
      <c r="A354" s="39">
        <v>42564.462957569442</v>
      </c>
      <c r="F354" s="1" t="s">
        <v>90</v>
      </c>
      <c r="G354" s="1">
        <v>25</v>
      </c>
      <c r="H354" s="1" t="s">
        <v>529</v>
      </c>
    </row>
    <row r="355" spans="1:9" ht="12.75" x14ac:dyDescent="0.2">
      <c r="A355" s="39">
        <v>42564.463087071759</v>
      </c>
      <c r="F355" s="1" t="s">
        <v>90</v>
      </c>
      <c r="G355" s="1">
        <v>25</v>
      </c>
      <c r="H355" s="1" t="s">
        <v>529</v>
      </c>
    </row>
    <row r="356" spans="1:9" ht="12.75" x14ac:dyDescent="0.2">
      <c r="A356" s="39">
        <v>42564.463209849535</v>
      </c>
      <c r="F356" s="1" t="s">
        <v>90</v>
      </c>
      <c r="G356" s="1">
        <v>25</v>
      </c>
      <c r="H356" s="1" t="s">
        <v>529</v>
      </c>
    </row>
    <row r="357" spans="1:9" ht="12.75" x14ac:dyDescent="0.2">
      <c r="A357" s="39">
        <v>42564.463343553245</v>
      </c>
      <c r="F357" s="1" t="s">
        <v>90</v>
      </c>
      <c r="G357" s="1">
        <v>25</v>
      </c>
      <c r="H357" s="1" t="s">
        <v>529</v>
      </c>
    </row>
    <row r="358" spans="1:9" ht="12.75" x14ac:dyDescent="0.2">
      <c r="A358" s="39">
        <v>42564.463486608794</v>
      </c>
      <c r="F358" s="1" t="s">
        <v>92</v>
      </c>
      <c r="G358" s="1">
        <v>43</v>
      </c>
      <c r="H358" s="1" t="s">
        <v>529</v>
      </c>
    </row>
    <row r="359" spans="1:9" ht="12.75" x14ac:dyDescent="0.2">
      <c r="A359" s="39">
        <v>42564.463659861111</v>
      </c>
      <c r="F359" s="1" t="s">
        <v>92</v>
      </c>
      <c r="G359" s="1">
        <v>42</v>
      </c>
      <c r="H359" s="1" t="s">
        <v>529</v>
      </c>
    </row>
    <row r="360" spans="1:9" ht="12.75" x14ac:dyDescent="0.2">
      <c r="A360" s="39">
        <v>42564.463775856479</v>
      </c>
      <c r="F360" s="1" t="s">
        <v>92</v>
      </c>
      <c r="G360" s="1">
        <v>40</v>
      </c>
      <c r="H360" s="1" t="s">
        <v>529</v>
      </c>
    </row>
    <row r="361" spans="1:9" ht="12.75" x14ac:dyDescent="0.2">
      <c r="A361" s="39">
        <v>42564.463902800926</v>
      </c>
      <c r="F361" s="1" t="s">
        <v>92</v>
      </c>
      <c r="G361" s="1">
        <v>40</v>
      </c>
      <c r="H361" s="1" t="s">
        <v>529</v>
      </c>
    </row>
    <row r="362" spans="1:9" ht="12.75" x14ac:dyDescent="0.2">
      <c r="A362" s="39">
        <v>42564.474323981485</v>
      </c>
      <c r="F362" s="1" t="s">
        <v>130</v>
      </c>
      <c r="G362" s="1">
        <v>979</v>
      </c>
      <c r="H362" s="1" t="s">
        <v>535</v>
      </c>
      <c r="I362" s="1">
        <v>1009</v>
      </c>
    </row>
    <row r="363" spans="1:9" ht="12.75" x14ac:dyDescent="0.2">
      <c r="A363" s="39">
        <v>42564.481260509259</v>
      </c>
      <c r="F363" s="1" t="s">
        <v>23</v>
      </c>
      <c r="G363" s="1">
        <v>12</v>
      </c>
      <c r="H363" s="1" t="s">
        <v>529</v>
      </c>
      <c r="I363" s="1">
        <v>1</v>
      </c>
    </row>
    <row r="364" spans="1:9" ht="12.75" x14ac:dyDescent="0.2">
      <c r="A364" s="39">
        <v>42564.484494374999</v>
      </c>
      <c r="F364" s="1" t="s">
        <v>167</v>
      </c>
      <c r="G364" s="1">
        <v>42</v>
      </c>
      <c r="H364" s="1" t="s">
        <v>529</v>
      </c>
      <c r="I364" s="1">
        <v>2</v>
      </c>
    </row>
    <row r="365" spans="1:9" ht="12.75" x14ac:dyDescent="0.2">
      <c r="A365" s="39">
        <v>42564.484698125001</v>
      </c>
      <c r="F365" s="1" t="s">
        <v>37</v>
      </c>
      <c r="G365" s="1">
        <v>30</v>
      </c>
      <c r="H365" s="1" t="s">
        <v>529</v>
      </c>
      <c r="I365" s="1">
        <v>1</v>
      </c>
    </row>
    <row r="366" spans="1:9" ht="12.75" x14ac:dyDescent="0.2">
      <c r="A366" s="39">
        <v>42564.48490512732</v>
      </c>
      <c r="C366" s="1" t="s">
        <v>67</v>
      </c>
      <c r="D366" s="1">
        <v>35</v>
      </c>
      <c r="E366" s="1">
        <v>1</v>
      </c>
      <c r="H366" s="1" t="s">
        <v>534</v>
      </c>
    </row>
    <row r="367" spans="1:9" ht="12.75" x14ac:dyDescent="0.2">
      <c r="A367" s="39">
        <v>42564.489856342596</v>
      </c>
      <c r="F367" s="1" t="s">
        <v>169</v>
      </c>
      <c r="G367" s="1">
        <v>36</v>
      </c>
      <c r="H367" s="1" t="s">
        <v>529</v>
      </c>
    </row>
    <row r="368" spans="1:9" ht="12.75" x14ac:dyDescent="0.2">
      <c r="A368" s="39">
        <v>42564.49004853009</v>
      </c>
      <c r="F368" s="1" t="s">
        <v>167</v>
      </c>
      <c r="G368" s="1">
        <v>40</v>
      </c>
      <c r="H368" s="1" t="s">
        <v>529</v>
      </c>
    </row>
    <row r="369" spans="1:9" ht="12.75" x14ac:dyDescent="0.2">
      <c r="A369" s="39">
        <v>42564.492654780093</v>
      </c>
      <c r="F369" s="1" t="s">
        <v>167</v>
      </c>
      <c r="G369" s="1">
        <v>41</v>
      </c>
      <c r="H369" s="1" t="s">
        <v>529</v>
      </c>
    </row>
    <row r="370" spans="1:9" ht="12.75" x14ac:dyDescent="0.2">
      <c r="A370" s="39">
        <v>42564.55466893519</v>
      </c>
      <c r="F370" s="1" t="s">
        <v>51</v>
      </c>
      <c r="G370" s="1">
        <v>26</v>
      </c>
      <c r="H370" s="1" t="s">
        <v>529</v>
      </c>
      <c r="I370" s="1">
        <v>2</v>
      </c>
    </row>
    <row r="371" spans="1:9" ht="12.75" x14ac:dyDescent="0.2">
      <c r="A371" s="39">
        <v>42564.560011400463</v>
      </c>
      <c r="C371" s="1" t="s">
        <v>48</v>
      </c>
      <c r="D371" s="1">
        <v>97</v>
      </c>
      <c r="E371" s="1">
        <v>327</v>
      </c>
      <c r="H371" s="1" t="s">
        <v>533</v>
      </c>
    </row>
    <row r="372" spans="1:9" ht="12.75" x14ac:dyDescent="0.2">
      <c r="A372" s="39">
        <v>42564.564286145833</v>
      </c>
      <c r="C372" s="1" t="s">
        <v>163</v>
      </c>
      <c r="D372" s="1">
        <v>166</v>
      </c>
      <c r="E372" s="1">
        <v>1745</v>
      </c>
      <c r="H372" s="1" t="s">
        <v>533</v>
      </c>
    </row>
    <row r="373" spans="1:9" ht="12.75" x14ac:dyDescent="0.2">
      <c r="A373" s="39">
        <v>42564.577147951393</v>
      </c>
      <c r="F373" s="1" t="s">
        <v>156</v>
      </c>
      <c r="G373" s="1">
        <v>34</v>
      </c>
      <c r="H373" s="1" t="s">
        <v>529</v>
      </c>
      <c r="I373" s="1">
        <v>4</v>
      </c>
    </row>
    <row r="374" spans="1:9" ht="12.75" x14ac:dyDescent="0.2">
      <c r="A374" s="39">
        <v>42564.585361377314</v>
      </c>
      <c r="F374" s="1" t="s">
        <v>176</v>
      </c>
      <c r="G374" s="1">
        <v>309</v>
      </c>
      <c r="H374" s="1" t="s">
        <v>535</v>
      </c>
      <c r="I374" s="1">
        <v>353</v>
      </c>
    </row>
    <row r="375" spans="1:9" ht="12.75" x14ac:dyDescent="0.2">
      <c r="A375" s="39">
        <v>42564.595246608791</v>
      </c>
      <c r="F375" s="1" t="s">
        <v>101</v>
      </c>
      <c r="G375" s="1">
        <v>37</v>
      </c>
      <c r="H375" s="1" t="s">
        <v>529</v>
      </c>
      <c r="I375" s="1">
        <v>3</v>
      </c>
    </row>
    <row r="376" spans="1:9" ht="12.75" x14ac:dyDescent="0.2">
      <c r="A376" s="39">
        <v>42564.621301539351</v>
      </c>
      <c r="F376" s="1" t="s">
        <v>117</v>
      </c>
      <c r="G376" s="1">
        <v>10</v>
      </c>
      <c r="H376" s="1" t="s">
        <v>529</v>
      </c>
    </row>
    <row r="377" spans="1:9" ht="12.75" x14ac:dyDescent="0.2">
      <c r="A377" s="39">
        <v>42564.62155585648</v>
      </c>
      <c r="F377" s="1" t="s">
        <v>117</v>
      </c>
      <c r="G377" s="1">
        <v>11</v>
      </c>
      <c r="H377" s="1" t="s">
        <v>529</v>
      </c>
    </row>
    <row r="378" spans="1:9" ht="12.75" x14ac:dyDescent="0.2">
      <c r="A378" s="39">
        <v>42564.624261296296</v>
      </c>
      <c r="F378" s="1" t="s">
        <v>168</v>
      </c>
      <c r="G378" s="1">
        <v>29</v>
      </c>
      <c r="H378" s="1" t="s">
        <v>529</v>
      </c>
      <c r="I378" s="1">
        <v>2</v>
      </c>
    </row>
    <row r="379" spans="1:9" ht="12.75" x14ac:dyDescent="0.2">
      <c r="A379" s="39">
        <v>42564.633396365738</v>
      </c>
      <c r="F379" s="1" t="s">
        <v>175</v>
      </c>
      <c r="G379" s="1">
        <v>30</v>
      </c>
      <c r="H379" s="1" t="s">
        <v>529</v>
      </c>
      <c r="I379" s="1">
        <v>10</v>
      </c>
    </row>
    <row r="380" spans="1:9" ht="12.75" x14ac:dyDescent="0.2">
      <c r="A380" s="39">
        <v>42564.636058379634</v>
      </c>
      <c r="C380" s="1" t="s">
        <v>167</v>
      </c>
      <c r="D380" s="1">
        <v>242</v>
      </c>
      <c r="E380" s="1">
        <v>655</v>
      </c>
      <c r="H380" s="1" t="s">
        <v>533</v>
      </c>
    </row>
    <row r="381" spans="1:9" ht="12.75" x14ac:dyDescent="0.2">
      <c r="A381" s="39">
        <v>42564.638434050925</v>
      </c>
      <c r="C381" s="1" t="s">
        <v>50</v>
      </c>
      <c r="D381" s="1">
        <v>309</v>
      </c>
      <c r="E381" s="1">
        <v>574</v>
      </c>
      <c r="H381" s="1" t="s">
        <v>533</v>
      </c>
    </row>
    <row r="382" spans="1:9" ht="12.75" x14ac:dyDescent="0.2">
      <c r="A382" s="39">
        <v>42564.650027418982</v>
      </c>
      <c r="C382" s="1" t="s">
        <v>168</v>
      </c>
      <c r="D382" s="1">
        <v>450</v>
      </c>
      <c r="E382" s="1">
        <v>900</v>
      </c>
      <c r="H382" s="1" t="s">
        <v>533</v>
      </c>
    </row>
    <row r="383" spans="1:9" ht="12.75" x14ac:dyDescent="0.2">
      <c r="A383" s="39">
        <v>42564.651468240743</v>
      </c>
      <c r="F383" s="1" t="s">
        <v>57</v>
      </c>
      <c r="G383" s="1">
        <v>23</v>
      </c>
      <c r="H383" s="1" t="s">
        <v>529</v>
      </c>
      <c r="I383" s="1">
        <v>2</v>
      </c>
    </row>
    <row r="384" spans="1:9" ht="12.75" x14ac:dyDescent="0.2">
      <c r="A384" s="39">
        <v>42564.653202430556</v>
      </c>
      <c r="F384" s="1" t="s">
        <v>57</v>
      </c>
      <c r="G384" s="1">
        <v>22</v>
      </c>
      <c r="H384" s="1" t="s">
        <v>529</v>
      </c>
      <c r="I384" s="1">
        <v>2</v>
      </c>
    </row>
    <row r="385" spans="1:9" ht="12.75" x14ac:dyDescent="0.2">
      <c r="A385" s="39">
        <v>42564.654542118056</v>
      </c>
      <c r="F385" s="1" t="s">
        <v>158</v>
      </c>
      <c r="G385" s="1">
        <v>31</v>
      </c>
      <c r="H385" s="1" t="s">
        <v>529</v>
      </c>
      <c r="I385" s="1">
        <v>6</v>
      </c>
    </row>
    <row r="386" spans="1:9" ht="12.75" x14ac:dyDescent="0.2">
      <c r="A386" s="39">
        <v>42564.655160486116</v>
      </c>
      <c r="F386" s="1" t="s">
        <v>158</v>
      </c>
      <c r="G386" s="1">
        <v>31</v>
      </c>
      <c r="H386" s="1" t="s">
        <v>529</v>
      </c>
      <c r="I386" s="1">
        <v>4</v>
      </c>
    </row>
    <row r="387" spans="1:9" ht="12.75" x14ac:dyDescent="0.2">
      <c r="A387" s="39">
        <v>42564.66158054398</v>
      </c>
      <c r="F387" s="1" t="s">
        <v>182</v>
      </c>
      <c r="G387" s="1">
        <v>52</v>
      </c>
      <c r="H387" s="1" t="s">
        <v>529</v>
      </c>
      <c r="I387" s="1">
        <v>3</v>
      </c>
    </row>
    <row r="388" spans="1:9" ht="12.75" x14ac:dyDescent="0.2">
      <c r="A388" s="39">
        <v>42564.687512152777</v>
      </c>
      <c r="F388" s="1" t="s">
        <v>159</v>
      </c>
      <c r="G388" s="1">
        <v>565</v>
      </c>
      <c r="H388" s="1" t="s">
        <v>535</v>
      </c>
      <c r="I388" s="1">
        <v>55</v>
      </c>
    </row>
    <row r="389" spans="1:9" ht="12.75" x14ac:dyDescent="0.2">
      <c r="A389" s="39">
        <v>42564.697434502319</v>
      </c>
      <c r="F389" s="1" t="s">
        <v>26</v>
      </c>
      <c r="G389" s="1">
        <v>22</v>
      </c>
      <c r="H389" s="1" t="s">
        <v>529</v>
      </c>
      <c r="I389" s="1">
        <v>2</v>
      </c>
    </row>
    <row r="390" spans="1:9" ht="12.75" x14ac:dyDescent="0.2">
      <c r="A390" s="39">
        <v>42564.702825324071</v>
      </c>
      <c r="F390" s="1" t="s">
        <v>51</v>
      </c>
      <c r="G390" s="1">
        <v>25</v>
      </c>
      <c r="H390" s="1" t="s">
        <v>529</v>
      </c>
      <c r="I390" s="1">
        <v>1</v>
      </c>
    </row>
    <row r="391" spans="1:9" ht="12.75" x14ac:dyDescent="0.2">
      <c r="A391" s="39">
        <v>42564.705832118052</v>
      </c>
      <c r="C391" s="1" t="s">
        <v>48</v>
      </c>
      <c r="D391" s="1">
        <v>158</v>
      </c>
      <c r="E391" s="1">
        <v>355</v>
      </c>
      <c r="H391" s="1" t="s">
        <v>533</v>
      </c>
    </row>
    <row r="392" spans="1:9" ht="12.75" x14ac:dyDescent="0.2">
      <c r="A392" s="39">
        <v>42564.709753761577</v>
      </c>
      <c r="C392" s="1" t="s">
        <v>168</v>
      </c>
      <c r="D392" s="1">
        <v>565</v>
      </c>
      <c r="E392" s="1">
        <v>1171</v>
      </c>
      <c r="H392" s="1" t="s">
        <v>533</v>
      </c>
    </row>
    <row r="393" spans="1:9" ht="12.75" x14ac:dyDescent="0.2">
      <c r="A393" s="39">
        <v>42564.725860011575</v>
      </c>
      <c r="F393" s="1" t="s">
        <v>57</v>
      </c>
      <c r="G393" s="1">
        <v>23</v>
      </c>
      <c r="H393" s="1" t="s">
        <v>529</v>
      </c>
      <c r="I393" s="1">
        <v>1</v>
      </c>
    </row>
    <row r="394" spans="1:9" ht="12.75" x14ac:dyDescent="0.2">
      <c r="A394" s="39">
        <v>42564.736610370368</v>
      </c>
      <c r="F394" s="1" t="s">
        <v>175</v>
      </c>
      <c r="G394" s="1">
        <v>40</v>
      </c>
      <c r="H394" s="1" t="s">
        <v>529</v>
      </c>
    </row>
    <row r="395" spans="1:9" ht="12.75" x14ac:dyDescent="0.2">
      <c r="A395" s="39">
        <v>42564.742296215278</v>
      </c>
      <c r="C395" s="1" t="s">
        <v>57</v>
      </c>
      <c r="D395" s="1">
        <v>323</v>
      </c>
      <c r="E395" s="1">
        <v>712</v>
      </c>
      <c r="H395" s="1" t="s">
        <v>533</v>
      </c>
    </row>
    <row r="396" spans="1:9" ht="12.75" x14ac:dyDescent="0.2">
      <c r="A396" s="39">
        <v>42564.742612592592</v>
      </c>
      <c r="C396" s="1" t="s">
        <v>62</v>
      </c>
      <c r="D396" s="1">
        <v>283</v>
      </c>
      <c r="E396" s="1">
        <v>460</v>
      </c>
      <c r="H396" s="1" t="s">
        <v>533</v>
      </c>
    </row>
    <row r="397" spans="1:9" ht="12.75" x14ac:dyDescent="0.2">
      <c r="A397" s="39">
        <v>42564.743014756939</v>
      </c>
      <c r="C397" s="1" t="s">
        <v>66</v>
      </c>
      <c r="D397" s="1">
        <v>270</v>
      </c>
      <c r="E397" s="1">
        <v>388</v>
      </c>
      <c r="H397" s="1" t="s">
        <v>533</v>
      </c>
    </row>
    <row r="398" spans="1:9" ht="12.75" x14ac:dyDescent="0.2">
      <c r="A398" s="39">
        <v>42564.743409212962</v>
      </c>
      <c r="C398" s="1" t="s">
        <v>50</v>
      </c>
      <c r="D398" s="1">
        <v>257</v>
      </c>
      <c r="E398" s="1">
        <v>485</v>
      </c>
      <c r="H398" s="1" t="s">
        <v>533</v>
      </c>
    </row>
    <row r="399" spans="1:9" ht="12.75" x14ac:dyDescent="0.2">
      <c r="A399" s="39">
        <v>42564.743877835645</v>
      </c>
      <c r="C399" s="1" t="s">
        <v>50</v>
      </c>
      <c r="D399" s="1">
        <v>208</v>
      </c>
      <c r="E399" s="1">
        <v>399</v>
      </c>
      <c r="H399" s="1" t="s">
        <v>533</v>
      </c>
    </row>
    <row r="400" spans="1:9" ht="12.75" x14ac:dyDescent="0.2">
      <c r="A400" s="39">
        <v>42564.744580949075</v>
      </c>
      <c r="C400" s="1" t="s">
        <v>50</v>
      </c>
      <c r="D400" s="1">
        <v>206</v>
      </c>
      <c r="E400" s="1">
        <v>392</v>
      </c>
      <c r="H400" s="1" t="s">
        <v>533</v>
      </c>
    </row>
    <row r="401" spans="1:9" ht="12.75" x14ac:dyDescent="0.2">
      <c r="A401" s="39">
        <v>42564.7448300463</v>
      </c>
      <c r="C401" s="1" t="s">
        <v>50</v>
      </c>
      <c r="D401" s="1">
        <v>189</v>
      </c>
      <c r="E401" s="1">
        <v>343</v>
      </c>
      <c r="H401" s="1" t="s">
        <v>533</v>
      </c>
    </row>
    <row r="402" spans="1:9" ht="12.75" x14ac:dyDescent="0.2">
      <c r="A402" s="39">
        <v>42564.745287881946</v>
      </c>
      <c r="C402" s="1" t="s">
        <v>55</v>
      </c>
      <c r="D402" s="1">
        <v>270</v>
      </c>
      <c r="E402" s="1">
        <v>726</v>
      </c>
      <c r="H402" s="1" t="s">
        <v>533</v>
      </c>
    </row>
    <row r="403" spans="1:9" ht="12.75" x14ac:dyDescent="0.2">
      <c r="A403" s="39">
        <v>42564.745870960644</v>
      </c>
      <c r="C403" s="1" t="s">
        <v>75</v>
      </c>
      <c r="D403" s="1">
        <v>237</v>
      </c>
      <c r="E403" s="1">
        <v>734</v>
      </c>
      <c r="H403" s="1" t="s">
        <v>533</v>
      </c>
    </row>
    <row r="404" spans="1:9" ht="12.75" x14ac:dyDescent="0.2">
      <c r="A404" s="39">
        <v>42564.746559108797</v>
      </c>
      <c r="C404" s="1" t="s">
        <v>80</v>
      </c>
      <c r="D404" s="1">
        <v>374</v>
      </c>
      <c r="E404" s="1">
        <v>737</v>
      </c>
      <c r="H404" s="1" t="s">
        <v>533</v>
      </c>
    </row>
    <row r="405" spans="1:9" ht="12.75" x14ac:dyDescent="0.2">
      <c r="A405" s="39">
        <v>42564.746809212964</v>
      </c>
      <c r="C405" s="1" t="s">
        <v>59</v>
      </c>
      <c r="D405" s="1">
        <v>305</v>
      </c>
      <c r="E405" s="1">
        <v>717</v>
      </c>
      <c r="H405" s="1" t="s">
        <v>533</v>
      </c>
    </row>
    <row r="406" spans="1:9" ht="12.75" x14ac:dyDescent="0.2">
      <c r="A406" s="39">
        <v>42564.747160520834</v>
      </c>
      <c r="C406" s="1" t="s">
        <v>138</v>
      </c>
      <c r="D406" s="1">
        <v>404</v>
      </c>
      <c r="E406" s="1">
        <v>676</v>
      </c>
      <c r="H406" s="1" t="s">
        <v>533</v>
      </c>
    </row>
    <row r="407" spans="1:9" ht="12.75" x14ac:dyDescent="0.2">
      <c r="A407" s="39">
        <v>42564.747470451388</v>
      </c>
      <c r="C407" s="1" t="s">
        <v>90</v>
      </c>
      <c r="D407" s="1">
        <v>329</v>
      </c>
      <c r="E407" s="1">
        <v>713</v>
      </c>
      <c r="H407" s="1" t="s">
        <v>533</v>
      </c>
    </row>
    <row r="408" spans="1:9" ht="12.75" x14ac:dyDescent="0.2">
      <c r="A408" s="39">
        <v>42564.747699131942</v>
      </c>
      <c r="C408" s="1" t="s">
        <v>108</v>
      </c>
      <c r="D408" s="1">
        <v>173</v>
      </c>
      <c r="E408" s="1">
        <v>299</v>
      </c>
      <c r="H408" s="1" t="s">
        <v>533</v>
      </c>
    </row>
    <row r="409" spans="1:9" ht="12.75" x14ac:dyDescent="0.2">
      <c r="A409" s="39">
        <v>42564.74803584491</v>
      </c>
      <c r="C409" s="1" t="s">
        <v>80</v>
      </c>
      <c r="D409" s="1">
        <v>340</v>
      </c>
      <c r="E409" s="1">
        <v>662</v>
      </c>
      <c r="H409" s="1" t="s">
        <v>533</v>
      </c>
    </row>
    <row r="410" spans="1:9" ht="12.75" x14ac:dyDescent="0.2">
      <c r="A410" s="39">
        <v>42564.749348356483</v>
      </c>
      <c r="F410" s="1" t="s">
        <v>75</v>
      </c>
      <c r="G410" s="1">
        <v>28</v>
      </c>
      <c r="H410" s="1" t="s">
        <v>529</v>
      </c>
      <c r="I410" s="1">
        <v>2</v>
      </c>
    </row>
    <row r="411" spans="1:9" ht="12.75" x14ac:dyDescent="0.2">
      <c r="A411" s="39">
        <v>42564.749702199071</v>
      </c>
      <c r="F411" s="1" t="s">
        <v>167</v>
      </c>
      <c r="G411" s="1">
        <v>38</v>
      </c>
      <c r="H411" s="1" t="s">
        <v>529</v>
      </c>
      <c r="I411" s="1">
        <v>2</v>
      </c>
    </row>
    <row r="412" spans="1:9" ht="12.75" x14ac:dyDescent="0.2">
      <c r="A412" s="39">
        <v>42564.749873819441</v>
      </c>
      <c r="F412" s="1" t="s">
        <v>167</v>
      </c>
      <c r="G412" s="1">
        <v>39</v>
      </c>
      <c r="H412" s="1" t="s">
        <v>529</v>
      </c>
      <c r="I412" s="1">
        <v>3</v>
      </c>
    </row>
    <row r="413" spans="1:9" ht="12.75" x14ac:dyDescent="0.2">
      <c r="A413" s="39">
        <v>42564.752031631942</v>
      </c>
      <c r="F413" s="1" t="s">
        <v>55</v>
      </c>
      <c r="G413" s="1">
        <v>23</v>
      </c>
      <c r="H413" s="1" t="s">
        <v>529</v>
      </c>
      <c r="I413" s="1">
        <v>2</v>
      </c>
    </row>
    <row r="414" spans="1:9" ht="12.75" x14ac:dyDescent="0.2">
      <c r="A414" s="39">
        <v>42564.752245173615</v>
      </c>
      <c r="F414" s="1" t="s">
        <v>55</v>
      </c>
      <c r="G414" s="1">
        <v>24</v>
      </c>
      <c r="H414" s="1" t="s">
        <v>529</v>
      </c>
    </row>
    <row r="415" spans="1:9" ht="12.75" x14ac:dyDescent="0.2">
      <c r="A415" s="39">
        <v>42564.765556030092</v>
      </c>
      <c r="F415" s="1" t="s">
        <v>92</v>
      </c>
      <c r="G415" s="1">
        <v>1082</v>
      </c>
      <c r="H415" s="1" t="s">
        <v>535</v>
      </c>
      <c r="I415" s="1">
        <v>89</v>
      </c>
    </row>
    <row r="416" spans="1:9" ht="12.75" x14ac:dyDescent="0.2">
      <c r="A416" s="39">
        <v>42564.769056249999</v>
      </c>
      <c r="C416" s="1" t="s">
        <v>167</v>
      </c>
      <c r="D416" s="1">
        <v>424</v>
      </c>
      <c r="E416" s="1">
        <v>1217</v>
      </c>
      <c r="H416" s="1" t="s">
        <v>533</v>
      </c>
    </row>
    <row r="417" spans="1:9" ht="12.75" x14ac:dyDescent="0.2">
      <c r="A417" s="39">
        <v>42564.771354814817</v>
      </c>
      <c r="F417" s="1" t="s">
        <v>167</v>
      </c>
      <c r="G417" s="1">
        <v>40</v>
      </c>
      <c r="H417" s="1" t="s">
        <v>529</v>
      </c>
      <c r="I417" s="1">
        <v>2</v>
      </c>
    </row>
    <row r="418" spans="1:9" ht="12.75" x14ac:dyDescent="0.2">
      <c r="A418" s="39">
        <v>42564.779321006943</v>
      </c>
      <c r="C418" s="1" t="s">
        <v>50</v>
      </c>
      <c r="D418" s="1">
        <v>47</v>
      </c>
      <c r="E418" s="1">
        <v>87</v>
      </c>
      <c r="H418" s="1" t="s">
        <v>533</v>
      </c>
    </row>
    <row r="419" spans="1:9" ht="12.75" x14ac:dyDescent="0.2">
      <c r="A419" s="39">
        <v>42564.801008645838</v>
      </c>
      <c r="F419" s="1" t="s">
        <v>117</v>
      </c>
      <c r="G419" s="1">
        <v>10</v>
      </c>
      <c r="H419" s="1" t="s">
        <v>529</v>
      </c>
      <c r="I419" s="1">
        <v>1</v>
      </c>
    </row>
    <row r="420" spans="1:9" ht="12.75" x14ac:dyDescent="0.2">
      <c r="A420" s="39">
        <v>42564.804711817131</v>
      </c>
      <c r="F420" s="1" t="s">
        <v>70</v>
      </c>
      <c r="G420" s="1">
        <v>12</v>
      </c>
      <c r="H420" s="1" t="s">
        <v>529</v>
      </c>
    </row>
    <row r="421" spans="1:9" ht="12.75" x14ac:dyDescent="0.2">
      <c r="A421" s="39">
        <v>42564.806378912035</v>
      </c>
      <c r="F421" s="1" t="s">
        <v>76</v>
      </c>
      <c r="G421" s="1">
        <v>15</v>
      </c>
      <c r="H421" s="1" t="s">
        <v>529</v>
      </c>
      <c r="I421" s="1">
        <v>1</v>
      </c>
    </row>
    <row r="422" spans="1:9" ht="12.75" x14ac:dyDescent="0.2">
      <c r="A422" s="39">
        <v>42564.80737451389</v>
      </c>
      <c r="F422" s="1" t="s">
        <v>79</v>
      </c>
      <c r="G422" s="1">
        <v>12</v>
      </c>
      <c r="H422" s="1" t="s">
        <v>529</v>
      </c>
      <c r="I422" s="1">
        <v>1</v>
      </c>
    </row>
    <row r="423" spans="1:9" ht="12.75" x14ac:dyDescent="0.2">
      <c r="A423" s="39">
        <v>42564.821198935184</v>
      </c>
      <c r="F423" s="1" t="s">
        <v>51</v>
      </c>
      <c r="G423" s="1">
        <v>29</v>
      </c>
      <c r="H423" s="1" t="s">
        <v>529</v>
      </c>
      <c r="I423" s="1">
        <v>3</v>
      </c>
    </row>
    <row r="424" spans="1:9" ht="12.75" x14ac:dyDescent="0.2">
      <c r="A424" s="39">
        <v>42564.83688545139</v>
      </c>
      <c r="C424" s="1" t="s">
        <v>50</v>
      </c>
      <c r="D424" s="1">
        <v>154</v>
      </c>
      <c r="E424" s="1">
        <v>286</v>
      </c>
      <c r="H424" s="1" t="s">
        <v>533</v>
      </c>
    </row>
    <row r="425" spans="1:9" ht="12.75" x14ac:dyDescent="0.2">
      <c r="A425" s="39">
        <v>42564.850904606486</v>
      </c>
      <c r="F425" s="1" t="s">
        <v>147</v>
      </c>
      <c r="G425" s="1">
        <v>26</v>
      </c>
      <c r="H425" s="1" t="s">
        <v>529</v>
      </c>
      <c r="I425" s="1">
        <v>2</v>
      </c>
    </row>
    <row r="426" spans="1:9" ht="12.75" x14ac:dyDescent="0.2">
      <c r="A426" s="39">
        <v>42564.858533460647</v>
      </c>
      <c r="C426" s="1" t="s">
        <v>51</v>
      </c>
      <c r="D426" s="1">
        <v>349</v>
      </c>
      <c r="E426" s="1">
        <v>607</v>
      </c>
      <c r="H426" s="1" t="s">
        <v>533</v>
      </c>
    </row>
    <row r="427" spans="1:9" ht="12.75" x14ac:dyDescent="0.2">
      <c r="A427" s="39">
        <v>42564.859527349538</v>
      </c>
      <c r="C427" s="1" t="s">
        <v>51</v>
      </c>
      <c r="D427" s="1">
        <v>235</v>
      </c>
      <c r="E427" s="1">
        <v>508</v>
      </c>
      <c r="H427" s="1" t="s">
        <v>533</v>
      </c>
    </row>
    <row r="428" spans="1:9" ht="12.75" x14ac:dyDescent="0.2">
      <c r="A428" s="39">
        <v>42564.861568460648</v>
      </c>
      <c r="C428" s="1" t="s">
        <v>53</v>
      </c>
      <c r="D428" s="1">
        <v>183</v>
      </c>
      <c r="E428" s="1">
        <v>469</v>
      </c>
      <c r="H428" s="1" t="s">
        <v>533</v>
      </c>
    </row>
    <row r="429" spans="1:9" ht="12.75" x14ac:dyDescent="0.2">
      <c r="A429" s="39">
        <v>42564.861901481483</v>
      </c>
      <c r="C429" s="1" t="s">
        <v>53</v>
      </c>
      <c r="D429" s="1">
        <v>179</v>
      </c>
      <c r="E429" s="1">
        <v>463</v>
      </c>
      <c r="H429" s="1" t="s">
        <v>533</v>
      </c>
    </row>
    <row r="430" spans="1:9" ht="12.75" x14ac:dyDescent="0.2">
      <c r="A430" s="39">
        <v>42564.862273483799</v>
      </c>
      <c r="C430" s="1" t="s">
        <v>53</v>
      </c>
      <c r="D430" s="1">
        <v>147</v>
      </c>
      <c r="E430" s="1">
        <v>398</v>
      </c>
      <c r="H430" s="1" t="s">
        <v>533</v>
      </c>
    </row>
    <row r="431" spans="1:9" ht="12.75" x14ac:dyDescent="0.2">
      <c r="A431" s="39">
        <v>42564.862534942135</v>
      </c>
      <c r="C431" s="1" t="s">
        <v>53</v>
      </c>
      <c r="D431" s="1">
        <v>67</v>
      </c>
      <c r="E431" s="1">
        <v>178</v>
      </c>
      <c r="H431" s="1" t="s">
        <v>533</v>
      </c>
    </row>
    <row r="432" spans="1:9" ht="12.75" x14ac:dyDescent="0.2">
      <c r="A432" s="39">
        <v>42564.865215821759</v>
      </c>
      <c r="C432" s="1" t="s">
        <v>44</v>
      </c>
      <c r="D432" s="1">
        <v>93</v>
      </c>
      <c r="E432" s="1">
        <v>102</v>
      </c>
      <c r="H432" s="1" t="s">
        <v>533</v>
      </c>
    </row>
    <row r="433" spans="1:9" ht="12.75" x14ac:dyDescent="0.2">
      <c r="A433" s="39">
        <v>42564.865394328706</v>
      </c>
      <c r="C433" s="1" t="s">
        <v>44</v>
      </c>
      <c r="D433" s="1">
        <v>92</v>
      </c>
      <c r="E433" s="1">
        <v>100</v>
      </c>
      <c r="H433" s="1" t="s">
        <v>533</v>
      </c>
    </row>
    <row r="434" spans="1:9" ht="12.75" x14ac:dyDescent="0.2">
      <c r="A434" s="39">
        <v>42564.865740439811</v>
      </c>
      <c r="C434" s="1" t="s">
        <v>44</v>
      </c>
      <c r="D434" s="1">
        <v>78</v>
      </c>
      <c r="E434" s="1">
        <v>85</v>
      </c>
      <c r="H434" s="1" t="s">
        <v>533</v>
      </c>
    </row>
    <row r="435" spans="1:9" ht="12.75" x14ac:dyDescent="0.2">
      <c r="A435" s="39">
        <v>42564.865950208332</v>
      </c>
      <c r="C435" s="1" t="s">
        <v>44</v>
      </c>
      <c r="D435" s="1">
        <v>68</v>
      </c>
      <c r="E435" s="1">
        <v>73</v>
      </c>
      <c r="H435" s="1" t="s">
        <v>533</v>
      </c>
    </row>
    <row r="436" spans="1:9" ht="12.75" x14ac:dyDescent="0.2">
      <c r="A436" s="39">
        <v>42564.866359409723</v>
      </c>
      <c r="C436" s="1" t="s">
        <v>82</v>
      </c>
      <c r="D436" s="1">
        <v>216</v>
      </c>
      <c r="E436" s="1">
        <v>401</v>
      </c>
      <c r="H436" s="1" t="s">
        <v>533</v>
      </c>
    </row>
    <row r="437" spans="1:9" ht="12.75" x14ac:dyDescent="0.2">
      <c r="A437" s="39">
        <v>42564.866648171301</v>
      </c>
      <c r="C437" s="1" t="s">
        <v>55</v>
      </c>
      <c r="D437" s="1">
        <v>190</v>
      </c>
      <c r="E437" s="1">
        <v>511</v>
      </c>
      <c r="H437" s="1" t="s">
        <v>533</v>
      </c>
    </row>
    <row r="438" spans="1:9" ht="12.75" x14ac:dyDescent="0.2">
      <c r="A438" s="39">
        <v>42564.866852766208</v>
      </c>
      <c r="C438" s="1" t="s">
        <v>166</v>
      </c>
      <c r="D438" s="1">
        <v>359</v>
      </c>
      <c r="E438" s="1">
        <v>886</v>
      </c>
      <c r="H438" s="1" t="s">
        <v>534</v>
      </c>
    </row>
    <row r="439" spans="1:9" ht="12.75" x14ac:dyDescent="0.2">
      <c r="A439" s="39">
        <v>42564.867066481485</v>
      </c>
      <c r="C439" s="1" t="s">
        <v>166</v>
      </c>
      <c r="D439" s="1">
        <v>194</v>
      </c>
      <c r="E439" s="1">
        <v>484</v>
      </c>
      <c r="H439" s="1" t="s">
        <v>534</v>
      </c>
    </row>
    <row r="440" spans="1:9" ht="12.75" x14ac:dyDescent="0.2">
      <c r="A440" s="39">
        <v>42564.867331122688</v>
      </c>
      <c r="C440" s="1" t="s">
        <v>66</v>
      </c>
      <c r="D440" s="1">
        <v>148</v>
      </c>
      <c r="E440" s="1">
        <v>248</v>
      </c>
      <c r="H440" s="1" t="s">
        <v>533</v>
      </c>
    </row>
    <row r="441" spans="1:9" ht="12.75" x14ac:dyDescent="0.2">
      <c r="A441" s="39">
        <v>42564.867527650465</v>
      </c>
      <c r="C441" s="1" t="s">
        <v>63</v>
      </c>
      <c r="D441" s="1">
        <v>233</v>
      </c>
      <c r="E441" s="1">
        <v>380</v>
      </c>
      <c r="H441" s="1" t="s">
        <v>533</v>
      </c>
    </row>
    <row r="442" spans="1:9" ht="12.75" x14ac:dyDescent="0.2">
      <c r="A442" s="39">
        <v>42564.867775219907</v>
      </c>
      <c r="C442" s="1" t="s">
        <v>130</v>
      </c>
      <c r="D442" s="1">
        <v>286</v>
      </c>
      <c r="E442" s="1">
        <v>595</v>
      </c>
      <c r="H442" s="1" t="s">
        <v>533</v>
      </c>
    </row>
    <row r="443" spans="1:9" ht="12.75" x14ac:dyDescent="0.2">
      <c r="A443" s="39">
        <v>42564.867970324078</v>
      </c>
      <c r="C443" s="1" t="s">
        <v>39</v>
      </c>
      <c r="D443" s="1">
        <v>95</v>
      </c>
      <c r="E443" s="1">
        <v>100</v>
      </c>
      <c r="H443" s="1" t="s">
        <v>533</v>
      </c>
    </row>
    <row r="444" spans="1:9" ht="12.75" x14ac:dyDescent="0.2">
      <c r="A444" s="39">
        <v>42564.868212696761</v>
      </c>
      <c r="C444" s="1" t="s">
        <v>50</v>
      </c>
      <c r="D444" s="1">
        <v>215</v>
      </c>
      <c r="E444" s="1">
        <v>403</v>
      </c>
      <c r="H444" s="1" t="s">
        <v>533</v>
      </c>
    </row>
    <row r="445" spans="1:9" ht="12.75" x14ac:dyDescent="0.2">
      <c r="A445" s="39">
        <v>42564.868433518517</v>
      </c>
      <c r="C445" s="1" t="s">
        <v>50</v>
      </c>
      <c r="D445" s="1">
        <v>182</v>
      </c>
      <c r="E445" s="1">
        <v>341</v>
      </c>
      <c r="H445" s="1" t="s">
        <v>533</v>
      </c>
    </row>
    <row r="446" spans="1:9" ht="12.75" x14ac:dyDescent="0.2">
      <c r="A446" s="39">
        <v>42564.8686700463</v>
      </c>
      <c r="C446" s="1" t="s">
        <v>50</v>
      </c>
      <c r="D446" s="1">
        <v>179</v>
      </c>
      <c r="E446" s="1">
        <v>339</v>
      </c>
      <c r="H446" s="1" t="s">
        <v>533</v>
      </c>
    </row>
    <row r="447" spans="1:9" ht="12.75" x14ac:dyDescent="0.2">
      <c r="A447" s="39">
        <v>42564.868992638891</v>
      </c>
      <c r="C447" s="1" t="s">
        <v>51</v>
      </c>
      <c r="D447" s="1">
        <v>403</v>
      </c>
      <c r="E447" s="1">
        <v>710</v>
      </c>
      <c r="H447" s="1" t="s">
        <v>533</v>
      </c>
    </row>
    <row r="448" spans="1:9" ht="12.75" x14ac:dyDescent="0.2">
      <c r="A448" s="39">
        <v>42564.912548425928</v>
      </c>
      <c r="F448" s="1" t="s">
        <v>96</v>
      </c>
      <c r="G448" s="1">
        <v>0</v>
      </c>
      <c r="H448" s="1" t="s">
        <v>535</v>
      </c>
      <c r="I448" s="1">
        <v>0</v>
      </c>
    </row>
    <row r="449" spans="1:9" ht="12.75" x14ac:dyDescent="0.2">
      <c r="A449" s="39">
        <v>42564.916367592596</v>
      </c>
      <c r="C449" s="1" t="s">
        <v>51</v>
      </c>
      <c r="D449" s="1">
        <v>217</v>
      </c>
      <c r="E449" s="1">
        <v>379</v>
      </c>
      <c r="H449" s="1" t="s">
        <v>533</v>
      </c>
    </row>
    <row r="450" spans="1:9" ht="12.75" x14ac:dyDescent="0.2">
      <c r="A450" s="39">
        <v>42564.919271087958</v>
      </c>
      <c r="F450" s="1" t="s">
        <v>102</v>
      </c>
      <c r="G450" s="1">
        <v>352</v>
      </c>
      <c r="H450" s="1" t="s">
        <v>535</v>
      </c>
      <c r="I450" s="1">
        <v>3</v>
      </c>
    </row>
    <row r="451" spans="1:9" ht="12.75" x14ac:dyDescent="0.2">
      <c r="A451" s="39">
        <v>42564.943752800929</v>
      </c>
      <c r="F451" s="1" t="s">
        <v>110</v>
      </c>
      <c r="G451" s="1">
        <v>21</v>
      </c>
      <c r="H451" s="1" t="s">
        <v>529</v>
      </c>
      <c r="I451" s="1">
        <v>2</v>
      </c>
    </row>
    <row r="452" spans="1:9" ht="12.75" x14ac:dyDescent="0.2">
      <c r="A452" s="39">
        <v>42564.959252175926</v>
      </c>
      <c r="F452" s="1" t="s">
        <v>110</v>
      </c>
      <c r="G452" s="1">
        <v>21</v>
      </c>
      <c r="H452" s="1" t="s">
        <v>529</v>
      </c>
      <c r="I452" s="1">
        <v>2</v>
      </c>
    </row>
    <row r="453" spans="1:9" ht="12.75" x14ac:dyDescent="0.2">
      <c r="A453" s="39">
        <v>42564.959512002315</v>
      </c>
      <c r="F453" s="1" t="s">
        <v>110</v>
      </c>
      <c r="G453" s="1">
        <v>22</v>
      </c>
      <c r="H453" s="1" t="s">
        <v>529</v>
      </c>
      <c r="I453" s="1">
        <v>3</v>
      </c>
    </row>
    <row r="454" spans="1:9" ht="12.75" x14ac:dyDescent="0.2">
      <c r="A454" s="39">
        <v>42564.959732523144</v>
      </c>
      <c r="F454" s="1" t="s">
        <v>110</v>
      </c>
      <c r="G454" s="1">
        <v>20</v>
      </c>
      <c r="H454" s="1" t="s">
        <v>529</v>
      </c>
      <c r="I454" s="1">
        <v>2</v>
      </c>
    </row>
    <row r="455" spans="1:9" ht="12.75" x14ac:dyDescent="0.2">
      <c r="A455" s="39">
        <v>42564.967553101851</v>
      </c>
      <c r="C455" s="1" t="s">
        <v>57</v>
      </c>
      <c r="D455" s="1">
        <v>332</v>
      </c>
      <c r="E455" s="1">
        <v>742</v>
      </c>
      <c r="H455" s="1" t="s">
        <v>533</v>
      </c>
    </row>
    <row r="456" spans="1:9" ht="12.75" x14ac:dyDescent="0.2">
      <c r="A456" s="39">
        <v>42564.971162800925</v>
      </c>
      <c r="F456" s="1" t="s">
        <v>49</v>
      </c>
      <c r="G456" s="1">
        <v>92</v>
      </c>
      <c r="H456" s="1" t="s">
        <v>535</v>
      </c>
      <c r="I456" s="1">
        <v>20</v>
      </c>
    </row>
    <row r="457" spans="1:9" ht="12.75" x14ac:dyDescent="0.2">
      <c r="A457" s="39">
        <v>42564.975965370366</v>
      </c>
      <c r="C457" s="1" t="s">
        <v>168</v>
      </c>
      <c r="D457" s="1">
        <v>271</v>
      </c>
      <c r="E457" s="1">
        <v>540</v>
      </c>
      <c r="H457" s="1" t="s">
        <v>533</v>
      </c>
    </row>
    <row r="458" spans="1:9" ht="12.75" x14ac:dyDescent="0.2">
      <c r="A458" s="39">
        <v>42564.998595798606</v>
      </c>
      <c r="C458" s="1" t="s">
        <v>130</v>
      </c>
      <c r="D458" s="1">
        <v>190</v>
      </c>
      <c r="E458" s="1">
        <v>398</v>
      </c>
      <c r="H458" s="1" t="s">
        <v>533</v>
      </c>
    </row>
    <row r="459" spans="1:9" ht="12.75" x14ac:dyDescent="0.2">
      <c r="A459" s="39">
        <v>42565.009587986111</v>
      </c>
      <c r="F459" s="1" t="s">
        <v>57</v>
      </c>
      <c r="G459" s="1">
        <v>22</v>
      </c>
      <c r="H459" s="1" t="s">
        <v>529</v>
      </c>
      <c r="I459" s="1">
        <v>2</v>
      </c>
    </row>
    <row r="460" spans="1:9" ht="12.75" x14ac:dyDescent="0.2">
      <c r="A460" s="39">
        <v>42565.01210925926</v>
      </c>
      <c r="C460" s="1" t="s">
        <v>96</v>
      </c>
      <c r="D460" s="1">
        <v>3</v>
      </c>
      <c r="E460" s="1">
        <v>44</v>
      </c>
      <c r="H460" s="1" t="s">
        <v>534</v>
      </c>
    </row>
    <row r="461" spans="1:9" ht="12.75" x14ac:dyDescent="0.2">
      <c r="A461" s="39">
        <v>42565.021916307873</v>
      </c>
      <c r="F461" s="1" t="s">
        <v>101</v>
      </c>
      <c r="G461" s="1">
        <v>36</v>
      </c>
      <c r="H461" s="1" t="s">
        <v>529</v>
      </c>
    </row>
    <row r="462" spans="1:9" ht="12.75" x14ac:dyDescent="0.2">
      <c r="A462" s="39">
        <v>42565.03860782407</v>
      </c>
      <c r="C462" s="1" t="s">
        <v>145</v>
      </c>
      <c r="D462" s="1">
        <v>514</v>
      </c>
      <c r="E462" s="1">
        <v>987</v>
      </c>
      <c r="H462" s="1" t="s">
        <v>533</v>
      </c>
    </row>
    <row r="463" spans="1:9" ht="12.75" x14ac:dyDescent="0.2">
      <c r="A463" s="39">
        <v>42565.066724942131</v>
      </c>
      <c r="F463" s="1" t="s">
        <v>102</v>
      </c>
      <c r="G463" s="1">
        <v>16</v>
      </c>
      <c r="H463" s="1" t="s">
        <v>529</v>
      </c>
    </row>
    <row r="464" spans="1:9" ht="12.75" x14ac:dyDescent="0.2">
      <c r="A464" s="39">
        <v>42565.071033194443</v>
      </c>
      <c r="F464" s="1" t="s">
        <v>77</v>
      </c>
      <c r="G464" s="1">
        <v>21</v>
      </c>
      <c r="H464" s="1" t="s">
        <v>529</v>
      </c>
    </row>
    <row r="465" spans="1:9" ht="12.75" x14ac:dyDescent="0.2">
      <c r="A465" s="39">
        <v>42565.07151991898</v>
      </c>
      <c r="F465" s="1" t="s">
        <v>176</v>
      </c>
      <c r="G465" s="1">
        <v>46</v>
      </c>
      <c r="H465" s="1" t="s">
        <v>529</v>
      </c>
    </row>
    <row r="466" spans="1:9" ht="12.75" x14ac:dyDescent="0.2">
      <c r="A466" s="39">
        <v>42565.076785138888</v>
      </c>
      <c r="C466" s="1" t="s">
        <v>104</v>
      </c>
      <c r="D466" s="1">
        <v>200</v>
      </c>
      <c r="E466" s="1">
        <v>526</v>
      </c>
      <c r="H466" s="1" t="s">
        <v>533</v>
      </c>
    </row>
    <row r="467" spans="1:9" ht="12.75" x14ac:dyDescent="0.2">
      <c r="A467" s="39">
        <v>42565.079025393519</v>
      </c>
      <c r="F467" s="1" t="s">
        <v>101</v>
      </c>
      <c r="G467" s="1">
        <v>34</v>
      </c>
      <c r="H467" s="1" t="s">
        <v>529</v>
      </c>
    </row>
    <row r="468" spans="1:9" ht="12.75" x14ac:dyDescent="0.2">
      <c r="A468" s="39">
        <v>42565.082590300924</v>
      </c>
      <c r="F468" s="1" t="s">
        <v>101</v>
      </c>
      <c r="G468" s="1">
        <v>34</v>
      </c>
      <c r="H468" s="1" t="s">
        <v>529</v>
      </c>
    </row>
    <row r="469" spans="1:9" ht="12.75" x14ac:dyDescent="0.2">
      <c r="A469" s="39">
        <v>42565.08631564815</v>
      </c>
      <c r="F469" s="1" t="s">
        <v>175</v>
      </c>
      <c r="G469" s="1">
        <v>30</v>
      </c>
      <c r="H469" s="1" t="s">
        <v>529</v>
      </c>
    </row>
    <row r="470" spans="1:9" ht="12.75" x14ac:dyDescent="0.2">
      <c r="A470" s="39">
        <v>42565.092528229172</v>
      </c>
      <c r="F470" s="1" t="s">
        <v>82</v>
      </c>
      <c r="G470" s="1">
        <v>26</v>
      </c>
      <c r="H470" s="1" t="s">
        <v>529</v>
      </c>
    </row>
    <row r="471" spans="1:9" ht="12.75" x14ac:dyDescent="0.2">
      <c r="A471" s="39">
        <v>42565.092994618055</v>
      </c>
      <c r="F471" s="1" t="s">
        <v>88</v>
      </c>
      <c r="G471" s="1">
        <v>31</v>
      </c>
      <c r="H471" s="1" t="s">
        <v>529</v>
      </c>
    </row>
    <row r="472" spans="1:9" ht="12.75" x14ac:dyDescent="0.2">
      <c r="A472" s="39">
        <v>42565.094601921301</v>
      </c>
      <c r="F472" s="1" t="s">
        <v>101</v>
      </c>
      <c r="G472" s="1">
        <v>36</v>
      </c>
      <c r="H472" s="1" t="s">
        <v>529</v>
      </c>
    </row>
    <row r="473" spans="1:9" ht="12.75" x14ac:dyDescent="0.2">
      <c r="A473" s="39">
        <v>42565.094706932869</v>
      </c>
      <c r="F473" s="1" t="s">
        <v>101</v>
      </c>
      <c r="G473" s="1">
        <v>37</v>
      </c>
      <c r="H473" s="1" t="s">
        <v>529</v>
      </c>
    </row>
    <row r="474" spans="1:9" ht="12.75" x14ac:dyDescent="0.2">
      <c r="A474" s="39">
        <v>42565.099351006946</v>
      </c>
      <c r="F474" s="1" t="s">
        <v>92</v>
      </c>
      <c r="G474" s="1">
        <v>30</v>
      </c>
      <c r="H474" s="1" t="s">
        <v>529</v>
      </c>
      <c r="I474" s="1">
        <v>2</v>
      </c>
    </row>
    <row r="475" spans="1:9" ht="12.75" x14ac:dyDescent="0.2">
      <c r="A475" s="39">
        <v>42565.106321354164</v>
      </c>
      <c r="C475" s="1" t="s">
        <v>57</v>
      </c>
      <c r="D475" s="1">
        <v>269</v>
      </c>
      <c r="E475" s="1">
        <v>601</v>
      </c>
      <c r="H475" s="1" t="s">
        <v>533</v>
      </c>
    </row>
    <row r="476" spans="1:9" ht="12.75" x14ac:dyDescent="0.2">
      <c r="A476" s="39">
        <v>42565.110135219904</v>
      </c>
      <c r="C476" s="1" t="s">
        <v>92</v>
      </c>
      <c r="D476" s="1">
        <v>335</v>
      </c>
      <c r="E476" s="1">
        <v>800</v>
      </c>
      <c r="H476" s="1" t="s">
        <v>533</v>
      </c>
    </row>
    <row r="477" spans="1:9" ht="12.75" x14ac:dyDescent="0.2">
      <c r="A477" s="39">
        <v>42565.141604745368</v>
      </c>
      <c r="C477" s="1" t="s">
        <v>167</v>
      </c>
      <c r="D477" s="1">
        <v>238</v>
      </c>
      <c r="E477" s="1">
        <v>640</v>
      </c>
      <c r="H477" s="1" t="s">
        <v>533</v>
      </c>
    </row>
    <row r="478" spans="1:9" ht="12.75" x14ac:dyDescent="0.2">
      <c r="A478" s="39">
        <v>42565.147263530089</v>
      </c>
      <c r="F478" s="1" t="s">
        <v>166</v>
      </c>
      <c r="G478" s="1">
        <v>20</v>
      </c>
      <c r="H478" s="1" t="s">
        <v>529</v>
      </c>
      <c r="I478" s="1">
        <v>3</v>
      </c>
    </row>
    <row r="479" spans="1:9" ht="12.75" x14ac:dyDescent="0.2">
      <c r="A479" s="39">
        <v>42565.152031284721</v>
      </c>
      <c r="F479" s="1" t="s">
        <v>60</v>
      </c>
      <c r="G479" s="1">
        <v>11</v>
      </c>
      <c r="H479" s="1" t="s">
        <v>529</v>
      </c>
      <c r="I479" s="1">
        <v>2</v>
      </c>
    </row>
    <row r="480" spans="1:9" ht="12.75" x14ac:dyDescent="0.2">
      <c r="A480" s="39">
        <v>42565.152834363427</v>
      </c>
      <c r="C480" s="1" t="s">
        <v>92</v>
      </c>
      <c r="D480" s="1">
        <v>360</v>
      </c>
      <c r="E480" s="1">
        <v>780</v>
      </c>
      <c r="H480" s="1" t="s">
        <v>533</v>
      </c>
    </row>
    <row r="481" spans="1:9" ht="12.75" x14ac:dyDescent="0.2">
      <c r="A481" s="39">
        <v>42565.168603761573</v>
      </c>
      <c r="C481" s="1" t="s">
        <v>52</v>
      </c>
      <c r="D481" s="1">
        <v>106</v>
      </c>
      <c r="E481" s="1">
        <v>271</v>
      </c>
      <c r="H481" s="1" t="s">
        <v>533</v>
      </c>
    </row>
    <row r="482" spans="1:9" ht="12.75" x14ac:dyDescent="0.2">
      <c r="A482" s="39">
        <v>42565.174972245368</v>
      </c>
      <c r="C482" s="1" t="s">
        <v>113</v>
      </c>
      <c r="D482" s="1">
        <v>553</v>
      </c>
      <c r="E482" s="1">
        <v>553</v>
      </c>
      <c r="H482" s="1" t="s">
        <v>534</v>
      </c>
    </row>
    <row r="483" spans="1:9" ht="12.75" x14ac:dyDescent="0.2">
      <c r="A483" s="39">
        <v>42565.17513408565</v>
      </c>
      <c r="F483" s="1" t="s">
        <v>129</v>
      </c>
      <c r="G483" s="1">
        <v>644</v>
      </c>
      <c r="H483" s="1" t="s">
        <v>535</v>
      </c>
      <c r="I483" s="1">
        <v>43</v>
      </c>
    </row>
    <row r="484" spans="1:9" ht="12.75" x14ac:dyDescent="0.2">
      <c r="A484" s="39">
        <v>42565.203523599535</v>
      </c>
      <c r="F484" s="1" t="s">
        <v>168</v>
      </c>
      <c r="G484" s="1">
        <v>30</v>
      </c>
      <c r="H484" s="1" t="s">
        <v>529</v>
      </c>
      <c r="I484" s="1">
        <v>2</v>
      </c>
    </row>
    <row r="485" spans="1:9" ht="12.75" x14ac:dyDescent="0.2">
      <c r="A485" s="39">
        <v>42565.204092847227</v>
      </c>
      <c r="F485" s="1" t="s">
        <v>168</v>
      </c>
      <c r="G485" s="1">
        <v>30</v>
      </c>
      <c r="H485" s="1" t="s">
        <v>529</v>
      </c>
      <c r="I485" s="1">
        <v>1</v>
      </c>
    </row>
    <row r="486" spans="1:9" ht="12.75" x14ac:dyDescent="0.2">
      <c r="A486" s="39">
        <v>42565.206130798615</v>
      </c>
      <c r="C486" s="1" t="s">
        <v>53</v>
      </c>
      <c r="D486" s="1">
        <v>174</v>
      </c>
      <c r="E486" s="1">
        <v>456</v>
      </c>
      <c r="H486" s="1" t="s">
        <v>533</v>
      </c>
    </row>
    <row r="487" spans="1:9" ht="12.75" x14ac:dyDescent="0.2">
      <c r="A487" s="39">
        <v>42565.207175682866</v>
      </c>
      <c r="C487" s="1" t="s">
        <v>53</v>
      </c>
      <c r="D487" s="1">
        <v>67</v>
      </c>
      <c r="E487" s="1">
        <v>177</v>
      </c>
      <c r="H487" s="1" t="s">
        <v>533</v>
      </c>
    </row>
    <row r="488" spans="1:9" ht="12.75" x14ac:dyDescent="0.2">
      <c r="A488" s="39">
        <v>42565.209013472224</v>
      </c>
      <c r="C488" s="1" t="s">
        <v>44</v>
      </c>
      <c r="D488" s="1">
        <v>179</v>
      </c>
      <c r="E488" s="1">
        <v>197</v>
      </c>
      <c r="H488" s="1" t="s">
        <v>533</v>
      </c>
    </row>
    <row r="489" spans="1:9" ht="12.75" x14ac:dyDescent="0.2">
      <c r="A489" s="39">
        <v>42565.212161307871</v>
      </c>
      <c r="C489" s="1" t="s">
        <v>50</v>
      </c>
      <c r="D489" s="1">
        <v>175</v>
      </c>
      <c r="E489" s="1">
        <v>334</v>
      </c>
      <c r="H489" s="1" t="s">
        <v>533</v>
      </c>
    </row>
    <row r="490" spans="1:9" ht="12.75" x14ac:dyDescent="0.2">
      <c r="A490" s="39">
        <v>42565.216281215282</v>
      </c>
      <c r="F490" s="1" t="s">
        <v>74</v>
      </c>
      <c r="G490" s="1">
        <v>9</v>
      </c>
      <c r="H490" s="1" t="s">
        <v>529</v>
      </c>
      <c r="I490" s="1">
        <v>1</v>
      </c>
    </row>
    <row r="491" spans="1:9" ht="12.75" x14ac:dyDescent="0.2">
      <c r="A491" s="39">
        <v>42565.229533761572</v>
      </c>
      <c r="F491" s="1" t="s">
        <v>167</v>
      </c>
      <c r="G491" s="1">
        <v>39</v>
      </c>
      <c r="H491" s="1" t="s">
        <v>529</v>
      </c>
    </row>
    <row r="492" spans="1:9" ht="12.75" x14ac:dyDescent="0.2">
      <c r="A492" s="39">
        <v>42565.229709143518</v>
      </c>
      <c r="F492" s="1" t="s">
        <v>92</v>
      </c>
      <c r="G492" s="1">
        <v>41</v>
      </c>
      <c r="H492" s="1" t="s">
        <v>529</v>
      </c>
    </row>
    <row r="493" spans="1:9" ht="12.75" x14ac:dyDescent="0.2">
      <c r="A493" s="39">
        <v>42565.241975879631</v>
      </c>
      <c r="C493" s="1" t="s">
        <v>39</v>
      </c>
      <c r="D493" s="1">
        <v>127</v>
      </c>
      <c r="E493" s="1">
        <v>137</v>
      </c>
      <c r="H493" s="1" t="s">
        <v>533</v>
      </c>
    </row>
    <row r="494" spans="1:9" ht="12.75" x14ac:dyDescent="0.2">
      <c r="A494" s="39">
        <v>42565.243319687499</v>
      </c>
      <c r="F494" s="1" t="s">
        <v>159</v>
      </c>
      <c r="G494" s="1">
        <v>30</v>
      </c>
      <c r="H494" s="1" t="s">
        <v>529</v>
      </c>
      <c r="I494" s="1">
        <v>1</v>
      </c>
    </row>
    <row r="495" spans="1:9" ht="12.75" x14ac:dyDescent="0.2">
      <c r="A495" s="39">
        <v>42565.244086435181</v>
      </c>
      <c r="F495" s="1" t="s">
        <v>159</v>
      </c>
      <c r="G495" s="1">
        <v>30</v>
      </c>
      <c r="H495" s="1" t="s">
        <v>529</v>
      </c>
      <c r="I495" s="1">
        <v>1</v>
      </c>
    </row>
    <row r="496" spans="1:9" ht="12.75" x14ac:dyDescent="0.2">
      <c r="A496" s="39">
        <v>42565.247283217592</v>
      </c>
      <c r="F496" s="1" t="s">
        <v>168</v>
      </c>
      <c r="G496" s="1">
        <v>31</v>
      </c>
      <c r="H496" s="1" t="s">
        <v>529</v>
      </c>
      <c r="I496" s="1">
        <v>2</v>
      </c>
    </row>
    <row r="497" spans="1:9" ht="12.75" x14ac:dyDescent="0.2">
      <c r="A497" s="39">
        <v>42565.247998136576</v>
      </c>
      <c r="F497" s="1" t="s">
        <v>167</v>
      </c>
      <c r="G497" s="1">
        <v>38</v>
      </c>
      <c r="H497" s="1" t="s">
        <v>529</v>
      </c>
    </row>
    <row r="498" spans="1:9" ht="12.75" x14ac:dyDescent="0.2">
      <c r="A498" s="39">
        <v>42565.264533657406</v>
      </c>
      <c r="F498" s="1" t="s">
        <v>49</v>
      </c>
      <c r="G498" s="1">
        <v>12</v>
      </c>
      <c r="H498" s="1" t="s">
        <v>529</v>
      </c>
      <c r="I498" s="1">
        <v>1</v>
      </c>
    </row>
    <row r="499" spans="1:9" ht="12.75" x14ac:dyDescent="0.2">
      <c r="A499" s="39">
        <v>42565.270382696763</v>
      </c>
      <c r="F499" s="1" t="s">
        <v>53</v>
      </c>
      <c r="G499" s="1">
        <v>20</v>
      </c>
      <c r="H499" s="1" t="s">
        <v>529</v>
      </c>
      <c r="I499" s="1">
        <v>2</v>
      </c>
    </row>
    <row r="500" spans="1:9" ht="12.75" x14ac:dyDescent="0.2">
      <c r="A500" s="39">
        <v>42565.284414317124</v>
      </c>
      <c r="F500" s="1" t="s">
        <v>146</v>
      </c>
      <c r="G500" s="1">
        <v>147</v>
      </c>
      <c r="H500" s="1" t="s">
        <v>535</v>
      </c>
      <c r="I500" s="1">
        <v>116</v>
      </c>
    </row>
    <row r="501" spans="1:9" ht="12.75" x14ac:dyDescent="0.2">
      <c r="A501" s="39">
        <v>42565.301391006942</v>
      </c>
      <c r="C501" s="1" t="s">
        <v>48</v>
      </c>
      <c r="D501" s="1">
        <v>180</v>
      </c>
      <c r="E501" s="1">
        <v>250</v>
      </c>
      <c r="H501" s="1" t="s">
        <v>533</v>
      </c>
    </row>
    <row r="502" spans="1:9" ht="12.75" x14ac:dyDescent="0.2">
      <c r="A502" s="39">
        <v>42565.303399270837</v>
      </c>
      <c r="C502" s="1" t="s">
        <v>168</v>
      </c>
      <c r="D502" s="1">
        <v>928</v>
      </c>
      <c r="E502" s="1">
        <v>960</v>
      </c>
      <c r="H502" s="1" t="s">
        <v>534</v>
      </c>
    </row>
    <row r="503" spans="1:9" ht="12.75" x14ac:dyDescent="0.2">
      <c r="A503" s="39">
        <v>42565.321017442126</v>
      </c>
      <c r="C503" s="1" t="s">
        <v>50</v>
      </c>
      <c r="D503" s="1">
        <v>10</v>
      </c>
      <c r="E503" s="1">
        <v>15</v>
      </c>
      <c r="H503" s="1" t="s">
        <v>534</v>
      </c>
    </row>
    <row r="504" spans="1:9" ht="12.75" x14ac:dyDescent="0.2">
      <c r="A504" s="39">
        <v>42565.323504942135</v>
      </c>
      <c r="F504" s="1" t="s">
        <v>149</v>
      </c>
      <c r="G504" s="1">
        <v>11</v>
      </c>
      <c r="H504" s="1" t="s">
        <v>529</v>
      </c>
      <c r="I504" s="1">
        <v>2</v>
      </c>
    </row>
    <row r="505" spans="1:9" ht="12.75" x14ac:dyDescent="0.2">
      <c r="A505" s="39">
        <v>42565.324179363422</v>
      </c>
      <c r="F505" s="1" t="s">
        <v>149</v>
      </c>
      <c r="G505" s="1">
        <v>12</v>
      </c>
      <c r="H505" s="1" t="s">
        <v>529</v>
      </c>
      <c r="I505" s="1">
        <v>2</v>
      </c>
    </row>
    <row r="506" spans="1:9" ht="12.75" x14ac:dyDescent="0.2">
      <c r="A506" s="39">
        <v>42565.340517407407</v>
      </c>
      <c r="F506" s="1" t="s">
        <v>167</v>
      </c>
      <c r="G506" s="1">
        <v>41</v>
      </c>
      <c r="H506" s="1" t="s">
        <v>529</v>
      </c>
      <c r="I506" s="1">
        <v>4</v>
      </c>
    </row>
    <row r="507" spans="1:9" ht="12.75" x14ac:dyDescent="0.2">
      <c r="A507" s="39">
        <v>42565.368322627313</v>
      </c>
      <c r="F507" s="1" t="s">
        <v>167</v>
      </c>
      <c r="G507" s="1">
        <v>40</v>
      </c>
      <c r="H507" s="1" t="s">
        <v>529</v>
      </c>
      <c r="I507" s="1">
        <v>3</v>
      </c>
    </row>
    <row r="508" spans="1:9" ht="12.75" x14ac:dyDescent="0.2">
      <c r="A508" s="39">
        <v>42565.368624340277</v>
      </c>
      <c r="F508" s="1" t="s">
        <v>167</v>
      </c>
      <c r="G508" s="1">
        <v>40</v>
      </c>
      <c r="H508" s="1" t="s">
        <v>529</v>
      </c>
      <c r="I508" s="1">
        <v>2</v>
      </c>
    </row>
    <row r="509" spans="1:9" ht="12.75" x14ac:dyDescent="0.2">
      <c r="A509" s="39">
        <v>42565.373479375005</v>
      </c>
      <c r="F509" s="1" t="s">
        <v>164</v>
      </c>
      <c r="G509" s="1">
        <v>42</v>
      </c>
      <c r="H509" s="1" t="s">
        <v>529</v>
      </c>
    </row>
    <row r="510" spans="1:9" ht="12.75" x14ac:dyDescent="0.2">
      <c r="A510" s="39">
        <v>42565.375091249996</v>
      </c>
      <c r="C510" s="1" t="s">
        <v>130</v>
      </c>
      <c r="D510" s="1">
        <v>550</v>
      </c>
      <c r="E510" s="1">
        <v>1155</v>
      </c>
      <c r="H510" s="1" t="s">
        <v>533</v>
      </c>
    </row>
    <row r="511" spans="1:9" ht="12.75" x14ac:dyDescent="0.2">
      <c r="A511" s="39">
        <v>42565.399441655092</v>
      </c>
      <c r="F511" s="1" t="s">
        <v>160</v>
      </c>
      <c r="G511" s="1">
        <v>31</v>
      </c>
      <c r="H511" s="1" t="s">
        <v>529</v>
      </c>
      <c r="I511" s="1">
        <v>3</v>
      </c>
    </row>
    <row r="512" spans="1:9" ht="12.75" x14ac:dyDescent="0.2">
      <c r="A512" s="39">
        <v>42565.418949791667</v>
      </c>
      <c r="C512" s="1" t="s">
        <v>75</v>
      </c>
      <c r="D512" s="1">
        <v>204</v>
      </c>
      <c r="E512" s="1">
        <v>630</v>
      </c>
      <c r="H512" s="1" t="s">
        <v>533</v>
      </c>
    </row>
    <row r="513" spans="1:9" ht="12.75" x14ac:dyDescent="0.2">
      <c r="A513" s="39">
        <v>42565.435885543979</v>
      </c>
      <c r="C513" s="1" t="s">
        <v>169</v>
      </c>
      <c r="D513" s="1">
        <v>145</v>
      </c>
      <c r="E513" s="1">
        <v>963</v>
      </c>
      <c r="H513" s="1" t="s">
        <v>533</v>
      </c>
    </row>
    <row r="514" spans="1:9" ht="12.75" x14ac:dyDescent="0.2">
      <c r="A514" s="39">
        <v>42565.441941319441</v>
      </c>
      <c r="C514" s="1" t="s">
        <v>49</v>
      </c>
      <c r="D514" s="1">
        <v>293</v>
      </c>
      <c r="E514" s="1">
        <v>552</v>
      </c>
      <c r="H514" s="1" t="s">
        <v>534</v>
      </c>
    </row>
    <row r="515" spans="1:9" ht="12.75" x14ac:dyDescent="0.2">
      <c r="A515" s="39">
        <v>42565.442940497684</v>
      </c>
      <c r="F515" s="1" t="s">
        <v>53</v>
      </c>
      <c r="G515" s="1">
        <v>18</v>
      </c>
      <c r="H515" s="1" t="s">
        <v>529</v>
      </c>
      <c r="I515" s="1">
        <v>1</v>
      </c>
    </row>
    <row r="516" spans="1:9" ht="12.75" x14ac:dyDescent="0.2">
      <c r="A516" s="39">
        <v>42565.445009305557</v>
      </c>
      <c r="F516" s="1" t="s">
        <v>167</v>
      </c>
      <c r="G516" s="1">
        <v>39</v>
      </c>
      <c r="H516" s="1" t="s">
        <v>529</v>
      </c>
      <c r="I516" s="1">
        <v>2</v>
      </c>
    </row>
    <row r="517" spans="1:9" ht="12.75" x14ac:dyDescent="0.2">
      <c r="A517" s="39">
        <v>42565.447014270831</v>
      </c>
      <c r="F517" s="1" t="s">
        <v>39</v>
      </c>
      <c r="G517" s="1">
        <v>24</v>
      </c>
      <c r="H517" s="1" t="s">
        <v>529</v>
      </c>
      <c r="I517" s="1">
        <v>2</v>
      </c>
    </row>
    <row r="518" spans="1:9" ht="12.75" x14ac:dyDescent="0.2">
      <c r="A518" s="39">
        <v>42565.449226562501</v>
      </c>
      <c r="C518" s="1" t="s">
        <v>166</v>
      </c>
      <c r="D518" s="1">
        <v>452</v>
      </c>
      <c r="E518" s="1">
        <v>1251</v>
      </c>
      <c r="H518" s="1" t="s">
        <v>534</v>
      </c>
    </row>
    <row r="519" spans="1:9" ht="12.75" x14ac:dyDescent="0.2">
      <c r="A519" s="39">
        <v>42565.454428807869</v>
      </c>
      <c r="F519" s="1" t="s">
        <v>164</v>
      </c>
      <c r="G519" s="1">
        <v>43</v>
      </c>
      <c r="H519" s="1" t="s">
        <v>529</v>
      </c>
    </row>
    <row r="520" spans="1:9" ht="12.75" x14ac:dyDescent="0.2">
      <c r="A520" s="39">
        <v>42565.473703842596</v>
      </c>
      <c r="F520" s="1" t="s">
        <v>29</v>
      </c>
      <c r="G520" s="1">
        <v>15</v>
      </c>
      <c r="H520" s="1" t="s">
        <v>529</v>
      </c>
    </row>
    <row r="521" spans="1:9" ht="12.75" x14ac:dyDescent="0.2">
      <c r="A521" s="39">
        <v>42565.481920312501</v>
      </c>
      <c r="F521" s="1" t="s">
        <v>92</v>
      </c>
      <c r="G521" s="1">
        <v>6</v>
      </c>
      <c r="H521" s="1" t="s">
        <v>529</v>
      </c>
      <c r="I521" s="1">
        <v>3</v>
      </c>
    </row>
    <row r="522" spans="1:9" ht="12.75" x14ac:dyDescent="0.2">
      <c r="A522" s="39">
        <v>42565.502352129624</v>
      </c>
      <c r="F522" s="1" t="s">
        <v>135</v>
      </c>
      <c r="G522" s="1">
        <v>40</v>
      </c>
      <c r="H522" s="1" t="s">
        <v>539</v>
      </c>
      <c r="I522" s="1">
        <v>2</v>
      </c>
    </row>
    <row r="523" spans="1:9" ht="12.75" x14ac:dyDescent="0.2">
      <c r="A523" s="39">
        <v>42565.505191018514</v>
      </c>
      <c r="F523" s="1" t="s">
        <v>182</v>
      </c>
      <c r="G523" s="1">
        <v>52</v>
      </c>
      <c r="H523" s="1" t="s">
        <v>529</v>
      </c>
    </row>
    <row r="524" spans="1:9" ht="12.75" x14ac:dyDescent="0.2">
      <c r="A524" s="39">
        <v>42565.510581689814</v>
      </c>
      <c r="F524" s="1" t="s">
        <v>92</v>
      </c>
      <c r="G524" s="1">
        <v>41</v>
      </c>
      <c r="H524" s="1" t="s">
        <v>529</v>
      </c>
      <c r="I524" s="1">
        <v>1</v>
      </c>
    </row>
    <row r="525" spans="1:9" ht="12.75" x14ac:dyDescent="0.2">
      <c r="A525" s="39">
        <v>42565.513285138892</v>
      </c>
      <c r="F525" s="1" t="s">
        <v>130</v>
      </c>
      <c r="G525" s="1">
        <v>28</v>
      </c>
      <c r="H525" s="1" t="s">
        <v>529</v>
      </c>
      <c r="I525" s="1">
        <v>2</v>
      </c>
    </row>
    <row r="526" spans="1:9" ht="12.75" x14ac:dyDescent="0.2">
      <c r="A526" s="39">
        <v>42565.514778356483</v>
      </c>
      <c r="F526" s="1" t="s">
        <v>167</v>
      </c>
      <c r="G526" s="1">
        <v>39</v>
      </c>
      <c r="H526" s="1" t="s">
        <v>529</v>
      </c>
      <c r="I526" s="1">
        <v>2</v>
      </c>
    </row>
    <row r="527" spans="1:9" ht="12.75" x14ac:dyDescent="0.2">
      <c r="A527" s="39">
        <v>42565.515321863422</v>
      </c>
      <c r="C527" s="1" t="s">
        <v>111</v>
      </c>
      <c r="D527" s="1">
        <v>608</v>
      </c>
      <c r="E527" s="1">
        <v>892</v>
      </c>
      <c r="H527" s="1" t="s">
        <v>533</v>
      </c>
    </row>
    <row r="528" spans="1:9" ht="12.75" x14ac:dyDescent="0.2">
      <c r="A528" s="39">
        <v>42565.519093518524</v>
      </c>
      <c r="F528" s="1" t="s">
        <v>23</v>
      </c>
      <c r="G528" s="1">
        <v>29</v>
      </c>
      <c r="H528" s="1" t="s">
        <v>535</v>
      </c>
    </row>
    <row r="529" spans="1:9" ht="12.75" x14ac:dyDescent="0.2">
      <c r="A529" s="39">
        <v>42565.519571203702</v>
      </c>
      <c r="C529" s="1" t="s">
        <v>50</v>
      </c>
      <c r="D529" s="1">
        <v>46</v>
      </c>
      <c r="E529" s="1">
        <v>85</v>
      </c>
      <c r="H529" s="1" t="s">
        <v>533</v>
      </c>
    </row>
    <row r="530" spans="1:9" ht="12.75" x14ac:dyDescent="0.2">
      <c r="A530" s="39">
        <v>42565.532075937503</v>
      </c>
      <c r="F530" s="1" t="s">
        <v>164</v>
      </c>
      <c r="G530" s="1">
        <v>41</v>
      </c>
      <c r="H530" s="1" t="s">
        <v>529</v>
      </c>
      <c r="I530" s="1">
        <v>3</v>
      </c>
    </row>
    <row r="531" spans="1:9" ht="12.75" x14ac:dyDescent="0.2">
      <c r="A531" s="39">
        <v>42565.532237858795</v>
      </c>
      <c r="F531" s="1" t="s">
        <v>164</v>
      </c>
      <c r="G531" s="1">
        <v>41</v>
      </c>
      <c r="H531" s="1" t="s">
        <v>529</v>
      </c>
      <c r="I531" s="1">
        <v>2</v>
      </c>
    </row>
    <row r="532" spans="1:9" ht="12.75" x14ac:dyDescent="0.2">
      <c r="A532" s="39">
        <v>42565.532375729163</v>
      </c>
      <c r="F532" s="1" t="s">
        <v>164</v>
      </c>
      <c r="G532" s="1">
        <v>41</v>
      </c>
      <c r="H532" s="1" t="s">
        <v>529</v>
      </c>
      <c r="I532" s="1">
        <v>2</v>
      </c>
    </row>
    <row r="533" spans="1:9" ht="12.75" x14ac:dyDescent="0.2">
      <c r="A533" s="39">
        <v>42565.532553055556</v>
      </c>
      <c r="F533" s="1" t="s">
        <v>164</v>
      </c>
      <c r="G533" s="1">
        <v>41</v>
      </c>
      <c r="H533" s="1" t="s">
        <v>529</v>
      </c>
      <c r="I533" s="1">
        <v>2</v>
      </c>
    </row>
    <row r="534" spans="1:9" ht="12.75" x14ac:dyDescent="0.2">
      <c r="A534" s="39">
        <v>42565.53271565972</v>
      </c>
      <c r="F534" s="1" t="s">
        <v>164</v>
      </c>
      <c r="G534" s="1">
        <v>41</v>
      </c>
      <c r="H534" s="1" t="s">
        <v>529</v>
      </c>
      <c r="I534" s="1">
        <v>2</v>
      </c>
    </row>
    <row r="535" spans="1:9" ht="12.75" x14ac:dyDescent="0.2">
      <c r="A535" s="39">
        <v>42565.532885879627</v>
      </c>
      <c r="F535" s="1" t="s">
        <v>164</v>
      </c>
      <c r="G535" s="1">
        <v>41</v>
      </c>
      <c r="H535" s="1" t="s">
        <v>529</v>
      </c>
      <c r="I535" s="1">
        <v>2</v>
      </c>
    </row>
    <row r="536" spans="1:9" ht="12.75" x14ac:dyDescent="0.2">
      <c r="A536" s="39">
        <v>42565.533035439817</v>
      </c>
      <c r="F536" s="1" t="s">
        <v>164</v>
      </c>
      <c r="G536" s="1">
        <v>41</v>
      </c>
      <c r="H536" s="1" t="s">
        <v>529</v>
      </c>
      <c r="I536" s="1">
        <v>2</v>
      </c>
    </row>
    <row r="537" spans="1:9" ht="12.75" x14ac:dyDescent="0.2">
      <c r="A537" s="39">
        <v>42565.536448750005</v>
      </c>
      <c r="F537" s="1" t="s">
        <v>75</v>
      </c>
      <c r="G537" s="1">
        <v>26</v>
      </c>
      <c r="H537" s="1" t="s">
        <v>529</v>
      </c>
      <c r="I537" s="1">
        <v>1</v>
      </c>
    </row>
    <row r="538" spans="1:9" ht="12.75" x14ac:dyDescent="0.2">
      <c r="A538" s="39">
        <v>42565.54149599537</v>
      </c>
      <c r="F538" s="1" t="s">
        <v>40</v>
      </c>
      <c r="G538" s="1">
        <v>20</v>
      </c>
      <c r="H538" s="1" t="s">
        <v>529</v>
      </c>
      <c r="I538" s="1">
        <v>5</v>
      </c>
    </row>
    <row r="539" spans="1:9" ht="12.75" x14ac:dyDescent="0.2">
      <c r="A539" s="39">
        <v>42565.551625034721</v>
      </c>
      <c r="F539" s="1" t="s">
        <v>64</v>
      </c>
      <c r="G539" s="1">
        <v>32</v>
      </c>
      <c r="H539" s="1" t="s">
        <v>529</v>
      </c>
      <c r="I539" s="1">
        <v>1</v>
      </c>
    </row>
    <row r="540" spans="1:9" ht="12.75" x14ac:dyDescent="0.2">
      <c r="A540" s="39">
        <v>42565.561252708329</v>
      </c>
      <c r="C540" s="1" t="s">
        <v>29</v>
      </c>
      <c r="D540" s="1">
        <v>184</v>
      </c>
      <c r="E540" s="1">
        <v>306</v>
      </c>
      <c r="H540" s="1" t="s">
        <v>534</v>
      </c>
    </row>
    <row r="541" spans="1:9" ht="12.75" x14ac:dyDescent="0.2">
      <c r="A541" s="39">
        <v>42565.576960509265</v>
      </c>
      <c r="F541" s="1" t="s">
        <v>157</v>
      </c>
      <c r="G541" s="1">
        <v>25</v>
      </c>
      <c r="H541" s="1" t="s">
        <v>529</v>
      </c>
    </row>
    <row r="542" spans="1:9" ht="12.75" x14ac:dyDescent="0.2">
      <c r="A542" s="39">
        <v>42565.581940057869</v>
      </c>
      <c r="F542" s="1" t="s">
        <v>92</v>
      </c>
      <c r="G542" s="1">
        <v>42</v>
      </c>
      <c r="H542" s="1" t="s">
        <v>529</v>
      </c>
    </row>
    <row r="543" spans="1:9" ht="12.75" x14ac:dyDescent="0.2">
      <c r="A543" s="39">
        <v>42565.582090601849</v>
      </c>
      <c r="F543" s="1" t="s">
        <v>92</v>
      </c>
      <c r="G543" s="1">
        <v>42</v>
      </c>
      <c r="H543" s="1" t="s">
        <v>529</v>
      </c>
    </row>
    <row r="544" spans="1:9" ht="12.75" x14ac:dyDescent="0.2">
      <c r="A544" s="39">
        <v>42565.600679895833</v>
      </c>
      <c r="F544" s="1" t="s">
        <v>167</v>
      </c>
      <c r="G544" s="1">
        <v>39</v>
      </c>
      <c r="H544" s="1" t="s">
        <v>529</v>
      </c>
      <c r="I544" s="1">
        <v>3</v>
      </c>
    </row>
    <row r="545" spans="1:9" ht="12.75" x14ac:dyDescent="0.2">
      <c r="A545" s="39">
        <v>42565.603178043981</v>
      </c>
      <c r="C545" s="1" t="s">
        <v>44</v>
      </c>
      <c r="D545" s="1">
        <v>98</v>
      </c>
      <c r="E545" s="1">
        <v>106</v>
      </c>
      <c r="H545" s="1" t="s">
        <v>533</v>
      </c>
    </row>
    <row r="546" spans="1:9" ht="12.75" x14ac:dyDescent="0.2">
      <c r="A546" s="39">
        <v>42565.608105810184</v>
      </c>
      <c r="C546" s="1" t="s">
        <v>168</v>
      </c>
      <c r="D546" s="1">
        <v>103</v>
      </c>
      <c r="E546" s="1">
        <v>209</v>
      </c>
      <c r="H546" s="1" t="s">
        <v>533</v>
      </c>
    </row>
    <row r="547" spans="1:9" ht="12.75" x14ac:dyDescent="0.2">
      <c r="A547" s="39">
        <v>42565.6093793287</v>
      </c>
      <c r="C547" s="1" t="s">
        <v>169</v>
      </c>
      <c r="D547" s="1">
        <v>504</v>
      </c>
      <c r="E547" s="1">
        <v>1249</v>
      </c>
      <c r="H547" s="1" t="s">
        <v>533</v>
      </c>
    </row>
    <row r="548" spans="1:9" ht="12.75" x14ac:dyDescent="0.2">
      <c r="A548" s="39">
        <v>42565.619711736115</v>
      </c>
      <c r="C548" s="1" t="s">
        <v>96</v>
      </c>
      <c r="D548" s="1">
        <v>5</v>
      </c>
      <c r="E548" s="1">
        <v>10</v>
      </c>
      <c r="H548" s="1" t="s">
        <v>534</v>
      </c>
    </row>
    <row r="549" spans="1:9" ht="12.75" x14ac:dyDescent="0.2">
      <c r="A549" s="39">
        <v>42565.621632858798</v>
      </c>
      <c r="C549" s="1" t="s">
        <v>125</v>
      </c>
      <c r="D549" s="1">
        <v>343</v>
      </c>
      <c r="E549" s="1">
        <v>600</v>
      </c>
      <c r="H549" s="1" t="s">
        <v>534</v>
      </c>
    </row>
    <row r="550" spans="1:9" ht="12.75" x14ac:dyDescent="0.2">
      <c r="A550" s="39">
        <v>42565.63023141204</v>
      </c>
      <c r="C550" s="1" t="s">
        <v>166</v>
      </c>
      <c r="D550" s="1">
        <v>525</v>
      </c>
      <c r="E550" s="1">
        <v>1318</v>
      </c>
      <c r="H550" s="1" t="s">
        <v>534</v>
      </c>
    </row>
    <row r="551" spans="1:9" ht="12.75" x14ac:dyDescent="0.2">
      <c r="A551" s="39">
        <v>42565.641554131944</v>
      </c>
      <c r="F551" s="1" t="s">
        <v>159</v>
      </c>
      <c r="G551" s="1">
        <v>32</v>
      </c>
      <c r="H551" s="1" t="s">
        <v>529</v>
      </c>
      <c r="I551" s="1">
        <v>1</v>
      </c>
    </row>
    <row r="552" spans="1:9" ht="12.75" x14ac:dyDescent="0.2">
      <c r="A552" s="39">
        <v>42565.649818136575</v>
      </c>
      <c r="F552" s="1" t="s">
        <v>92</v>
      </c>
      <c r="G552" s="1">
        <v>60</v>
      </c>
      <c r="H552" s="1" t="s">
        <v>539</v>
      </c>
      <c r="I552" s="1">
        <v>25</v>
      </c>
    </row>
    <row r="553" spans="1:9" ht="12.75" x14ac:dyDescent="0.2">
      <c r="A553" s="39">
        <v>42565.650689895832</v>
      </c>
      <c r="F553" s="1" t="s">
        <v>49</v>
      </c>
      <c r="G553" s="1">
        <v>6</v>
      </c>
      <c r="H553" s="1" t="s">
        <v>529</v>
      </c>
      <c r="I553" s="1">
        <v>1</v>
      </c>
    </row>
    <row r="554" spans="1:9" ht="12.75" x14ac:dyDescent="0.2">
      <c r="A554" s="39">
        <v>42565.651165347226</v>
      </c>
      <c r="C554" s="1" t="s">
        <v>50</v>
      </c>
      <c r="D554" s="1">
        <v>16</v>
      </c>
      <c r="E554" s="1">
        <v>30</v>
      </c>
      <c r="H554" s="1" t="s">
        <v>534</v>
      </c>
    </row>
    <row r="555" spans="1:9" ht="12.75" x14ac:dyDescent="0.2">
      <c r="A555" s="39">
        <v>42565.658272824076</v>
      </c>
      <c r="C555" s="1" t="s">
        <v>51</v>
      </c>
      <c r="D555" s="1">
        <v>473</v>
      </c>
      <c r="E555" s="1">
        <v>828</v>
      </c>
      <c r="H555" s="1" t="s">
        <v>534</v>
      </c>
    </row>
    <row r="556" spans="1:9" ht="12.75" x14ac:dyDescent="0.2">
      <c r="A556" s="39">
        <v>42565.673696354163</v>
      </c>
      <c r="F556" s="1" t="s">
        <v>92</v>
      </c>
      <c r="G556" s="1">
        <v>43</v>
      </c>
      <c r="H556" s="1" t="s">
        <v>529</v>
      </c>
    </row>
    <row r="557" spans="1:9" ht="12.75" x14ac:dyDescent="0.2">
      <c r="A557" s="39">
        <v>42565.675121388893</v>
      </c>
      <c r="C557" s="1" t="s">
        <v>92</v>
      </c>
      <c r="D557" s="1">
        <v>269</v>
      </c>
      <c r="E557" s="1">
        <v>625</v>
      </c>
      <c r="H557" s="1" t="s">
        <v>533</v>
      </c>
    </row>
    <row r="558" spans="1:9" ht="12.75" x14ac:dyDescent="0.2">
      <c r="A558" s="39">
        <v>42565.679970729165</v>
      </c>
      <c r="C558" s="1" t="s">
        <v>167</v>
      </c>
      <c r="D558" s="1">
        <v>233</v>
      </c>
      <c r="E558" s="1">
        <v>616</v>
      </c>
      <c r="H558" s="1" t="s">
        <v>533</v>
      </c>
    </row>
    <row r="559" spans="1:9" ht="12.75" x14ac:dyDescent="0.2">
      <c r="A559" s="39">
        <v>42565.698222175924</v>
      </c>
      <c r="C559" s="1" t="s">
        <v>44</v>
      </c>
      <c r="D559" s="1">
        <v>112</v>
      </c>
      <c r="E559" s="1">
        <v>116</v>
      </c>
      <c r="H559" s="1" t="s">
        <v>533</v>
      </c>
    </row>
    <row r="560" spans="1:9" ht="12.75" x14ac:dyDescent="0.2">
      <c r="A560" s="39">
        <v>42565.698480520834</v>
      </c>
      <c r="C560" s="1" t="s">
        <v>48</v>
      </c>
      <c r="D560" s="1">
        <v>116</v>
      </c>
      <c r="E560" s="1">
        <v>401</v>
      </c>
      <c r="H560" s="1" t="s">
        <v>533</v>
      </c>
    </row>
    <row r="561" spans="1:9" ht="12.75" x14ac:dyDescent="0.2">
      <c r="A561" s="39">
        <v>42565.698832847222</v>
      </c>
      <c r="F561" s="1" t="s">
        <v>156</v>
      </c>
      <c r="G561" s="1">
        <v>30</v>
      </c>
      <c r="H561" s="1" t="s">
        <v>529</v>
      </c>
      <c r="I561" s="1">
        <v>1</v>
      </c>
    </row>
    <row r="562" spans="1:9" ht="12.75" x14ac:dyDescent="0.2">
      <c r="A562" s="39">
        <v>42565.705577962959</v>
      </c>
      <c r="F562" s="1" t="s">
        <v>153</v>
      </c>
      <c r="G562" s="1">
        <v>12</v>
      </c>
      <c r="H562" s="1" t="s">
        <v>529</v>
      </c>
      <c r="I562" s="1">
        <v>2</v>
      </c>
    </row>
    <row r="563" spans="1:9" ht="12.75" x14ac:dyDescent="0.2">
      <c r="A563" s="39">
        <v>42565.706164363422</v>
      </c>
      <c r="C563" s="1" t="s">
        <v>78</v>
      </c>
      <c r="D563" s="1">
        <v>948</v>
      </c>
      <c r="E563" s="1">
        <v>1415</v>
      </c>
      <c r="H563" s="1" t="s">
        <v>533</v>
      </c>
    </row>
    <row r="564" spans="1:9" ht="12.75" x14ac:dyDescent="0.2">
      <c r="A564" s="39">
        <v>42565.707384861111</v>
      </c>
      <c r="F564" s="1" t="s">
        <v>93</v>
      </c>
      <c r="G564" s="1">
        <v>10</v>
      </c>
      <c r="H564" s="1" t="s">
        <v>529</v>
      </c>
      <c r="I564" s="1">
        <v>2</v>
      </c>
    </row>
    <row r="565" spans="1:9" ht="12.75" x14ac:dyDescent="0.2">
      <c r="A565" s="39">
        <v>42565.70804795139</v>
      </c>
      <c r="F565" s="1" t="s">
        <v>81</v>
      </c>
      <c r="G565" s="1">
        <v>14</v>
      </c>
      <c r="H565" s="1" t="s">
        <v>529</v>
      </c>
      <c r="I565" s="1">
        <v>4</v>
      </c>
    </row>
    <row r="566" spans="1:9" ht="12.75" x14ac:dyDescent="0.2">
      <c r="A566" s="39">
        <v>42565.723450810183</v>
      </c>
      <c r="C566" s="1" t="s">
        <v>63</v>
      </c>
      <c r="D566" s="1">
        <v>295</v>
      </c>
      <c r="E566" s="1">
        <v>492</v>
      </c>
      <c r="H566" s="1" t="s">
        <v>533</v>
      </c>
    </row>
    <row r="567" spans="1:9" ht="12.75" x14ac:dyDescent="0.2">
      <c r="A567" s="39">
        <v>42565.723754999999</v>
      </c>
      <c r="C567" s="1" t="s">
        <v>152</v>
      </c>
      <c r="D567" s="1">
        <v>391</v>
      </c>
      <c r="E567" s="1">
        <v>845</v>
      </c>
      <c r="H567" s="1" t="s">
        <v>533</v>
      </c>
    </row>
    <row r="568" spans="1:9" ht="12.75" x14ac:dyDescent="0.2">
      <c r="A568" s="39">
        <v>42565.724033495368</v>
      </c>
      <c r="C568" s="1" t="s">
        <v>61</v>
      </c>
      <c r="D568" s="1">
        <v>352</v>
      </c>
      <c r="E568" s="1">
        <v>807</v>
      </c>
      <c r="H568" s="1" t="s">
        <v>533</v>
      </c>
    </row>
    <row r="569" spans="1:9" ht="12.75" x14ac:dyDescent="0.2">
      <c r="A569" s="39">
        <v>42565.724277060188</v>
      </c>
      <c r="C569" s="1" t="s">
        <v>41</v>
      </c>
      <c r="D569" s="1">
        <v>206</v>
      </c>
      <c r="E569" s="1">
        <v>224</v>
      </c>
      <c r="H569" s="1" t="s">
        <v>533</v>
      </c>
    </row>
    <row r="570" spans="1:9" ht="12.75" x14ac:dyDescent="0.2">
      <c r="A570" s="39">
        <v>42565.724540798612</v>
      </c>
      <c r="C570" s="1" t="s">
        <v>44</v>
      </c>
      <c r="D570" s="1">
        <v>206</v>
      </c>
      <c r="E570" s="1">
        <v>224</v>
      </c>
      <c r="H570" s="1" t="s">
        <v>533</v>
      </c>
    </row>
    <row r="571" spans="1:9" ht="12.75" x14ac:dyDescent="0.2">
      <c r="A571" s="39">
        <v>42565.730430358795</v>
      </c>
      <c r="C571" s="1" t="s">
        <v>163</v>
      </c>
      <c r="D571" s="1">
        <v>143</v>
      </c>
      <c r="E571" s="1">
        <v>1438</v>
      </c>
      <c r="H571" s="1" t="s">
        <v>533</v>
      </c>
    </row>
    <row r="572" spans="1:9" ht="12.75" x14ac:dyDescent="0.2">
      <c r="A572" s="39">
        <v>42565.730983171292</v>
      </c>
      <c r="F572" s="1" t="s">
        <v>92</v>
      </c>
      <c r="G572" s="1">
        <v>1400</v>
      </c>
      <c r="H572" s="1" t="s">
        <v>535</v>
      </c>
      <c r="I572" s="1">
        <v>1441</v>
      </c>
    </row>
    <row r="573" spans="1:9" ht="12.75" x14ac:dyDescent="0.2">
      <c r="A573" s="39">
        <v>42565.740619155091</v>
      </c>
      <c r="F573" s="1" t="s">
        <v>176</v>
      </c>
      <c r="G573" s="1">
        <v>46</v>
      </c>
      <c r="H573" s="1" t="s">
        <v>529</v>
      </c>
      <c r="I573" s="1">
        <v>4</v>
      </c>
    </row>
    <row r="574" spans="1:9" ht="12.75" x14ac:dyDescent="0.2">
      <c r="A574" s="39">
        <v>42565.740831296294</v>
      </c>
      <c r="F574" s="1" t="s">
        <v>176</v>
      </c>
      <c r="G574" s="1">
        <v>45</v>
      </c>
      <c r="H574" s="1" t="s">
        <v>529</v>
      </c>
      <c r="I574" s="1">
        <v>4</v>
      </c>
    </row>
    <row r="575" spans="1:9" ht="12.75" x14ac:dyDescent="0.2">
      <c r="A575" s="39">
        <v>42565.741117916667</v>
      </c>
      <c r="F575" s="1" t="s">
        <v>176</v>
      </c>
      <c r="G575" s="1">
        <v>46</v>
      </c>
      <c r="H575" s="1" t="s">
        <v>529</v>
      </c>
      <c r="I575" s="1">
        <v>5</v>
      </c>
    </row>
    <row r="576" spans="1:9" ht="12.75" x14ac:dyDescent="0.2">
      <c r="A576" s="39">
        <v>42565.741401168983</v>
      </c>
      <c r="F576" s="1" t="s">
        <v>176</v>
      </c>
      <c r="G576" s="1">
        <v>46</v>
      </c>
      <c r="H576" s="1" t="s">
        <v>529</v>
      </c>
      <c r="I576" s="1">
        <v>4</v>
      </c>
    </row>
    <row r="577" spans="1:9" ht="12.75" x14ac:dyDescent="0.2">
      <c r="A577" s="39">
        <v>42565.741736979166</v>
      </c>
      <c r="F577" s="1" t="s">
        <v>176</v>
      </c>
      <c r="G577" s="1">
        <v>45</v>
      </c>
      <c r="H577" s="1" t="s">
        <v>529</v>
      </c>
      <c r="I577" s="1">
        <v>3</v>
      </c>
    </row>
    <row r="578" spans="1:9" ht="12.75" x14ac:dyDescent="0.2">
      <c r="A578" s="39">
        <v>42565.742072511573</v>
      </c>
      <c r="C578" s="1" t="s">
        <v>75</v>
      </c>
      <c r="D578" s="1">
        <v>230</v>
      </c>
      <c r="E578" s="1">
        <v>744</v>
      </c>
      <c r="H578" s="1" t="s">
        <v>533</v>
      </c>
    </row>
    <row r="579" spans="1:9" ht="12.75" x14ac:dyDescent="0.2">
      <c r="A579" s="39">
        <v>42565.743528240739</v>
      </c>
      <c r="F579" s="1" t="s">
        <v>75</v>
      </c>
      <c r="G579" s="1">
        <v>26</v>
      </c>
      <c r="H579" s="1" t="s">
        <v>529</v>
      </c>
      <c r="I579" s="1">
        <v>1</v>
      </c>
    </row>
    <row r="580" spans="1:9" ht="12.75" x14ac:dyDescent="0.2">
      <c r="A580" s="39">
        <v>42565.748579872685</v>
      </c>
      <c r="C580" s="1" t="s">
        <v>57</v>
      </c>
      <c r="D580" s="1">
        <v>600</v>
      </c>
      <c r="E580" s="1">
        <v>900</v>
      </c>
      <c r="H580" s="1" t="s">
        <v>533</v>
      </c>
    </row>
    <row r="581" spans="1:9" ht="12.75" x14ac:dyDescent="0.2">
      <c r="A581" s="39">
        <v>42565.749063402778</v>
      </c>
      <c r="C581" s="1" t="s">
        <v>51</v>
      </c>
      <c r="D581" s="1">
        <v>87</v>
      </c>
      <c r="E581" s="1">
        <v>148</v>
      </c>
      <c r="H581" s="1" t="s">
        <v>533</v>
      </c>
    </row>
    <row r="582" spans="1:9" ht="12.75" x14ac:dyDescent="0.2">
      <c r="A582" s="39">
        <v>42565.772909930558</v>
      </c>
      <c r="C582" s="1" t="s">
        <v>163</v>
      </c>
      <c r="D582" s="1">
        <v>137</v>
      </c>
      <c r="E582" s="1">
        <v>1445</v>
      </c>
      <c r="H582" s="1" t="s">
        <v>533</v>
      </c>
    </row>
    <row r="583" spans="1:9" ht="12.75" x14ac:dyDescent="0.2">
      <c r="A583" s="39">
        <v>42565.787981331014</v>
      </c>
      <c r="C583" s="1" t="s">
        <v>49</v>
      </c>
      <c r="D583" s="1">
        <v>42</v>
      </c>
      <c r="E583" s="1">
        <v>80</v>
      </c>
      <c r="H583" s="1" t="s">
        <v>534</v>
      </c>
    </row>
    <row r="584" spans="1:9" ht="12.75" x14ac:dyDescent="0.2">
      <c r="A584" s="39">
        <v>42565.816382974532</v>
      </c>
      <c r="C584" s="1" t="s">
        <v>50</v>
      </c>
      <c r="D584" s="1">
        <v>98</v>
      </c>
      <c r="E584" s="1">
        <v>183</v>
      </c>
      <c r="H584" s="1" t="s">
        <v>533</v>
      </c>
    </row>
    <row r="585" spans="1:9" ht="12.75" x14ac:dyDescent="0.2">
      <c r="A585" s="39">
        <v>42565.816609305555</v>
      </c>
      <c r="C585" s="1" t="s">
        <v>50</v>
      </c>
      <c r="D585" s="1">
        <v>97</v>
      </c>
      <c r="E585" s="1">
        <v>181</v>
      </c>
      <c r="H585" s="1" t="s">
        <v>533</v>
      </c>
    </row>
    <row r="586" spans="1:9" ht="12.75" x14ac:dyDescent="0.2">
      <c r="A586" s="39">
        <v>42565.81739084491</v>
      </c>
      <c r="C586" s="1" t="s">
        <v>50</v>
      </c>
      <c r="D586" s="1">
        <v>23</v>
      </c>
      <c r="E586" s="1">
        <v>45</v>
      </c>
      <c r="H586" s="1" t="s">
        <v>533</v>
      </c>
    </row>
    <row r="587" spans="1:9" ht="12.75" x14ac:dyDescent="0.2">
      <c r="A587" s="39">
        <v>42565.818141180556</v>
      </c>
      <c r="C587" s="1" t="s">
        <v>50</v>
      </c>
      <c r="D587" s="1">
        <v>25</v>
      </c>
      <c r="E587" s="1">
        <v>47</v>
      </c>
      <c r="H587" s="1" t="s">
        <v>533</v>
      </c>
    </row>
    <row r="588" spans="1:9" ht="12.75" x14ac:dyDescent="0.2">
      <c r="A588" s="39">
        <v>42565.84709171296</v>
      </c>
      <c r="F588" s="1" t="s">
        <v>182</v>
      </c>
      <c r="G588" s="1">
        <v>52</v>
      </c>
      <c r="H588" s="1" t="s">
        <v>529</v>
      </c>
    </row>
    <row r="589" spans="1:9" ht="12.75" x14ac:dyDescent="0.2">
      <c r="A589" s="39">
        <v>42565.854772199076</v>
      </c>
      <c r="F589" s="1" t="s">
        <v>168</v>
      </c>
      <c r="G589" s="1">
        <v>886</v>
      </c>
      <c r="H589" s="1" t="s">
        <v>535</v>
      </c>
      <c r="I589" s="1">
        <v>916</v>
      </c>
    </row>
    <row r="590" spans="1:9" ht="12.75" x14ac:dyDescent="0.2">
      <c r="A590" s="39">
        <v>42565.872480231483</v>
      </c>
      <c r="F590" s="1" t="s">
        <v>160</v>
      </c>
      <c r="G590" s="1">
        <v>32</v>
      </c>
      <c r="H590" s="1" t="s">
        <v>529</v>
      </c>
      <c r="I590" s="1">
        <v>2</v>
      </c>
    </row>
    <row r="591" spans="1:9" ht="12.75" x14ac:dyDescent="0.2">
      <c r="A591" s="39">
        <v>42565.877600092594</v>
      </c>
      <c r="F591" s="1" t="s">
        <v>166</v>
      </c>
      <c r="G591" s="1">
        <v>16</v>
      </c>
      <c r="H591" s="1" t="s">
        <v>529</v>
      </c>
      <c r="I591" s="1">
        <v>2</v>
      </c>
    </row>
    <row r="592" spans="1:9" ht="12.75" x14ac:dyDescent="0.2">
      <c r="A592" s="39">
        <v>42565.878666724537</v>
      </c>
      <c r="F592" s="1" t="s">
        <v>171</v>
      </c>
      <c r="G592" s="1">
        <v>16</v>
      </c>
      <c r="H592" s="1" t="s">
        <v>529</v>
      </c>
      <c r="I592" s="1">
        <v>1</v>
      </c>
    </row>
    <row r="593" spans="1:9" ht="12.75" x14ac:dyDescent="0.2">
      <c r="A593" s="39">
        <v>42565.895355324072</v>
      </c>
      <c r="F593" s="1" t="s">
        <v>31</v>
      </c>
      <c r="G593" s="1">
        <v>23</v>
      </c>
      <c r="H593" s="1" t="s">
        <v>529</v>
      </c>
      <c r="I593" s="1">
        <v>1</v>
      </c>
    </row>
    <row r="594" spans="1:9" ht="12.75" x14ac:dyDescent="0.2">
      <c r="A594" s="39">
        <v>42565.897238634258</v>
      </c>
      <c r="F594" s="1" t="s">
        <v>44</v>
      </c>
      <c r="G594" s="1">
        <v>6</v>
      </c>
      <c r="H594" s="1" t="s">
        <v>529</v>
      </c>
      <c r="I594" s="1">
        <v>1</v>
      </c>
    </row>
    <row r="595" spans="1:9" ht="12.75" x14ac:dyDescent="0.2">
      <c r="A595" s="39">
        <v>42565.899661064817</v>
      </c>
      <c r="C595" s="1" t="s">
        <v>168</v>
      </c>
      <c r="D595" s="1">
        <v>678</v>
      </c>
      <c r="E595" s="1">
        <v>707</v>
      </c>
      <c r="H595" s="1" t="s">
        <v>533</v>
      </c>
    </row>
    <row r="596" spans="1:9" ht="12.75" x14ac:dyDescent="0.2">
      <c r="A596" s="39">
        <v>42565.919627685187</v>
      </c>
      <c r="F596" s="1" t="s">
        <v>48</v>
      </c>
      <c r="G596" s="1">
        <v>19</v>
      </c>
      <c r="H596" s="1" t="s">
        <v>529</v>
      </c>
      <c r="I596" s="1">
        <v>2</v>
      </c>
    </row>
    <row r="597" spans="1:9" ht="12.75" x14ac:dyDescent="0.2">
      <c r="A597" s="39">
        <v>42565.922984282406</v>
      </c>
      <c r="C597" s="1" t="s">
        <v>92</v>
      </c>
      <c r="D597" s="1">
        <v>90</v>
      </c>
      <c r="E597" s="1">
        <v>900</v>
      </c>
      <c r="H597" s="1" t="s">
        <v>533</v>
      </c>
    </row>
    <row r="598" spans="1:9" ht="12.75" x14ac:dyDescent="0.2">
      <c r="A598" s="39">
        <v>42565.929109710647</v>
      </c>
      <c r="F598" s="1" t="s">
        <v>69</v>
      </c>
      <c r="G598" s="1">
        <v>31</v>
      </c>
      <c r="H598" s="1" t="s">
        <v>529</v>
      </c>
      <c r="I598" s="1">
        <v>1</v>
      </c>
    </row>
    <row r="599" spans="1:9" ht="12.75" x14ac:dyDescent="0.2">
      <c r="A599" s="39">
        <v>42565.929748935188</v>
      </c>
      <c r="F599" s="1" t="s">
        <v>69</v>
      </c>
      <c r="G599" s="1">
        <v>31</v>
      </c>
      <c r="H599" s="1" t="s">
        <v>529</v>
      </c>
      <c r="I599" s="1">
        <v>2</v>
      </c>
    </row>
    <row r="600" spans="1:9" ht="12.75" x14ac:dyDescent="0.2">
      <c r="A600" s="39">
        <v>42565.953687349538</v>
      </c>
      <c r="C600" s="1" t="s">
        <v>169</v>
      </c>
      <c r="D600" s="1">
        <v>514</v>
      </c>
      <c r="E600" s="1">
        <v>1178</v>
      </c>
      <c r="H600" s="1" t="s">
        <v>533</v>
      </c>
    </row>
    <row r="601" spans="1:9" ht="12.75" x14ac:dyDescent="0.2">
      <c r="A601" s="39">
        <v>42565.969242465275</v>
      </c>
      <c r="F601" s="1" t="s">
        <v>69</v>
      </c>
      <c r="G601" s="1">
        <v>32</v>
      </c>
      <c r="H601" s="1" t="s">
        <v>529</v>
      </c>
      <c r="I601" s="1">
        <v>2</v>
      </c>
    </row>
    <row r="602" spans="1:9" ht="12.75" x14ac:dyDescent="0.2">
      <c r="A602" s="39">
        <v>42565.974891087964</v>
      </c>
      <c r="C602" s="1" t="s">
        <v>96</v>
      </c>
      <c r="D602" s="1">
        <v>350</v>
      </c>
      <c r="E602" s="1">
        <v>666</v>
      </c>
      <c r="H602" s="1" t="s">
        <v>533</v>
      </c>
    </row>
    <row r="603" spans="1:9" ht="12.75" x14ac:dyDescent="0.2">
      <c r="A603" s="39">
        <v>42565.97637517361</v>
      </c>
      <c r="C603" s="1" t="s">
        <v>75</v>
      </c>
      <c r="D603" s="1">
        <v>209</v>
      </c>
      <c r="E603" s="1">
        <v>663</v>
      </c>
      <c r="H603" s="1" t="s">
        <v>533</v>
      </c>
    </row>
    <row r="604" spans="1:9" ht="12.75" x14ac:dyDescent="0.2">
      <c r="A604" s="39">
        <v>42565.984709004631</v>
      </c>
      <c r="C604" s="1" t="s">
        <v>69</v>
      </c>
      <c r="D604" s="1">
        <v>541</v>
      </c>
      <c r="E604" s="1">
        <v>741</v>
      </c>
      <c r="H604" s="1" t="s">
        <v>533</v>
      </c>
    </row>
    <row r="605" spans="1:9" ht="12.75" x14ac:dyDescent="0.2">
      <c r="A605" s="39">
        <v>42565.987580034722</v>
      </c>
      <c r="F605" s="1" t="s">
        <v>69</v>
      </c>
      <c r="G605" s="1">
        <v>31</v>
      </c>
      <c r="H605" s="1" t="s">
        <v>529</v>
      </c>
      <c r="I605" s="1">
        <v>1</v>
      </c>
    </row>
    <row r="606" spans="1:9" ht="12.75" x14ac:dyDescent="0.2">
      <c r="A606" s="39">
        <v>42566.008435439813</v>
      </c>
      <c r="F606" s="1" t="s">
        <v>107</v>
      </c>
      <c r="G606" s="1">
        <v>45</v>
      </c>
      <c r="H606" s="1" t="s">
        <v>535</v>
      </c>
      <c r="I606" s="1">
        <v>16</v>
      </c>
    </row>
    <row r="607" spans="1:9" ht="12.75" x14ac:dyDescent="0.2">
      <c r="A607" s="39">
        <v>42566.010271215273</v>
      </c>
      <c r="C607" s="1" t="s">
        <v>40</v>
      </c>
      <c r="D607" s="1">
        <v>136</v>
      </c>
      <c r="E607" s="1">
        <v>529</v>
      </c>
      <c r="H607" s="1" t="s">
        <v>533</v>
      </c>
    </row>
    <row r="608" spans="1:9" ht="12.75" x14ac:dyDescent="0.2">
      <c r="A608" s="39">
        <v>42566.011698310183</v>
      </c>
      <c r="C608" s="1" t="s">
        <v>50</v>
      </c>
      <c r="D608" s="1">
        <v>267</v>
      </c>
      <c r="E608" s="1">
        <v>517</v>
      </c>
      <c r="H608" s="1" t="s">
        <v>533</v>
      </c>
    </row>
    <row r="609" spans="1:9" ht="12.75" x14ac:dyDescent="0.2">
      <c r="A609" s="39">
        <v>42566.012525752318</v>
      </c>
      <c r="C609" s="1" t="s">
        <v>51</v>
      </c>
      <c r="D609" s="1">
        <v>517</v>
      </c>
      <c r="E609" s="1">
        <v>928</v>
      </c>
      <c r="H609" s="1" t="s">
        <v>533</v>
      </c>
    </row>
    <row r="610" spans="1:9" ht="12.75" x14ac:dyDescent="0.2">
      <c r="A610" s="39">
        <v>42566.015208483797</v>
      </c>
      <c r="C610" s="1" t="s">
        <v>53</v>
      </c>
      <c r="D610" s="1">
        <v>280</v>
      </c>
      <c r="E610" s="1">
        <v>726</v>
      </c>
      <c r="H610" s="1" t="s">
        <v>533</v>
      </c>
    </row>
    <row r="611" spans="1:9" ht="12.75" x14ac:dyDescent="0.2">
      <c r="A611" s="39">
        <v>42566.015578541672</v>
      </c>
      <c r="C611" s="1" t="s">
        <v>167</v>
      </c>
      <c r="D611" s="1">
        <v>394</v>
      </c>
      <c r="E611" s="1">
        <v>1110</v>
      </c>
      <c r="H611" s="1" t="s">
        <v>533</v>
      </c>
    </row>
    <row r="612" spans="1:9" ht="12.75" x14ac:dyDescent="0.2">
      <c r="A612" s="39">
        <v>42566.015958506949</v>
      </c>
      <c r="C612" s="1" t="s">
        <v>75</v>
      </c>
      <c r="D612" s="1">
        <v>282</v>
      </c>
      <c r="E612" s="1">
        <v>858</v>
      </c>
      <c r="H612" s="1" t="s">
        <v>533</v>
      </c>
    </row>
    <row r="613" spans="1:9" ht="12.75" x14ac:dyDescent="0.2">
      <c r="A613" s="39">
        <v>42566.020467731483</v>
      </c>
      <c r="C613" s="1" t="s">
        <v>94</v>
      </c>
      <c r="D613" s="1">
        <v>230</v>
      </c>
      <c r="E613" s="1">
        <v>403</v>
      </c>
      <c r="H613" s="1" t="s">
        <v>533</v>
      </c>
    </row>
    <row r="614" spans="1:9" ht="12.75" x14ac:dyDescent="0.2">
      <c r="A614" s="39">
        <v>42566.022799259255</v>
      </c>
      <c r="F614" s="1" t="s">
        <v>92</v>
      </c>
      <c r="G614" s="1">
        <v>968</v>
      </c>
      <c r="H614" s="1" t="s">
        <v>535</v>
      </c>
      <c r="I614" s="1">
        <v>925</v>
      </c>
    </row>
    <row r="615" spans="1:9" ht="12.75" x14ac:dyDescent="0.2">
      <c r="A615" s="39">
        <v>42566.024313425922</v>
      </c>
      <c r="F615" s="1" t="s">
        <v>69</v>
      </c>
      <c r="G615" s="1">
        <v>32</v>
      </c>
      <c r="H615" s="1" t="s">
        <v>529</v>
      </c>
      <c r="I615" s="1">
        <v>2</v>
      </c>
    </row>
    <row r="616" spans="1:9" ht="12.75" x14ac:dyDescent="0.2">
      <c r="A616" s="39">
        <v>42566.029251111111</v>
      </c>
      <c r="C616" s="1" t="s">
        <v>168</v>
      </c>
      <c r="D616" s="1">
        <v>364</v>
      </c>
      <c r="E616" s="1">
        <v>364</v>
      </c>
      <c r="H616" s="1" t="s">
        <v>533</v>
      </c>
    </row>
    <row r="617" spans="1:9" ht="12.75" x14ac:dyDescent="0.2">
      <c r="A617" s="39">
        <v>42566.041354097222</v>
      </c>
      <c r="C617" s="1" t="s">
        <v>44</v>
      </c>
      <c r="D617" s="1">
        <v>50</v>
      </c>
      <c r="E617" s="1">
        <v>51</v>
      </c>
      <c r="H617" s="1" t="s">
        <v>533</v>
      </c>
    </row>
    <row r="618" spans="1:9" ht="12.75" x14ac:dyDescent="0.2">
      <c r="A618" s="39">
        <v>42566.071190659721</v>
      </c>
      <c r="C618" s="1" t="s">
        <v>53</v>
      </c>
      <c r="D618" s="1">
        <v>58</v>
      </c>
      <c r="E618" s="1">
        <v>168</v>
      </c>
      <c r="H618" s="1" t="s">
        <v>533</v>
      </c>
    </row>
    <row r="619" spans="1:9" ht="12.75" x14ac:dyDescent="0.2">
      <c r="A619" s="39">
        <v>42566.091164803242</v>
      </c>
      <c r="C619" s="1" t="s">
        <v>181</v>
      </c>
      <c r="D619" s="1">
        <v>153</v>
      </c>
      <c r="E619" s="1">
        <v>398</v>
      </c>
      <c r="H619" s="1" t="s">
        <v>533</v>
      </c>
    </row>
    <row r="620" spans="1:9" ht="12.75" x14ac:dyDescent="0.2">
      <c r="A620" s="39">
        <v>42566.094450960649</v>
      </c>
      <c r="C620" s="1" t="s">
        <v>166</v>
      </c>
      <c r="D620" s="1">
        <v>355</v>
      </c>
      <c r="E620" s="1">
        <v>891</v>
      </c>
      <c r="H620" s="1" t="s">
        <v>534</v>
      </c>
    </row>
    <row r="621" spans="1:9" ht="12.75" x14ac:dyDescent="0.2">
      <c r="A621" s="39">
        <v>42566.096620613425</v>
      </c>
      <c r="F621" s="1" t="s">
        <v>87</v>
      </c>
      <c r="G621" s="1">
        <v>371</v>
      </c>
      <c r="H621" s="1" t="s">
        <v>535</v>
      </c>
      <c r="I621" s="1">
        <v>385</v>
      </c>
    </row>
    <row r="622" spans="1:9" ht="12.75" x14ac:dyDescent="0.2">
      <c r="A622" s="39">
        <v>42566.097287939818</v>
      </c>
      <c r="C622" s="1" t="s">
        <v>88</v>
      </c>
      <c r="D622" s="1">
        <v>385</v>
      </c>
      <c r="E622" s="1">
        <v>867</v>
      </c>
      <c r="H622" s="1" t="s">
        <v>533</v>
      </c>
    </row>
    <row r="623" spans="1:9" ht="12.75" x14ac:dyDescent="0.2">
      <c r="A623" s="39">
        <v>42566.111319479169</v>
      </c>
      <c r="F623" s="1" t="s">
        <v>55</v>
      </c>
      <c r="G623" s="1">
        <v>25</v>
      </c>
      <c r="H623" s="1" t="s">
        <v>529</v>
      </c>
      <c r="I623" s="1">
        <v>2</v>
      </c>
    </row>
    <row r="624" spans="1:9" ht="12.75" x14ac:dyDescent="0.2">
      <c r="A624" s="39">
        <v>42566.11173232639</v>
      </c>
      <c r="F624" s="1" t="s">
        <v>55</v>
      </c>
      <c r="G624" s="1">
        <v>25</v>
      </c>
      <c r="H624" s="1" t="s">
        <v>529</v>
      </c>
      <c r="I624" s="1">
        <v>2</v>
      </c>
    </row>
    <row r="625" spans="1:9" ht="12.75" x14ac:dyDescent="0.2">
      <c r="A625" s="39">
        <v>42566.112074467594</v>
      </c>
      <c r="F625" s="1" t="s">
        <v>55</v>
      </c>
      <c r="G625" s="1">
        <v>25</v>
      </c>
      <c r="H625" s="1" t="s">
        <v>529</v>
      </c>
      <c r="I625" s="1">
        <v>3</v>
      </c>
    </row>
    <row r="626" spans="1:9" ht="12.75" x14ac:dyDescent="0.2">
      <c r="A626" s="39">
        <v>42566.112344456022</v>
      </c>
      <c r="F626" s="1" t="s">
        <v>55</v>
      </c>
      <c r="G626" s="1">
        <v>25</v>
      </c>
      <c r="H626" s="1" t="s">
        <v>529</v>
      </c>
      <c r="I626" s="1">
        <v>2</v>
      </c>
    </row>
    <row r="627" spans="1:9" ht="12.75" x14ac:dyDescent="0.2">
      <c r="A627" s="39">
        <v>42566.11261488426</v>
      </c>
      <c r="F627" s="1" t="s">
        <v>55</v>
      </c>
      <c r="G627" s="1">
        <v>25</v>
      </c>
      <c r="H627" s="1" t="s">
        <v>529</v>
      </c>
      <c r="I627" s="1">
        <v>2</v>
      </c>
    </row>
    <row r="628" spans="1:9" ht="12.75" x14ac:dyDescent="0.2">
      <c r="A628" s="39">
        <v>42566.112935590281</v>
      </c>
      <c r="F628" s="1" t="s">
        <v>55</v>
      </c>
      <c r="G628" s="1">
        <v>24</v>
      </c>
      <c r="H628" s="1" t="s">
        <v>529</v>
      </c>
      <c r="I628" s="1">
        <v>2</v>
      </c>
    </row>
    <row r="629" spans="1:9" ht="12.75" x14ac:dyDescent="0.2">
      <c r="A629" s="39">
        <v>42566.113185335649</v>
      </c>
      <c r="F629" s="1" t="s">
        <v>55</v>
      </c>
      <c r="G629" s="1">
        <v>25</v>
      </c>
      <c r="H629" s="1" t="s">
        <v>529</v>
      </c>
      <c r="I629" s="1">
        <v>2</v>
      </c>
    </row>
    <row r="630" spans="1:9" ht="12.75" x14ac:dyDescent="0.2">
      <c r="A630" s="39">
        <v>42566.113462361114</v>
      </c>
      <c r="F630" s="1" t="s">
        <v>55</v>
      </c>
      <c r="G630" s="1">
        <v>25</v>
      </c>
      <c r="H630" s="1" t="s">
        <v>529</v>
      </c>
      <c r="I630" s="1">
        <v>1</v>
      </c>
    </row>
    <row r="631" spans="1:9" ht="12.75" x14ac:dyDescent="0.2">
      <c r="A631" s="39">
        <v>42566.113755995371</v>
      </c>
      <c r="F631" s="1" t="s">
        <v>55</v>
      </c>
      <c r="G631" s="1">
        <v>25</v>
      </c>
      <c r="H631" s="1" t="s">
        <v>529</v>
      </c>
      <c r="I631" s="1">
        <v>2</v>
      </c>
    </row>
    <row r="632" spans="1:9" ht="12.75" x14ac:dyDescent="0.2">
      <c r="A632" s="39">
        <v>42566.114126504632</v>
      </c>
      <c r="F632" s="1" t="s">
        <v>55</v>
      </c>
      <c r="G632" s="1">
        <v>25</v>
      </c>
      <c r="H632" s="1" t="s">
        <v>529</v>
      </c>
      <c r="I632" s="1">
        <v>2</v>
      </c>
    </row>
    <row r="633" spans="1:9" ht="12.75" x14ac:dyDescent="0.2">
      <c r="A633" s="39">
        <v>42566.114512627319</v>
      </c>
      <c r="F633" s="1" t="s">
        <v>55</v>
      </c>
      <c r="G633" s="1">
        <v>25</v>
      </c>
      <c r="H633" s="1" t="s">
        <v>529</v>
      </c>
      <c r="I633" s="1">
        <v>1</v>
      </c>
    </row>
    <row r="634" spans="1:9" ht="12.75" x14ac:dyDescent="0.2">
      <c r="A634" s="39">
        <v>42566.115700347218</v>
      </c>
      <c r="F634" s="1" t="s">
        <v>118</v>
      </c>
      <c r="G634" s="1">
        <v>25</v>
      </c>
      <c r="H634" s="1" t="s">
        <v>529</v>
      </c>
      <c r="I634" s="1">
        <v>2</v>
      </c>
    </row>
    <row r="635" spans="1:9" ht="12.75" x14ac:dyDescent="0.2">
      <c r="A635" s="39">
        <v>42566.115996284723</v>
      </c>
      <c r="F635" s="1" t="s">
        <v>118</v>
      </c>
      <c r="G635" s="1">
        <v>24</v>
      </c>
      <c r="H635" s="1" t="s">
        <v>529</v>
      </c>
      <c r="I635" s="1">
        <v>1</v>
      </c>
    </row>
    <row r="636" spans="1:9" ht="12.75" x14ac:dyDescent="0.2">
      <c r="A636" s="39">
        <v>42566.11626628472</v>
      </c>
      <c r="F636" s="1" t="s">
        <v>118</v>
      </c>
      <c r="G636" s="1">
        <v>25</v>
      </c>
      <c r="H636" s="1" t="s">
        <v>529</v>
      </c>
      <c r="I636" s="1">
        <v>2</v>
      </c>
    </row>
    <row r="637" spans="1:9" ht="12.75" x14ac:dyDescent="0.2">
      <c r="A637" s="39">
        <v>42566.116588229168</v>
      </c>
      <c r="F637" s="1" t="s">
        <v>118</v>
      </c>
      <c r="G637" s="1">
        <v>25</v>
      </c>
      <c r="H637" s="1" t="s">
        <v>529</v>
      </c>
      <c r="I637" s="1">
        <v>2</v>
      </c>
    </row>
    <row r="638" spans="1:9" ht="12.75" x14ac:dyDescent="0.2">
      <c r="A638" s="39">
        <v>42566.11689986111</v>
      </c>
      <c r="F638" s="1" t="s">
        <v>118</v>
      </c>
      <c r="G638" s="1">
        <v>24</v>
      </c>
      <c r="H638" s="1" t="s">
        <v>529</v>
      </c>
      <c r="I638" s="1">
        <v>1</v>
      </c>
    </row>
    <row r="639" spans="1:9" ht="12.75" x14ac:dyDescent="0.2">
      <c r="A639" s="39">
        <v>42566.117155</v>
      </c>
      <c r="F639" s="1" t="s">
        <v>118</v>
      </c>
      <c r="G639" s="1">
        <v>25</v>
      </c>
      <c r="H639" s="1" t="s">
        <v>529</v>
      </c>
      <c r="I639" s="1">
        <v>2</v>
      </c>
    </row>
    <row r="640" spans="1:9" ht="12.75" x14ac:dyDescent="0.2">
      <c r="A640" s="39">
        <v>42566.117448935183</v>
      </c>
      <c r="F640" s="1" t="s">
        <v>118</v>
      </c>
      <c r="G640" s="1">
        <v>25</v>
      </c>
      <c r="H640" s="1" t="s">
        <v>529</v>
      </c>
      <c r="I640" s="1">
        <v>1</v>
      </c>
    </row>
    <row r="641" spans="1:9" ht="12.75" x14ac:dyDescent="0.2">
      <c r="A641" s="39">
        <v>42566.1201233912</v>
      </c>
      <c r="F641" s="1" t="s">
        <v>167</v>
      </c>
      <c r="G641" s="1">
        <v>39</v>
      </c>
      <c r="H641" s="1" t="s">
        <v>529</v>
      </c>
    </row>
    <row r="642" spans="1:9" ht="12.75" x14ac:dyDescent="0.2">
      <c r="A642" s="39">
        <v>42566.163930578703</v>
      </c>
      <c r="F642" s="1" t="s">
        <v>72</v>
      </c>
      <c r="G642" s="1">
        <v>11</v>
      </c>
      <c r="H642" s="1" t="s">
        <v>529</v>
      </c>
      <c r="I642" s="1">
        <v>3</v>
      </c>
    </row>
    <row r="643" spans="1:9" ht="12.75" x14ac:dyDescent="0.2">
      <c r="A643" s="39">
        <v>42566.173979976855</v>
      </c>
      <c r="F643" s="1" t="s">
        <v>175</v>
      </c>
      <c r="G643" s="1">
        <v>30</v>
      </c>
      <c r="H643" s="1" t="s">
        <v>529</v>
      </c>
    </row>
    <row r="644" spans="1:9" ht="12.75" x14ac:dyDescent="0.2">
      <c r="A644" s="39">
        <v>42566.174516770829</v>
      </c>
      <c r="F644" s="1" t="s">
        <v>53</v>
      </c>
      <c r="G644" s="1">
        <v>20</v>
      </c>
      <c r="H644" s="1" t="s">
        <v>529</v>
      </c>
    </row>
    <row r="645" spans="1:9" ht="12.75" x14ac:dyDescent="0.2">
      <c r="A645" s="39">
        <v>42566.17763283565</v>
      </c>
      <c r="F645" s="1" t="s">
        <v>144</v>
      </c>
      <c r="G645" s="1">
        <v>16</v>
      </c>
      <c r="H645" s="1" t="s">
        <v>529</v>
      </c>
      <c r="I645" s="1">
        <v>1</v>
      </c>
    </row>
    <row r="646" spans="1:9" ht="12.75" x14ac:dyDescent="0.2">
      <c r="A646" s="39">
        <v>42566.195728391205</v>
      </c>
      <c r="F646" s="1" t="s">
        <v>108</v>
      </c>
      <c r="G646" s="1">
        <v>28</v>
      </c>
      <c r="H646" s="1" t="s">
        <v>529</v>
      </c>
      <c r="I646" s="1">
        <v>2</v>
      </c>
    </row>
    <row r="647" spans="1:9" ht="12.75" x14ac:dyDescent="0.2">
      <c r="A647" s="39">
        <v>42566.230528368054</v>
      </c>
      <c r="F647" s="1" t="s">
        <v>182</v>
      </c>
      <c r="G647" s="1">
        <v>51</v>
      </c>
      <c r="H647" s="1" t="s">
        <v>529</v>
      </c>
      <c r="I647" s="1">
        <v>2</v>
      </c>
    </row>
    <row r="648" spans="1:9" ht="12.75" x14ac:dyDescent="0.2">
      <c r="A648" s="39">
        <v>42566.258018321758</v>
      </c>
      <c r="F648" s="1" t="s">
        <v>80</v>
      </c>
      <c r="G648" s="1">
        <v>97</v>
      </c>
      <c r="H648" s="1" t="s">
        <v>539</v>
      </c>
      <c r="I648" s="1">
        <v>16</v>
      </c>
    </row>
    <row r="649" spans="1:9" ht="12.75" x14ac:dyDescent="0.2">
      <c r="A649" s="39">
        <v>42566.280758842593</v>
      </c>
      <c r="C649" s="1" t="s">
        <v>35</v>
      </c>
      <c r="D649" s="1">
        <v>315</v>
      </c>
      <c r="E649" s="1">
        <v>515</v>
      </c>
      <c r="H649" s="1" t="s">
        <v>533</v>
      </c>
    </row>
    <row r="650" spans="1:9" ht="12.75" x14ac:dyDescent="0.2">
      <c r="A650" s="39">
        <v>42566.285696979168</v>
      </c>
      <c r="F650" s="1" t="s">
        <v>167</v>
      </c>
      <c r="G650" s="1">
        <v>38</v>
      </c>
      <c r="H650" s="1" t="s">
        <v>529</v>
      </c>
    </row>
    <row r="651" spans="1:9" ht="12.75" x14ac:dyDescent="0.2">
      <c r="A651" s="39">
        <v>42566.324562893518</v>
      </c>
      <c r="F651" s="1" t="s">
        <v>118</v>
      </c>
      <c r="G651" s="1">
        <v>26</v>
      </c>
      <c r="H651" s="1" t="s">
        <v>529</v>
      </c>
      <c r="I651" s="1">
        <v>2</v>
      </c>
    </row>
    <row r="652" spans="1:9" ht="12.75" x14ac:dyDescent="0.2">
      <c r="A652" s="39">
        <v>42566.324797442125</v>
      </c>
      <c r="F652" s="1" t="s">
        <v>164</v>
      </c>
      <c r="G652" s="1">
        <v>42</v>
      </c>
      <c r="H652" s="1" t="s">
        <v>529</v>
      </c>
      <c r="I652" s="1">
        <v>2</v>
      </c>
    </row>
    <row r="653" spans="1:9" ht="12.75" x14ac:dyDescent="0.2">
      <c r="A653" s="39">
        <v>42566.327044027777</v>
      </c>
      <c r="F653" s="1" t="s">
        <v>51</v>
      </c>
      <c r="G653" s="1">
        <v>30</v>
      </c>
      <c r="H653" s="1" t="s">
        <v>529</v>
      </c>
      <c r="I653" s="1">
        <v>3</v>
      </c>
    </row>
    <row r="654" spans="1:9" ht="12.75" x14ac:dyDescent="0.2">
      <c r="A654" s="39">
        <v>42566.36109244213</v>
      </c>
      <c r="C654" s="1" t="s">
        <v>102</v>
      </c>
      <c r="D654" s="1">
        <v>294</v>
      </c>
      <c r="E654" s="1">
        <v>463</v>
      </c>
      <c r="H654" s="1" t="s">
        <v>534</v>
      </c>
    </row>
    <row r="655" spans="1:9" ht="12.75" x14ac:dyDescent="0.2">
      <c r="A655" s="39">
        <v>42566.379015879633</v>
      </c>
      <c r="F655" s="1" t="s">
        <v>175</v>
      </c>
      <c r="G655" s="1">
        <v>30</v>
      </c>
      <c r="H655" s="1" t="s">
        <v>529</v>
      </c>
      <c r="I655" s="1">
        <v>2</v>
      </c>
    </row>
    <row r="656" spans="1:9" ht="12.75" x14ac:dyDescent="0.2">
      <c r="A656" s="39">
        <v>42566.417735798612</v>
      </c>
      <c r="F656" s="1" t="s">
        <v>41</v>
      </c>
      <c r="G656" s="1">
        <v>0</v>
      </c>
      <c r="H656" s="1" t="s">
        <v>535</v>
      </c>
      <c r="I656" s="1">
        <v>0</v>
      </c>
    </row>
    <row r="657" spans="1:9" ht="12.75" x14ac:dyDescent="0.2">
      <c r="A657" s="39">
        <v>42566.417882453708</v>
      </c>
      <c r="F657" s="1" t="s">
        <v>134</v>
      </c>
      <c r="G657" s="1">
        <v>24</v>
      </c>
      <c r="H657" s="1" t="s">
        <v>529</v>
      </c>
      <c r="I657" s="1">
        <v>2</v>
      </c>
    </row>
    <row r="658" spans="1:9" ht="12.75" x14ac:dyDescent="0.2">
      <c r="A658" s="39">
        <v>42566.428706620369</v>
      </c>
      <c r="F658" s="1" t="s">
        <v>167</v>
      </c>
      <c r="G658" s="1">
        <v>39</v>
      </c>
      <c r="H658" s="1" t="s">
        <v>529</v>
      </c>
      <c r="I658" s="1">
        <v>3</v>
      </c>
    </row>
    <row r="659" spans="1:9" ht="12.75" x14ac:dyDescent="0.2">
      <c r="A659" s="39">
        <v>42566.434158888893</v>
      </c>
      <c r="C659" s="1" t="s">
        <v>163</v>
      </c>
      <c r="D659" s="1">
        <v>1754</v>
      </c>
      <c r="E659" s="1">
        <v>1792</v>
      </c>
      <c r="H659" s="1" t="s">
        <v>533</v>
      </c>
    </row>
    <row r="660" spans="1:9" ht="12.75" x14ac:dyDescent="0.2">
      <c r="A660" s="39">
        <v>42566.551642407409</v>
      </c>
      <c r="F660" s="1" t="s">
        <v>167</v>
      </c>
      <c r="G660" s="1">
        <v>41</v>
      </c>
      <c r="H660" s="1" t="s">
        <v>529</v>
      </c>
    </row>
    <row r="661" spans="1:9" ht="12.75" x14ac:dyDescent="0.2">
      <c r="A661" s="39">
        <v>42566.556135046296</v>
      </c>
      <c r="F661" s="1" t="s">
        <v>160</v>
      </c>
      <c r="G661" s="1">
        <v>28</v>
      </c>
      <c r="H661" s="1" t="s">
        <v>529</v>
      </c>
      <c r="I661" s="1">
        <v>1</v>
      </c>
    </row>
    <row r="662" spans="1:9" ht="12.75" x14ac:dyDescent="0.2">
      <c r="A662" s="39">
        <v>42566.556563391205</v>
      </c>
      <c r="F662" s="1" t="s">
        <v>147</v>
      </c>
      <c r="G662" s="1">
        <v>24</v>
      </c>
      <c r="H662" s="1" t="s">
        <v>529</v>
      </c>
      <c r="I662" s="1">
        <v>2</v>
      </c>
    </row>
    <row r="663" spans="1:9" ht="12.75" x14ac:dyDescent="0.2">
      <c r="A663" s="39">
        <v>42566.579536956022</v>
      </c>
      <c r="F663" s="1" t="s">
        <v>88</v>
      </c>
      <c r="G663" s="1">
        <v>34</v>
      </c>
      <c r="H663" s="1" t="s">
        <v>529</v>
      </c>
      <c r="I663" s="1">
        <v>1</v>
      </c>
    </row>
    <row r="664" spans="1:9" ht="12.75" x14ac:dyDescent="0.2">
      <c r="A664" s="39">
        <v>42566.588009259256</v>
      </c>
      <c r="C664" s="1" t="s">
        <v>166</v>
      </c>
      <c r="D664" s="1">
        <v>410</v>
      </c>
      <c r="E664" s="1">
        <v>821</v>
      </c>
      <c r="H664" s="1" t="s">
        <v>534</v>
      </c>
    </row>
    <row r="665" spans="1:9" ht="12.75" x14ac:dyDescent="0.2">
      <c r="A665" s="39">
        <v>42566.589942650462</v>
      </c>
      <c r="C665" s="1" t="s">
        <v>144</v>
      </c>
      <c r="D665" s="1">
        <v>459</v>
      </c>
      <c r="E665" s="1">
        <v>878</v>
      </c>
      <c r="H665" s="1" t="s">
        <v>534</v>
      </c>
    </row>
    <row r="666" spans="1:9" ht="12.75" x14ac:dyDescent="0.2">
      <c r="A666" s="39">
        <v>42566.590388217592</v>
      </c>
      <c r="C666" s="1" t="s">
        <v>137</v>
      </c>
      <c r="D666" s="1">
        <v>395</v>
      </c>
      <c r="E666" s="1">
        <v>652</v>
      </c>
      <c r="H666" s="1" t="s">
        <v>534</v>
      </c>
    </row>
    <row r="667" spans="1:9" ht="12.75" x14ac:dyDescent="0.2">
      <c r="A667" s="39">
        <v>42566.590656307875</v>
      </c>
      <c r="C667" s="1" t="s">
        <v>117</v>
      </c>
      <c r="D667" s="1">
        <v>374</v>
      </c>
      <c r="E667" s="1">
        <v>814</v>
      </c>
      <c r="H667" s="1" t="s">
        <v>534</v>
      </c>
    </row>
    <row r="668" spans="1:9" ht="12.75" x14ac:dyDescent="0.2">
      <c r="A668" s="39">
        <v>42566.591224872682</v>
      </c>
      <c r="C668" s="1" t="s">
        <v>110</v>
      </c>
      <c r="D668" s="1">
        <v>665</v>
      </c>
      <c r="E668" s="1">
        <v>972</v>
      </c>
      <c r="H668" s="1" t="s">
        <v>534</v>
      </c>
    </row>
    <row r="669" spans="1:9" ht="12.75" x14ac:dyDescent="0.2">
      <c r="A669" s="39">
        <v>42566.591644004628</v>
      </c>
      <c r="C669" s="1" t="s">
        <v>107</v>
      </c>
      <c r="D669" s="1">
        <v>314</v>
      </c>
      <c r="E669" s="1">
        <v>541</v>
      </c>
      <c r="H669" s="1" t="s">
        <v>534</v>
      </c>
    </row>
    <row r="670" spans="1:9" ht="12.75" x14ac:dyDescent="0.2">
      <c r="A670" s="39">
        <v>42566.593164467587</v>
      </c>
      <c r="F670" s="1" t="s">
        <v>167</v>
      </c>
      <c r="G670" s="1">
        <v>39</v>
      </c>
      <c r="H670" s="1" t="s">
        <v>529</v>
      </c>
      <c r="I670" s="1">
        <v>2</v>
      </c>
    </row>
    <row r="671" spans="1:9" ht="12.75" x14ac:dyDescent="0.2">
      <c r="A671" s="39">
        <v>42566.603269270832</v>
      </c>
      <c r="C671" s="1" t="s">
        <v>167</v>
      </c>
      <c r="D671" s="1">
        <v>364</v>
      </c>
      <c r="E671" s="1">
        <v>994</v>
      </c>
      <c r="H671" s="1" t="s">
        <v>533</v>
      </c>
    </row>
    <row r="672" spans="1:9" ht="12.75" x14ac:dyDescent="0.2">
      <c r="A672" s="39">
        <v>42566.61294097222</v>
      </c>
      <c r="C672" s="1" t="s">
        <v>31</v>
      </c>
      <c r="D672" s="1">
        <v>123</v>
      </c>
      <c r="E672" s="1">
        <v>321</v>
      </c>
      <c r="H672" s="1" t="s">
        <v>533</v>
      </c>
    </row>
    <row r="673" spans="1:9" ht="12.75" x14ac:dyDescent="0.2">
      <c r="A673" s="39">
        <v>42566.61739039352</v>
      </c>
      <c r="F673" s="1" t="s">
        <v>48</v>
      </c>
      <c r="G673" s="1">
        <v>19</v>
      </c>
      <c r="H673" s="1" t="s">
        <v>529</v>
      </c>
      <c r="I673" s="1">
        <v>3</v>
      </c>
    </row>
    <row r="674" spans="1:9" ht="12.75" x14ac:dyDescent="0.2">
      <c r="A674" s="39">
        <v>42566.617689039354</v>
      </c>
      <c r="F674" s="1" t="s">
        <v>48</v>
      </c>
      <c r="G674" s="1">
        <v>19</v>
      </c>
      <c r="H674" s="1" t="s">
        <v>529</v>
      </c>
      <c r="I674" s="1">
        <v>3</v>
      </c>
    </row>
    <row r="675" spans="1:9" ht="12.75" x14ac:dyDescent="0.2">
      <c r="A675" s="39">
        <v>42566.619282500003</v>
      </c>
      <c r="F675" s="1" t="s">
        <v>176</v>
      </c>
      <c r="G675" s="1">
        <v>44</v>
      </c>
      <c r="H675" s="1" t="s">
        <v>529</v>
      </c>
      <c r="I675" s="1">
        <v>3</v>
      </c>
    </row>
    <row r="676" spans="1:9" ht="12.75" x14ac:dyDescent="0.2">
      <c r="A676" s="39">
        <v>42566.619905370375</v>
      </c>
      <c r="F676" s="1" t="s">
        <v>176</v>
      </c>
      <c r="G676" s="1">
        <v>43</v>
      </c>
      <c r="H676" s="1" t="s">
        <v>529</v>
      </c>
      <c r="I676" s="1">
        <v>3</v>
      </c>
    </row>
    <row r="677" spans="1:9" ht="12.75" x14ac:dyDescent="0.2">
      <c r="A677" s="39">
        <v>42566.620331736107</v>
      </c>
      <c r="F677" s="1" t="s">
        <v>176</v>
      </c>
      <c r="G677" s="1">
        <v>44</v>
      </c>
      <c r="H677" s="1" t="s">
        <v>529</v>
      </c>
      <c r="I677" s="1">
        <v>3</v>
      </c>
    </row>
    <row r="678" spans="1:9" ht="12.75" x14ac:dyDescent="0.2">
      <c r="A678" s="39">
        <v>42566.624100370369</v>
      </c>
      <c r="C678" s="1" t="s">
        <v>75</v>
      </c>
      <c r="D678" s="1">
        <v>190</v>
      </c>
      <c r="E678" s="1">
        <v>607</v>
      </c>
      <c r="H678" s="1" t="s">
        <v>533</v>
      </c>
    </row>
    <row r="679" spans="1:9" ht="12.75" x14ac:dyDescent="0.2">
      <c r="A679" s="39">
        <v>42566.624737418984</v>
      </c>
      <c r="C679" s="1" t="s">
        <v>75</v>
      </c>
      <c r="D679" s="1">
        <v>186</v>
      </c>
      <c r="E679" s="1">
        <v>577</v>
      </c>
      <c r="H679" s="1" t="s">
        <v>533</v>
      </c>
    </row>
    <row r="680" spans="1:9" ht="12.75" x14ac:dyDescent="0.2">
      <c r="A680" s="39">
        <v>42566.631320370376</v>
      </c>
      <c r="F680" s="1" t="s">
        <v>147</v>
      </c>
      <c r="G680" s="1">
        <v>24</v>
      </c>
      <c r="H680" s="1" t="s">
        <v>529</v>
      </c>
      <c r="I680" s="1">
        <v>1</v>
      </c>
    </row>
    <row r="681" spans="1:9" ht="12.75" x14ac:dyDescent="0.2">
      <c r="A681" s="39">
        <v>42566.633015104162</v>
      </c>
      <c r="C681" s="1" t="s">
        <v>167</v>
      </c>
      <c r="D681" s="1">
        <v>196</v>
      </c>
      <c r="E681" s="1">
        <v>214</v>
      </c>
      <c r="H681" s="1" t="s">
        <v>533</v>
      </c>
    </row>
    <row r="682" spans="1:9" ht="12.75" x14ac:dyDescent="0.2">
      <c r="A682" s="39">
        <v>42566.634061064819</v>
      </c>
      <c r="F682" s="1" t="s">
        <v>169</v>
      </c>
      <c r="G682" s="1">
        <v>39</v>
      </c>
      <c r="H682" s="1" t="s">
        <v>529</v>
      </c>
      <c r="I682" s="1">
        <v>5</v>
      </c>
    </row>
    <row r="683" spans="1:9" ht="12.75" x14ac:dyDescent="0.2">
      <c r="A683" s="39">
        <v>42566.663143032405</v>
      </c>
      <c r="F683" s="1" t="s">
        <v>129</v>
      </c>
      <c r="G683" s="1">
        <v>1430</v>
      </c>
      <c r="H683" s="1" t="s">
        <v>535</v>
      </c>
      <c r="I683" s="1">
        <v>3550</v>
      </c>
    </row>
    <row r="684" spans="1:9" ht="12.75" x14ac:dyDescent="0.2">
      <c r="A684" s="39">
        <v>42566.666720428242</v>
      </c>
      <c r="C684" s="1" t="s">
        <v>168</v>
      </c>
      <c r="D684" s="1">
        <v>264</v>
      </c>
      <c r="E684" s="1">
        <v>529</v>
      </c>
      <c r="H684" s="1" t="s">
        <v>533</v>
      </c>
    </row>
    <row r="685" spans="1:9" ht="12.75" x14ac:dyDescent="0.2">
      <c r="A685" s="39">
        <v>42566.681978368055</v>
      </c>
      <c r="C685" s="1" t="s">
        <v>105</v>
      </c>
      <c r="D685" s="1">
        <v>440</v>
      </c>
      <c r="E685" s="1">
        <v>890</v>
      </c>
      <c r="H685" s="1" t="s">
        <v>533</v>
      </c>
    </row>
    <row r="686" spans="1:9" ht="12.75" x14ac:dyDescent="0.2">
      <c r="A686" s="39">
        <v>42566.689878495366</v>
      </c>
      <c r="C686" s="1" t="s">
        <v>136</v>
      </c>
      <c r="D686" s="1">
        <v>618</v>
      </c>
      <c r="E686" s="1">
        <v>1663</v>
      </c>
      <c r="H686" s="1" t="s">
        <v>533</v>
      </c>
    </row>
    <row r="687" spans="1:9" ht="12.75" x14ac:dyDescent="0.2">
      <c r="A687" s="39">
        <v>42566.700480856482</v>
      </c>
      <c r="C687" s="1" t="s">
        <v>91</v>
      </c>
      <c r="D687" s="1">
        <v>269</v>
      </c>
      <c r="E687" s="1">
        <v>625</v>
      </c>
      <c r="H687" s="1" t="s">
        <v>533</v>
      </c>
    </row>
    <row r="688" spans="1:9" ht="12.75" x14ac:dyDescent="0.2">
      <c r="A688" s="39">
        <v>42566.70074969907</v>
      </c>
      <c r="C688" s="1" t="s">
        <v>84</v>
      </c>
      <c r="D688" s="1">
        <v>118</v>
      </c>
      <c r="E688" s="1">
        <v>350</v>
      </c>
      <c r="H688" s="1" t="s">
        <v>533</v>
      </c>
    </row>
    <row r="689" spans="1:9" ht="12.75" x14ac:dyDescent="0.2">
      <c r="A689" s="39">
        <v>42566.701023553236</v>
      </c>
      <c r="C689" s="1" t="s">
        <v>63</v>
      </c>
      <c r="D689" s="1">
        <v>295</v>
      </c>
      <c r="E689" s="1">
        <v>492</v>
      </c>
      <c r="H689" s="1" t="s">
        <v>533</v>
      </c>
    </row>
    <row r="690" spans="1:9" ht="12.75" x14ac:dyDescent="0.2">
      <c r="A690" s="39">
        <v>42566.701260798611</v>
      </c>
      <c r="C690" s="1" t="s">
        <v>152</v>
      </c>
      <c r="D690" s="1">
        <v>391</v>
      </c>
      <c r="E690" s="1">
        <v>845</v>
      </c>
      <c r="H690" s="1" t="s">
        <v>533</v>
      </c>
    </row>
    <row r="691" spans="1:9" ht="12.75" x14ac:dyDescent="0.2">
      <c r="A691" s="39">
        <v>42566.701476134258</v>
      </c>
      <c r="C691" s="1" t="s">
        <v>61</v>
      </c>
      <c r="D691" s="1">
        <v>352</v>
      </c>
      <c r="E691" s="1">
        <v>807</v>
      </c>
      <c r="H691" s="1" t="s">
        <v>533</v>
      </c>
    </row>
    <row r="692" spans="1:9" ht="12.75" x14ac:dyDescent="0.2">
      <c r="A692" s="39">
        <v>42566.701675162039</v>
      </c>
      <c r="C692" s="1" t="s">
        <v>44</v>
      </c>
      <c r="D692" s="1">
        <v>206</v>
      </c>
      <c r="E692" s="1">
        <v>224</v>
      </c>
      <c r="H692" s="1" t="s">
        <v>533</v>
      </c>
    </row>
    <row r="693" spans="1:9" ht="12.75" x14ac:dyDescent="0.2">
      <c r="A693" s="39">
        <v>42566.702187511575</v>
      </c>
      <c r="C693" s="1" t="s">
        <v>75</v>
      </c>
      <c r="D693" s="1">
        <v>260</v>
      </c>
      <c r="E693" s="1">
        <v>793</v>
      </c>
      <c r="H693" s="1" t="s">
        <v>533</v>
      </c>
    </row>
    <row r="694" spans="1:9" ht="12.75" x14ac:dyDescent="0.2">
      <c r="A694" s="39">
        <v>42566.702383993055</v>
      </c>
      <c r="C694" s="1" t="s">
        <v>53</v>
      </c>
      <c r="D694" s="1">
        <v>244</v>
      </c>
      <c r="E694" s="1">
        <v>611</v>
      </c>
      <c r="H694" s="1" t="s">
        <v>533</v>
      </c>
    </row>
    <row r="695" spans="1:9" ht="12.75" x14ac:dyDescent="0.2">
      <c r="A695" s="39">
        <v>42566.71508094907</v>
      </c>
      <c r="F695" s="1" t="s">
        <v>145</v>
      </c>
      <c r="G695" s="1">
        <v>33</v>
      </c>
      <c r="H695" s="1" t="s">
        <v>529</v>
      </c>
      <c r="I695" s="1">
        <v>5</v>
      </c>
    </row>
    <row r="696" spans="1:9" ht="12.75" x14ac:dyDescent="0.2">
      <c r="A696" s="39">
        <v>42566.715548020831</v>
      </c>
      <c r="F696" s="1" t="s">
        <v>49</v>
      </c>
      <c r="G696" s="1">
        <v>11</v>
      </c>
      <c r="H696" s="1" t="s">
        <v>529</v>
      </c>
      <c r="I696" s="1">
        <v>1</v>
      </c>
    </row>
    <row r="697" spans="1:9" ht="12.75" x14ac:dyDescent="0.2">
      <c r="A697" s="39">
        <v>42566.715766608795</v>
      </c>
      <c r="F697" s="1" t="s">
        <v>145</v>
      </c>
      <c r="G697" s="1">
        <v>33</v>
      </c>
      <c r="H697" s="1" t="s">
        <v>529</v>
      </c>
      <c r="I697" s="1">
        <v>3</v>
      </c>
    </row>
    <row r="698" spans="1:9" ht="12.75" x14ac:dyDescent="0.2">
      <c r="A698" s="39">
        <v>42566.716116689815</v>
      </c>
      <c r="F698" s="1" t="s">
        <v>145</v>
      </c>
      <c r="G698" s="1">
        <v>33</v>
      </c>
      <c r="H698" s="1" t="s">
        <v>529</v>
      </c>
      <c r="I698" s="1">
        <v>4</v>
      </c>
    </row>
    <row r="699" spans="1:9" ht="12.75" x14ac:dyDescent="0.2">
      <c r="A699" s="39">
        <v>42566.716401886573</v>
      </c>
      <c r="F699" s="1" t="s">
        <v>145</v>
      </c>
      <c r="G699" s="1">
        <v>33</v>
      </c>
      <c r="H699" s="1" t="s">
        <v>529</v>
      </c>
      <c r="I699" s="1">
        <v>5</v>
      </c>
    </row>
    <row r="700" spans="1:9" ht="12.75" x14ac:dyDescent="0.2">
      <c r="A700" s="39">
        <v>42566.716764456018</v>
      </c>
      <c r="F700" s="1" t="s">
        <v>145</v>
      </c>
      <c r="G700" s="1">
        <v>33</v>
      </c>
      <c r="H700" s="1" t="s">
        <v>529</v>
      </c>
      <c r="I700" s="1">
        <v>6</v>
      </c>
    </row>
    <row r="701" spans="1:9" ht="12.75" x14ac:dyDescent="0.2">
      <c r="A701" s="39">
        <v>42566.716881701388</v>
      </c>
      <c r="F701" s="1" t="s">
        <v>145</v>
      </c>
      <c r="G701" s="1">
        <v>33</v>
      </c>
      <c r="H701" s="1" t="s">
        <v>529</v>
      </c>
      <c r="I701" s="1">
        <v>7</v>
      </c>
    </row>
    <row r="702" spans="1:9" ht="12.75" x14ac:dyDescent="0.2">
      <c r="A702" s="39">
        <v>42566.742270208335</v>
      </c>
      <c r="C702" s="1" t="s">
        <v>166</v>
      </c>
      <c r="D702" s="1">
        <v>264</v>
      </c>
      <c r="E702" s="1">
        <v>698</v>
      </c>
      <c r="H702" s="1" t="s">
        <v>534</v>
      </c>
    </row>
    <row r="703" spans="1:9" ht="12.75" x14ac:dyDescent="0.2">
      <c r="A703" s="39">
        <v>42566.749876481481</v>
      </c>
      <c r="F703" s="1" t="s">
        <v>51</v>
      </c>
      <c r="G703" s="1">
        <v>28</v>
      </c>
      <c r="H703" s="1" t="s">
        <v>529</v>
      </c>
      <c r="I703" s="1">
        <v>2</v>
      </c>
    </row>
    <row r="704" spans="1:9" ht="12.75" x14ac:dyDescent="0.2">
      <c r="A704" s="39">
        <v>42566.76635549769</v>
      </c>
      <c r="F704" s="1" t="s">
        <v>161</v>
      </c>
      <c r="G704" s="1">
        <v>26</v>
      </c>
      <c r="H704" s="1" t="s">
        <v>529</v>
      </c>
      <c r="I704" s="1">
        <v>2</v>
      </c>
    </row>
    <row r="705" spans="1:9" ht="12.75" x14ac:dyDescent="0.2">
      <c r="A705" s="39">
        <v>42566.785877083334</v>
      </c>
      <c r="F705" s="1" t="s">
        <v>159</v>
      </c>
      <c r="G705" s="1">
        <v>32</v>
      </c>
      <c r="H705" s="1" t="s">
        <v>529</v>
      </c>
      <c r="I705" s="1">
        <v>1</v>
      </c>
    </row>
    <row r="706" spans="1:9" ht="12.75" x14ac:dyDescent="0.2">
      <c r="A706" s="39">
        <v>42566.78967085648</v>
      </c>
      <c r="F706" s="1" t="s">
        <v>159</v>
      </c>
      <c r="G706" s="1">
        <v>31</v>
      </c>
      <c r="H706" s="1" t="s">
        <v>529</v>
      </c>
      <c r="I706" s="1">
        <v>2</v>
      </c>
    </row>
    <row r="707" spans="1:9" ht="12.75" x14ac:dyDescent="0.2">
      <c r="A707" s="39">
        <v>42566.790129537039</v>
      </c>
      <c r="F707" s="1" t="s">
        <v>159</v>
      </c>
      <c r="G707" s="1">
        <v>31</v>
      </c>
      <c r="H707" s="1" t="s">
        <v>529</v>
      </c>
      <c r="I707" s="1">
        <v>1</v>
      </c>
    </row>
    <row r="708" spans="1:9" ht="12.75" x14ac:dyDescent="0.2">
      <c r="A708" s="39">
        <v>42566.791591898145</v>
      </c>
      <c r="F708" s="1" t="s">
        <v>158</v>
      </c>
      <c r="G708" s="1">
        <v>31</v>
      </c>
      <c r="H708" s="1" t="s">
        <v>529</v>
      </c>
      <c r="I708" s="1">
        <v>3</v>
      </c>
    </row>
    <row r="709" spans="1:9" ht="12.75" x14ac:dyDescent="0.2">
      <c r="A709" s="39">
        <v>42566.79182810185</v>
      </c>
      <c r="F709" s="1" t="s">
        <v>158</v>
      </c>
      <c r="G709" s="1">
        <v>31</v>
      </c>
      <c r="H709" s="1" t="s">
        <v>529</v>
      </c>
      <c r="I709" s="1">
        <v>2</v>
      </c>
    </row>
    <row r="710" spans="1:9" ht="12.75" x14ac:dyDescent="0.2">
      <c r="A710" s="39">
        <v>42566.814702280091</v>
      </c>
      <c r="F710" s="1" t="s">
        <v>50</v>
      </c>
      <c r="G710" s="1">
        <v>17</v>
      </c>
      <c r="H710" s="1" t="s">
        <v>529</v>
      </c>
    </row>
    <row r="711" spans="1:9" ht="12.75" x14ac:dyDescent="0.2">
      <c r="A711" s="39">
        <v>42566.815980023151</v>
      </c>
      <c r="C711" s="1" t="s">
        <v>51</v>
      </c>
      <c r="D711" s="1">
        <v>80</v>
      </c>
      <c r="E711" s="1">
        <v>508</v>
      </c>
      <c r="H711" s="1" t="s">
        <v>533</v>
      </c>
    </row>
    <row r="712" spans="1:9" ht="12.75" x14ac:dyDescent="0.2">
      <c r="A712" s="39">
        <v>42566.832766168984</v>
      </c>
      <c r="F712" s="1" t="s">
        <v>130</v>
      </c>
      <c r="G712" s="1">
        <v>30</v>
      </c>
      <c r="H712" s="1" t="s">
        <v>529</v>
      </c>
      <c r="I712" s="1">
        <v>2</v>
      </c>
    </row>
    <row r="713" spans="1:9" ht="12.75" x14ac:dyDescent="0.2">
      <c r="A713" s="39">
        <v>42566.835507939817</v>
      </c>
      <c r="C713" s="1" t="s">
        <v>49</v>
      </c>
      <c r="D713" s="1">
        <v>534</v>
      </c>
      <c r="E713" s="1">
        <v>567</v>
      </c>
      <c r="H713" s="1" t="s">
        <v>534</v>
      </c>
    </row>
    <row r="714" spans="1:9" ht="12.75" x14ac:dyDescent="0.2">
      <c r="A714" s="39">
        <v>42566.84518689815</v>
      </c>
      <c r="F714" s="1" t="s">
        <v>175</v>
      </c>
      <c r="G714" s="1">
        <v>31</v>
      </c>
      <c r="H714" s="1" t="s">
        <v>529</v>
      </c>
      <c r="I714" s="1">
        <v>2</v>
      </c>
    </row>
    <row r="715" spans="1:9" ht="12.75" x14ac:dyDescent="0.2">
      <c r="A715" s="39">
        <v>42566.867066701394</v>
      </c>
      <c r="F715" s="1" t="s">
        <v>40</v>
      </c>
      <c r="G715" s="1">
        <v>18</v>
      </c>
      <c r="H715" s="1" t="s">
        <v>529</v>
      </c>
      <c r="I715" s="1">
        <v>1</v>
      </c>
    </row>
    <row r="716" spans="1:9" ht="12.75" x14ac:dyDescent="0.2">
      <c r="A716" s="39">
        <v>42566.890083530088</v>
      </c>
      <c r="F716" s="1" t="s">
        <v>160</v>
      </c>
      <c r="G716" s="1">
        <v>30</v>
      </c>
      <c r="H716" s="1" t="s">
        <v>529</v>
      </c>
      <c r="I716" s="1">
        <v>1</v>
      </c>
    </row>
    <row r="717" spans="1:9" ht="12.75" x14ac:dyDescent="0.2">
      <c r="A717" s="39">
        <v>42566.890356076387</v>
      </c>
      <c r="F717" s="1" t="s">
        <v>160</v>
      </c>
      <c r="G717" s="1">
        <v>30</v>
      </c>
      <c r="H717" s="1" t="s">
        <v>529</v>
      </c>
      <c r="I717" s="1">
        <v>2</v>
      </c>
    </row>
    <row r="718" spans="1:9" ht="12.75" x14ac:dyDescent="0.2">
      <c r="A718" s="39">
        <v>42566.903361747682</v>
      </c>
      <c r="C718" s="1" t="s">
        <v>163</v>
      </c>
      <c r="D718" s="1">
        <v>138</v>
      </c>
      <c r="E718" s="1">
        <v>1536</v>
      </c>
      <c r="H718" s="1" t="s">
        <v>533</v>
      </c>
    </row>
    <row r="719" spans="1:9" ht="12.75" x14ac:dyDescent="0.2">
      <c r="A719" s="39">
        <v>42566.905548622686</v>
      </c>
      <c r="F719" s="1" t="s">
        <v>37</v>
      </c>
      <c r="G719" s="1">
        <v>20</v>
      </c>
      <c r="H719" s="1" t="s">
        <v>535</v>
      </c>
      <c r="I719" s="1">
        <v>45</v>
      </c>
    </row>
    <row r="720" spans="1:9" ht="12.75" x14ac:dyDescent="0.2">
      <c r="A720" s="39">
        <v>42566.941724004631</v>
      </c>
      <c r="F720" s="1" t="s">
        <v>88</v>
      </c>
      <c r="G720" s="1">
        <v>31</v>
      </c>
      <c r="H720" s="1" t="s">
        <v>529</v>
      </c>
      <c r="I720" s="1">
        <v>2</v>
      </c>
    </row>
    <row r="721" spans="1:9" ht="12.75" x14ac:dyDescent="0.2">
      <c r="A721" s="39">
        <v>42566.963925173608</v>
      </c>
      <c r="C721" s="1" t="s">
        <v>166</v>
      </c>
      <c r="D721" s="1">
        <v>412</v>
      </c>
      <c r="E721" s="1">
        <v>1042</v>
      </c>
      <c r="H721" s="1" t="s">
        <v>534</v>
      </c>
    </row>
    <row r="722" spans="1:9" ht="12.75" x14ac:dyDescent="0.2">
      <c r="A722" s="39">
        <v>42566.966220300921</v>
      </c>
      <c r="C722" s="1" t="s">
        <v>130</v>
      </c>
      <c r="D722" s="1">
        <v>575</v>
      </c>
      <c r="E722" s="1">
        <v>1191</v>
      </c>
      <c r="H722" s="1" t="s">
        <v>533</v>
      </c>
    </row>
    <row r="723" spans="1:9" ht="12.75" x14ac:dyDescent="0.2">
      <c r="A723" s="39">
        <v>42566.968483194447</v>
      </c>
      <c r="C723" s="1" t="s">
        <v>80</v>
      </c>
      <c r="D723" s="1">
        <v>493</v>
      </c>
      <c r="E723" s="1">
        <v>958</v>
      </c>
      <c r="H723" s="1" t="s">
        <v>533</v>
      </c>
    </row>
    <row r="724" spans="1:9" ht="12.75" x14ac:dyDescent="0.2">
      <c r="A724" s="39">
        <v>42566.969304849539</v>
      </c>
      <c r="C724" s="1" t="s">
        <v>51</v>
      </c>
      <c r="D724" s="1">
        <v>601</v>
      </c>
      <c r="E724" s="1">
        <v>1052</v>
      </c>
      <c r="H724" s="1" t="s">
        <v>533</v>
      </c>
    </row>
    <row r="725" spans="1:9" ht="12.75" x14ac:dyDescent="0.2">
      <c r="A725" s="39">
        <v>42566.970859351852</v>
      </c>
      <c r="C725" s="1" t="s">
        <v>168</v>
      </c>
      <c r="D725" s="1">
        <v>436</v>
      </c>
      <c r="E725" s="1">
        <v>879</v>
      </c>
      <c r="H725" s="1" t="s">
        <v>533</v>
      </c>
    </row>
    <row r="726" spans="1:9" ht="12.75" x14ac:dyDescent="0.2">
      <c r="A726" s="39">
        <v>42566.977369490742</v>
      </c>
      <c r="C726" s="1" t="s">
        <v>51</v>
      </c>
      <c r="D726" s="1">
        <v>350</v>
      </c>
      <c r="E726" s="1">
        <v>600</v>
      </c>
      <c r="H726" s="1" t="s">
        <v>533</v>
      </c>
    </row>
    <row r="727" spans="1:9" ht="12.75" x14ac:dyDescent="0.2">
      <c r="A727" s="39">
        <v>42566.990337164352</v>
      </c>
      <c r="C727" s="1" t="s">
        <v>118</v>
      </c>
      <c r="D727" s="1">
        <v>408</v>
      </c>
      <c r="E727" s="1">
        <v>899</v>
      </c>
      <c r="H727" s="1" t="s">
        <v>533</v>
      </c>
    </row>
    <row r="728" spans="1:9" ht="12.75" x14ac:dyDescent="0.2">
      <c r="A728" s="39">
        <v>42567.020161736116</v>
      </c>
      <c r="F728" s="1" t="s">
        <v>51</v>
      </c>
      <c r="G728" s="1">
        <v>29</v>
      </c>
      <c r="H728" s="1" t="s">
        <v>529</v>
      </c>
      <c r="I728" s="1">
        <v>2</v>
      </c>
    </row>
    <row r="729" spans="1:9" ht="12.75" x14ac:dyDescent="0.2">
      <c r="A729" s="39">
        <v>42567.080509328705</v>
      </c>
      <c r="F729" s="1" t="s">
        <v>169</v>
      </c>
      <c r="G729" s="1">
        <v>37</v>
      </c>
      <c r="H729" s="1" t="s">
        <v>529</v>
      </c>
    </row>
    <row r="730" spans="1:9" ht="12.75" x14ac:dyDescent="0.2">
      <c r="A730" s="39">
        <v>42567.099133935189</v>
      </c>
      <c r="F730" s="1" t="s">
        <v>166</v>
      </c>
      <c r="G730" s="1">
        <v>14</v>
      </c>
      <c r="H730" s="1" t="s">
        <v>529</v>
      </c>
      <c r="I730" s="1">
        <v>1</v>
      </c>
    </row>
    <row r="731" spans="1:9" ht="12.75" x14ac:dyDescent="0.2">
      <c r="A731" s="39">
        <v>42567.113508090275</v>
      </c>
      <c r="F731" s="1" t="s">
        <v>51</v>
      </c>
      <c r="G731" s="1">
        <v>27</v>
      </c>
      <c r="H731" s="1" t="s">
        <v>529</v>
      </c>
      <c r="I731" s="1">
        <v>2</v>
      </c>
    </row>
    <row r="732" spans="1:9" ht="12.75" x14ac:dyDescent="0.2">
      <c r="A732" s="39">
        <v>42567.118516689814</v>
      </c>
      <c r="F732" s="1" t="s">
        <v>168</v>
      </c>
      <c r="G732" s="1">
        <v>31</v>
      </c>
      <c r="H732" s="1" t="s">
        <v>529</v>
      </c>
    </row>
    <row r="733" spans="1:9" ht="12.75" x14ac:dyDescent="0.2">
      <c r="A733" s="39">
        <v>42567.136360937497</v>
      </c>
      <c r="C733" s="1" t="s">
        <v>169</v>
      </c>
      <c r="D733" s="1">
        <v>480</v>
      </c>
      <c r="E733" s="1">
        <v>1222</v>
      </c>
      <c r="H733" s="1" t="s">
        <v>533</v>
      </c>
    </row>
    <row r="734" spans="1:9" ht="12.75" x14ac:dyDescent="0.2">
      <c r="A734" s="39">
        <v>42567.141298495371</v>
      </c>
      <c r="F734" s="1" t="s">
        <v>50</v>
      </c>
      <c r="G734" s="1">
        <v>325</v>
      </c>
      <c r="H734" s="1" t="s">
        <v>535</v>
      </c>
    </row>
    <row r="735" spans="1:9" ht="12.75" x14ac:dyDescent="0.2">
      <c r="A735" s="39">
        <v>42567.154912789352</v>
      </c>
      <c r="F735" s="1" t="s">
        <v>136</v>
      </c>
      <c r="G735" s="1">
        <v>41</v>
      </c>
      <c r="H735" s="1" t="s">
        <v>529</v>
      </c>
      <c r="I735" s="1">
        <v>2</v>
      </c>
    </row>
    <row r="736" spans="1:9" ht="12.75" x14ac:dyDescent="0.2">
      <c r="A736" s="39">
        <v>42567.160212407412</v>
      </c>
      <c r="C736" s="1" t="s">
        <v>163</v>
      </c>
      <c r="D736" s="1">
        <v>147</v>
      </c>
      <c r="E736" s="1">
        <v>1629</v>
      </c>
      <c r="H736" s="1" t="s">
        <v>533</v>
      </c>
    </row>
    <row r="737" spans="1:9" ht="12.75" x14ac:dyDescent="0.2">
      <c r="A737" s="39">
        <v>42567.176269131945</v>
      </c>
      <c r="F737" s="1" t="s">
        <v>130</v>
      </c>
      <c r="G737" s="1">
        <v>31</v>
      </c>
      <c r="H737" s="1" t="s">
        <v>529</v>
      </c>
      <c r="I737" s="1">
        <v>2</v>
      </c>
    </row>
    <row r="738" spans="1:9" ht="12.75" x14ac:dyDescent="0.2">
      <c r="A738" s="39">
        <v>42567.199772048611</v>
      </c>
      <c r="C738" s="1" t="s">
        <v>37</v>
      </c>
      <c r="D738" s="1">
        <v>570</v>
      </c>
      <c r="E738" s="1">
        <v>980</v>
      </c>
      <c r="H738" s="1" t="s">
        <v>533</v>
      </c>
    </row>
    <row r="739" spans="1:9" ht="12.75" x14ac:dyDescent="0.2">
      <c r="A739" s="39">
        <v>42567.21594238426</v>
      </c>
      <c r="F739" s="1" t="s">
        <v>50</v>
      </c>
      <c r="G739" s="1">
        <v>28</v>
      </c>
      <c r="H739" s="1" t="s">
        <v>529</v>
      </c>
      <c r="I739" s="1">
        <v>1</v>
      </c>
    </row>
    <row r="740" spans="1:9" ht="12.75" x14ac:dyDescent="0.2">
      <c r="A740" s="39">
        <v>42567.275518946757</v>
      </c>
      <c r="F740" s="1" t="s">
        <v>176</v>
      </c>
      <c r="G740" s="1">
        <v>43</v>
      </c>
      <c r="H740" s="1" t="s">
        <v>529</v>
      </c>
      <c r="I740" s="1">
        <v>3</v>
      </c>
    </row>
    <row r="741" spans="1:9" ht="12.75" x14ac:dyDescent="0.2">
      <c r="A741" s="39">
        <v>42567.275594756946</v>
      </c>
      <c r="F741" s="1" t="s">
        <v>182</v>
      </c>
      <c r="G741" s="1">
        <v>47</v>
      </c>
      <c r="H741" s="1" t="s">
        <v>529</v>
      </c>
    </row>
    <row r="742" spans="1:9" ht="12.75" x14ac:dyDescent="0.2">
      <c r="A742" s="39">
        <v>42567.280912858798</v>
      </c>
      <c r="C742" s="1" t="s">
        <v>130</v>
      </c>
      <c r="D742" s="1">
        <v>945</v>
      </c>
      <c r="E742" s="1">
        <v>975</v>
      </c>
      <c r="H742" s="1" t="s">
        <v>533</v>
      </c>
    </row>
    <row r="743" spans="1:9" ht="12.75" x14ac:dyDescent="0.2">
      <c r="A743" s="39">
        <v>42567.306193368058</v>
      </c>
      <c r="F743" s="1" t="s">
        <v>164</v>
      </c>
      <c r="G743" s="1">
        <v>84</v>
      </c>
      <c r="H743" s="1" t="s">
        <v>529</v>
      </c>
    </row>
    <row r="744" spans="1:9" ht="12.75" x14ac:dyDescent="0.2">
      <c r="A744" s="39">
        <v>42567.341532546299</v>
      </c>
      <c r="C744" s="1" t="s">
        <v>183</v>
      </c>
      <c r="D744" s="1" t="s">
        <v>554</v>
      </c>
      <c r="E744" s="1" t="s">
        <v>555</v>
      </c>
      <c r="H744" s="1" t="s">
        <v>534</v>
      </c>
    </row>
    <row r="745" spans="1:9" ht="12.75" x14ac:dyDescent="0.2">
      <c r="A745" s="39">
        <v>42567.346655717593</v>
      </c>
      <c r="F745" s="1" t="s">
        <v>167</v>
      </c>
      <c r="G745" s="1">
        <v>39</v>
      </c>
      <c r="H745" s="1" t="s">
        <v>529</v>
      </c>
      <c r="I745" s="1">
        <v>2</v>
      </c>
    </row>
    <row r="746" spans="1:9" ht="12.75" x14ac:dyDescent="0.2">
      <c r="A746" s="39">
        <v>42567.346876828698</v>
      </c>
      <c r="F746" s="1" t="s">
        <v>167</v>
      </c>
      <c r="G746" s="1">
        <v>39</v>
      </c>
      <c r="H746" s="1" t="s">
        <v>529</v>
      </c>
      <c r="I746" s="1">
        <v>3</v>
      </c>
    </row>
    <row r="747" spans="1:9" ht="12.75" x14ac:dyDescent="0.2">
      <c r="A747" s="39">
        <v>42567.41348239583</v>
      </c>
      <c r="C747" s="1" t="s">
        <v>129</v>
      </c>
      <c r="D747" s="1">
        <v>598</v>
      </c>
      <c r="E747" s="1">
        <v>1224</v>
      </c>
      <c r="H747" s="1" t="s">
        <v>533</v>
      </c>
    </row>
    <row r="748" spans="1:9" ht="12.75" x14ac:dyDescent="0.2">
      <c r="A748" s="39">
        <v>42567.455943217588</v>
      </c>
      <c r="C748" s="1" t="s">
        <v>168</v>
      </c>
      <c r="D748" s="1">
        <v>585</v>
      </c>
      <c r="E748" s="1">
        <v>1175</v>
      </c>
      <c r="H748" s="1" t="s">
        <v>533</v>
      </c>
    </row>
    <row r="749" spans="1:9" ht="12.75" x14ac:dyDescent="0.2">
      <c r="A749" s="39">
        <v>42567.509433460647</v>
      </c>
      <c r="F749" s="1" t="s">
        <v>166</v>
      </c>
      <c r="G749" s="1">
        <v>378</v>
      </c>
      <c r="H749" s="1" t="s">
        <v>529</v>
      </c>
      <c r="I749" s="1">
        <v>1005</v>
      </c>
    </row>
    <row r="750" spans="1:9" ht="12.75" x14ac:dyDescent="0.2">
      <c r="A750" s="39">
        <v>42567.510003587959</v>
      </c>
      <c r="C750" s="1" t="s">
        <v>166</v>
      </c>
      <c r="D750" s="1">
        <v>378</v>
      </c>
      <c r="E750" s="1">
        <v>1005</v>
      </c>
      <c r="H750" s="1" t="s">
        <v>533</v>
      </c>
    </row>
    <row r="751" spans="1:9" ht="12.75" x14ac:dyDescent="0.2">
      <c r="A751" s="39">
        <v>42567.527987789348</v>
      </c>
      <c r="F751" s="1" t="s">
        <v>98</v>
      </c>
      <c r="G751" s="1">
        <v>50</v>
      </c>
      <c r="H751" s="1" t="s">
        <v>539</v>
      </c>
      <c r="I751" s="1">
        <v>10</v>
      </c>
    </row>
    <row r="752" spans="1:9" ht="12.75" x14ac:dyDescent="0.2">
      <c r="A752" s="39">
        <v>42567.543495879625</v>
      </c>
      <c r="F752" s="1" t="s">
        <v>96</v>
      </c>
      <c r="G752" s="1">
        <v>0</v>
      </c>
      <c r="H752" s="1" t="s">
        <v>529</v>
      </c>
      <c r="I752" s="1">
        <v>0</v>
      </c>
    </row>
    <row r="753" spans="1:9" ht="12.75" x14ac:dyDescent="0.2">
      <c r="A753" s="39">
        <v>42567.547307210647</v>
      </c>
      <c r="F753" s="1" t="s">
        <v>145</v>
      </c>
      <c r="G753" s="1">
        <v>31</v>
      </c>
      <c r="H753" s="1" t="s">
        <v>529</v>
      </c>
    </row>
    <row r="754" spans="1:9" ht="12.75" x14ac:dyDescent="0.2">
      <c r="A754" s="39">
        <v>42567.554794849537</v>
      </c>
      <c r="F754" s="1" t="s">
        <v>163</v>
      </c>
      <c r="G754" s="1">
        <v>37</v>
      </c>
      <c r="H754" s="1" t="s">
        <v>529</v>
      </c>
      <c r="I754" s="1">
        <v>2</v>
      </c>
    </row>
    <row r="755" spans="1:9" ht="12.75" x14ac:dyDescent="0.2">
      <c r="A755" s="39">
        <v>42567.568424108795</v>
      </c>
      <c r="F755" s="1" t="s">
        <v>159</v>
      </c>
      <c r="G755" s="1">
        <v>33</v>
      </c>
      <c r="H755" s="1" t="s">
        <v>529</v>
      </c>
      <c r="I755" s="1">
        <v>16</v>
      </c>
    </row>
    <row r="756" spans="1:9" ht="12.75" x14ac:dyDescent="0.2">
      <c r="A756" s="39">
        <v>42567.592523356478</v>
      </c>
      <c r="C756" s="1" t="s">
        <v>167</v>
      </c>
      <c r="D756" s="1">
        <v>415</v>
      </c>
      <c r="E756" s="1">
        <v>1111</v>
      </c>
      <c r="H756" s="1" t="s">
        <v>533</v>
      </c>
    </row>
    <row r="757" spans="1:9" ht="12.75" x14ac:dyDescent="0.2">
      <c r="A757" s="39">
        <v>42567.592675023145</v>
      </c>
      <c r="C757" s="1" t="s">
        <v>167</v>
      </c>
      <c r="D757" s="1">
        <v>415</v>
      </c>
      <c r="E757" s="1">
        <v>1111</v>
      </c>
      <c r="H757" s="1" t="s">
        <v>533</v>
      </c>
    </row>
    <row r="758" spans="1:9" ht="12.75" x14ac:dyDescent="0.2">
      <c r="A758" s="39">
        <v>42567.595463043981</v>
      </c>
      <c r="F758" s="1" t="s">
        <v>69</v>
      </c>
      <c r="G758" s="1">
        <v>31</v>
      </c>
      <c r="H758" s="1" t="s">
        <v>529</v>
      </c>
      <c r="I758" s="1">
        <v>2</v>
      </c>
    </row>
    <row r="759" spans="1:9" ht="12.75" x14ac:dyDescent="0.2">
      <c r="A759" s="39">
        <v>42567.615908159722</v>
      </c>
      <c r="F759" s="1" t="s">
        <v>54</v>
      </c>
      <c r="G759" s="1">
        <v>63</v>
      </c>
      <c r="H759" s="1" t="s">
        <v>535</v>
      </c>
      <c r="I759" s="1">
        <v>72</v>
      </c>
    </row>
    <row r="760" spans="1:9" ht="12.75" x14ac:dyDescent="0.2">
      <c r="A760" s="39">
        <v>42567.622099652777</v>
      </c>
      <c r="F760" s="1" t="s">
        <v>170</v>
      </c>
      <c r="G760" s="1">
        <v>618641</v>
      </c>
      <c r="H760" s="1" t="s">
        <v>535</v>
      </c>
      <c r="I760" s="1">
        <v>6971</v>
      </c>
    </row>
    <row r="761" spans="1:9" ht="12.75" x14ac:dyDescent="0.2">
      <c r="A761" s="39">
        <v>42567.622333761574</v>
      </c>
      <c r="F761" s="1" t="s">
        <v>170</v>
      </c>
      <c r="G761" s="1">
        <v>24</v>
      </c>
      <c r="H761" s="1" t="s">
        <v>529</v>
      </c>
      <c r="I761" s="1">
        <v>2</v>
      </c>
    </row>
    <row r="762" spans="1:9" ht="12.75" x14ac:dyDescent="0.2">
      <c r="A762" s="39">
        <v>42567.623915069446</v>
      </c>
      <c r="F762" s="1" t="s">
        <v>167</v>
      </c>
      <c r="G762" s="1">
        <v>79</v>
      </c>
      <c r="H762" s="1" t="s">
        <v>535</v>
      </c>
      <c r="I762" s="1">
        <v>4</v>
      </c>
    </row>
    <row r="763" spans="1:9" ht="12.75" x14ac:dyDescent="0.2">
      <c r="A763" s="39">
        <v>42567.632076307869</v>
      </c>
      <c r="F763" s="1" t="s">
        <v>92</v>
      </c>
      <c r="G763" s="1">
        <v>42</v>
      </c>
      <c r="H763" s="1" t="s">
        <v>529</v>
      </c>
      <c r="I763" s="1">
        <v>6</v>
      </c>
    </row>
    <row r="764" spans="1:9" ht="12.75" x14ac:dyDescent="0.2">
      <c r="A764" s="39">
        <v>42567.637336377316</v>
      </c>
      <c r="C764" s="1" t="s">
        <v>168</v>
      </c>
      <c r="D764" s="1">
        <v>142</v>
      </c>
      <c r="E764" s="1">
        <v>362</v>
      </c>
      <c r="H764" s="1" t="s">
        <v>533</v>
      </c>
    </row>
    <row r="765" spans="1:9" ht="12.75" x14ac:dyDescent="0.2">
      <c r="A765" s="39">
        <v>42567.642647986111</v>
      </c>
      <c r="F765" s="1" t="s">
        <v>144</v>
      </c>
      <c r="G765" s="1">
        <v>16</v>
      </c>
      <c r="H765" s="1" t="s">
        <v>529</v>
      </c>
      <c r="I765" s="1">
        <v>3</v>
      </c>
    </row>
    <row r="766" spans="1:9" ht="12.75" x14ac:dyDescent="0.2">
      <c r="A766" s="39">
        <v>42567.644511423612</v>
      </c>
      <c r="F766" s="1" t="s">
        <v>160</v>
      </c>
      <c r="G766" s="1">
        <v>30</v>
      </c>
      <c r="H766" s="1" t="s">
        <v>529</v>
      </c>
      <c r="I766" s="1">
        <v>2</v>
      </c>
    </row>
    <row r="767" spans="1:9" ht="12.75" x14ac:dyDescent="0.2">
      <c r="A767" s="39">
        <v>42567.662213993055</v>
      </c>
      <c r="F767" s="1" t="s">
        <v>125</v>
      </c>
      <c r="G767" s="1">
        <v>12</v>
      </c>
      <c r="H767" s="1" t="s">
        <v>529</v>
      </c>
      <c r="I767" s="1">
        <v>1</v>
      </c>
    </row>
    <row r="768" spans="1:9" ht="12.75" x14ac:dyDescent="0.2">
      <c r="A768" s="39">
        <v>42567.673831296299</v>
      </c>
      <c r="F768" s="1" t="s">
        <v>130</v>
      </c>
      <c r="G768" s="1">
        <v>32</v>
      </c>
      <c r="H768" s="1" t="s">
        <v>529</v>
      </c>
    </row>
    <row r="769" spans="1:9" ht="12.75" x14ac:dyDescent="0.2">
      <c r="A769" s="39">
        <v>42567.696439039355</v>
      </c>
      <c r="F769" s="1" t="s">
        <v>162</v>
      </c>
      <c r="G769" s="1">
        <v>3</v>
      </c>
      <c r="H769" s="1" t="s">
        <v>529</v>
      </c>
    </row>
    <row r="770" spans="1:9" ht="12.75" x14ac:dyDescent="0.2">
      <c r="A770" s="39">
        <v>42567.724962777778</v>
      </c>
      <c r="F770" s="1" t="s">
        <v>34</v>
      </c>
      <c r="G770" s="1">
        <v>13</v>
      </c>
      <c r="H770" s="1" t="s">
        <v>529</v>
      </c>
      <c r="I770" s="1">
        <v>2</v>
      </c>
    </row>
    <row r="771" spans="1:9" ht="12.75" x14ac:dyDescent="0.2">
      <c r="A771" s="39">
        <v>42567.733770949075</v>
      </c>
      <c r="C771" s="1" t="s">
        <v>23</v>
      </c>
      <c r="D771" s="1">
        <v>100</v>
      </c>
      <c r="E771" s="1">
        <v>200</v>
      </c>
      <c r="H771" s="1" t="s">
        <v>533</v>
      </c>
    </row>
    <row r="772" spans="1:9" ht="12.75" x14ac:dyDescent="0.2">
      <c r="A772" s="39">
        <v>42567.755159780092</v>
      </c>
      <c r="F772" s="1" t="s">
        <v>49</v>
      </c>
      <c r="G772" s="1">
        <v>50</v>
      </c>
      <c r="H772" s="1" t="s">
        <v>539</v>
      </c>
      <c r="I772" s="1">
        <v>50</v>
      </c>
    </row>
    <row r="773" spans="1:9" ht="12.75" x14ac:dyDescent="0.2">
      <c r="A773" s="39">
        <v>42567.760833159722</v>
      </c>
      <c r="C773" s="1" t="s">
        <v>166</v>
      </c>
      <c r="D773" s="1">
        <v>448</v>
      </c>
      <c r="E773" s="1">
        <v>1300</v>
      </c>
      <c r="H773" s="1" t="s">
        <v>533</v>
      </c>
    </row>
    <row r="774" spans="1:9" ht="12.75" x14ac:dyDescent="0.2">
      <c r="A774" s="39">
        <v>42567.773552581013</v>
      </c>
      <c r="F774" s="1" t="s">
        <v>154</v>
      </c>
      <c r="G774" s="1">
        <v>61</v>
      </c>
      <c r="H774" s="1" t="s">
        <v>539</v>
      </c>
      <c r="I774" s="1">
        <v>2</v>
      </c>
    </row>
    <row r="775" spans="1:9" ht="12.75" x14ac:dyDescent="0.2">
      <c r="A775" s="39">
        <v>42567.774609131942</v>
      </c>
      <c r="C775" s="1" t="s">
        <v>130</v>
      </c>
      <c r="D775" s="1">
        <v>372</v>
      </c>
      <c r="E775" s="1">
        <v>772</v>
      </c>
      <c r="H775" s="1" t="s">
        <v>533</v>
      </c>
    </row>
    <row r="776" spans="1:9" ht="12.75" x14ac:dyDescent="0.2">
      <c r="A776" s="39">
        <v>42567.796158391204</v>
      </c>
      <c r="F776" s="1" t="s">
        <v>74</v>
      </c>
      <c r="G776" s="1">
        <v>9</v>
      </c>
      <c r="H776" s="1" t="s">
        <v>529</v>
      </c>
      <c r="I776" s="1">
        <v>0</v>
      </c>
    </row>
    <row r="777" spans="1:9" ht="12.75" x14ac:dyDescent="0.2">
      <c r="A777" s="39">
        <v>42567.80649427083</v>
      </c>
      <c r="F777" s="1" t="s">
        <v>76</v>
      </c>
      <c r="G777" s="1">
        <v>15</v>
      </c>
      <c r="H777" s="1" t="s">
        <v>529</v>
      </c>
      <c r="I777" s="1">
        <v>2</v>
      </c>
    </row>
    <row r="778" spans="1:9" ht="12.75" x14ac:dyDescent="0.2">
      <c r="A778" s="39">
        <v>42567.807225659722</v>
      </c>
      <c r="C778" s="1" t="s">
        <v>76</v>
      </c>
      <c r="D778" s="1">
        <v>545</v>
      </c>
      <c r="E778" s="1">
        <v>818</v>
      </c>
      <c r="H778" s="1" t="s">
        <v>533</v>
      </c>
    </row>
    <row r="779" spans="1:9" ht="12.75" x14ac:dyDescent="0.2">
      <c r="A779" s="39">
        <v>42567.823565185186</v>
      </c>
      <c r="F779" s="1" t="s">
        <v>51</v>
      </c>
      <c r="G779" s="1">
        <v>17</v>
      </c>
      <c r="H779" s="1" t="s">
        <v>529</v>
      </c>
      <c r="I779" s="1">
        <v>3</v>
      </c>
    </row>
    <row r="780" spans="1:9" ht="12.75" x14ac:dyDescent="0.2">
      <c r="A780" s="39">
        <v>42567.823941446761</v>
      </c>
      <c r="F780" s="1" t="s">
        <v>50</v>
      </c>
      <c r="G780" s="1">
        <v>17</v>
      </c>
      <c r="H780" s="1" t="s">
        <v>529</v>
      </c>
      <c r="I780" s="1">
        <v>4</v>
      </c>
    </row>
    <row r="781" spans="1:9" ht="12.75" x14ac:dyDescent="0.2">
      <c r="A781" s="39">
        <v>42567.824248726851</v>
      </c>
      <c r="F781" s="1" t="s">
        <v>50</v>
      </c>
      <c r="G781" s="1">
        <v>17</v>
      </c>
      <c r="H781" s="1" t="s">
        <v>529</v>
      </c>
      <c r="I781" s="1">
        <v>3</v>
      </c>
    </row>
    <row r="782" spans="1:9" ht="12.75" x14ac:dyDescent="0.2">
      <c r="A782" s="39">
        <v>42567.82457394676</v>
      </c>
      <c r="F782" s="1" t="s">
        <v>50</v>
      </c>
      <c r="G782" s="1">
        <v>16</v>
      </c>
      <c r="H782" s="1" t="s">
        <v>529</v>
      </c>
      <c r="I782" s="1">
        <v>2</v>
      </c>
    </row>
    <row r="783" spans="1:9" ht="12.75" x14ac:dyDescent="0.2">
      <c r="A783" s="39">
        <v>42567.840360150461</v>
      </c>
      <c r="C783" s="1" t="s">
        <v>35</v>
      </c>
      <c r="D783" s="1">
        <v>392</v>
      </c>
      <c r="E783" s="1">
        <v>611</v>
      </c>
      <c r="H783" s="1" t="s">
        <v>533</v>
      </c>
    </row>
    <row r="784" spans="1:9" ht="12.75" x14ac:dyDescent="0.2">
      <c r="A784" s="39">
        <v>42567.856304687499</v>
      </c>
      <c r="F784" s="1" t="s">
        <v>181</v>
      </c>
      <c r="G784" s="1">
        <v>492</v>
      </c>
      <c r="H784" s="1" t="s">
        <v>535</v>
      </c>
      <c r="I784" s="1">
        <v>57</v>
      </c>
    </row>
    <row r="785" spans="1:9" ht="12.75" x14ac:dyDescent="0.2">
      <c r="A785" s="39">
        <v>42567.857757534723</v>
      </c>
      <c r="F785" s="1" t="s">
        <v>175</v>
      </c>
      <c r="G785" s="1">
        <v>15</v>
      </c>
      <c r="H785" s="1" t="s">
        <v>529</v>
      </c>
      <c r="I785" s="1">
        <v>15</v>
      </c>
    </row>
    <row r="786" spans="1:9" ht="12.75" x14ac:dyDescent="0.2">
      <c r="A786" s="39">
        <v>42567.870109780095</v>
      </c>
      <c r="F786" s="1" t="s">
        <v>167</v>
      </c>
      <c r="G786" s="1">
        <v>38</v>
      </c>
      <c r="H786" s="1" t="s">
        <v>529</v>
      </c>
      <c r="I786" s="1">
        <v>2</v>
      </c>
    </row>
    <row r="787" spans="1:9" ht="12.75" x14ac:dyDescent="0.2">
      <c r="A787" s="39">
        <v>42567.881537893518</v>
      </c>
      <c r="F787" s="1" t="s">
        <v>182</v>
      </c>
      <c r="G787" s="1">
        <v>1</v>
      </c>
      <c r="H787" s="1" t="s">
        <v>529</v>
      </c>
      <c r="I787" s="1">
        <v>1</v>
      </c>
    </row>
    <row r="788" spans="1:9" ht="12.75" x14ac:dyDescent="0.2">
      <c r="A788" s="39">
        <v>42567.892834687504</v>
      </c>
      <c r="C788" s="1" t="s">
        <v>168</v>
      </c>
      <c r="D788" s="1">
        <v>358</v>
      </c>
      <c r="E788" s="1">
        <v>596</v>
      </c>
      <c r="H788" s="1" t="s">
        <v>533</v>
      </c>
    </row>
    <row r="789" spans="1:9" ht="12.75" x14ac:dyDescent="0.2">
      <c r="A789" s="39">
        <v>42567.929746493057</v>
      </c>
      <c r="C789" s="1" t="s">
        <v>57</v>
      </c>
      <c r="D789" s="1">
        <v>137</v>
      </c>
      <c r="E789" s="1">
        <v>310</v>
      </c>
      <c r="H789" s="1" t="s">
        <v>533</v>
      </c>
    </row>
    <row r="790" spans="1:9" ht="12.75" x14ac:dyDescent="0.2">
      <c r="A790" s="39">
        <v>42567.935016527779</v>
      </c>
      <c r="C790" s="1" t="s">
        <v>168</v>
      </c>
      <c r="D790" s="1">
        <v>364</v>
      </c>
      <c r="E790" s="1">
        <v>726</v>
      </c>
      <c r="H790" s="1" t="s">
        <v>533</v>
      </c>
    </row>
    <row r="791" spans="1:9" ht="12.75" x14ac:dyDescent="0.2">
      <c r="A791" s="39">
        <v>42567.93541125</v>
      </c>
      <c r="C791" s="1" t="s">
        <v>169</v>
      </c>
      <c r="D791" s="1">
        <v>347</v>
      </c>
      <c r="E791" s="1">
        <v>861</v>
      </c>
      <c r="H791" s="1" t="s">
        <v>533</v>
      </c>
    </row>
    <row r="792" spans="1:9" ht="12.75" x14ac:dyDescent="0.2">
      <c r="A792" s="39">
        <v>42567.935806805559</v>
      </c>
      <c r="F792" s="1" t="s">
        <v>52</v>
      </c>
      <c r="G792" s="1">
        <v>9</v>
      </c>
      <c r="H792" s="1" t="s">
        <v>529</v>
      </c>
      <c r="I792" s="1">
        <v>2</v>
      </c>
    </row>
    <row r="793" spans="1:9" ht="12.75" x14ac:dyDescent="0.2">
      <c r="A793" s="39">
        <v>42567.953397303238</v>
      </c>
      <c r="F793" s="1" t="s">
        <v>167</v>
      </c>
      <c r="G793" s="1">
        <v>41</v>
      </c>
      <c r="H793" s="1" t="s">
        <v>529</v>
      </c>
      <c r="I793" s="1">
        <v>4</v>
      </c>
    </row>
    <row r="794" spans="1:9" ht="12.75" x14ac:dyDescent="0.2">
      <c r="A794" s="39">
        <v>42567.954704328702</v>
      </c>
      <c r="F794" s="1" t="s">
        <v>167</v>
      </c>
      <c r="G794" s="1">
        <v>41</v>
      </c>
      <c r="H794" s="1" t="s">
        <v>529</v>
      </c>
      <c r="I794" s="1">
        <v>3</v>
      </c>
    </row>
    <row r="795" spans="1:9" ht="12.75" x14ac:dyDescent="0.2">
      <c r="A795" s="39">
        <v>42567.954985081014</v>
      </c>
      <c r="F795" s="1" t="s">
        <v>167</v>
      </c>
      <c r="G795" s="1">
        <v>38</v>
      </c>
      <c r="H795" s="1" t="s">
        <v>529</v>
      </c>
      <c r="I795" s="1">
        <v>3</v>
      </c>
    </row>
    <row r="796" spans="1:9" ht="12.75" x14ac:dyDescent="0.2">
      <c r="A796" s="39">
        <v>42567.955217395836</v>
      </c>
      <c r="F796" s="1" t="s">
        <v>29</v>
      </c>
      <c r="G796" s="1">
        <v>13</v>
      </c>
      <c r="H796" s="1" t="s">
        <v>529</v>
      </c>
      <c r="I796" s="1">
        <v>8</v>
      </c>
    </row>
    <row r="797" spans="1:9" ht="12.75" x14ac:dyDescent="0.2">
      <c r="A797" s="39">
        <v>42567.955259444439</v>
      </c>
      <c r="F797" s="1" t="s">
        <v>167</v>
      </c>
      <c r="G797" s="1">
        <v>39</v>
      </c>
      <c r="H797" s="1" t="s">
        <v>529</v>
      </c>
      <c r="I797" s="1">
        <v>2</v>
      </c>
    </row>
    <row r="798" spans="1:9" ht="12.75" x14ac:dyDescent="0.2">
      <c r="A798" s="39">
        <v>42567.956562118052</v>
      </c>
      <c r="F798" s="1" t="s">
        <v>158</v>
      </c>
      <c r="G798" s="1">
        <v>29</v>
      </c>
      <c r="H798" s="1" t="s">
        <v>529</v>
      </c>
      <c r="I798" s="1">
        <v>1</v>
      </c>
    </row>
    <row r="799" spans="1:9" ht="12.75" x14ac:dyDescent="0.2">
      <c r="A799" s="39">
        <v>42567.956827719907</v>
      </c>
      <c r="F799" s="1" t="s">
        <v>158</v>
      </c>
      <c r="G799" s="1">
        <v>28</v>
      </c>
      <c r="H799" s="1" t="s">
        <v>529</v>
      </c>
      <c r="I799" s="1">
        <v>2</v>
      </c>
    </row>
    <row r="800" spans="1:9" ht="12.75" x14ac:dyDescent="0.2">
      <c r="A800" s="39">
        <v>42567.957081562505</v>
      </c>
      <c r="F800" s="1" t="s">
        <v>158</v>
      </c>
      <c r="G800" s="1">
        <v>28</v>
      </c>
      <c r="H800" s="1" t="s">
        <v>529</v>
      </c>
      <c r="I800" s="1">
        <v>1</v>
      </c>
    </row>
    <row r="801" spans="1:9" ht="12.75" x14ac:dyDescent="0.2">
      <c r="A801" s="39">
        <v>42567.957640428242</v>
      </c>
      <c r="F801" s="1" t="s">
        <v>158</v>
      </c>
      <c r="G801" s="1">
        <v>29</v>
      </c>
      <c r="H801" s="1" t="s">
        <v>529</v>
      </c>
      <c r="I801" s="1">
        <v>1</v>
      </c>
    </row>
    <row r="802" spans="1:9" ht="12.75" x14ac:dyDescent="0.2">
      <c r="A802" s="39">
        <v>42567.958080567128</v>
      </c>
      <c r="F802" s="1" t="s">
        <v>158</v>
      </c>
      <c r="G802" s="1">
        <v>28</v>
      </c>
      <c r="H802" s="1" t="s">
        <v>529</v>
      </c>
      <c r="I802" s="1">
        <v>1</v>
      </c>
    </row>
    <row r="803" spans="1:9" ht="12.75" x14ac:dyDescent="0.2">
      <c r="A803" s="39">
        <v>42567.95837601852</v>
      </c>
      <c r="F803" s="1" t="s">
        <v>158</v>
      </c>
      <c r="G803" s="1">
        <v>28</v>
      </c>
      <c r="H803" s="1" t="s">
        <v>529</v>
      </c>
      <c r="I803" s="1">
        <v>1</v>
      </c>
    </row>
    <row r="804" spans="1:9" ht="12.75" x14ac:dyDescent="0.2">
      <c r="A804" s="39">
        <v>42567.958621875005</v>
      </c>
      <c r="F804" s="1" t="s">
        <v>158</v>
      </c>
      <c r="G804" s="1">
        <v>29</v>
      </c>
      <c r="H804" s="1" t="s">
        <v>529</v>
      </c>
      <c r="I804" s="1">
        <v>2</v>
      </c>
    </row>
  </sheetData>
  <conditionalFormatting sqref="G1:G1804">
    <cfRule type="cellIs" dxfId="0" priority="1" operator="greaterThanOrEqual">
      <formula>60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5" width="21.5703125" customWidth="1"/>
  </cols>
  <sheetData>
    <row r="1" spans="1:5" ht="15.75" customHeight="1" x14ac:dyDescent="0.2">
      <c r="A1" t="s">
        <v>519</v>
      </c>
      <c r="B1" t="s">
        <v>208</v>
      </c>
      <c r="C1" t="s">
        <v>528</v>
      </c>
      <c r="D1" t="s">
        <v>530</v>
      </c>
      <c r="E1" t="s">
        <v>531</v>
      </c>
    </row>
    <row r="2" spans="1:5" ht="15.75" customHeight="1" x14ac:dyDescent="0.2">
      <c r="A2" s="39"/>
      <c r="B2" s="1"/>
      <c r="C2" s="1"/>
    </row>
    <row r="3" spans="1:5" ht="15.75" customHeight="1" x14ac:dyDescent="0.2">
      <c r="A3" s="39"/>
      <c r="B3" s="1"/>
      <c r="C3" s="1"/>
      <c r="D3" s="1"/>
      <c r="E3" s="1"/>
    </row>
    <row r="4" spans="1:5" ht="15.75" customHeight="1" x14ac:dyDescent="0.2">
      <c r="A4" s="39">
        <v>42561.384103530094</v>
      </c>
      <c r="B4" s="1" t="s">
        <v>51</v>
      </c>
      <c r="C4" s="1">
        <v>28</v>
      </c>
    </row>
    <row r="5" spans="1:5" ht="15.75" customHeight="1" x14ac:dyDescent="0.2">
      <c r="A5" s="39">
        <v>42561.384240081017</v>
      </c>
      <c r="B5" s="1" t="s">
        <v>49</v>
      </c>
      <c r="C5" s="1">
        <v>9</v>
      </c>
    </row>
    <row r="6" spans="1:5" ht="15.75" customHeight="1" x14ac:dyDescent="0.2">
      <c r="A6" s="39">
        <v>42561.384372673609</v>
      </c>
      <c r="B6" s="1" t="s">
        <v>532</v>
      </c>
      <c r="C6" s="1">
        <v>17</v>
      </c>
    </row>
    <row r="7" spans="1:5" ht="15.75" customHeight="1" x14ac:dyDescent="0.2">
      <c r="A7" s="39">
        <v>42561.393247673608</v>
      </c>
      <c r="B7" s="1" t="s">
        <v>163</v>
      </c>
      <c r="C7" s="1">
        <v>39</v>
      </c>
    </row>
    <row r="8" spans="1:5" ht="15.75" customHeight="1" x14ac:dyDescent="0.2">
      <c r="A8" s="39">
        <v>42561.398513009262</v>
      </c>
      <c r="B8" s="1" t="s">
        <v>157</v>
      </c>
      <c r="C8" s="1">
        <v>22</v>
      </c>
    </row>
    <row r="9" spans="1:5" ht="15.75" customHeight="1" x14ac:dyDescent="0.2">
      <c r="A9" s="39"/>
      <c r="B9" s="1"/>
      <c r="C9" s="1"/>
      <c r="D9" s="1"/>
      <c r="E9" s="1"/>
    </row>
    <row r="10" spans="1:5" ht="15.75" customHeight="1" x14ac:dyDescent="0.2">
      <c r="A10" s="39">
        <v>42561.413515717592</v>
      </c>
      <c r="B10" s="1" t="s">
        <v>38</v>
      </c>
      <c r="C10" s="1">
        <v>5</v>
      </c>
      <c r="D10" s="1">
        <v>19</v>
      </c>
      <c r="E10" s="1">
        <v>19</v>
      </c>
    </row>
    <row r="11" spans="1:5" ht="15.75" customHeight="1" x14ac:dyDescent="0.2">
      <c r="A11" s="39"/>
      <c r="B11" s="1"/>
      <c r="C11" s="1"/>
      <c r="D11" s="1"/>
      <c r="E11" s="1"/>
    </row>
    <row r="12" spans="1:5" ht="15.75" customHeight="1" x14ac:dyDescent="0.2">
      <c r="A12" s="39">
        <v>42561.528320729165</v>
      </c>
      <c r="B12" s="1" t="s">
        <v>156</v>
      </c>
      <c r="C12" s="1">
        <v>30</v>
      </c>
      <c r="D12" s="1">
        <v>8</v>
      </c>
      <c r="E12" s="1">
        <v>355</v>
      </c>
    </row>
    <row r="13" spans="1:5" ht="15.75" customHeight="1" x14ac:dyDescent="0.2">
      <c r="A13" s="39">
        <v>42561.539100358801</v>
      </c>
      <c r="B13" s="1" t="s">
        <v>53</v>
      </c>
      <c r="C13" s="1">
        <v>20</v>
      </c>
      <c r="D13" s="1">
        <v>6</v>
      </c>
      <c r="E13" s="1">
        <v>258</v>
      </c>
    </row>
    <row r="14" spans="1:5" ht="15.75" customHeight="1" x14ac:dyDescent="0.2">
      <c r="A14" s="39">
        <v>42561.557205636578</v>
      </c>
      <c r="B14" s="1" t="s">
        <v>52</v>
      </c>
      <c r="C14" s="1">
        <v>6</v>
      </c>
      <c r="D14" s="1">
        <v>11</v>
      </c>
      <c r="E14" s="1">
        <v>130</v>
      </c>
    </row>
    <row r="15" spans="1:5" ht="15.75" customHeight="1" x14ac:dyDescent="0.2">
      <c r="A15" s="39">
        <v>42561.557650578703</v>
      </c>
      <c r="B15" s="1" t="s">
        <v>52</v>
      </c>
      <c r="C15" s="1">
        <v>8</v>
      </c>
      <c r="D15" s="1">
        <v>11</v>
      </c>
      <c r="E15" s="1">
        <v>74</v>
      </c>
    </row>
    <row r="16" spans="1:5" ht="15.75" customHeight="1" x14ac:dyDescent="0.2">
      <c r="A16" s="39">
        <v>42561.566848553237</v>
      </c>
      <c r="B16" s="1" t="s">
        <v>50</v>
      </c>
      <c r="C16" s="1">
        <v>26</v>
      </c>
      <c r="D16" s="1">
        <v>4</v>
      </c>
      <c r="E16" s="1">
        <v>70</v>
      </c>
    </row>
    <row r="17" spans="1:5" ht="15.75" customHeight="1" x14ac:dyDescent="0.2">
      <c r="A17" s="39">
        <v>42561.574143379628</v>
      </c>
      <c r="B17" s="1" t="s">
        <v>160</v>
      </c>
      <c r="C17" s="1">
        <v>30</v>
      </c>
      <c r="D17" s="1">
        <v>12</v>
      </c>
      <c r="E17" s="1">
        <v>416</v>
      </c>
    </row>
    <row r="18" spans="1:5" ht="15.75" customHeight="1" x14ac:dyDescent="0.2">
      <c r="A18" s="39">
        <v>42561.574523680552</v>
      </c>
      <c r="B18" s="1" t="s">
        <v>160</v>
      </c>
      <c r="C18" s="1">
        <v>29</v>
      </c>
      <c r="D18" s="1">
        <v>12</v>
      </c>
      <c r="E18" s="1">
        <v>261</v>
      </c>
    </row>
    <row r="19" spans="1:5" ht="15.75" customHeight="1" x14ac:dyDescent="0.2">
      <c r="A19" s="39">
        <v>42561.576131469905</v>
      </c>
      <c r="B19" s="1" t="s">
        <v>167</v>
      </c>
      <c r="C19" s="1">
        <v>40</v>
      </c>
      <c r="D19" s="1">
        <v>8</v>
      </c>
      <c r="E19" s="1">
        <v>540</v>
      </c>
    </row>
    <row r="20" spans="1:5" ht="15.75" customHeight="1" x14ac:dyDescent="0.2">
      <c r="A20" s="39">
        <v>42561.582326064818</v>
      </c>
      <c r="B20" s="1" t="s">
        <v>50</v>
      </c>
      <c r="C20" s="1">
        <v>16</v>
      </c>
      <c r="D20" s="1">
        <v>5</v>
      </c>
    </row>
    <row r="21" spans="1:5" ht="15.75" customHeight="1" x14ac:dyDescent="0.2">
      <c r="A21" s="39">
        <v>42561.608029699069</v>
      </c>
      <c r="B21" s="1" t="s">
        <v>167</v>
      </c>
      <c r="C21" s="1">
        <v>40</v>
      </c>
      <c r="D21" s="1">
        <v>10</v>
      </c>
      <c r="E21" s="1">
        <v>687</v>
      </c>
    </row>
    <row r="22" spans="1:5" ht="15.75" customHeight="1" x14ac:dyDescent="0.2">
      <c r="A22" s="39">
        <v>42561.63324761574</v>
      </c>
      <c r="B22" s="1" t="s">
        <v>48</v>
      </c>
      <c r="C22" s="1">
        <v>18</v>
      </c>
      <c r="D22" s="1">
        <v>5</v>
      </c>
      <c r="E22" s="1">
        <v>93</v>
      </c>
    </row>
    <row r="23" spans="1:5" ht="15.75" customHeight="1" x14ac:dyDescent="0.2">
      <c r="A23" s="39">
        <v>42561.683218900464</v>
      </c>
      <c r="B23" s="1" t="s">
        <v>53</v>
      </c>
      <c r="C23" s="1">
        <v>20</v>
      </c>
      <c r="D23" s="1">
        <v>6</v>
      </c>
      <c r="E23" s="1">
        <v>221</v>
      </c>
    </row>
    <row r="24" spans="1:5" ht="15.75" customHeight="1" x14ac:dyDescent="0.2">
      <c r="A24" s="39">
        <v>42561.800044201387</v>
      </c>
      <c r="B24" s="1" t="s">
        <v>147</v>
      </c>
      <c r="C24" s="1">
        <v>26</v>
      </c>
      <c r="D24" s="1">
        <v>13</v>
      </c>
      <c r="E24" s="1">
        <v>401</v>
      </c>
    </row>
    <row r="25" spans="1:5" ht="15.75" customHeight="1" x14ac:dyDescent="0.2">
      <c r="A25" s="39">
        <v>42561.800631423612</v>
      </c>
      <c r="B25" s="1" t="s">
        <v>147</v>
      </c>
      <c r="C25" s="1">
        <v>25</v>
      </c>
      <c r="D25" s="1">
        <v>13</v>
      </c>
      <c r="E25" s="1">
        <v>427</v>
      </c>
    </row>
    <row r="26" spans="1:5" ht="15.75" customHeight="1" x14ac:dyDescent="0.2">
      <c r="A26" s="39">
        <v>42561.801024768516</v>
      </c>
      <c r="B26" s="1" t="s">
        <v>139</v>
      </c>
      <c r="C26" s="1">
        <v>21</v>
      </c>
      <c r="D26" s="1">
        <v>13</v>
      </c>
      <c r="E26" s="1">
        <v>427</v>
      </c>
    </row>
    <row r="27" spans="1:5" ht="15.75" customHeight="1" x14ac:dyDescent="0.2">
      <c r="A27" s="39">
        <v>42563.551251608791</v>
      </c>
      <c r="B27" s="1" t="s">
        <v>51</v>
      </c>
      <c r="C27" s="1">
        <v>27</v>
      </c>
      <c r="D27" s="1">
        <v>14</v>
      </c>
      <c r="E27" s="1">
        <v>644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5" width="21.5703125" customWidth="1"/>
  </cols>
  <sheetData>
    <row r="1" spans="1:5" ht="15.75" customHeight="1" x14ac:dyDescent="0.2">
      <c r="A1" t="s">
        <v>519</v>
      </c>
      <c r="B1" t="s">
        <v>524</v>
      </c>
      <c r="C1" t="s">
        <v>536</v>
      </c>
      <c r="D1" t="s">
        <v>537</v>
      </c>
      <c r="E1" t="s">
        <v>538</v>
      </c>
    </row>
    <row r="2" spans="1:5" ht="15.75" customHeight="1" x14ac:dyDescent="0.2">
      <c r="A2" s="39">
        <v>42564.122298506947</v>
      </c>
      <c r="B2" s="1" t="s">
        <v>37</v>
      </c>
      <c r="C2" s="1">
        <v>65</v>
      </c>
      <c r="D2" s="1">
        <v>557</v>
      </c>
      <c r="E2" s="1">
        <v>800</v>
      </c>
    </row>
    <row r="3" spans="1:5" ht="15.75" customHeight="1" x14ac:dyDescent="0.2">
      <c r="A3" s="39">
        <v>42564.134881724538</v>
      </c>
      <c r="B3" s="1" t="s">
        <v>51</v>
      </c>
      <c r="C3" s="1">
        <v>92</v>
      </c>
      <c r="D3" s="1">
        <v>856</v>
      </c>
      <c r="E3" s="1">
        <v>1900</v>
      </c>
    </row>
    <row r="4" spans="1:5" ht="15.75" customHeight="1" x14ac:dyDescent="0.2">
      <c r="A4" s="39">
        <v>42564.280561979162</v>
      </c>
      <c r="B4" s="1" t="s">
        <v>23</v>
      </c>
      <c r="C4" s="1">
        <v>10</v>
      </c>
      <c r="D4" s="1">
        <v>14</v>
      </c>
      <c r="E4" s="1">
        <v>200</v>
      </c>
    </row>
    <row r="5" spans="1:5" ht="15.75" customHeight="1" x14ac:dyDescent="0.2">
      <c r="A5" s="39">
        <v>42564.280835324069</v>
      </c>
      <c r="B5" s="1" t="s">
        <v>38</v>
      </c>
      <c r="C5" s="1">
        <v>17</v>
      </c>
      <c r="D5" s="1">
        <v>17</v>
      </c>
      <c r="E5" s="1">
        <v>200</v>
      </c>
    </row>
    <row r="6" spans="1:5" ht="15.75" customHeight="1" x14ac:dyDescent="0.2">
      <c r="A6" s="39">
        <v>42564.281168425921</v>
      </c>
      <c r="B6" s="1" t="s">
        <v>129</v>
      </c>
      <c r="C6" s="1">
        <v>42</v>
      </c>
      <c r="D6" s="1">
        <v>164</v>
      </c>
      <c r="E6" s="1">
        <v>600</v>
      </c>
    </row>
    <row r="7" spans="1:5" ht="15.75" customHeight="1" x14ac:dyDescent="0.2">
      <c r="A7" s="39">
        <v>42564.2814358912</v>
      </c>
      <c r="B7" s="1" t="s">
        <v>129</v>
      </c>
      <c r="C7" s="1">
        <v>28</v>
      </c>
      <c r="D7" s="1">
        <v>77</v>
      </c>
      <c r="E7" s="1">
        <v>400</v>
      </c>
    </row>
    <row r="8" spans="1:5" ht="15.75" customHeight="1" x14ac:dyDescent="0.2">
      <c r="A8" s="39">
        <v>42564.281686400464</v>
      </c>
      <c r="B8" s="1" t="s">
        <v>129</v>
      </c>
      <c r="C8" s="1">
        <v>11</v>
      </c>
      <c r="D8" s="1">
        <v>12</v>
      </c>
      <c r="E8" s="1">
        <v>200</v>
      </c>
    </row>
    <row r="9" spans="1:5" ht="15.75" customHeight="1" x14ac:dyDescent="0.2">
      <c r="A9" s="39">
        <v>42564.281946365736</v>
      </c>
      <c r="B9" s="1" t="s">
        <v>166</v>
      </c>
      <c r="C9" s="1">
        <v>25</v>
      </c>
      <c r="D9" s="1">
        <v>74</v>
      </c>
      <c r="E9" s="1">
        <v>400</v>
      </c>
    </row>
    <row r="10" spans="1:5" ht="15.75" customHeight="1" x14ac:dyDescent="0.2">
      <c r="A10" s="39">
        <v>42564.282569664356</v>
      </c>
      <c r="B10" s="1" t="s">
        <v>158</v>
      </c>
      <c r="C10" s="1">
        <v>12</v>
      </c>
      <c r="D10" s="1">
        <v>27</v>
      </c>
      <c r="E10" s="1">
        <v>200</v>
      </c>
    </row>
    <row r="11" spans="1:5" ht="15.75" customHeight="1" x14ac:dyDescent="0.2">
      <c r="A11" s="39">
        <v>42564.282278634259</v>
      </c>
      <c r="B11" s="1" t="s">
        <v>56</v>
      </c>
      <c r="C11" s="1">
        <v>13</v>
      </c>
      <c r="D11" s="1">
        <v>32</v>
      </c>
      <c r="E11" s="1">
        <v>200</v>
      </c>
    </row>
    <row r="12" spans="1:5" ht="15.75" customHeight="1" x14ac:dyDescent="0.2">
      <c r="A12" s="39">
        <v>42564.28285570602</v>
      </c>
      <c r="B12" s="1" t="s">
        <v>134</v>
      </c>
      <c r="C12" s="1">
        <v>34</v>
      </c>
      <c r="D12" s="1">
        <v>165</v>
      </c>
      <c r="E12" s="1">
        <v>400</v>
      </c>
    </row>
    <row r="13" spans="1:5" ht="15.75" customHeight="1" x14ac:dyDescent="0.2">
      <c r="A13" s="39">
        <v>42564.283144618057</v>
      </c>
      <c r="B13" s="1" t="s">
        <v>72</v>
      </c>
      <c r="C13" s="1">
        <v>61</v>
      </c>
      <c r="D13" s="1">
        <v>81</v>
      </c>
      <c r="E13" s="1">
        <v>400</v>
      </c>
    </row>
    <row r="14" spans="1:5" ht="15.75" customHeight="1" x14ac:dyDescent="0.2">
      <c r="A14" s="39">
        <v>42564.283426041671</v>
      </c>
      <c r="B14" s="1" t="s">
        <v>114</v>
      </c>
      <c r="C14" s="1">
        <v>13</v>
      </c>
      <c r="D14" s="1">
        <v>78</v>
      </c>
      <c r="E14" s="1">
        <v>400</v>
      </c>
    </row>
    <row r="15" spans="1:5" ht="15.75" customHeight="1" x14ac:dyDescent="0.2">
      <c r="A15" s="39">
        <v>42564.283689374999</v>
      </c>
      <c r="B15" s="1" t="s">
        <v>114</v>
      </c>
      <c r="C15" s="1">
        <v>13</v>
      </c>
      <c r="D15" s="1">
        <v>61</v>
      </c>
      <c r="E15" s="1">
        <v>400</v>
      </c>
    </row>
    <row r="16" spans="1:5" ht="15.75" customHeight="1" x14ac:dyDescent="0.2">
      <c r="A16" s="39">
        <v>42564.28399325232</v>
      </c>
      <c r="B16" s="1" t="s">
        <v>114</v>
      </c>
      <c r="C16" s="1">
        <v>10</v>
      </c>
      <c r="D16" s="1">
        <v>34</v>
      </c>
      <c r="E16" s="1">
        <v>200</v>
      </c>
    </row>
    <row r="17" spans="1:5" ht="15.75" customHeight="1" x14ac:dyDescent="0.2">
      <c r="A17" s="39">
        <v>42564.2843315625</v>
      </c>
      <c r="B17" s="1" t="s">
        <v>76</v>
      </c>
      <c r="C17" s="1">
        <v>22</v>
      </c>
      <c r="D17" s="1">
        <v>80</v>
      </c>
      <c r="E17" s="1">
        <v>400</v>
      </c>
    </row>
    <row r="18" spans="1:5" ht="15.75" customHeight="1" x14ac:dyDescent="0.2">
      <c r="A18" s="39">
        <v>42564.284743564815</v>
      </c>
      <c r="B18" s="1" t="s">
        <v>51</v>
      </c>
      <c r="C18" s="1">
        <v>43</v>
      </c>
      <c r="D18" s="1">
        <v>196</v>
      </c>
      <c r="E18" s="1">
        <v>400</v>
      </c>
    </row>
    <row r="19" spans="1:5" ht="15.75" customHeight="1" x14ac:dyDescent="0.2">
      <c r="A19" s="39">
        <v>42564.285047696758</v>
      </c>
      <c r="B19" s="1" t="s">
        <v>50</v>
      </c>
      <c r="C19" s="1">
        <v>29</v>
      </c>
      <c r="D19" s="1">
        <v>86</v>
      </c>
      <c r="E19" s="1">
        <v>400</v>
      </c>
    </row>
    <row r="20" spans="1:5" ht="15.75" customHeight="1" x14ac:dyDescent="0.2">
      <c r="A20" s="39">
        <v>42564.285502638886</v>
      </c>
      <c r="B20" s="1" t="s">
        <v>49</v>
      </c>
      <c r="C20" s="1">
        <v>29</v>
      </c>
      <c r="D20" s="1">
        <v>94</v>
      </c>
      <c r="E20" s="1">
        <v>600</v>
      </c>
    </row>
    <row r="21" spans="1:5" ht="15.75" customHeight="1" x14ac:dyDescent="0.2">
      <c r="A21" s="39">
        <v>42564.28586048611</v>
      </c>
      <c r="B21" s="1" t="s">
        <v>49</v>
      </c>
      <c r="C21" s="1">
        <v>26</v>
      </c>
      <c r="D21" s="1">
        <v>81</v>
      </c>
      <c r="E21" s="1">
        <v>600</v>
      </c>
    </row>
    <row r="22" spans="1:5" ht="15.75" customHeight="1" x14ac:dyDescent="0.2">
      <c r="A22" s="39">
        <v>42564.286162118056</v>
      </c>
      <c r="B22" s="1" t="s">
        <v>49</v>
      </c>
      <c r="C22" s="1">
        <v>18</v>
      </c>
      <c r="D22" s="1">
        <v>42</v>
      </c>
      <c r="E22" s="1">
        <v>400</v>
      </c>
    </row>
    <row r="23" spans="1:5" ht="15.75" customHeight="1" x14ac:dyDescent="0.2">
      <c r="A23" s="39">
        <v>42564.286485648146</v>
      </c>
      <c r="B23" s="1" t="s">
        <v>49</v>
      </c>
      <c r="C23" s="1">
        <v>19</v>
      </c>
      <c r="D23" s="1">
        <v>40</v>
      </c>
      <c r="E23" s="1">
        <v>400</v>
      </c>
    </row>
    <row r="24" spans="1:5" ht="15.75" customHeight="1" x14ac:dyDescent="0.2">
      <c r="A24" s="39">
        <v>42564.287143761576</v>
      </c>
      <c r="B24" s="1" t="s">
        <v>49</v>
      </c>
      <c r="C24" s="1">
        <v>15</v>
      </c>
      <c r="D24" s="1">
        <v>26</v>
      </c>
      <c r="E24" s="1">
        <v>200</v>
      </c>
    </row>
    <row r="25" spans="1:5" ht="15.75" customHeight="1" x14ac:dyDescent="0.2">
      <c r="A25" s="39">
        <v>42564.287501724539</v>
      </c>
      <c r="B25" s="1" t="s">
        <v>49</v>
      </c>
      <c r="C25" s="1">
        <v>10</v>
      </c>
      <c r="D25" s="1">
        <v>10</v>
      </c>
      <c r="E25" s="1">
        <v>200</v>
      </c>
    </row>
    <row r="26" spans="1:5" ht="15.75" customHeight="1" x14ac:dyDescent="0.2">
      <c r="A26" s="39">
        <v>42564.28780421296</v>
      </c>
      <c r="B26" s="1" t="s">
        <v>52</v>
      </c>
      <c r="C26" s="1">
        <v>24</v>
      </c>
      <c r="D26" s="1">
        <v>80</v>
      </c>
      <c r="E26" s="1">
        <v>600</v>
      </c>
    </row>
    <row r="27" spans="1:5" ht="15.75" customHeight="1" x14ac:dyDescent="0.2">
      <c r="A27" s="39">
        <v>42564.288059074075</v>
      </c>
      <c r="B27" s="1" t="s">
        <v>52</v>
      </c>
      <c r="C27" s="1">
        <v>18</v>
      </c>
      <c r="D27" s="1">
        <v>64</v>
      </c>
      <c r="E27" s="1">
        <v>600</v>
      </c>
    </row>
    <row r="28" spans="1:5" ht="15.75" customHeight="1" x14ac:dyDescent="0.2">
      <c r="A28" s="39">
        <v>42564.288349733797</v>
      </c>
      <c r="B28" s="1" t="s">
        <v>52</v>
      </c>
      <c r="C28" s="1">
        <v>13</v>
      </c>
      <c r="D28" s="1">
        <v>37</v>
      </c>
      <c r="E28" s="1">
        <v>400</v>
      </c>
    </row>
    <row r="29" spans="1:5" ht="15.75" customHeight="1" x14ac:dyDescent="0.2">
      <c r="A29" s="39">
        <v>42564.288673136572</v>
      </c>
      <c r="B29" s="1" t="s">
        <v>52</v>
      </c>
      <c r="C29" s="1">
        <v>11</v>
      </c>
      <c r="D29" s="1">
        <v>23</v>
      </c>
      <c r="E29" s="1">
        <v>200</v>
      </c>
    </row>
    <row r="30" spans="1:5" ht="15.75" customHeight="1" x14ac:dyDescent="0.2">
      <c r="A30" s="39">
        <v>42564.288914872683</v>
      </c>
      <c r="B30" s="1" t="s">
        <v>52</v>
      </c>
      <c r="C30" s="1">
        <v>10</v>
      </c>
      <c r="D30" s="1">
        <v>10</v>
      </c>
      <c r="E30" s="1">
        <v>200</v>
      </c>
    </row>
    <row r="31" spans="1:5" ht="12.75" x14ac:dyDescent="0.2">
      <c r="A31" s="39">
        <v>42564.289242349536</v>
      </c>
      <c r="B31" s="1" t="s">
        <v>52</v>
      </c>
      <c r="C31" s="1">
        <v>18</v>
      </c>
      <c r="D31" s="1">
        <v>48</v>
      </c>
      <c r="E31" s="1">
        <v>400</v>
      </c>
    </row>
    <row r="32" spans="1:5" ht="12.75" x14ac:dyDescent="0.2">
      <c r="A32" s="39">
        <v>42564.289539421297</v>
      </c>
      <c r="B32" s="1" t="s">
        <v>54</v>
      </c>
      <c r="C32" s="1">
        <v>18</v>
      </c>
      <c r="D32" s="1">
        <v>42</v>
      </c>
      <c r="E32" s="1">
        <v>400</v>
      </c>
    </row>
    <row r="33" spans="1:5" ht="12.75" x14ac:dyDescent="0.2">
      <c r="A33" s="39">
        <v>42564.289860289355</v>
      </c>
      <c r="B33" s="1" t="s">
        <v>81</v>
      </c>
      <c r="C33" s="1">
        <v>19</v>
      </c>
      <c r="D33" s="1">
        <v>41</v>
      </c>
      <c r="E33" s="1">
        <v>200</v>
      </c>
    </row>
    <row r="34" spans="1:5" ht="12.75" x14ac:dyDescent="0.2">
      <c r="A34" s="39">
        <v>42564.290113483796</v>
      </c>
      <c r="B34" s="1" t="s">
        <v>41</v>
      </c>
      <c r="C34" s="1">
        <v>25</v>
      </c>
      <c r="D34" s="1">
        <v>45</v>
      </c>
      <c r="E34" s="1">
        <v>600</v>
      </c>
    </row>
    <row r="35" spans="1:5" ht="12.75" x14ac:dyDescent="0.2">
      <c r="A35" s="39">
        <v>42564.290396689816</v>
      </c>
      <c r="B35" s="1" t="s">
        <v>41</v>
      </c>
      <c r="C35" s="1">
        <v>17</v>
      </c>
      <c r="D35" s="1">
        <v>28</v>
      </c>
      <c r="E35" s="1">
        <v>400</v>
      </c>
    </row>
    <row r="36" spans="1:5" ht="12.75" x14ac:dyDescent="0.2">
      <c r="A36" s="39">
        <v>42564.290637500002</v>
      </c>
      <c r="B36" s="1" t="s">
        <v>41</v>
      </c>
      <c r="C36" s="1">
        <v>10</v>
      </c>
      <c r="D36" s="1">
        <v>10</v>
      </c>
      <c r="E36" s="1">
        <v>200</v>
      </c>
    </row>
    <row r="37" spans="1:5" ht="12.75" x14ac:dyDescent="0.2">
      <c r="A37" s="39">
        <v>42564.290931423609</v>
      </c>
      <c r="B37" s="1" t="s">
        <v>103</v>
      </c>
      <c r="C37" s="1">
        <v>22</v>
      </c>
      <c r="D37" s="1">
        <v>70</v>
      </c>
      <c r="E37" s="1">
        <v>200</v>
      </c>
    </row>
    <row r="38" spans="1:5" ht="12.75" x14ac:dyDescent="0.2">
      <c r="A38" s="39">
        <v>42564.291162372683</v>
      </c>
      <c r="B38" s="1" t="s">
        <v>74</v>
      </c>
      <c r="C38" s="1">
        <v>24</v>
      </c>
      <c r="D38" s="1">
        <v>58</v>
      </c>
      <c r="E38" s="1">
        <v>400</v>
      </c>
    </row>
    <row r="39" spans="1:5" ht="12.75" x14ac:dyDescent="0.2">
      <c r="A39" s="39">
        <v>42564.29142569445</v>
      </c>
      <c r="B39" s="1" t="s">
        <v>74</v>
      </c>
      <c r="C39" s="1">
        <v>13</v>
      </c>
      <c r="D39" s="1">
        <v>23</v>
      </c>
      <c r="E39" s="1">
        <v>200</v>
      </c>
    </row>
    <row r="40" spans="1:5" ht="12.75" x14ac:dyDescent="0.2">
      <c r="A40" s="39">
        <v>42564.291629930551</v>
      </c>
      <c r="B40" s="1" t="s">
        <v>74</v>
      </c>
      <c r="C40" s="1">
        <v>10</v>
      </c>
      <c r="D40" s="1">
        <v>10</v>
      </c>
      <c r="E40" s="1">
        <v>200</v>
      </c>
    </row>
    <row r="41" spans="1:5" ht="12.75" x14ac:dyDescent="0.2">
      <c r="A41" s="39">
        <v>42564.330179421297</v>
      </c>
      <c r="B41" s="1" t="s">
        <v>99</v>
      </c>
      <c r="C41" s="1">
        <v>69</v>
      </c>
      <c r="D41" s="1">
        <v>367</v>
      </c>
      <c r="E41" s="1">
        <v>1300</v>
      </c>
    </row>
    <row r="42" spans="1:5" ht="12.75" x14ac:dyDescent="0.2">
      <c r="A42" s="39">
        <v>42564.330525879632</v>
      </c>
      <c r="B42" s="1" t="s">
        <v>160</v>
      </c>
      <c r="C42" s="1">
        <v>65</v>
      </c>
      <c r="D42" s="1">
        <v>760</v>
      </c>
      <c r="E42" s="1">
        <v>1600</v>
      </c>
    </row>
    <row r="43" spans="1:5" ht="12.75" x14ac:dyDescent="0.2">
      <c r="A43" s="39">
        <v>42564.330920486114</v>
      </c>
      <c r="B43" s="1" t="s">
        <v>156</v>
      </c>
      <c r="C43" s="1">
        <v>39</v>
      </c>
      <c r="D43" s="1">
        <v>213</v>
      </c>
      <c r="E43" s="1">
        <v>400</v>
      </c>
    </row>
    <row r="44" spans="1:5" ht="12.75" x14ac:dyDescent="0.2">
      <c r="A44" s="39">
        <v>42564.331297326389</v>
      </c>
      <c r="B44" s="1" t="s">
        <v>51</v>
      </c>
      <c r="C44" s="1">
        <v>82</v>
      </c>
      <c r="D44" s="1">
        <v>670</v>
      </c>
      <c r="E44" s="1">
        <v>1300</v>
      </c>
    </row>
    <row r="45" spans="1:5" ht="12.75" x14ac:dyDescent="0.2">
      <c r="A45" s="39">
        <v>42564.331709537037</v>
      </c>
      <c r="B45" s="1" t="s">
        <v>112</v>
      </c>
      <c r="C45" s="1">
        <v>81</v>
      </c>
      <c r="D45" s="1">
        <v>301</v>
      </c>
      <c r="E45" s="1">
        <v>1000</v>
      </c>
    </row>
    <row r="46" spans="1:5" ht="12.75" x14ac:dyDescent="0.2">
      <c r="A46" s="39">
        <v>42564.332034351857</v>
      </c>
      <c r="B46" s="1" t="s">
        <v>88</v>
      </c>
      <c r="C46" s="1">
        <v>60</v>
      </c>
      <c r="D46" s="1">
        <v>426</v>
      </c>
      <c r="E46" s="1">
        <v>800</v>
      </c>
    </row>
    <row r="47" spans="1:5" ht="12.75" x14ac:dyDescent="0.2">
      <c r="A47" s="39">
        <v>42564.332337881948</v>
      </c>
      <c r="B47" s="1" t="s">
        <v>103</v>
      </c>
      <c r="C47" s="1">
        <v>39</v>
      </c>
      <c r="D47" s="1">
        <v>219</v>
      </c>
      <c r="E47" s="1">
        <v>600</v>
      </c>
    </row>
    <row r="48" spans="1:5" ht="12.75" x14ac:dyDescent="0.2">
      <c r="A48" s="39">
        <v>42564.332846666672</v>
      </c>
      <c r="B48" s="1" t="s">
        <v>102</v>
      </c>
      <c r="C48" s="1">
        <v>50</v>
      </c>
      <c r="D48" s="1">
        <v>334</v>
      </c>
      <c r="E48" s="1">
        <v>1300</v>
      </c>
    </row>
    <row r="49" spans="1:5" ht="12.75" x14ac:dyDescent="0.2">
      <c r="A49" s="39">
        <v>42564.333283564818</v>
      </c>
      <c r="B49" s="1" t="s">
        <v>76</v>
      </c>
      <c r="C49" s="1">
        <v>38</v>
      </c>
      <c r="D49" s="1">
        <v>294</v>
      </c>
      <c r="E49" s="1">
        <v>1000</v>
      </c>
    </row>
    <row r="50" spans="1:5" ht="12.75" x14ac:dyDescent="0.2">
      <c r="A50" s="39">
        <v>42564.333703263888</v>
      </c>
      <c r="B50" s="1" t="s">
        <v>48</v>
      </c>
      <c r="C50" s="1">
        <v>51</v>
      </c>
      <c r="D50" s="1">
        <v>296</v>
      </c>
      <c r="E50" s="1">
        <v>800</v>
      </c>
    </row>
    <row r="51" spans="1:5" ht="12.75" x14ac:dyDescent="0.2">
      <c r="A51" s="39">
        <v>42564.363229502313</v>
      </c>
      <c r="B51" s="1" t="s">
        <v>168</v>
      </c>
      <c r="C51" s="1">
        <v>57</v>
      </c>
      <c r="D51" s="1">
        <v>585</v>
      </c>
      <c r="E51" s="1">
        <v>1000</v>
      </c>
    </row>
    <row r="52" spans="1:5" ht="12.75" x14ac:dyDescent="0.2">
      <c r="A52" s="39">
        <v>42564.363512141208</v>
      </c>
      <c r="B52" s="1" t="s">
        <v>160</v>
      </c>
      <c r="C52" s="1">
        <v>61</v>
      </c>
      <c r="D52" s="1">
        <v>573</v>
      </c>
      <c r="E52" s="1">
        <v>1000</v>
      </c>
    </row>
    <row r="53" spans="1:5" ht="12.75" x14ac:dyDescent="0.2">
      <c r="A53" s="39">
        <v>42564.363738888889</v>
      </c>
      <c r="B53" s="1" t="s">
        <v>57</v>
      </c>
      <c r="C53" s="1">
        <v>58</v>
      </c>
      <c r="D53" s="1">
        <v>532</v>
      </c>
      <c r="E53" s="1">
        <v>1300</v>
      </c>
    </row>
    <row r="54" spans="1:5" ht="12.75" x14ac:dyDescent="0.2">
      <c r="A54" s="39">
        <v>42564.363971030092</v>
      </c>
      <c r="B54" s="1" t="s">
        <v>75</v>
      </c>
      <c r="C54" s="1">
        <v>68</v>
      </c>
      <c r="D54" s="1">
        <v>527</v>
      </c>
      <c r="E54" s="1">
        <v>1000</v>
      </c>
    </row>
    <row r="55" spans="1:5" ht="12.75" x14ac:dyDescent="0.2">
      <c r="A55" s="39">
        <v>42564.364269467595</v>
      </c>
      <c r="B55" s="1" t="s">
        <v>110</v>
      </c>
      <c r="C55" s="1">
        <v>51</v>
      </c>
      <c r="D55" s="1">
        <v>502</v>
      </c>
      <c r="E55" s="1">
        <v>1300</v>
      </c>
    </row>
    <row r="56" spans="1:5" ht="12.75" x14ac:dyDescent="0.2">
      <c r="A56" s="39">
        <v>42564.364506469909</v>
      </c>
      <c r="B56" s="1" t="s">
        <v>156</v>
      </c>
      <c r="C56" s="1">
        <v>59</v>
      </c>
      <c r="D56" s="1">
        <v>487</v>
      </c>
      <c r="E56" s="1">
        <v>800</v>
      </c>
    </row>
    <row r="57" spans="1:5" ht="12.75" x14ac:dyDescent="0.2">
      <c r="A57" s="39">
        <v>42564.364818414353</v>
      </c>
      <c r="B57" s="1" t="s">
        <v>160</v>
      </c>
      <c r="C57" s="1">
        <v>49</v>
      </c>
      <c r="D57" s="1">
        <v>446</v>
      </c>
      <c r="E57" s="1">
        <v>800</v>
      </c>
    </row>
    <row r="58" spans="1:5" ht="12.75" x14ac:dyDescent="0.2">
      <c r="A58" s="39">
        <v>42564.365064826387</v>
      </c>
      <c r="B58" s="1" t="s">
        <v>121</v>
      </c>
      <c r="C58" s="1">
        <v>77</v>
      </c>
      <c r="D58" s="1">
        <v>384</v>
      </c>
      <c r="E58" s="1">
        <v>1300</v>
      </c>
    </row>
    <row r="59" spans="1:5" ht="12.75" x14ac:dyDescent="0.2">
      <c r="A59" s="39">
        <v>42564.365411354171</v>
      </c>
      <c r="B59" s="1" t="s">
        <v>81</v>
      </c>
      <c r="C59" s="1">
        <v>64</v>
      </c>
      <c r="D59" s="1">
        <v>370</v>
      </c>
      <c r="E59" s="1">
        <v>1600</v>
      </c>
    </row>
    <row r="60" spans="1:5" ht="12.75" x14ac:dyDescent="0.2">
      <c r="A60" s="39">
        <v>42564.365662731478</v>
      </c>
      <c r="B60" s="1" t="s">
        <v>50</v>
      </c>
      <c r="C60" s="1">
        <v>59</v>
      </c>
      <c r="D60" s="1">
        <v>345</v>
      </c>
      <c r="E60" s="1">
        <v>1300</v>
      </c>
    </row>
    <row r="61" spans="1:5" ht="12.75" x14ac:dyDescent="0.2">
      <c r="A61" s="39">
        <v>42564.365939953699</v>
      </c>
      <c r="B61" s="1" t="s">
        <v>119</v>
      </c>
      <c r="C61" s="1">
        <v>64</v>
      </c>
      <c r="D61" s="1">
        <v>330</v>
      </c>
      <c r="E61" s="1">
        <v>1300</v>
      </c>
    </row>
    <row r="62" spans="1:5" ht="12.75" x14ac:dyDescent="0.2">
      <c r="A62" s="39">
        <v>42564.487132141207</v>
      </c>
      <c r="B62" s="1" t="s">
        <v>167</v>
      </c>
      <c r="C62" s="1">
        <v>171</v>
      </c>
      <c r="D62" s="1">
        <v>1782</v>
      </c>
      <c r="E62" s="1">
        <v>3000</v>
      </c>
    </row>
    <row r="63" spans="1:5" ht="12.75" x14ac:dyDescent="0.2">
      <c r="A63" s="39">
        <v>42564.487464317128</v>
      </c>
      <c r="B63" s="1" t="s">
        <v>167</v>
      </c>
      <c r="C63" s="1">
        <v>165</v>
      </c>
      <c r="D63" s="1">
        <v>1567</v>
      </c>
      <c r="E63" s="1">
        <v>3000</v>
      </c>
    </row>
    <row r="64" spans="1:5" ht="12.75" x14ac:dyDescent="0.2">
      <c r="A64" s="39">
        <v>42564.487702592596</v>
      </c>
      <c r="B64" s="1" t="s">
        <v>37</v>
      </c>
      <c r="C64" s="1">
        <v>106</v>
      </c>
      <c r="D64" s="1">
        <v>1534</v>
      </c>
      <c r="E64" s="1">
        <v>3500</v>
      </c>
    </row>
    <row r="65" spans="1:5" ht="12.75" x14ac:dyDescent="0.2">
      <c r="A65" s="39">
        <v>42564.487929432871</v>
      </c>
      <c r="B65" s="1" t="s">
        <v>169</v>
      </c>
      <c r="C65" s="1">
        <v>86</v>
      </c>
      <c r="D65" s="1">
        <v>1451</v>
      </c>
      <c r="E65" s="1">
        <v>2500</v>
      </c>
    </row>
    <row r="66" spans="1:5" ht="12.75" x14ac:dyDescent="0.2">
      <c r="A66" s="39">
        <v>42564.488170046301</v>
      </c>
      <c r="B66" s="1" t="s">
        <v>67</v>
      </c>
      <c r="C66" s="1">
        <v>105</v>
      </c>
      <c r="D66" s="1">
        <v>1425</v>
      </c>
      <c r="E66" s="1">
        <v>2500</v>
      </c>
    </row>
    <row r="67" spans="1:5" ht="12.75" x14ac:dyDescent="0.2">
      <c r="A67" s="39">
        <v>42564.488399201393</v>
      </c>
      <c r="B67" s="1" t="s">
        <v>169</v>
      </c>
      <c r="C67" s="1">
        <v>76</v>
      </c>
      <c r="D67" s="1">
        <v>1369</v>
      </c>
      <c r="E67" s="1">
        <v>2500</v>
      </c>
    </row>
    <row r="68" spans="1:5" ht="12.75" x14ac:dyDescent="0.2">
      <c r="A68" s="39">
        <v>42564.488712743056</v>
      </c>
      <c r="B68" s="1" t="s">
        <v>106</v>
      </c>
      <c r="C68" s="1">
        <v>104</v>
      </c>
      <c r="D68" s="1">
        <v>1316</v>
      </c>
      <c r="E68" s="1">
        <v>3000</v>
      </c>
    </row>
    <row r="69" spans="1:5" ht="12.75" x14ac:dyDescent="0.2">
      <c r="A69" s="39">
        <v>42564.488943368051</v>
      </c>
      <c r="B69" s="1" t="s">
        <v>168</v>
      </c>
      <c r="C69" s="1">
        <v>90</v>
      </c>
      <c r="D69" s="1">
        <v>1316</v>
      </c>
      <c r="E69" s="1">
        <v>3000</v>
      </c>
    </row>
    <row r="70" spans="1:5" ht="12.75" x14ac:dyDescent="0.2">
      <c r="A70" s="39">
        <v>42564.844367557875</v>
      </c>
      <c r="B70" s="1" t="s">
        <v>148</v>
      </c>
      <c r="C70" s="1">
        <v>134</v>
      </c>
      <c r="D70" s="1">
        <v>1141</v>
      </c>
      <c r="E70" s="1">
        <v>2500</v>
      </c>
    </row>
    <row r="71" spans="1:5" ht="12.75" x14ac:dyDescent="0.2">
      <c r="A71" s="39">
        <v>42564.97079392361</v>
      </c>
      <c r="B71" s="1" t="s">
        <v>161</v>
      </c>
      <c r="C71" s="1">
        <v>25</v>
      </c>
      <c r="D71" s="1">
        <v>79</v>
      </c>
      <c r="E71" s="1">
        <v>200</v>
      </c>
    </row>
    <row r="72" spans="1:5" ht="12.75" x14ac:dyDescent="0.2">
      <c r="A72" s="39">
        <v>42565.169597824075</v>
      </c>
      <c r="B72" s="1" t="s">
        <v>176</v>
      </c>
      <c r="C72" s="1">
        <v>109</v>
      </c>
      <c r="D72" s="1">
        <v>548</v>
      </c>
      <c r="E72" s="1">
        <v>600</v>
      </c>
    </row>
    <row r="73" spans="1:5" ht="12.75" x14ac:dyDescent="0.2">
      <c r="A73" s="39">
        <v>42565.410160046296</v>
      </c>
      <c r="B73" s="1" t="s">
        <v>130</v>
      </c>
      <c r="C73" s="1">
        <v>70</v>
      </c>
      <c r="D73" s="1">
        <v>509</v>
      </c>
      <c r="E73" s="1">
        <v>800</v>
      </c>
    </row>
    <row r="74" spans="1:5" ht="12.75" x14ac:dyDescent="0.2">
      <c r="A74" s="39">
        <v>42565.410721388893</v>
      </c>
      <c r="B74" s="1" t="s">
        <v>160</v>
      </c>
      <c r="C74" s="1">
        <v>53</v>
      </c>
      <c r="D74" s="1">
        <v>439</v>
      </c>
      <c r="E74" s="1">
        <v>800</v>
      </c>
    </row>
    <row r="75" spans="1:5" ht="12.75" x14ac:dyDescent="0.2">
      <c r="A75" s="39">
        <v>42565.411032638891</v>
      </c>
      <c r="B75" s="1" t="s">
        <v>132</v>
      </c>
      <c r="C75" s="1">
        <v>48</v>
      </c>
      <c r="D75" s="1">
        <v>419</v>
      </c>
      <c r="E75" s="1">
        <v>800</v>
      </c>
    </row>
    <row r="76" spans="1:5" ht="12.75" x14ac:dyDescent="0.2">
      <c r="A76" s="39">
        <v>42565.411308599534</v>
      </c>
      <c r="B76" s="1" t="s">
        <v>130</v>
      </c>
      <c r="C76" s="1">
        <v>63</v>
      </c>
      <c r="D76" s="1">
        <v>416</v>
      </c>
      <c r="E76" s="1">
        <v>800</v>
      </c>
    </row>
    <row r="77" spans="1:5" ht="12.75" x14ac:dyDescent="0.2">
      <c r="A77" s="39">
        <v>42565.599024178242</v>
      </c>
      <c r="B77" s="1" t="s">
        <v>49</v>
      </c>
      <c r="C77" s="1">
        <v>37</v>
      </c>
      <c r="D77" s="1">
        <v>149</v>
      </c>
      <c r="E77" s="1">
        <v>1000</v>
      </c>
    </row>
    <row r="78" spans="1:5" ht="12.75" x14ac:dyDescent="0.2">
      <c r="A78" s="39">
        <v>42565.599276365741</v>
      </c>
      <c r="B78" s="1" t="s">
        <v>49</v>
      </c>
      <c r="C78" s="1">
        <v>33</v>
      </c>
      <c r="D78" s="1">
        <v>125</v>
      </c>
      <c r="E78" s="1">
        <v>800</v>
      </c>
    </row>
    <row r="79" spans="1:5" ht="12.75" x14ac:dyDescent="0.2">
      <c r="A79" s="39">
        <v>42565.599766388885</v>
      </c>
      <c r="B79" s="1" t="s">
        <v>50</v>
      </c>
      <c r="C79" s="1">
        <v>12</v>
      </c>
      <c r="D79" s="1">
        <v>15</v>
      </c>
      <c r="E79" s="1">
        <v>200</v>
      </c>
    </row>
    <row r="80" spans="1:5" ht="12.75" x14ac:dyDescent="0.2">
      <c r="A80" s="39">
        <v>42565.599960462961</v>
      </c>
      <c r="B80" s="1" t="s">
        <v>50</v>
      </c>
      <c r="C80" s="1">
        <v>18</v>
      </c>
      <c r="D80" s="1">
        <v>31</v>
      </c>
      <c r="E80" s="1">
        <v>200</v>
      </c>
    </row>
    <row r="81" spans="1:5" ht="12.75" x14ac:dyDescent="0.2">
      <c r="A81" s="39">
        <v>42565.600255520832</v>
      </c>
      <c r="B81" s="1" t="s">
        <v>51</v>
      </c>
      <c r="C81" s="1">
        <v>61</v>
      </c>
      <c r="D81" s="1">
        <v>382</v>
      </c>
      <c r="E81" s="1">
        <v>800</v>
      </c>
    </row>
    <row r="82" spans="1:5" ht="12.75" x14ac:dyDescent="0.2">
      <c r="A82" s="39">
        <v>42565.600569652779</v>
      </c>
      <c r="B82" s="1" t="s">
        <v>52</v>
      </c>
      <c r="C82" s="1">
        <v>27</v>
      </c>
      <c r="D82" s="1">
        <v>136</v>
      </c>
      <c r="E82" s="1">
        <v>1000</v>
      </c>
    </row>
    <row r="83" spans="1:5" ht="12.75" x14ac:dyDescent="0.2">
      <c r="A83" s="39">
        <v>42565.600830393523</v>
      </c>
      <c r="B83" s="1" t="s">
        <v>53</v>
      </c>
      <c r="C83" s="1">
        <v>47</v>
      </c>
      <c r="D83" s="1">
        <v>349</v>
      </c>
      <c r="E83" s="1">
        <v>1000</v>
      </c>
    </row>
    <row r="84" spans="1:5" ht="12.75" x14ac:dyDescent="0.2">
      <c r="A84" s="39">
        <v>42565.601731099538</v>
      </c>
      <c r="B84" s="1" t="s">
        <v>76</v>
      </c>
      <c r="C84" s="1">
        <v>10</v>
      </c>
      <c r="D84" s="1">
        <v>14</v>
      </c>
      <c r="E84" s="1">
        <v>200</v>
      </c>
    </row>
    <row r="85" spans="1:5" ht="12.75" x14ac:dyDescent="0.2">
      <c r="A85" s="39">
        <v>42565.602634212963</v>
      </c>
      <c r="B85" s="1" t="s">
        <v>77</v>
      </c>
      <c r="C85" s="1">
        <v>61</v>
      </c>
      <c r="D85" s="1">
        <v>573</v>
      </c>
      <c r="E85" s="1">
        <v>1600</v>
      </c>
    </row>
    <row r="86" spans="1:5" ht="12.75" x14ac:dyDescent="0.2">
      <c r="A86" s="39">
        <v>42565.602944444443</v>
      </c>
      <c r="B86" s="1" t="s">
        <v>77</v>
      </c>
      <c r="C86" s="1">
        <v>56</v>
      </c>
      <c r="D86" s="1">
        <v>500</v>
      </c>
      <c r="E86" s="1">
        <v>1300</v>
      </c>
    </row>
    <row r="87" spans="1:5" ht="12.75" x14ac:dyDescent="0.2">
      <c r="A87" s="39">
        <v>42565.603279907409</v>
      </c>
      <c r="B87" s="1" t="s">
        <v>82</v>
      </c>
      <c r="C87" s="1">
        <v>63</v>
      </c>
      <c r="D87" s="1">
        <v>559</v>
      </c>
      <c r="E87" s="1">
        <v>1300</v>
      </c>
    </row>
    <row r="88" spans="1:5" ht="12.75" x14ac:dyDescent="0.2">
      <c r="A88" s="39">
        <v>42565.603542777782</v>
      </c>
      <c r="B88" s="1" t="s">
        <v>103</v>
      </c>
      <c r="C88" s="1">
        <v>60</v>
      </c>
      <c r="D88" s="1">
        <v>500</v>
      </c>
      <c r="E88" s="1">
        <v>1300</v>
      </c>
    </row>
    <row r="89" spans="1:5" ht="12.75" x14ac:dyDescent="0.2">
      <c r="A89" s="39">
        <v>42565.603893113424</v>
      </c>
      <c r="B89" s="1" t="s">
        <v>160</v>
      </c>
      <c r="C89" s="1">
        <v>54</v>
      </c>
      <c r="D89" s="1">
        <v>484</v>
      </c>
      <c r="E89" s="1">
        <v>800</v>
      </c>
    </row>
    <row r="90" spans="1:5" ht="12.75" x14ac:dyDescent="0.2">
      <c r="A90" s="39">
        <v>42565.604151203705</v>
      </c>
      <c r="B90" s="1" t="s">
        <v>103</v>
      </c>
      <c r="C90" s="1">
        <v>56</v>
      </c>
      <c r="D90" s="1">
        <v>437</v>
      </c>
      <c r="E90" s="1">
        <v>1000</v>
      </c>
    </row>
    <row r="91" spans="1:5" ht="12.75" x14ac:dyDescent="0.2">
      <c r="A91" s="39">
        <v>42565.604460937495</v>
      </c>
      <c r="B91" s="1" t="s">
        <v>48</v>
      </c>
      <c r="C91" s="1">
        <v>60</v>
      </c>
      <c r="D91" s="1">
        <v>380</v>
      </c>
      <c r="E91" s="1">
        <v>1000</v>
      </c>
    </row>
    <row r="92" spans="1:5" ht="12.75" x14ac:dyDescent="0.2">
      <c r="A92" s="39">
        <v>42565.604760289352</v>
      </c>
      <c r="B92" s="1" t="s">
        <v>51</v>
      </c>
      <c r="C92" s="1">
        <v>88</v>
      </c>
      <c r="D92" s="1">
        <v>745</v>
      </c>
      <c r="E92" s="1">
        <v>1600</v>
      </c>
    </row>
    <row r="93" spans="1:5" ht="12.75" x14ac:dyDescent="0.2">
      <c r="A93" s="39">
        <v>42565.60500502315</v>
      </c>
      <c r="B93" s="1" t="s">
        <v>51</v>
      </c>
      <c r="C93" s="1">
        <v>77</v>
      </c>
      <c r="D93" s="1">
        <v>599</v>
      </c>
      <c r="E93" s="1">
        <v>1300</v>
      </c>
    </row>
    <row r="94" spans="1:5" ht="12.75" x14ac:dyDescent="0.2">
      <c r="A94" s="39">
        <v>42565.605305474535</v>
      </c>
      <c r="B94" s="1" t="s">
        <v>80</v>
      </c>
      <c r="C94" s="1">
        <v>54</v>
      </c>
      <c r="D94" s="1">
        <v>535</v>
      </c>
      <c r="E94" s="1">
        <v>1300</v>
      </c>
    </row>
    <row r="95" spans="1:5" ht="12.75" x14ac:dyDescent="0.2">
      <c r="A95" s="39">
        <v>42565.605703437497</v>
      </c>
      <c r="B95" s="1" t="s">
        <v>112</v>
      </c>
      <c r="C95" s="1">
        <v>73</v>
      </c>
      <c r="D95" s="1">
        <v>271</v>
      </c>
      <c r="E95" s="1">
        <v>800</v>
      </c>
    </row>
    <row r="96" spans="1:5" ht="12.75" x14ac:dyDescent="0.2">
      <c r="A96" s="39">
        <v>42565.606157233793</v>
      </c>
      <c r="B96" s="1" t="s">
        <v>68</v>
      </c>
      <c r="C96" s="1">
        <v>48</v>
      </c>
      <c r="D96" s="1">
        <v>175</v>
      </c>
      <c r="E96" s="1">
        <v>600</v>
      </c>
    </row>
    <row r="97" spans="1:5" ht="12.75" x14ac:dyDescent="0.2">
      <c r="A97" s="39">
        <v>42565.606636724537</v>
      </c>
      <c r="B97" s="1" t="s">
        <v>125</v>
      </c>
      <c r="C97" s="1">
        <v>20</v>
      </c>
      <c r="D97" s="1">
        <v>106</v>
      </c>
      <c r="E97" s="1">
        <v>600</v>
      </c>
    </row>
    <row r="98" spans="1:5" ht="12.75" x14ac:dyDescent="0.2">
      <c r="A98" s="39">
        <v>42565.606908726855</v>
      </c>
      <c r="B98" s="1" t="s">
        <v>156</v>
      </c>
      <c r="C98" s="1">
        <v>25</v>
      </c>
      <c r="D98" s="1">
        <v>90</v>
      </c>
      <c r="E98" s="1">
        <v>200</v>
      </c>
    </row>
    <row r="99" spans="1:5" ht="12.75" x14ac:dyDescent="0.2">
      <c r="A99" s="39">
        <v>42565.733683865736</v>
      </c>
      <c r="B99" s="1" t="s">
        <v>157</v>
      </c>
      <c r="C99" s="1">
        <v>76</v>
      </c>
      <c r="D99" s="1">
        <v>879</v>
      </c>
      <c r="E99" s="1">
        <v>2500</v>
      </c>
    </row>
    <row r="100" spans="1:5" ht="12.75" x14ac:dyDescent="0.2">
      <c r="A100" s="39">
        <v>42565.733943194442</v>
      </c>
      <c r="B100" s="1" t="s">
        <v>123</v>
      </c>
      <c r="C100" s="1">
        <v>10</v>
      </c>
      <c r="D100" s="1">
        <v>30</v>
      </c>
      <c r="E100" s="1">
        <v>200</v>
      </c>
    </row>
    <row r="101" spans="1:5" ht="12.75" x14ac:dyDescent="0.2">
      <c r="A101" s="39">
        <v>42565.734229340276</v>
      </c>
      <c r="B101" s="1" t="s">
        <v>23</v>
      </c>
      <c r="C101" s="1">
        <v>59</v>
      </c>
      <c r="D101" s="1">
        <v>586</v>
      </c>
      <c r="E101" s="1">
        <v>2500</v>
      </c>
    </row>
    <row r="102" spans="1:5" ht="12.75" x14ac:dyDescent="0.2">
      <c r="A102" s="39">
        <v>42565.734448425923</v>
      </c>
      <c r="B102" s="1" t="s">
        <v>180</v>
      </c>
      <c r="C102" s="1">
        <v>35</v>
      </c>
      <c r="D102" s="1">
        <v>258</v>
      </c>
      <c r="E102" s="1">
        <v>1000</v>
      </c>
    </row>
    <row r="103" spans="1:5" ht="12.75" x14ac:dyDescent="0.2">
      <c r="A103" s="39">
        <v>42565.798329444442</v>
      </c>
      <c r="B103" s="1" t="s">
        <v>166</v>
      </c>
      <c r="C103" s="1">
        <v>55</v>
      </c>
      <c r="D103" s="1">
        <v>397</v>
      </c>
      <c r="E103" s="1">
        <v>1600</v>
      </c>
    </row>
    <row r="104" spans="1:5" ht="12.75" x14ac:dyDescent="0.2">
      <c r="A104" s="39">
        <v>42565.798497430558</v>
      </c>
      <c r="B104" s="1" t="s">
        <v>169</v>
      </c>
      <c r="C104" s="1">
        <v>71</v>
      </c>
      <c r="D104" s="1">
        <v>1039</v>
      </c>
      <c r="E104" s="1">
        <v>1600</v>
      </c>
    </row>
    <row r="105" spans="1:5" ht="12.75" x14ac:dyDescent="0.2">
      <c r="A105" s="39">
        <v>42565.798854074077</v>
      </c>
      <c r="B105" s="1" t="s">
        <v>72</v>
      </c>
      <c r="C105" s="1">
        <v>74</v>
      </c>
      <c r="D105" s="1">
        <v>133</v>
      </c>
      <c r="E105" s="1">
        <v>600</v>
      </c>
    </row>
    <row r="106" spans="1:5" ht="12.75" x14ac:dyDescent="0.2">
      <c r="A106" s="39">
        <v>42565.799234074075</v>
      </c>
      <c r="B106" s="1" t="s">
        <v>130</v>
      </c>
      <c r="C106" s="1">
        <v>97</v>
      </c>
      <c r="D106" s="1">
        <v>945</v>
      </c>
      <c r="E106" s="1">
        <v>1900</v>
      </c>
    </row>
    <row r="107" spans="1:5" ht="12.75" x14ac:dyDescent="0.2">
      <c r="A107" s="39">
        <v>42565.814748553239</v>
      </c>
      <c r="B107" s="1" t="s">
        <v>164</v>
      </c>
      <c r="C107" s="1">
        <v>124</v>
      </c>
      <c r="D107" s="1">
        <v>990</v>
      </c>
      <c r="E107" s="1">
        <v>1300</v>
      </c>
    </row>
    <row r="108" spans="1:5" ht="12.75" x14ac:dyDescent="0.2">
      <c r="A108" s="39">
        <v>42565.815078796295</v>
      </c>
      <c r="B108" s="1" t="s">
        <v>113</v>
      </c>
      <c r="C108" s="1">
        <v>93</v>
      </c>
      <c r="D108" s="1">
        <v>825</v>
      </c>
      <c r="E108" s="1">
        <v>1300</v>
      </c>
    </row>
    <row r="109" spans="1:5" ht="12.75" x14ac:dyDescent="0.2">
      <c r="A109" s="39">
        <v>42565.815436087963</v>
      </c>
      <c r="B109" s="1" t="s">
        <v>87</v>
      </c>
      <c r="C109" s="1">
        <v>58</v>
      </c>
      <c r="D109" s="1">
        <v>496</v>
      </c>
      <c r="E109" s="1">
        <v>1900</v>
      </c>
    </row>
    <row r="110" spans="1:5" ht="12.75" x14ac:dyDescent="0.2">
      <c r="A110" s="39">
        <v>42565.815786793981</v>
      </c>
      <c r="B110" s="1" t="s">
        <v>102</v>
      </c>
      <c r="C110" s="1">
        <v>57</v>
      </c>
      <c r="D110" s="1">
        <v>461</v>
      </c>
      <c r="E110" s="1">
        <v>1900</v>
      </c>
    </row>
    <row r="111" spans="1:5" ht="12.75" x14ac:dyDescent="0.2">
      <c r="A111" s="39">
        <v>42565.817128657407</v>
      </c>
      <c r="B111" s="1" t="s">
        <v>52</v>
      </c>
      <c r="C111" s="1">
        <v>11</v>
      </c>
      <c r="D111" s="1">
        <v>20</v>
      </c>
      <c r="E111" s="1">
        <v>200</v>
      </c>
    </row>
    <row r="112" spans="1:5" ht="12.75" x14ac:dyDescent="0.2">
      <c r="A112" s="39">
        <v>42565.817449027774</v>
      </c>
      <c r="B112" s="1" t="s">
        <v>52</v>
      </c>
      <c r="C112" s="1">
        <v>17</v>
      </c>
      <c r="D112" s="1">
        <v>53</v>
      </c>
      <c r="E112" s="1">
        <v>400</v>
      </c>
    </row>
    <row r="113" spans="1:5" ht="12.75" x14ac:dyDescent="0.2">
      <c r="A113" s="39">
        <v>42565.817779699079</v>
      </c>
      <c r="B113" s="1" t="s">
        <v>52</v>
      </c>
      <c r="C113" s="1">
        <v>20</v>
      </c>
      <c r="D113" s="1">
        <v>76</v>
      </c>
      <c r="E113" s="1">
        <v>600</v>
      </c>
    </row>
    <row r="114" spans="1:5" ht="12.75" x14ac:dyDescent="0.2">
      <c r="A114" s="39">
        <v>42565.817933229162</v>
      </c>
      <c r="B114" s="1" t="s">
        <v>52</v>
      </c>
      <c r="C114" s="1">
        <v>21</v>
      </c>
      <c r="D114" s="1">
        <v>80</v>
      </c>
      <c r="E114" s="1">
        <v>600</v>
      </c>
    </row>
    <row r="115" spans="1:5" ht="12.75" x14ac:dyDescent="0.2">
      <c r="A115" s="39">
        <v>42565.818126712962</v>
      </c>
      <c r="B115" s="1" t="s">
        <v>52</v>
      </c>
      <c r="C115" s="1">
        <v>26</v>
      </c>
      <c r="D115" s="1">
        <v>132</v>
      </c>
      <c r="E115" s="1">
        <v>1000</v>
      </c>
    </row>
    <row r="116" spans="1:5" ht="12.75" x14ac:dyDescent="0.2">
      <c r="A116" s="39">
        <v>42565.818306550922</v>
      </c>
      <c r="B116" s="1" t="s">
        <v>52</v>
      </c>
      <c r="C116" s="1">
        <v>30</v>
      </c>
      <c r="D116" s="1">
        <v>160</v>
      </c>
      <c r="E116" s="1">
        <v>1300</v>
      </c>
    </row>
    <row r="117" spans="1:5" ht="12.75" x14ac:dyDescent="0.2">
      <c r="A117" s="39">
        <v>42565.818673541668</v>
      </c>
      <c r="B117" s="1" t="s">
        <v>50</v>
      </c>
      <c r="C117" s="1">
        <v>48</v>
      </c>
      <c r="D117" s="1">
        <v>234</v>
      </c>
      <c r="E117" s="1">
        <v>800</v>
      </c>
    </row>
    <row r="118" spans="1:5" ht="12.75" x14ac:dyDescent="0.2">
      <c r="A118" s="39">
        <v>42565.818856099533</v>
      </c>
      <c r="B118" s="1" t="s">
        <v>50</v>
      </c>
      <c r="C118" s="1">
        <v>52</v>
      </c>
      <c r="D118" s="1">
        <v>242</v>
      </c>
      <c r="E118" s="1">
        <v>800</v>
      </c>
    </row>
    <row r="119" spans="1:5" ht="12.75" x14ac:dyDescent="0.2">
      <c r="A119" s="39">
        <v>42565.819074502317</v>
      </c>
      <c r="B119" s="1" t="s">
        <v>50</v>
      </c>
      <c r="C119" s="1">
        <v>48</v>
      </c>
      <c r="D119" s="1">
        <v>246</v>
      </c>
      <c r="E119" s="1">
        <v>800</v>
      </c>
    </row>
    <row r="120" spans="1:5" ht="12.75" x14ac:dyDescent="0.2">
      <c r="A120" s="39">
        <v>42565.819242037032</v>
      </c>
      <c r="B120" s="1" t="s">
        <v>50</v>
      </c>
      <c r="C120" s="1">
        <v>53</v>
      </c>
      <c r="D120" s="1">
        <v>269</v>
      </c>
      <c r="E120" s="1">
        <v>1000</v>
      </c>
    </row>
    <row r="121" spans="1:5" ht="12.75" x14ac:dyDescent="0.2">
      <c r="A121" s="39">
        <v>42565.819481388884</v>
      </c>
      <c r="B121" s="1" t="s">
        <v>50</v>
      </c>
      <c r="C121" s="1">
        <v>57</v>
      </c>
      <c r="D121" s="1">
        <v>300</v>
      </c>
      <c r="E121" s="1">
        <v>1000</v>
      </c>
    </row>
    <row r="122" spans="1:5" ht="12.75" x14ac:dyDescent="0.2">
      <c r="A122" s="39">
        <v>42565.819815092589</v>
      </c>
      <c r="B122" s="1" t="s">
        <v>50</v>
      </c>
      <c r="C122" s="1">
        <v>59</v>
      </c>
      <c r="D122" s="1">
        <v>300</v>
      </c>
      <c r="E122" s="1">
        <v>1000</v>
      </c>
    </row>
    <row r="123" spans="1:5" ht="12.75" x14ac:dyDescent="0.2">
      <c r="A123" s="39">
        <v>42565.819996828708</v>
      </c>
      <c r="B123" s="1" t="s">
        <v>50</v>
      </c>
      <c r="C123" s="1">
        <v>57</v>
      </c>
      <c r="D123" s="1">
        <v>330</v>
      </c>
      <c r="E123" s="1">
        <v>1300</v>
      </c>
    </row>
    <row r="124" spans="1:5" ht="12.75" x14ac:dyDescent="0.2">
      <c r="A124" s="39">
        <v>42565.820152048611</v>
      </c>
      <c r="B124" s="1" t="s">
        <v>50</v>
      </c>
      <c r="C124" s="1">
        <v>60</v>
      </c>
      <c r="D124" s="1">
        <v>357</v>
      </c>
      <c r="E124" s="1">
        <v>1300</v>
      </c>
    </row>
    <row r="125" spans="1:5" ht="12.75" x14ac:dyDescent="0.2">
      <c r="A125" s="39">
        <v>42565.820414097223</v>
      </c>
      <c r="B125" s="1" t="s">
        <v>50</v>
      </c>
      <c r="C125" s="1">
        <v>62</v>
      </c>
      <c r="D125" s="1">
        <v>369</v>
      </c>
      <c r="E125" s="1">
        <v>1300</v>
      </c>
    </row>
    <row r="126" spans="1:5" ht="12.75" x14ac:dyDescent="0.2">
      <c r="A126" s="39">
        <v>42565.820727824073</v>
      </c>
      <c r="B126" s="1" t="s">
        <v>164</v>
      </c>
      <c r="C126" s="1">
        <v>129</v>
      </c>
      <c r="D126" s="1">
        <v>1028</v>
      </c>
      <c r="E126" s="1">
        <v>1300</v>
      </c>
    </row>
    <row r="127" spans="1:5" ht="12.75" x14ac:dyDescent="0.2">
      <c r="A127" s="39">
        <v>42565.834537951392</v>
      </c>
      <c r="B127" s="1" t="s">
        <v>158</v>
      </c>
      <c r="C127" s="1">
        <v>67</v>
      </c>
      <c r="D127" s="1">
        <v>679</v>
      </c>
      <c r="E127" s="1">
        <v>1300</v>
      </c>
    </row>
    <row r="128" spans="1:5" ht="12.75" x14ac:dyDescent="0.2">
      <c r="A128" s="39">
        <v>42565.834853680557</v>
      </c>
      <c r="B128" s="1" t="s">
        <v>120</v>
      </c>
      <c r="C128" s="1">
        <v>86</v>
      </c>
      <c r="D128" s="1">
        <v>670</v>
      </c>
      <c r="E128" s="1">
        <v>1300</v>
      </c>
    </row>
    <row r="129" spans="1:5" ht="12.75" x14ac:dyDescent="0.2">
      <c r="A129" s="39">
        <v>42565.835128576393</v>
      </c>
      <c r="B129" s="1" t="s">
        <v>152</v>
      </c>
      <c r="C129" s="1">
        <v>77</v>
      </c>
      <c r="D129" s="1">
        <v>600</v>
      </c>
      <c r="E129" s="1">
        <v>1300</v>
      </c>
    </row>
    <row r="130" spans="1:5" ht="12.75" x14ac:dyDescent="0.2">
      <c r="A130" s="39">
        <v>42565.835547361115</v>
      </c>
      <c r="B130" s="1" t="s">
        <v>100</v>
      </c>
      <c r="C130" s="1">
        <v>72</v>
      </c>
      <c r="D130" s="1">
        <v>527</v>
      </c>
      <c r="E130" s="1">
        <v>1300</v>
      </c>
    </row>
    <row r="131" spans="1:5" ht="12.75" x14ac:dyDescent="0.2">
      <c r="A131" s="39">
        <v>42565.886472777776</v>
      </c>
      <c r="B131" s="1" t="s">
        <v>167</v>
      </c>
      <c r="C131" s="1">
        <v>113</v>
      </c>
      <c r="D131" s="1">
        <v>900</v>
      </c>
      <c r="E131" s="1">
        <v>2300</v>
      </c>
    </row>
    <row r="132" spans="1:5" ht="12.75" x14ac:dyDescent="0.2">
      <c r="A132" s="39">
        <v>42566.272198761573</v>
      </c>
      <c r="B132" s="1" t="s">
        <v>158</v>
      </c>
      <c r="C132" s="1">
        <v>59</v>
      </c>
      <c r="D132" s="1">
        <v>565</v>
      </c>
      <c r="E132" s="1">
        <v>1000</v>
      </c>
    </row>
    <row r="133" spans="1:5" ht="12.75" x14ac:dyDescent="0.2">
      <c r="A133" s="39">
        <v>42566.272651932872</v>
      </c>
      <c r="B133" s="1" t="s">
        <v>133</v>
      </c>
      <c r="C133" s="1">
        <v>31</v>
      </c>
      <c r="D133" s="1">
        <v>175</v>
      </c>
      <c r="E133" s="1">
        <v>800</v>
      </c>
    </row>
    <row r="134" spans="1:5" ht="12.75" x14ac:dyDescent="0.2">
      <c r="A134" s="39">
        <v>42566.446853402776</v>
      </c>
      <c r="B134" s="1" t="s">
        <v>38</v>
      </c>
      <c r="C134" s="1">
        <v>26</v>
      </c>
      <c r="D134" s="1">
        <v>51</v>
      </c>
      <c r="E134" s="1">
        <v>600</v>
      </c>
    </row>
    <row r="135" spans="1:5" ht="12.75" x14ac:dyDescent="0.2">
      <c r="A135" s="39">
        <v>42566.44716171296</v>
      </c>
      <c r="B135" s="1" t="s">
        <v>79</v>
      </c>
      <c r="C135" s="1">
        <v>17</v>
      </c>
      <c r="D135" s="1">
        <v>66</v>
      </c>
      <c r="E135" s="1">
        <v>400</v>
      </c>
    </row>
    <row r="136" spans="1:5" ht="12.75" x14ac:dyDescent="0.2">
      <c r="A136" s="39">
        <v>42566.447436087961</v>
      </c>
      <c r="B136" s="1" t="s">
        <v>81</v>
      </c>
      <c r="C136" s="1">
        <v>26</v>
      </c>
      <c r="D136" s="1">
        <v>70</v>
      </c>
      <c r="E136" s="1">
        <v>400</v>
      </c>
    </row>
    <row r="137" spans="1:5" ht="12.75" x14ac:dyDescent="0.2">
      <c r="A137" s="39">
        <v>42566.447705636572</v>
      </c>
      <c r="B137" s="1" t="s">
        <v>102</v>
      </c>
      <c r="C137" s="1">
        <v>22</v>
      </c>
      <c r="D137" s="1">
        <v>71</v>
      </c>
      <c r="E137" s="1">
        <v>400</v>
      </c>
    </row>
    <row r="138" spans="1:5" ht="12.75" x14ac:dyDescent="0.2">
      <c r="A138" s="39">
        <v>42566.448009027779</v>
      </c>
      <c r="B138" s="1" t="s">
        <v>166</v>
      </c>
      <c r="C138" s="1">
        <v>28</v>
      </c>
      <c r="D138" s="1">
        <v>105</v>
      </c>
      <c r="E138" s="1">
        <v>400</v>
      </c>
    </row>
    <row r="139" spans="1:5" ht="12.75" x14ac:dyDescent="0.2">
      <c r="A139" s="39">
        <v>42566.448379224537</v>
      </c>
      <c r="B139" s="1" t="s">
        <v>87</v>
      </c>
      <c r="C139" s="1">
        <v>28</v>
      </c>
      <c r="D139" s="1">
        <v>110</v>
      </c>
      <c r="E139" s="1">
        <v>400</v>
      </c>
    </row>
    <row r="140" spans="1:5" ht="12.75" x14ac:dyDescent="0.2">
      <c r="A140" s="39">
        <v>42566.448607083337</v>
      </c>
      <c r="B140" s="1" t="s">
        <v>125</v>
      </c>
      <c r="C140" s="1">
        <v>23</v>
      </c>
      <c r="D140" s="1">
        <v>123</v>
      </c>
      <c r="E140" s="1">
        <v>600</v>
      </c>
    </row>
    <row r="141" spans="1:5" ht="12.75" x14ac:dyDescent="0.2">
      <c r="A141" s="39">
        <v>42566.448906458332</v>
      </c>
      <c r="B141" s="1" t="s">
        <v>50</v>
      </c>
      <c r="C141" s="1">
        <v>44</v>
      </c>
      <c r="D141" s="1">
        <v>182</v>
      </c>
      <c r="E141" s="1">
        <v>600</v>
      </c>
    </row>
    <row r="142" spans="1:5" ht="12.75" x14ac:dyDescent="0.2">
      <c r="A142" s="39">
        <v>42566.469443692127</v>
      </c>
      <c r="B142" s="1" t="s">
        <v>29</v>
      </c>
      <c r="C142" s="1">
        <v>42</v>
      </c>
      <c r="D142" s="1">
        <v>314</v>
      </c>
      <c r="E142" s="1">
        <v>1300</v>
      </c>
    </row>
    <row r="143" spans="1:5" ht="12.75" x14ac:dyDescent="0.2">
      <c r="A143" s="39">
        <v>42566.469672870371</v>
      </c>
      <c r="B143" s="1" t="s">
        <v>34</v>
      </c>
      <c r="C143" s="1">
        <v>57</v>
      </c>
      <c r="D143" s="1">
        <v>443</v>
      </c>
      <c r="E143" s="1">
        <v>2200</v>
      </c>
    </row>
    <row r="144" spans="1:5" ht="12.75" x14ac:dyDescent="0.2">
      <c r="A144" s="39">
        <v>42566.469872233793</v>
      </c>
      <c r="B144" s="1" t="s">
        <v>35</v>
      </c>
      <c r="C144" s="1">
        <v>48</v>
      </c>
      <c r="D144" s="1">
        <v>318</v>
      </c>
      <c r="E144" s="1">
        <v>800</v>
      </c>
    </row>
    <row r="145" spans="1:5" ht="12.75" x14ac:dyDescent="0.2">
      <c r="A145" s="39">
        <v>42566.470118645833</v>
      </c>
      <c r="B145" s="1" t="s">
        <v>38</v>
      </c>
      <c r="C145" s="1">
        <v>49</v>
      </c>
      <c r="D145" s="1">
        <v>153</v>
      </c>
      <c r="E145" s="1">
        <v>2200</v>
      </c>
    </row>
    <row r="146" spans="1:5" ht="12.75" x14ac:dyDescent="0.2">
      <c r="A146" s="39">
        <v>42566.47030429398</v>
      </c>
      <c r="B146" s="1" t="s">
        <v>39</v>
      </c>
      <c r="C146" s="1">
        <v>57</v>
      </c>
      <c r="D146" s="1">
        <v>169</v>
      </c>
      <c r="E146" s="1">
        <v>2200</v>
      </c>
    </row>
    <row r="147" spans="1:5" ht="12.75" x14ac:dyDescent="0.2">
      <c r="A147" s="39">
        <v>42566.470559456022</v>
      </c>
      <c r="B147" s="1" t="s">
        <v>41</v>
      </c>
      <c r="C147" s="1">
        <v>54</v>
      </c>
      <c r="D147" s="1">
        <v>203</v>
      </c>
      <c r="E147" s="1">
        <v>2500</v>
      </c>
    </row>
    <row r="148" spans="1:5" ht="12.75" x14ac:dyDescent="0.2">
      <c r="A148" s="39">
        <v>42566.470747708328</v>
      </c>
      <c r="B148" s="1" t="s">
        <v>41</v>
      </c>
      <c r="C148" s="1">
        <v>53</v>
      </c>
      <c r="D148" s="1">
        <v>187</v>
      </c>
      <c r="E148" s="1">
        <v>2500</v>
      </c>
    </row>
    <row r="149" spans="1:5" ht="12.75" x14ac:dyDescent="0.2">
      <c r="A149" s="39">
        <v>42566.470932534721</v>
      </c>
      <c r="B149" s="1" t="s">
        <v>41</v>
      </c>
      <c r="C149" s="1">
        <v>48</v>
      </c>
      <c r="D149" s="1">
        <v>185</v>
      </c>
      <c r="E149" s="1">
        <v>2500</v>
      </c>
    </row>
    <row r="150" spans="1:5" ht="12.75" x14ac:dyDescent="0.2">
      <c r="A150" s="39">
        <v>42566.471109548613</v>
      </c>
      <c r="B150" s="1" t="s">
        <v>41</v>
      </c>
      <c r="C150" s="1">
        <v>47</v>
      </c>
      <c r="D150" s="1">
        <v>183</v>
      </c>
      <c r="E150" s="1">
        <v>2200</v>
      </c>
    </row>
    <row r="151" spans="1:5" ht="12.75" x14ac:dyDescent="0.2">
      <c r="A151" s="39">
        <v>42566.471306736115</v>
      </c>
      <c r="B151" s="1" t="s">
        <v>41</v>
      </c>
      <c r="C151" s="1">
        <v>48</v>
      </c>
      <c r="D151" s="1">
        <v>178</v>
      </c>
      <c r="E151" s="1">
        <v>2200</v>
      </c>
    </row>
    <row r="152" spans="1:5" ht="12.75" x14ac:dyDescent="0.2">
      <c r="A152" s="39">
        <v>42566.471539594902</v>
      </c>
      <c r="B152" s="1" t="s">
        <v>41</v>
      </c>
      <c r="C152" s="1">
        <v>51</v>
      </c>
      <c r="D152" s="1">
        <v>175</v>
      </c>
      <c r="E152" s="1">
        <v>2500</v>
      </c>
    </row>
    <row r="153" spans="1:5" ht="12.75" x14ac:dyDescent="0.2">
      <c r="A153" s="39">
        <v>42566.471715381944</v>
      </c>
      <c r="B153" s="1" t="s">
        <v>41</v>
      </c>
      <c r="C153" s="1">
        <v>51</v>
      </c>
      <c r="D153" s="1">
        <v>175</v>
      </c>
      <c r="E153" s="1">
        <v>2500</v>
      </c>
    </row>
    <row r="154" spans="1:5" ht="12.75" x14ac:dyDescent="0.2">
      <c r="A154" s="39">
        <v>42566.471919143514</v>
      </c>
      <c r="B154" s="1" t="s">
        <v>41</v>
      </c>
      <c r="C154" s="1">
        <v>46</v>
      </c>
      <c r="D154" s="1">
        <v>174</v>
      </c>
      <c r="E154" s="1">
        <v>2200</v>
      </c>
    </row>
    <row r="155" spans="1:5" ht="12.75" x14ac:dyDescent="0.2">
      <c r="A155" s="39">
        <v>42566.472147071763</v>
      </c>
      <c r="B155" s="1" t="s">
        <v>41</v>
      </c>
      <c r="C155" s="1">
        <v>50</v>
      </c>
      <c r="D155" s="1">
        <v>173</v>
      </c>
      <c r="E155" s="1">
        <v>2200</v>
      </c>
    </row>
    <row r="156" spans="1:5" ht="12.75" x14ac:dyDescent="0.2">
      <c r="A156" s="39">
        <v>42566.472314236111</v>
      </c>
      <c r="B156" s="1" t="s">
        <v>41</v>
      </c>
      <c r="C156" s="1">
        <v>46</v>
      </c>
      <c r="D156" s="1">
        <v>166</v>
      </c>
      <c r="E156" s="1">
        <v>2200</v>
      </c>
    </row>
    <row r="157" spans="1:5" ht="12.75" x14ac:dyDescent="0.2">
      <c r="A157" s="39">
        <v>42566.472496145834</v>
      </c>
      <c r="B157" s="1" t="s">
        <v>41</v>
      </c>
      <c r="C157" s="1">
        <v>47</v>
      </c>
      <c r="D157" s="1">
        <v>160</v>
      </c>
      <c r="E157" s="1">
        <v>1900</v>
      </c>
    </row>
    <row r="158" spans="1:5" ht="12.75" x14ac:dyDescent="0.2">
      <c r="A158" s="39">
        <v>42566.472684826389</v>
      </c>
      <c r="B158" s="1" t="s">
        <v>41</v>
      </c>
      <c r="C158" s="1">
        <v>46</v>
      </c>
      <c r="D158" s="1">
        <v>152</v>
      </c>
      <c r="E158" s="1">
        <v>1900</v>
      </c>
    </row>
    <row r="159" spans="1:5" ht="12.75" x14ac:dyDescent="0.2">
      <c r="A159" s="39">
        <v>42566.472833506945</v>
      </c>
      <c r="B159" s="1" t="s">
        <v>41</v>
      </c>
      <c r="C159" s="1">
        <v>46</v>
      </c>
      <c r="D159" s="1">
        <v>152</v>
      </c>
      <c r="E159" s="1">
        <v>1900</v>
      </c>
    </row>
    <row r="160" spans="1:5" ht="12.75" x14ac:dyDescent="0.2">
      <c r="A160" s="39">
        <v>42566.472999039353</v>
      </c>
      <c r="B160" s="1" t="s">
        <v>41</v>
      </c>
      <c r="C160" s="1">
        <v>46</v>
      </c>
      <c r="D160" s="1">
        <v>152</v>
      </c>
      <c r="E160" s="1">
        <v>1900</v>
      </c>
    </row>
    <row r="161" spans="1:5" ht="12.75" x14ac:dyDescent="0.2">
      <c r="A161" s="39">
        <v>42566.473145243057</v>
      </c>
      <c r="B161" s="1" t="s">
        <v>41</v>
      </c>
      <c r="C161" s="1">
        <v>46</v>
      </c>
      <c r="D161" s="1">
        <v>152</v>
      </c>
      <c r="E161" s="1">
        <v>1900</v>
      </c>
    </row>
    <row r="162" spans="1:5" ht="12.75" x14ac:dyDescent="0.2">
      <c r="A162" s="39">
        <v>42566.473306886575</v>
      </c>
      <c r="B162" s="1" t="s">
        <v>44</v>
      </c>
      <c r="C162" s="1">
        <v>51</v>
      </c>
      <c r="D162" s="1">
        <v>194</v>
      </c>
      <c r="E162" s="1">
        <v>1900</v>
      </c>
    </row>
    <row r="163" spans="1:5" ht="12.75" x14ac:dyDescent="0.2">
      <c r="A163" s="39">
        <v>42566.473502708337</v>
      </c>
      <c r="B163" s="1" t="s">
        <v>48</v>
      </c>
      <c r="C163" s="1">
        <v>64</v>
      </c>
      <c r="D163" s="1">
        <v>409</v>
      </c>
      <c r="E163" s="1">
        <v>1300</v>
      </c>
    </row>
    <row r="164" spans="1:5" ht="12.75" x14ac:dyDescent="0.2">
      <c r="A164" s="39">
        <v>42566.473723506948</v>
      </c>
      <c r="B164" s="1" t="s">
        <v>49</v>
      </c>
      <c r="C164" s="1">
        <v>53</v>
      </c>
      <c r="D164" s="1">
        <v>308</v>
      </c>
      <c r="E164" s="1">
        <v>2200</v>
      </c>
    </row>
    <row r="165" spans="1:5" ht="12.75" x14ac:dyDescent="0.2">
      <c r="A165" s="39">
        <v>42566.473877881945</v>
      </c>
      <c r="B165" s="1" t="s">
        <v>49</v>
      </c>
      <c r="C165" s="1">
        <v>51</v>
      </c>
      <c r="D165" s="1">
        <v>292</v>
      </c>
      <c r="E165" s="1">
        <v>2200</v>
      </c>
    </row>
    <row r="166" spans="1:5" ht="12.75" x14ac:dyDescent="0.2">
      <c r="A166" s="39">
        <v>42566.474221736113</v>
      </c>
      <c r="B166" s="1" t="s">
        <v>49</v>
      </c>
      <c r="C166" s="1">
        <v>49</v>
      </c>
      <c r="D166" s="1">
        <v>284</v>
      </c>
      <c r="E166" s="1">
        <v>2200</v>
      </c>
    </row>
    <row r="167" spans="1:5" ht="12.75" x14ac:dyDescent="0.2">
      <c r="A167" s="39">
        <v>42566.474548136575</v>
      </c>
      <c r="B167" s="1" t="s">
        <v>49</v>
      </c>
      <c r="C167" s="1">
        <v>48</v>
      </c>
      <c r="D167" s="1">
        <v>250</v>
      </c>
      <c r="E167" s="1">
        <v>1900</v>
      </c>
    </row>
    <row r="168" spans="1:5" ht="12.75" x14ac:dyDescent="0.2">
      <c r="A168" s="39">
        <v>42566.474654976853</v>
      </c>
      <c r="B168" s="1" t="s">
        <v>41</v>
      </c>
      <c r="C168" s="1">
        <v>36</v>
      </c>
      <c r="D168" s="1">
        <v>89</v>
      </c>
      <c r="E168" s="1">
        <v>1000</v>
      </c>
    </row>
    <row r="169" spans="1:5" ht="12.75" x14ac:dyDescent="0.2">
      <c r="A169" s="39">
        <v>42566.474714502314</v>
      </c>
      <c r="B169" s="1" t="s">
        <v>49</v>
      </c>
      <c r="C169" s="1">
        <v>43</v>
      </c>
      <c r="D169" s="1">
        <v>233</v>
      </c>
      <c r="E169" s="1">
        <v>1600</v>
      </c>
    </row>
    <row r="170" spans="1:5" ht="12.75" x14ac:dyDescent="0.2">
      <c r="A170" s="39">
        <v>42566.475052071764</v>
      </c>
      <c r="B170" s="1" t="s">
        <v>49</v>
      </c>
      <c r="C170" s="1">
        <v>43</v>
      </c>
      <c r="D170" s="1">
        <v>232</v>
      </c>
      <c r="E170" s="1">
        <v>1300</v>
      </c>
    </row>
    <row r="171" spans="1:5" ht="12.75" x14ac:dyDescent="0.2">
      <c r="A171" s="39">
        <v>42566.475240011576</v>
      </c>
      <c r="B171" s="1" t="s">
        <v>49</v>
      </c>
      <c r="C171" s="1">
        <v>44</v>
      </c>
      <c r="D171" s="1">
        <v>220</v>
      </c>
      <c r="E171" s="1">
        <v>1600</v>
      </c>
    </row>
    <row r="172" spans="1:5" ht="12.75" x14ac:dyDescent="0.2">
      <c r="A172" s="39">
        <v>42566.475407974533</v>
      </c>
      <c r="B172" s="1" t="s">
        <v>49</v>
      </c>
      <c r="C172" s="1">
        <v>43</v>
      </c>
      <c r="D172" s="1">
        <v>216</v>
      </c>
      <c r="E172" s="1">
        <v>1300</v>
      </c>
    </row>
    <row r="173" spans="1:5" ht="12.75" x14ac:dyDescent="0.2">
      <c r="A173" s="39">
        <v>42566.475562835651</v>
      </c>
      <c r="B173" s="1" t="s">
        <v>49</v>
      </c>
      <c r="C173" s="1">
        <v>41</v>
      </c>
      <c r="D173" s="1">
        <v>214</v>
      </c>
      <c r="E173" s="1">
        <v>1600</v>
      </c>
    </row>
    <row r="174" spans="1:5" ht="12.75" x14ac:dyDescent="0.2">
      <c r="A174" s="39">
        <v>42566.475717581023</v>
      </c>
      <c r="B174" s="1" t="s">
        <v>49</v>
      </c>
      <c r="C174" s="1">
        <v>41</v>
      </c>
      <c r="D174" s="1">
        <v>214</v>
      </c>
      <c r="E174" s="1">
        <v>1600</v>
      </c>
    </row>
    <row r="175" spans="1:5" ht="12.75" x14ac:dyDescent="0.2">
      <c r="A175" s="39">
        <v>42566.475913472226</v>
      </c>
      <c r="B175" s="1" t="s">
        <v>49</v>
      </c>
      <c r="C175" s="1">
        <v>39</v>
      </c>
      <c r="D175" s="1">
        <v>199</v>
      </c>
      <c r="E175" s="1">
        <v>1600</v>
      </c>
    </row>
    <row r="176" spans="1:5" ht="12.75" x14ac:dyDescent="0.2">
      <c r="A176" s="39">
        <v>42566.476145590277</v>
      </c>
      <c r="B176" s="1" t="s">
        <v>49</v>
      </c>
      <c r="C176" s="1">
        <v>40</v>
      </c>
      <c r="D176" s="1">
        <v>189</v>
      </c>
      <c r="E176" s="1">
        <v>1300</v>
      </c>
    </row>
    <row r="177" spans="1:5" ht="12.75" x14ac:dyDescent="0.2">
      <c r="A177" s="39">
        <v>42566.476388622686</v>
      </c>
      <c r="B177" s="1" t="s">
        <v>50</v>
      </c>
      <c r="C177" s="1">
        <v>76</v>
      </c>
      <c r="D177" s="1">
        <v>531</v>
      </c>
      <c r="E177" s="1">
        <v>2200</v>
      </c>
    </row>
    <row r="178" spans="1:5" ht="12.75" x14ac:dyDescent="0.2">
      <c r="A178" s="39">
        <v>42566.476576226851</v>
      </c>
      <c r="B178" s="1" t="s">
        <v>50</v>
      </c>
      <c r="C178" s="1">
        <v>77</v>
      </c>
      <c r="D178" s="1">
        <v>529</v>
      </c>
      <c r="E178" s="1">
        <v>2200</v>
      </c>
    </row>
    <row r="179" spans="1:5" ht="12.75" x14ac:dyDescent="0.2">
      <c r="A179" s="39">
        <v>42566.476759699071</v>
      </c>
      <c r="B179" s="1" t="s">
        <v>51</v>
      </c>
      <c r="C179" s="1">
        <v>83</v>
      </c>
      <c r="D179" s="1">
        <v>702</v>
      </c>
      <c r="E179" s="1">
        <v>1600</v>
      </c>
    </row>
    <row r="180" spans="1:5" ht="12.75" x14ac:dyDescent="0.2">
      <c r="A180" s="39">
        <v>42566.476937534724</v>
      </c>
      <c r="B180" s="1" t="s">
        <v>51</v>
      </c>
      <c r="C180" s="1">
        <v>76</v>
      </c>
      <c r="D180" s="1">
        <v>644</v>
      </c>
      <c r="E180" s="1">
        <v>1300</v>
      </c>
    </row>
    <row r="181" spans="1:5" ht="12.75" x14ac:dyDescent="0.2">
      <c r="A181" s="39">
        <v>42566.525864953699</v>
      </c>
      <c r="B181" s="1" t="s">
        <v>51</v>
      </c>
      <c r="C181" s="1">
        <v>79</v>
      </c>
      <c r="D181" s="1">
        <v>680</v>
      </c>
      <c r="E181" s="1">
        <v>1300</v>
      </c>
    </row>
    <row r="182" spans="1:5" ht="12.75" x14ac:dyDescent="0.2">
      <c r="A182" s="39">
        <v>42566.526128182872</v>
      </c>
      <c r="B182" s="1" t="s">
        <v>130</v>
      </c>
      <c r="C182" s="1">
        <v>76</v>
      </c>
      <c r="D182" s="1">
        <v>644</v>
      </c>
      <c r="E182" s="1">
        <v>1300</v>
      </c>
    </row>
    <row r="183" spans="1:5" ht="12.75" x14ac:dyDescent="0.2">
      <c r="A183" s="39">
        <v>42566.526371643515</v>
      </c>
      <c r="B183" s="1" t="s">
        <v>55</v>
      </c>
      <c r="C183" s="1">
        <v>62</v>
      </c>
      <c r="D183" s="1">
        <v>529</v>
      </c>
      <c r="E183" s="1">
        <v>1300</v>
      </c>
    </row>
    <row r="184" spans="1:5" ht="12.75" x14ac:dyDescent="0.2">
      <c r="A184" s="39">
        <v>42566.526612534726</v>
      </c>
      <c r="B184" s="1" t="s">
        <v>53</v>
      </c>
      <c r="C184" s="1">
        <v>48</v>
      </c>
      <c r="D184" s="1">
        <v>403</v>
      </c>
      <c r="E184" s="1">
        <v>1300</v>
      </c>
    </row>
    <row r="185" spans="1:5" ht="12.75" x14ac:dyDescent="0.2">
      <c r="A185" s="39">
        <v>42566.526862280094</v>
      </c>
      <c r="B185" s="1" t="s">
        <v>157</v>
      </c>
      <c r="C185" s="1">
        <v>52</v>
      </c>
      <c r="D185" s="1">
        <v>368</v>
      </c>
      <c r="E185" s="1">
        <v>800</v>
      </c>
    </row>
    <row r="186" spans="1:5" ht="12.75" x14ac:dyDescent="0.2">
      <c r="A186" s="39">
        <v>42566.527077789353</v>
      </c>
      <c r="B186" s="1" t="s">
        <v>87</v>
      </c>
      <c r="C186" s="1">
        <v>47</v>
      </c>
      <c r="D186" s="1">
        <v>320</v>
      </c>
      <c r="E186" s="1">
        <v>1300</v>
      </c>
    </row>
    <row r="187" spans="1:5" ht="12.75" x14ac:dyDescent="0.2">
      <c r="A187" s="39">
        <v>42566.527368518524</v>
      </c>
      <c r="B187" s="1" t="s">
        <v>102</v>
      </c>
      <c r="C187" s="1">
        <v>47</v>
      </c>
      <c r="D187" s="1">
        <v>314</v>
      </c>
      <c r="E187" s="1">
        <v>1000</v>
      </c>
    </row>
    <row r="188" spans="1:5" ht="12.75" x14ac:dyDescent="0.2">
      <c r="A188" s="39">
        <v>42566.52755890046</v>
      </c>
      <c r="B188" s="1" t="s">
        <v>129</v>
      </c>
      <c r="C188" s="1">
        <v>54</v>
      </c>
      <c r="D188" s="1">
        <v>302</v>
      </c>
      <c r="E188" s="1">
        <v>1300</v>
      </c>
    </row>
    <row r="189" spans="1:5" ht="12.75" x14ac:dyDescent="0.2">
      <c r="A189" s="39">
        <v>42566.527812719913</v>
      </c>
      <c r="B189" s="1" t="s">
        <v>53</v>
      </c>
      <c r="C189" s="1">
        <v>44</v>
      </c>
      <c r="D189" s="1">
        <v>299</v>
      </c>
      <c r="E189" s="1">
        <v>800</v>
      </c>
    </row>
    <row r="190" spans="1:5" ht="12.75" x14ac:dyDescent="0.2">
      <c r="A190" s="39">
        <v>42566.52802273148</v>
      </c>
      <c r="B190" s="1" t="s">
        <v>93</v>
      </c>
      <c r="C190" s="1">
        <v>43</v>
      </c>
      <c r="D190" s="1">
        <v>285</v>
      </c>
      <c r="E190" s="1">
        <v>1600</v>
      </c>
    </row>
    <row r="191" spans="1:5" ht="12.75" x14ac:dyDescent="0.2">
      <c r="A191" s="39">
        <v>42566.528233229168</v>
      </c>
      <c r="B191" s="1" t="s">
        <v>129</v>
      </c>
      <c r="C191" s="1">
        <v>54</v>
      </c>
      <c r="D191" s="1">
        <v>276</v>
      </c>
      <c r="E191" s="1">
        <v>1000</v>
      </c>
    </row>
    <row r="192" spans="1:5" ht="12.75" x14ac:dyDescent="0.2">
      <c r="A192" s="39">
        <v>42566.528421168987</v>
      </c>
      <c r="B192" s="1" t="s">
        <v>129</v>
      </c>
      <c r="C192" s="1">
        <v>50</v>
      </c>
      <c r="D192" s="1">
        <v>248</v>
      </c>
      <c r="E192" s="1">
        <v>1000</v>
      </c>
    </row>
    <row r="193" spans="1:5" ht="12.75" x14ac:dyDescent="0.2">
      <c r="A193" s="39">
        <v>42566.528605925923</v>
      </c>
      <c r="B193" s="1" t="s">
        <v>129</v>
      </c>
      <c r="C193" s="1">
        <v>51</v>
      </c>
      <c r="D193" s="1">
        <v>244</v>
      </c>
      <c r="E193" s="1">
        <v>1000</v>
      </c>
    </row>
    <row r="194" spans="1:5" ht="12.75" x14ac:dyDescent="0.2">
      <c r="A194" s="39">
        <v>42566.528773402781</v>
      </c>
      <c r="B194" s="1" t="s">
        <v>129</v>
      </c>
      <c r="C194" s="1">
        <v>50</v>
      </c>
      <c r="D194" s="1">
        <v>236</v>
      </c>
      <c r="E194" s="1">
        <v>800</v>
      </c>
    </row>
    <row r="195" spans="1:5" ht="12.75" x14ac:dyDescent="0.2">
      <c r="A195" s="39">
        <v>42566.528983356482</v>
      </c>
      <c r="B195" s="1" t="s">
        <v>54</v>
      </c>
      <c r="C195" s="1">
        <v>43</v>
      </c>
      <c r="D195" s="1">
        <v>218</v>
      </c>
      <c r="E195" s="1">
        <v>1300</v>
      </c>
    </row>
    <row r="196" spans="1:5" ht="12.75" x14ac:dyDescent="0.2">
      <c r="A196" s="39">
        <v>42566.529156979166</v>
      </c>
      <c r="B196" s="1" t="s">
        <v>129</v>
      </c>
      <c r="C196" s="1">
        <v>48</v>
      </c>
      <c r="D196" s="1">
        <v>216</v>
      </c>
      <c r="E196" s="1">
        <v>800</v>
      </c>
    </row>
    <row r="197" spans="1:5" ht="12.75" x14ac:dyDescent="0.2">
      <c r="A197" s="39">
        <v>42566.529292650463</v>
      </c>
      <c r="B197" s="1" t="s">
        <v>123</v>
      </c>
      <c r="C197" s="1">
        <v>27</v>
      </c>
      <c r="D197" s="1">
        <v>211</v>
      </c>
      <c r="E197" s="1">
        <v>1000</v>
      </c>
    </row>
    <row r="198" spans="1:5" ht="12.75" x14ac:dyDescent="0.2">
      <c r="A198" s="39">
        <v>42566.529566886573</v>
      </c>
      <c r="B198" s="1" t="s">
        <v>50</v>
      </c>
      <c r="C198" s="1">
        <v>48</v>
      </c>
      <c r="D198" s="1">
        <v>210</v>
      </c>
      <c r="E198" s="1">
        <v>800</v>
      </c>
    </row>
    <row r="199" spans="1:5" ht="12.75" x14ac:dyDescent="0.2">
      <c r="A199" s="39">
        <v>42566.529775462965</v>
      </c>
      <c r="B199" s="1" t="s">
        <v>129</v>
      </c>
      <c r="C199" s="1">
        <v>46</v>
      </c>
      <c r="D199" s="1">
        <v>204</v>
      </c>
      <c r="E199" s="1">
        <v>800</v>
      </c>
    </row>
    <row r="200" spans="1:5" ht="12.75" x14ac:dyDescent="0.2">
      <c r="A200" s="39">
        <v>42566.530051331021</v>
      </c>
      <c r="B200" s="1" t="s">
        <v>119</v>
      </c>
      <c r="C200" s="1">
        <v>48</v>
      </c>
      <c r="D200" s="1">
        <v>198</v>
      </c>
      <c r="E200" s="1">
        <v>800</v>
      </c>
    </row>
    <row r="201" spans="1:5" ht="12.75" x14ac:dyDescent="0.2">
      <c r="A201" s="39">
        <v>42566.530353159724</v>
      </c>
      <c r="B201" s="1" t="s">
        <v>133</v>
      </c>
      <c r="C201" s="1">
        <v>35</v>
      </c>
      <c r="D201" s="1">
        <v>197</v>
      </c>
      <c r="E201" s="1">
        <v>1000</v>
      </c>
    </row>
    <row r="202" spans="1:5" ht="12.75" x14ac:dyDescent="0.2">
      <c r="A202" s="39">
        <v>42566.530648877313</v>
      </c>
      <c r="B202" s="1" t="s">
        <v>70</v>
      </c>
      <c r="C202" s="1">
        <v>35</v>
      </c>
      <c r="D202" s="1">
        <v>175</v>
      </c>
      <c r="E202" s="1">
        <v>1000</v>
      </c>
    </row>
    <row r="203" spans="1:5" ht="12.75" x14ac:dyDescent="0.2">
      <c r="A203" s="39">
        <v>42566.530898888886</v>
      </c>
      <c r="B203" s="1" t="s">
        <v>125</v>
      </c>
      <c r="C203" s="1">
        <v>25</v>
      </c>
      <c r="D203" s="1">
        <v>171</v>
      </c>
      <c r="E203" s="1">
        <v>1000</v>
      </c>
    </row>
    <row r="204" spans="1:5" ht="12.75" x14ac:dyDescent="0.2">
      <c r="A204" s="39">
        <v>42566.531124236106</v>
      </c>
      <c r="B204" s="1" t="s">
        <v>87</v>
      </c>
      <c r="C204" s="1">
        <v>35</v>
      </c>
      <c r="D204" s="1">
        <v>162</v>
      </c>
      <c r="E204" s="1">
        <v>600</v>
      </c>
    </row>
    <row r="205" spans="1:5" ht="12.75" x14ac:dyDescent="0.2">
      <c r="A205" s="39">
        <v>42566.531283206015</v>
      </c>
      <c r="B205" s="1" t="s">
        <v>131</v>
      </c>
      <c r="C205" s="1">
        <v>24</v>
      </c>
      <c r="D205" s="1">
        <v>162</v>
      </c>
      <c r="E205" s="1">
        <v>800</v>
      </c>
    </row>
    <row r="206" spans="1:5" ht="12.75" x14ac:dyDescent="0.2">
      <c r="A206" s="39">
        <v>42566.531457349542</v>
      </c>
      <c r="B206" s="1" t="s">
        <v>114</v>
      </c>
      <c r="C206" s="1">
        <v>20</v>
      </c>
      <c r="D206" s="1">
        <v>159</v>
      </c>
      <c r="E206" s="1">
        <v>800</v>
      </c>
    </row>
    <row r="207" spans="1:5" ht="12.75" x14ac:dyDescent="0.2">
      <c r="A207" s="39">
        <v>42566.531751527778</v>
      </c>
      <c r="B207" s="1" t="s">
        <v>117</v>
      </c>
      <c r="C207" s="1">
        <v>28</v>
      </c>
      <c r="D207" s="1">
        <v>142</v>
      </c>
      <c r="E207" s="1">
        <v>800</v>
      </c>
    </row>
    <row r="208" spans="1:5" ht="12.75" x14ac:dyDescent="0.2">
      <c r="A208" s="39">
        <v>42566.532073773153</v>
      </c>
      <c r="B208" s="1" t="s">
        <v>81</v>
      </c>
      <c r="C208" s="1">
        <v>37</v>
      </c>
      <c r="D208" s="1">
        <v>129</v>
      </c>
      <c r="E208" s="1">
        <v>600</v>
      </c>
    </row>
    <row r="209" spans="1:5" ht="12.75" x14ac:dyDescent="0.2">
      <c r="A209" s="39">
        <v>42566.532481574075</v>
      </c>
      <c r="B209" s="1" t="s">
        <v>96</v>
      </c>
      <c r="C209" s="1">
        <v>22</v>
      </c>
      <c r="D209" s="1">
        <v>126</v>
      </c>
      <c r="E209" s="1">
        <v>800</v>
      </c>
    </row>
    <row r="210" spans="1:5" ht="12.75" x14ac:dyDescent="0.2">
      <c r="A210" s="39">
        <v>42566.532742152776</v>
      </c>
      <c r="B210" s="1" t="s">
        <v>60</v>
      </c>
      <c r="C210" s="1">
        <v>36</v>
      </c>
      <c r="D210" s="1">
        <v>113</v>
      </c>
      <c r="E210" s="1">
        <v>600</v>
      </c>
    </row>
    <row r="211" spans="1:5" ht="12.75" x14ac:dyDescent="0.2">
      <c r="A211" s="39">
        <v>42566.532946030093</v>
      </c>
      <c r="B211" s="1" t="s">
        <v>79</v>
      </c>
      <c r="C211" s="1">
        <v>24</v>
      </c>
      <c r="D211" s="1">
        <v>108</v>
      </c>
      <c r="E211" s="1">
        <v>600</v>
      </c>
    </row>
    <row r="212" spans="1:5" ht="12.75" x14ac:dyDescent="0.2">
      <c r="A212" s="39">
        <v>42566.533111481476</v>
      </c>
      <c r="B212" s="1" t="s">
        <v>110</v>
      </c>
      <c r="C212" s="1">
        <v>23</v>
      </c>
      <c r="D212" s="1">
        <v>107</v>
      </c>
      <c r="E212" s="1">
        <v>400</v>
      </c>
    </row>
    <row r="213" spans="1:5" ht="12.75" x14ac:dyDescent="0.2">
      <c r="A213" s="39">
        <v>42566.533384768518</v>
      </c>
      <c r="B213" s="1" t="s">
        <v>126</v>
      </c>
      <c r="C213" s="1">
        <v>22</v>
      </c>
      <c r="D213" s="1">
        <v>96</v>
      </c>
      <c r="E213" s="1">
        <v>400</v>
      </c>
    </row>
    <row r="214" spans="1:5" ht="12.75" x14ac:dyDescent="0.2">
      <c r="A214" s="39">
        <v>42566.533706979171</v>
      </c>
      <c r="B214" s="1" t="s">
        <v>149</v>
      </c>
      <c r="C214" s="1">
        <v>17</v>
      </c>
      <c r="D214" s="1">
        <v>78</v>
      </c>
      <c r="E214" s="1">
        <v>400</v>
      </c>
    </row>
    <row r="215" spans="1:5" ht="12.75" x14ac:dyDescent="0.2">
      <c r="A215" s="39">
        <v>42566.533872800923</v>
      </c>
      <c r="B215" s="1" t="s">
        <v>142</v>
      </c>
      <c r="C215" s="1">
        <v>18</v>
      </c>
      <c r="D215" s="1">
        <v>78</v>
      </c>
      <c r="E215" s="1">
        <v>400</v>
      </c>
    </row>
    <row r="216" spans="1:5" ht="12.75" x14ac:dyDescent="0.2">
      <c r="A216" s="39">
        <v>42566.534152094908</v>
      </c>
      <c r="B216" s="1" t="s">
        <v>153</v>
      </c>
      <c r="C216" s="1">
        <v>15</v>
      </c>
      <c r="D216" s="1">
        <v>67</v>
      </c>
      <c r="E216" s="1">
        <v>400</v>
      </c>
    </row>
    <row r="217" spans="1:5" ht="12.75" x14ac:dyDescent="0.2">
      <c r="A217" s="39">
        <v>42566.534482592593</v>
      </c>
      <c r="B217" s="1" t="s">
        <v>162</v>
      </c>
      <c r="C217" s="1">
        <v>18</v>
      </c>
      <c r="D217" s="1">
        <v>59</v>
      </c>
      <c r="E217" s="1">
        <v>1000</v>
      </c>
    </row>
    <row r="218" spans="1:5" ht="12.75" x14ac:dyDescent="0.2">
      <c r="A218" s="39">
        <v>42566.535042858799</v>
      </c>
      <c r="B218" s="1" t="s">
        <v>166</v>
      </c>
      <c r="C218" s="1">
        <v>19</v>
      </c>
      <c r="D218" s="1">
        <v>44</v>
      </c>
      <c r="E218" s="1">
        <v>200</v>
      </c>
    </row>
    <row r="219" spans="1:5" ht="12.75" x14ac:dyDescent="0.2">
      <c r="A219" s="39">
        <v>42566.5777212963</v>
      </c>
      <c r="B219" s="1" t="s">
        <v>156</v>
      </c>
      <c r="C219" s="1">
        <v>74</v>
      </c>
      <c r="D219" s="1">
        <v>762</v>
      </c>
      <c r="E219" s="1">
        <v>1600</v>
      </c>
    </row>
    <row r="220" spans="1:5" ht="12.75" x14ac:dyDescent="0.2">
      <c r="A220" s="39">
        <v>42566.578206168982</v>
      </c>
      <c r="B220" s="1" t="s">
        <v>167</v>
      </c>
      <c r="C220" s="1">
        <v>160</v>
      </c>
      <c r="D220" s="1">
        <v>1465</v>
      </c>
      <c r="E220" s="1">
        <v>2500</v>
      </c>
    </row>
    <row r="221" spans="1:5" ht="12.75" x14ac:dyDescent="0.2">
      <c r="A221" s="39">
        <v>42566.578573402774</v>
      </c>
      <c r="B221" s="1" t="s">
        <v>169</v>
      </c>
      <c r="C221" s="1">
        <v>84</v>
      </c>
      <c r="D221" s="1">
        <v>1477</v>
      </c>
      <c r="E221" s="1">
        <v>2500</v>
      </c>
    </row>
    <row r="222" spans="1:5" ht="12.75" x14ac:dyDescent="0.2">
      <c r="A222" s="39">
        <v>42566.578995081014</v>
      </c>
      <c r="B222" s="1" t="s">
        <v>169</v>
      </c>
      <c r="C222" s="1">
        <v>85</v>
      </c>
      <c r="D222" s="1">
        <v>1466</v>
      </c>
      <c r="E222" s="1">
        <v>2500</v>
      </c>
    </row>
    <row r="223" spans="1:5" ht="12.75" x14ac:dyDescent="0.2">
      <c r="A223" s="39">
        <v>42566.57942115741</v>
      </c>
      <c r="B223" s="1" t="s">
        <v>73</v>
      </c>
      <c r="C223" s="1">
        <v>170</v>
      </c>
      <c r="D223" s="1">
        <v>1171</v>
      </c>
      <c r="E223" s="1">
        <v>2500</v>
      </c>
    </row>
    <row r="224" spans="1:5" ht="12.75" x14ac:dyDescent="0.2">
      <c r="A224" s="39">
        <v>42566.579784895832</v>
      </c>
      <c r="B224" s="1" t="s">
        <v>176</v>
      </c>
      <c r="C224" s="1">
        <v>166</v>
      </c>
      <c r="D224" s="1">
        <v>1272</v>
      </c>
      <c r="E224" s="1">
        <v>1900</v>
      </c>
    </row>
    <row r="225" spans="1:5" ht="12.75" x14ac:dyDescent="0.2">
      <c r="A225" s="39">
        <v>42566.611836412034</v>
      </c>
      <c r="B225" s="1" t="s">
        <v>96</v>
      </c>
      <c r="C225" s="1">
        <v>10</v>
      </c>
      <c r="D225" s="1">
        <v>22</v>
      </c>
      <c r="E225" s="1">
        <v>200</v>
      </c>
    </row>
    <row r="226" spans="1:5" ht="12.75" x14ac:dyDescent="0.2">
      <c r="A226" s="39">
        <v>42566.621632002316</v>
      </c>
      <c r="B226" s="1" t="s">
        <v>37</v>
      </c>
      <c r="C226" s="1">
        <v>105</v>
      </c>
      <c r="D226" s="1">
        <v>1389</v>
      </c>
      <c r="E226" s="1">
        <v>3000</v>
      </c>
    </row>
    <row r="227" spans="1:5" ht="12.75" x14ac:dyDescent="0.2">
      <c r="A227" s="39">
        <v>42566.622028761572</v>
      </c>
      <c r="B227" s="1" t="s">
        <v>167</v>
      </c>
      <c r="C227" s="1">
        <v>139</v>
      </c>
      <c r="D227" s="1">
        <v>1160</v>
      </c>
      <c r="E227" s="1">
        <v>1600</v>
      </c>
    </row>
    <row r="228" spans="1:5" ht="12.75" x14ac:dyDescent="0.2">
      <c r="A228" s="39">
        <v>42566.622372488426</v>
      </c>
      <c r="B228" s="1" t="s">
        <v>158</v>
      </c>
      <c r="C228" s="1">
        <v>78</v>
      </c>
      <c r="D228" s="1">
        <v>926</v>
      </c>
      <c r="E228" s="1">
        <v>2200</v>
      </c>
    </row>
    <row r="229" spans="1:5" ht="12.75" x14ac:dyDescent="0.2">
      <c r="A229" s="39">
        <v>42566.622699328705</v>
      </c>
      <c r="B229" s="1" t="s">
        <v>161</v>
      </c>
      <c r="C229" s="1">
        <v>82</v>
      </c>
      <c r="D229" s="1">
        <v>789</v>
      </c>
      <c r="E229" s="1">
        <v>1900</v>
      </c>
    </row>
    <row r="230" spans="1:5" ht="12.75" x14ac:dyDescent="0.2">
      <c r="A230" s="39">
        <v>42566.623075960648</v>
      </c>
      <c r="B230" s="1" t="s">
        <v>109</v>
      </c>
      <c r="C230" s="1">
        <v>76</v>
      </c>
      <c r="D230" s="1">
        <v>663</v>
      </c>
      <c r="E230" s="1">
        <v>1300</v>
      </c>
    </row>
    <row r="231" spans="1:5" ht="12.75" x14ac:dyDescent="0.2">
      <c r="A231" s="39">
        <v>42566.623496689819</v>
      </c>
      <c r="B231" s="1" t="s">
        <v>61</v>
      </c>
      <c r="C231" s="1">
        <v>79</v>
      </c>
      <c r="D231" s="1">
        <v>655</v>
      </c>
      <c r="E231" s="1">
        <v>1600</v>
      </c>
    </row>
    <row r="232" spans="1:5" ht="12.75" x14ac:dyDescent="0.2">
      <c r="A232" s="39">
        <v>42566.636626631946</v>
      </c>
      <c r="B232" s="1" t="s">
        <v>130</v>
      </c>
      <c r="C232" s="1">
        <v>82</v>
      </c>
      <c r="D232" s="1">
        <v>675</v>
      </c>
      <c r="E232" s="1">
        <v>1300</v>
      </c>
    </row>
    <row r="233" spans="1:5" ht="12.75" x14ac:dyDescent="0.2">
      <c r="A233" s="39">
        <v>42566.639646678239</v>
      </c>
      <c r="B233" s="1" t="s">
        <v>130</v>
      </c>
      <c r="C233" s="1">
        <v>67</v>
      </c>
      <c r="D233" s="1">
        <v>478</v>
      </c>
      <c r="E233" s="1">
        <v>800</v>
      </c>
    </row>
    <row r="234" spans="1:5" ht="12.75" x14ac:dyDescent="0.2">
      <c r="A234" s="39">
        <v>42566.640269178242</v>
      </c>
      <c r="B234" s="1" t="s">
        <v>164</v>
      </c>
      <c r="C234" s="1">
        <v>78</v>
      </c>
      <c r="D234" s="1">
        <v>393</v>
      </c>
      <c r="E234" s="1">
        <v>600</v>
      </c>
    </row>
    <row r="235" spans="1:5" ht="12.75" x14ac:dyDescent="0.2">
      <c r="A235" s="39">
        <v>42566.640521469904</v>
      </c>
      <c r="B235" s="1" t="s">
        <v>124</v>
      </c>
      <c r="C235" s="1">
        <v>39</v>
      </c>
      <c r="D235" s="1">
        <v>391</v>
      </c>
      <c r="E235" s="1">
        <v>800</v>
      </c>
    </row>
    <row r="236" spans="1:5" ht="12.75" x14ac:dyDescent="0.2">
      <c r="A236" s="39">
        <v>42566.640795625004</v>
      </c>
      <c r="B236" s="1" t="s">
        <v>75</v>
      </c>
      <c r="C236" s="1">
        <v>54</v>
      </c>
      <c r="D236" s="1">
        <v>336</v>
      </c>
      <c r="E236" s="1">
        <v>800</v>
      </c>
    </row>
    <row r="237" spans="1:5" ht="12.75" x14ac:dyDescent="0.2">
      <c r="A237" s="39">
        <v>42566.64102855324</v>
      </c>
      <c r="B237" s="1" t="s">
        <v>55</v>
      </c>
      <c r="C237" s="1">
        <v>45</v>
      </c>
      <c r="D237" s="1">
        <v>311</v>
      </c>
      <c r="E237" s="1">
        <v>800</v>
      </c>
    </row>
    <row r="238" spans="1:5" ht="12.75" x14ac:dyDescent="0.2">
      <c r="A238" s="39">
        <v>42566.641356377309</v>
      </c>
      <c r="B238" s="1" t="s">
        <v>50</v>
      </c>
      <c r="C238" s="1">
        <v>51</v>
      </c>
      <c r="D238" s="1">
        <v>254</v>
      </c>
      <c r="E238" s="1">
        <v>1000</v>
      </c>
    </row>
    <row r="239" spans="1:5" ht="12.75" x14ac:dyDescent="0.2">
      <c r="A239" s="39">
        <v>42566.641660648151</v>
      </c>
      <c r="B239" s="1" t="s">
        <v>166</v>
      </c>
      <c r="C239" s="1">
        <v>43</v>
      </c>
      <c r="D239" s="1">
        <v>226</v>
      </c>
      <c r="E239" s="1">
        <v>800</v>
      </c>
    </row>
    <row r="240" spans="1:5" ht="12.75" x14ac:dyDescent="0.2">
      <c r="A240" s="39">
        <v>42566.642069502312</v>
      </c>
      <c r="B240" s="1" t="s">
        <v>76</v>
      </c>
      <c r="C240" s="1">
        <v>34</v>
      </c>
      <c r="D240" s="1">
        <v>199</v>
      </c>
      <c r="E240" s="1">
        <v>800</v>
      </c>
    </row>
    <row r="241" spans="1:5" ht="12.75" x14ac:dyDescent="0.2">
      <c r="A241" s="39">
        <v>42566.64229614583</v>
      </c>
      <c r="B241" s="1" t="s">
        <v>79</v>
      </c>
      <c r="C241" s="1">
        <v>31</v>
      </c>
      <c r="D241" s="1">
        <v>197</v>
      </c>
      <c r="E241" s="1">
        <v>800</v>
      </c>
    </row>
    <row r="242" spans="1:5" ht="12.75" x14ac:dyDescent="0.2">
      <c r="A242" s="39">
        <v>42566.642670694448</v>
      </c>
      <c r="B242" s="1" t="s">
        <v>65</v>
      </c>
      <c r="C242" s="1">
        <v>38</v>
      </c>
      <c r="D242" s="1">
        <v>193</v>
      </c>
      <c r="E242" s="1">
        <v>1000</v>
      </c>
    </row>
    <row r="243" spans="1:5" ht="12.75" x14ac:dyDescent="0.2">
      <c r="A243" s="39">
        <v>42566.642991319444</v>
      </c>
      <c r="B243" s="1" t="s">
        <v>53</v>
      </c>
      <c r="C243" s="1">
        <v>35</v>
      </c>
      <c r="D243" s="1">
        <v>186</v>
      </c>
      <c r="E243" s="1">
        <v>600</v>
      </c>
    </row>
    <row r="244" spans="1:5" ht="12.75" x14ac:dyDescent="0.2">
      <c r="A244" s="39">
        <v>42566.643310543979</v>
      </c>
      <c r="B244" s="1" t="s">
        <v>119</v>
      </c>
      <c r="C244" s="1">
        <v>46</v>
      </c>
      <c r="D244" s="1">
        <v>180</v>
      </c>
      <c r="E244" s="1">
        <v>800</v>
      </c>
    </row>
    <row r="245" spans="1:5" ht="12.75" x14ac:dyDescent="0.2">
      <c r="A245" s="39">
        <v>42566.643549131943</v>
      </c>
      <c r="B245" s="1" t="s">
        <v>137</v>
      </c>
      <c r="C245" s="1">
        <v>35</v>
      </c>
      <c r="D245" s="1">
        <v>176</v>
      </c>
      <c r="E245" s="1">
        <v>800</v>
      </c>
    </row>
    <row r="246" spans="1:5" ht="12.75" x14ac:dyDescent="0.2">
      <c r="A246" s="39">
        <v>42566.643810219903</v>
      </c>
      <c r="B246" s="1" t="s">
        <v>166</v>
      </c>
      <c r="C246" s="1">
        <v>40</v>
      </c>
      <c r="D246" s="1">
        <v>171</v>
      </c>
      <c r="E246" s="1">
        <v>600</v>
      </c>
    </row>
    <row r="247" spans="1:5" ht="12.75" x14ac:dyDescent="0.2">
      <c r="A247" s="39">
        <v>42566.644040196756</v>
      </c>
      <c r="B247" s="1" t="s">
        <v>166</v>
      </c>
      <c r="C247" s="1">
        <v>40</v>
      </c>
      <c r="D247" s="1">
        <v>165</v>
      </c>
      <c r="E247" s="1">
        <v>600</v>
      </c>
    </row>
    <row r="248" spans="1:5" ht="12.75" x14ac:dyDescent="0.2">
      <c r="A248" s="39">
        <v>42566.644374490745</v>
      </c>
      <c r="B248" s="1" t="s">
        <v>157</v>
      </c>
      <c r="C248" s="1">
        <v>34</v>
      </c>
      <c r="D248" s="1">
        <v>165</v>
      </c>
      <c r="E248" s="1">
        <v>400</v>
      </c>
    </row>
    <row r="249" spans="1:5" ht="12.75" x14ac:dyDescent="0.2">
      <c r="A249" s="39">
        <v>42566.662766134265</v>
      </c>
      <c r="B249" s="1" t="s">
        <v>88</v>
      </c>
      <c r="C249" s="1">
        <v>94</v>
      </c>
      <c r="D249" s="1">
        <v>1182</v>
      </c>
      <c r="E249" s="1">
        <v>2500</v>
      </c>
    </row>
    <row r="250" spans="1:5" ht="12.75" x14ac:dyDescent="0.2">
      <c r="A250" s="39">
        <v>42566.663058611113</v>
      </c>
      <c r="B250" s="1" t="s">
        <v>154</v>
      </c>
      <c r="C250" s="1">
        <v>74</v>
      </c>
      <c r="D250" s="1">
        <v>1054</v>
      </c>
      <c r="E250" s="1">
        <v>2200</v>
      </c>
    </row>
    <row r="251" spans="1:5" ht="12.75" x14ac:dyDescent="0.2">
      <c r="A251" s="39">
        <v>42566.663317638886</v>
      </c>
      <c r="B251" s="1" t="s">
        <v>160</v>
      </c>
      <c r="C251" s="1">
        <v>77</v>
      </c>
      <c r="D251" s="1">
        <v>1030</v>
      </c>
      <c r="E251" s="1">
        <v>2200</v>
      </c>
    </row>
    <row r="252" spans="1:5" ht="12.75" x14ac:dyDescent="0.2">
      <c r="A252" s="39">
        <v>42566.663631574076</v>
      </c>
      <c r="B252" s="1" t="s">
        <v>158</v>
      </c>
      <c r="C252" s="1">
        <v>77</v>
      </c>
      <c r="D252" s="1">
        <v>1001</v>
      </c>
      <c r="E252" s="1">
        <v>2200</v>
      </c>
    </row>
    <row r="253" spans="1:5" ht="12.75" x14ac:dyDescent="0.2">
      <c r="A253" s="39">
        <v>42566.663889537042</v>
      </c>
      <c r="B253" s="1" t="s">
        <v>75</v>
      </c>
      <c r="C253" s="1">
        <v>85</v>
      </c>
      <c r="D253" s="1">
        <v>896</v>
      </c>
      <c r="E253" s="1">
        <v>2200</v>
      </c>
    </row>
    <row r="254" spans="1:5" ht="12.75" x14ac:dyDescent="0.2">
      <c r="A254" s="39">
        <v>42566.664120243055</v>
      </c>
      <c r="B254" s="1" t="s">
        <v>160</v>
      </c>
      <c r="C254" s="1">
        <v>67</v>
      </c>
      <c r="D254" s="1">
        <v>851</v>
      </c>
      <c r="E254" s="1">
        <v>1900</v>
      </c>
    </row>
    <row r="255" spans="1:5" ht="12.75" x14ac:dyDescent="0.2">
      <c r="A255" s="39">
        <v>42566.66433806713</v>
      </c>
      <c r="B255" s="1" t="s">
        <v>169</v>
      </c>
      <c r="C255" s="1">
        <v>62</v>
      </c>
      <c r="D255" s="1">
        <v>819</v>
      </c>
      <c r="E255" s="1">
        <v>1300</v>
      </c>
    </row>
    <row r="256" spans="1:5" ht="12.75" x14ac:dyDescent="0.2">
      <c r="A256" s="39">
        <v>42566.664611053246</v>
      </c>
      <c r="B256" s="1" t="s">
        <v>51</v>
      </c>
      <c r="C256" s="1">
        <v>88</v>
      </c>
      <c r="D256" s="1">
        <v>818</v>
      </c>
      <c r="E256" s="1">
        <v>1900</v>
      </c>
    </row>
    <row r="257" spans="1:5" ht="12.75" x14ac:dyDescent="0.2">
      <c r="A257" s="39">
        <v>42566.664932280095</v>
      </c>
      <c r="B257" s="1" t="s">
        <v>176</v>
      </c>
      <c r="C257" s="1">
        <v>135</v>
      </c>
      <c r="D257" s="1">
        <v>811</v>
      </c>
      <c r="E257" s="1">
        <v>1000</v>
      </c>
    </row>
    <row r="258" spans="1:5" ht="12.75" x14ac:dyDescent="0.2">
      <c r="A258" s="39">
        <v>42566.665294652776</v>
      </c>
      <c r="B258" s="1" t="s">
        <v>143</v>
      </c>
      <c r="C258" s="1">
        <v>26</v>
      </c>
      <c r="D258" s="1">
        <v>126</v>
      </c>
      <c r="E258" s="1">
        <v>200</v>
      </c>
    </row>
    <row r="259" spans="1:5" ht="12.75" x14ac:dyDescent="0.2">
      <c r="A259" s="39">
        <v>42566.665624143519</v>
      </c>
      <c r="B259" s="1" t="s">
        <v>141</v>
      </c>
      <c r="C259" s="1">
        <v>47</v>
      </c>
      <c r="D259" s="1">
        <v>150</v>
      </c>
      <c r="E259" s="1">
        <v>400</v>
      </c>
    </row>
    <row r="260" spans="1:5" ht="12.75" x14ac:dyDescent="0.2">
      <c r="A260" s="39">
        <v>42566.665903553236</v>
      </c>
      <c r="B260" s="1" t="s">
        <v>140</v>
      </c>
      <c r="C260" s="1">
        <v>28</v>
      </c>
      <c r="D260" s="1">
        <v>150</v>
      </c>
      <c r="E260" s="1">
        <v>400</v>
      </c>
    </row>
    <row r="261" spans="1:5" ht="12.75" x14ac:dyDescent="0.2">
      <c r="A261" s="39">
        <v>42566.733130706023</v>
      </c>
      <c r="B261" s="1" t="s">
        <v>48</v>
      </c>
      <c r="C261" s="1">
        <v>57</v>
      </c>
      <c r="D261" s="1">
        <v>363</v>
      </c>
      <c r="E261" s="1">
        <v>1000</v>
      </c>
    </row>
    <row r="262" spans="1:5" ht="12.75" x14ac:dyDescent="0.2">
      <c r="A262" s="39">
        <v>42566.733700358796</v>
      </c>
      <c r="B262" s="1" t="s">
        <v>146</v>
      </c>
      <c r="C262" s="1">
        <v>47</v>
      </c>
      <c r="D262" s="1">
        <v>329</v>
      </c>
      <c r="E262" s="1">
        <v>1300</v>
      </c>
    </row>
    <row r="263" spans="1:5" ht="12.75" x14ac:dyDescent="0.2">
      <c r="A263" s="39">
        <v>42566.734261469908</v>
      </c>
      <c r="B263" s="1" t="s">
        <v>23</v>
      </c>
      <c r="C263" s="1">
        <v>49</v>
      </c>
      <c r="D263" s="1">
        <v>401</v>
      </c>
      <c r="E263" s="1">
        <v>1900</v>
      </c>
    </row>
    <row r="264" spans="1:5" ht="12.75" x14ac:dyDescent="0.2">
      <c r="A264" s="39">
        <v>42566.773647407404</v>
      </c>
      <c r="B264" s="1" t="s">
        <v>166</v>
      </c>
      <c r="C264" s="1">
        <v>68</v>
      </c>
      <c r="D264" s="1">
        <v>517</v>
      </c>
      <c r="E264" s="1">
        <v>2200</v>
      </c>
    </row>
    <row r="265" spans="1:5" ht="12.75" x14ac:dyDescent="0.2">
      <c r="A265" s="39">
        <v>42566.774099641203</v>
      </c>
      <c r="B265" s="1" t="s">
        <v>158</v>
      </c>
      <c r="C265" s="1">
        <v>79</v>
      </c>
      <c r="D265" s="1">
        <v>1025</v>
      </c>
      <c r="E265" s="1">
        <v>2500</v>
      </c>
    </row>
    <row r="266" spans="1:5" ht="12.75" x14ac:dyDescent="0.2">
      <c r="A266" s="39">
        <v>42566.774609664353</v>
      </c>
      <c r="B266" s="1" t="s">
        <v>169</v>
      </c>
      <c r="C266" s="1">
        <v>83</v>
      </c>
      <c r="D266" s="1">
        <v>1372</v>
      </c>
      <c r="E266" s="1">
        <v>2500</v>
      </c>
    </row>
    <row r="267" spans="1:5" ht="12.75" x14ac:dyDescent="0.2">
      <c r="A267" s="39">
        <v>42566.956665358797</v>
      </c>
      <c r="B267" s="1" t="s">
        <v>92</v>
      </c>
      <c r="C267" s="1">
        <v>101</v>
      </c>
      <c r="D267" s="1">
        <v>1345</v>
      </c>
      <c r="E267" s="1">
        <v>2200</v>
      </c>
    </row>
    <row r="268" spans="1:5" ht="12.75" x14ac:dyDescent="0.2">
      <c r="A268" s="39">
        <v>42567.708278043981</v>
      </c>
      <c r="B268" s="1" t="s">
        <v>168</v>
      </c>
      <c r="C268" s="1">
        <v>68</v>
      </c>
      <c r="D268" s="1">
        <v>841</v>
      </c>
      <c r="E268" s="1">
        <v>1600</v>
      </c>
    </row>
    <row r="269" spans="1:5" ht="12.75" x14ac:dyDescent="0.2">
      <c r="A269" s="39">
        <v>42567.913915879632</v>
      </c>
      <c r="B269" s="1" t="s">
        <v>51</v>
      </c>
      <c r="C269" s="1">
        <v>68</v>
      </c>
      <c r="D269" s="1">
        <v>466</v>
      </c>
      <c r="E269" s="1">
        <v>800</v>
      </c>
    </row>
    <row r="270" spans="1:5" ht="12.75" x14ac:dyDescent="0.2">
      <c r="A270" s="39">
        <v>42567.991377280094</v>
      </c>
      <c r="B270" s="1" t="s">
        <v>72</v>
      </c>
      <c r="C270" s="1">
        <v>97</v>
      </c>
      <c r="D270" s="1">
        <v>222</v>
      </c>
      <c r="E270" s="1">
        <v>1000</v>
      </c>
    </row>
    <row r="271" spans="1:5" ht="12.75" x14ac:dyDescent="0.2">
      <c r="A271" s="39">
        <v>42568.024464548609</v>
      </c>
      <c r="B271" s="1" t="s">
        <v>52</v>
      </c>
      <c r="C271" s="1">
        <v>35</v>
      </c>
      <c r="D271" s="1">
        <v>253</v>
      </c>
      <c r="E271" s="1">
        <v>2500</v>
      </c>
    </row>
    <row r="272" spans="1:5" ht="12.75" x14ac:dyDescent="0.2">
      <c r="A272" s="39">
        <v>42568.181922847223</v>
      </c>
      <c r="B272" s="1" t="s">
        <v>23</v>
      </c>
      <c r="C272" s="1">
        <v>58</v>
      </c>
      <c r="D272" s="1">
        <v>519</v>
      </c>
      <c r="E272" s="1">
        <v>2500</v>
      </c>
    </row>
    <row r="273" spans="1:5" ht="12.75" x14ac:dyDescent="0.2">
      <c r="A273" s="39">
        <v>42568.182194780093</v>
      </c>
      <c r="B273" s="1" t="s">
        <v>26</v>
      </c>
      <c r="C273" s="1">
        <v>35</v>
      </c>
      <c r="D273" s="1">
        <v>191</v>
      </c>
      <c r="E273" s="1">
        <v>600</v>
      </c>
    </row>
    <row r="274" spans="1:5" ht="12.75" x14ac:dyDescent="0.2">
      <c r="A274" s="39">
        <v>42568.187174548613</v>
      </c>
      <c r="B274" s="1" t="s">
        <v>29</v>
      </c>
      <c r="C274" s="1">
        <v>44</v>
      </c>
      <c r="D274" s="1">
        <v>349</v>
      </c>
      <c r="E274" s="1">
        <v>1900</v>
      </c>
    </row>
    <row r="275" spans="1:5" ht="12.75" x14ac:dyDescent="0.2">
      <c r="A275" s="39">
        <v>42568.187599733792</v>
      </c>
      <c r="B275" s="1" t="s">
        <v>96</v>
      </c>
      <c r="C275" s="1">
        <v>15</v>
      </c>
      <c r="D275" s="1">
        <v>53</v>
      </c>
      <c r="E275" s="1">
        <v>400</v>
      </c>
    </row>
    <row r="276" spans="1:5" ht="12.75" x14ac:dyDescent="0.2">
      <c r="A276" s="39">
        <v>42568.188143692125</v>
      </c>
      <c r="B276" s="1" t="s">
        <v>38</v>
      </c>
      <c r="C276" s="1">
        <v>54</v>
      </c>
      <c r="D276" s="1">
        <v>164</v>
      </c>
      <c r="E276" s="1">
        <v>2200</v>
      </c>
    </row>
    <row r="277" spans="1:5" ht="12.75" x14ac:dyDescent="0.2">
      <c r="A277" s="39">
        <v>42568.188543032404</v>
      </c>
      <c r="B277" s="1" t="s">
        <v>68</v>
      </c>
      <c r="C277" s="1">
        <v>78</v>
      </c>
      <c r="D277" s="1">
        <v>500</v>
      </c>
      <c r="E277" s="1">
        <v>2200</v>
      </c>
    </row>
    <row r="278" spans="1:5" ht="12.75" x14ac:dyDescent="0.2">
      <c r="A278" s="39">
        <v>42568.188818368057</v>
      </c>
      <c r="B278" s="1" t="s">
        <v>137</v>
      </c>
      <c r="C278" s="1">
        <v>64</v>
      </c>
      <c r="D278" s="1">
        <v>510</v>
      </c>
      <c r="E278" s="1">
        <v>2200</v>
      </c>
    </row>
    <row r="279" spans="1:5" ht="12.75" x14ac:dyDescent="0.2">
      <c r="A279" s="39">
        <v>42568.189243252316</v>
      </c>
      <c r="B279" s="1" t="s">
        <v>137</v>
      </c>
      <c r="C279" s="1">
        <v>64</v>
      </c>
      <c r="D279" s="1">
        <v>504</v>
      </c>
      <c r="E279" s="1">
        <v>2200</v>
      </c>
    </row>
    <row r="280" spans="1:5" ht="12.75" x14ac:dyDescent="0.2">
      <c r="A280" s="39">
        <v>42568.189495833329</v>
      </c>
      <c r="B280" s="1" t="s">
        <v>83</v>
      </c>
      <c r="C280" s="1">
        <v>14</v>
      </c>
      <c r="D280" s="1">
        <v>116</v>
      </c>
      <c r="E280" s="1">
        <v>1000</v>
      </c>
    </row>
    <row r="281" spans="1:5" ht="12.75" x14ac:dyDescent="0.2">
      <c r="A281" s="39">
        <v>42568.189730914353</v>
      </c>
      <c r="B281" s="1" t="s">
        <v>118</v>
      </c>
      <c r="C281" s="1">
        <v>53</v>
      </c>
      <c r="D281" s="1">
        <v>436</v>
      </c>
      <c r="E281" s="1">
        <v>1000</v>
      </c>
    </row>
    <row r="282" spans="1:5" ht="12.75" x14ac:dyDescent="0.2">
      <c r="A282" s="39">
        <v>42568.190055393519</v>
      </c>
      <c r="B282" s="1" t="s">
        <v>117</v>
      </c>
      <c r="C282" s="1">
        <v>48</v>
      </c>
      <c r="D282" s="1">
        <v>500</v>
      </c>
      <c r="E282" s="1">
        <v>3000</v>
      </c>
    </row>
    <row r="283" spans="1:5" ht="12.75" x14ac:dyDescent="0.2">
      <c r="A283" s="39">
        <v>42568.190819733798</v>
      </c>
      <c r="B283" s="1" t="s">
        <v>117</v>
      </c>
      <c r="C283" s="1">
        <v>50</v>
      </c>
      <c r="D283" s="1">
        <v>467</v>
      </c>
      <c r="E283" s="1">
        <v>3000</v>
      </c>
    </row>
    <row r="284" spans="1:5" ht="12.75" x14ac:dyDescent="0.2">
      <c r="A284" s="39">
        <v>42568.191168703706</v>
      </c>
      <c r="B284" s="1" t="s">
        <v>117</v>
      </c>
      <c r="C284" s="1">
        <v>43</v>
      </c>
      <c r="D284" s="1">
        <v>431</v>
      </c>
      <c r="E284" s="1">
        <v>3000</v>
      </c>
    </row>
    <row r="285" spans="1:5" ht="12.75" x14ac:dyDescent="0.2">
      <c r="A285" s="39">
        <v>42568.191467141209</v>
      </c>
      <c r="B285" s="1" t="s">
        <v>117</v>
      </c>
      <c r="C285" s="1">
        <v>39</v>
      </c>
      <c r="D285" s="1">
        <v>385</v>
      </c>
      <c r="E285" s="1">
        <v>2200</v>
      </c>
    </row>
    <row r="286" spans="1:5" ht="12.75" x14ac:dyDescent="0.2">
      <c r="A286" s="39">
        <v>42568.191719571754</v>
      </c>
      <c r="B286" s="1" t="s">
        <v>180</v>
      </c>
      <c r="C286" s="1">
        <v>53</v>
      </c>
      <c r="D286" s="1">
        <v>555</v>
      </c>
      <c r="E286" s="1">
        <v>3000</v>
      </c>
    </row>
    <row r="287" spans="1:5" ht="12.75" x14ac:dyDescent="0.2">
      <c r="A287" s="39">
        <v>42568.191978344912</v>
      </c>
      <c r="B287" s="1" t="s">
        <v>180</v>
      </c>
      <c r="C287" s="1">
        <v>42</v>
      </c>
      <c r="D287" s="1">
        <v>341</v>
      </c>
      <c r="E287" s="1">
        <v>1600</v>
      </c>
    </row>
    <row r="288" spans="1:5" ht="12.75" x14ac:dyDescent="0.2">
      <c r="A288" s="39">
        <v>42568.192396539351</v>
      </c>
      <c r="B288" s="1" t="s">
        <v>129</v>
      </c>
      <c r="C288" s="1">
        <v>77</v>
      </c>
      <c r="D288" s="1">
        <v>593</v>
      </c>
      <c r="E288" s="1">
        <v>2500</v>
      </c>
    </row>
    <row r="289" spans="1:5" ht="12.75" x14ac:dyDescent="0.2">
      <c r="A289" s="39">
        <v>42568.192676087958</v>
      </c>
      <c r="B289" s="1" t="s">
        <v>129</v>
      </c>
      <c r="C289" s="1">
        <v>72</v>
      </c>
      <c r="D289" s="1">
        <v>466</v>
      </c>
      <c r="E289" s="1">
        <v>1900</v>
      </c>
    </row>
    <row r="290" spans="1:5" ht="12.75" x14ac:dyDescent="0.2">
      <c r="A290" s="39">
        <v>42568.192869710649</v>
      </c>
      <c r="B290" s="1" t="s">
        <v>166</v>
      </c>
      <c r="C290" s="1">
        <v>72</v>
      </c>
      <c r="D290" s="1">
        <v>555</v>
      </c>
      <c r="E290" s="1">
        <v>2500</v>
      </c>
    </row>
    <row r="291" spans="1:5" ht="12.75" x14ac:dyDescent="0.2">
      <c r="A291" s="39">
        <v>42568.193621493054</v>
      </c>
      <c r="B291" s="1" t="s">
        <v>56</v>
      </c>
      <c r="C291" s="1">
        <v>47</v>
      </c>
      <c r="D291" s="1">
        <v>416</v>
      </c>
      <c r="E291" s="1">
        <v>3000</v>
      </c>
    </row>
    <row r="292" spans="1:5" ht="12.75" x14ac:dyDescent="0.2">
      <c r="A292" s="39">
        <v>42568.193913159717</v>
      </c>
      <c r="B292" s="1" t="s">
        <v>134</v>
      </c>
      <c r="C292" s="1">
        <v>75</v>
      </c>
      <c r="D292" s="1">
        <v>842</v>
      </c>
      <c r="E292" s="1">
        <v>2500</v>
      </c>
    </row>
    <row r="293" spans="1:5" ht="12.75" x14ac:dyDescent="0.2">
      <c r="A293" s="39">
        <v>42568.205750914349</v>
      </c>
      <c r="B293" s="1" t="s">
        <v>49</v>
      </c>
      <c r="C293" s="1">
        <v>24</v>
      </c>
      <c r="D293" s="1">
        <v>79</v>
      </c>
      <c r="E293" s="1">
        <v>600</v>
      </c>
    </row>
    <row r="294" spans="1:5" ht="12.75" x14ac:dyDescent="0.2">
      <c r="A294" s="39">
        <v>42568.206013159725</v>
      </c>
      <c r="B294" s="1" t="s">
        <v>180</v>
      </c>
      <c r="C294" s="1">
        <v>22</v>
      </c>
      <c r="D294" s="1">
        <v>91</v>
      </c>
      <c r="E294" s="1">
        <v>400</v>
      </c>
    </row>
    <row r="295" spans="1:5" ht="12.75" x14ac:dyDescent="0.2">
      <c r="A295" s="39">
        <v>42568.206265347224</v>
      </c>
      <c r="B295" s="1" t="s">
        <v>53</v>
      </c>
      <c r="C295" s="1">
        <v>31</v>
      </c>
      <c r="D295" s="1">
        <v>155</v>
      </c>
      <c r="E295" s="1">
        <v>400</v>
      </c>
    </row>
    <row r="296" spans="1:5" ht="12.75" x14ac:dyDescent="0.2">
      <c r="A296" s="39">
        <v>42568.206483715279</v>
      </c>
      <c r="B296" s="1" t="s">
        <v>131</v>
      </c>
      <c r="C296" s="1">
        <v>21</v>
      </c>
      <c r="D296" s="1">
        <v>101</v>
      </c>
      <c r="E296" s="1">
        <v>600</v>
      </c>
    </row>
    <row r="297" spans="1:5" ht="12.75" x14ac:dyDescent="0.2">
      <c r="A297" s="39">
        <v>42568.206735127314</v>
      </c>
      <c r="B297" s="1" t="s">
        <v>50</v>
      </c>
      <c r="C297" s="1">
        <v>32</v>
      </c>
      <c r="D297" s="1">
        <v>97</v>
      </c>
      <c r="E297" s="1">
        <v>400</v>
      </c>
    </row>
    <row r="298" spans="1:5" ht="12.75" x14ac:dyDescent="0.2">
      <c r="A298" s="39">
        <v>42568.207001666669</v>
      </c>
      <c r="B298" s="1" t="s">
        <v>75</v>
      </c>
      <c r="C298" s="1">
        <v>27</v>
      </c>
      <c r="D298" s="1">
        <v>83</v>
      </c>
      <c r="E298" s="1">
        <v>200</v>
      </c>
    </row>
    <row r="299" spans="1:5" ht="12.75" x14ac:dyDescent="0.2">
      <c r="A299" s="39">
        <v>42568.207666516202</v>
      </c>
      <c r="B299" s="1" t="s">
        <v>81</v>
      </c>
      <c r="C299" s="1">
        <v>19</v>
      </c>
      <c r="D299" s="1">
        <v>42</v>
      </c>
      <c r="E299" s="1">
        <v>200</v>
      </c>
    </row>
    <row r="300" spans="1:5" ht="12.75" x14ac:dyDescent="0.2">
      <c r="A300" s="39">
        <v>42568.207899965273</v>
      </c>
      <c r="B300" s="1" t="s">
        <v>44</v>
      </c>
      <c r="C300" s="1">
        <v>28</v>
      </c>
      <c r="D300" s="1">
        <v>45</v>
      </c>
      <c r="E300" s="1">
        <v>400</v>
      </c>
    </row>
    <row r="301" spans="1:5" ht="12.75" x14ac:dyDescent="0.2">
      <c r="A301" s="39">
        <v>42568.299730185186</v>
      </c>
      <c r="B301" s="1" t="s">
        <v>88</v>
      </c>
      <c r="C301" s="1">
        <v>102</v>
      </c>
      <c r="D301" s="1">
        <v>1325</v>
      </c>
      <c r="E301" s="1">
        <v>3000</v>
      </c>
    </row>
    <row r="302" spans="1:5" ht="12.75" x14ac:dyDescent="0.2">
      <c r="A302" s="39">
        <v>42568.300051863422</v>
      </c>
      <c r="B302" s="1" t="s">
        <v>148</v>
      </c>
      <c r="C302" s="1">
        <v>119</v>
      </c>
      <c r="D302" s="1">
        <v>885</v>
      </c>
      <c r="E302" s="1">
        <v>2200</v>
      </c>
    </row>
    <row r="303" spans="1:5" ht="12.75" x14ac:dyDescent="0.2">
      <c r="A303" s="39">
        <v>42568.300342569448</v>
      </c>
      <c r="B303" s="1" t="s">
        <v>139</v>
      </c>
      <c r="C303" s="1">
        <v>62</v>
      </c>
      <c r="D303" s="1">
        <v>742</v>
      </c>
      <c r="E303" s="1">
        <v>2200</v>
      </c>
    </row>
    <row r="304" spans="1:5" ht="12.75" x14ac:dyDescent="0.2">
      <c r="A304" s="39">
        <v>42568.582158495366</v>
      </c>
      <c r="B304" s="1" t="s">
        <v>61</v>
      </c>
      <c r="C304" s="1">
        <v>67</v>
      </c>
      <c r="D304" s="1">
        <v>500</v>
      </c>
      <c r="E304" s="1">
        <v>19629</v>
      </c>
    </row>
    <row r="305" spans="1:5" ht="12.75" x14ac:dyDescent="0.2">
      <c r="A305" s="39">
        <v>42568.641528391207</v>
      </c>
      <c r="B305" s="1" t="s">
        <v>54</v>
      </c>
      <c r="C305" s="1">
        <v>39</v>
      </c>
      <c r="D305" s="1">
        <v>166</v>
      </c>
      <c r="E305" s="1">
        <v>1000</v>
      </c>
    </row>
    <row r="306" spans="1:5" ht="12.75" x14ac:dyDescent="0.2">
      <c r="A306" s="39">
        <v>42568.641903101852</v>
      </c>
      <c r="B306" s="1" t="s">
        <v>54</v>
      </c>
      <c r="C306" s="1">
        <v>37</v>
      </c>
      <c r="D306" s="1">
        <v>166</v>
      </c>
      <c r="E306" s="1">
        <v>1000</v>
      </c>
    </row>
    <row r="307" spans="1:5" ht="12.75" x14ac:dyDescent="0.2">
      <c r="A307" s="39">
        <v>42568.74084377315</v>
      </c>
      <c r="B307" s="1" t="s">
        <v>166</v>
      </c>
      <c r="C307" s="1">
        <v>59</v>
      </c>
      <c r="D307" s="1">
        <v>377</v>
      </c>
      <c r="E307" s="1">
        <v>1600</v>
      </c>
    </row>
    <row r="308" spans="1:5" ht="12.75" x14ac:dyDescent="0.2">
      <c r="A308" s="39">
        <v>42568.886215254628</v>
      </c>
      <c r="B308" s="1" t="s">
        <v>166</v>
      </c>
      <c r="C308" s="1">
        <v>57</v>
      </c>
      <c r="D308" s="1">
        <v>376</v>
      </c>
      <c r="E308" s="1">
        <v>1600</v>
      </c>
    </row>
    <row r="309" spans="1:5" ht="12.75" x14ac:dyDescent="0.2">
      <c r="A309" s="39">
        <v>42569.060998564819</v>
      </c>
      <c r="B309" s="1" t="s">
        <v>29</v>
      </c>
      <c r="C309" s="1">
        <v>10</v>
      </c>
      <c r="D309" s="1">
        <v>12</v>
      </c>
      <c r="E309" s="1">
        <v>200</v>
      </c>
    </row>
    <row r="310" spans="1:5" ht="12.75" x14ac:dyDescent="0.2">
      <c r="A310" s="39">
        <v>42569.112127002314</v>
      </c>
      <c r="B310" s="1" t="s">
        <v>110</v>
      </c>
      <c r="C310" s="1">
        <v>29</v>
      </c>
      <c r="D310" s="1">
        <v>152</v>
      </c>
      <c r="E310" s="1">
        <v>400</v>
      </c>
    </row>
    <row r="311" spans="1:5" ht="12.75" x14ac:dyDescent="0.2">
      <c r="A311" s="39">
        <v>42569.426780069443</v>
      </c>
      <c r="B311" s="1" t="s">
        <v>52</v>
      </c>
      <c r="C311" s="1">
        <v>37</v>
      </c>
      <c r="D311" s="1">
        <v>216</v>
      </c>
      <c r="E311" s="1">
        <v>1900</v>
      </c>
    </row>
    <row r="312" spans="1:5" ht="12.75" x14ac:dyDescent="0.2">
      <c r="A312" s="39">
        <v>42569.638237789353</v>
      </c>
      <c r="B312" s="1" t="s">
        <v>92</v>
      </c>
      <c r="C312" s="1">
        <v>83</v>
      </c>
      <c r="D312" s="1">
        <v>894</v>
      </c>
      <c r="E312" s="1">
        <v>1300</v>
      </c>
    </row>
    <row r="313" spans="1:5" ht="12.75" x14ac:dyDescent="0.2">
      <c r="A313" s="39">
        <v>42570.021221631949</v>
      </c>
      <c r="B313" s="1" t="s">
        <v>175</v>
      </c>
      <c r="C313" s="1">
        <v>90</v>
      </c>
      <c r="D313" s="1">
        <v>901</v>
      </c>
      <c r="E313" s="1">
        <v>1900</v>
      </c>
    </row>
    <row r="314" spans="1:5" ht="12.75" x14ac:dyDescent="0.2">
      <c r="A314" s="39">
        <v>42570.021465694444</v>
      </c>
      <c r="B314" s="1" t="s">
        <v>159</v>
      </c>
      <c r="C314" s="1">
        <v>73</v>
      </c>
      <c r="D314" s="1">
        <v>894</v>
      </c>
      <c r="E314" s="1">
        <v>1900</v>
      </c>
    </row>
    <row r="315" spans="1:5" ht="12.75" x14ac:dyDescent="0.2">
      <c r="A315" s="39">
        <v>42570.0216549537</v>
      </c>
      <c r="B315" s="1" t="s">
        <v>168</v>
      </c>
      <c r="C315" s="1">
        <v>69</v>
      </c>
      <c r="D315" s="1">
        <v>872</v>
      </c>
      <c r="E315" s="1">
        <v>1900</v>
      </c>
    </row>
    <row r="316" spans="1:5" ht="12.75" x14ac:dyDescent="0.2">
      <c r="A316" s="39">
        <v>42570.021939548613</v>
      </c>
      <c r="B316" s="1" t="s">
        <v>160</v>
      </c>
      <c r="C316" s="1">
        <v>62</v>
      </c>
      <c r="D316" s="1">
        <v>718</v>
      </c>
      <c r="E316" s="1">
        <v>1600</v>
      </c>
    </row>
    <row r="317" spans="1:5" ht="12.75" x14ac:dyDescent="0.2">
      <c r="A317" s="39">
        <v>42570.022175243052</v>
      </c>
      <c r="B317" s="1" t="s">
        <v>156</v>
      </c>
      <c r="C317" s="1">
        <v>71</v>
      </c>
      <c r="D317" s="1">
        <v>688</v>
      </c>
      <c r="E317" s="1">
        <v>1300</v>
      </c>
    </row>
    <row r="318" spans="1:5" ht="12.75" x14ac:dyDescent="0.2">
      <c r="A318" s="39">
        <v>42570.163715659721</v>
      </c>
      <c r="B318" s="1" t="s">
        <v>166</v>
      </c>
      <c r="C318" s="1">
        <v>39</v>
      </c>
      <c r="D318" s="1">
        <v>172</v>
      </c>
      <c r="E318" s="1">
        <v>600</v>
      </c>
    </row>
    <row r="319" spans="1:5" ht="12.75" x14ac:dyDescent="0.2">
      <c r="A319" s="39">
        <v>42570.215792499999</v>
      </c>
      <c r="B319" s="1" t="s">
        <v>166</v>
      </c>
      <c r="C319" s="1">
        <v>49</v>
      </c>
      <c r="D319" s="1">
        <v>259</v>
      </c>
      <c r="E319" s="1">
        <v>1000</v>
      </c>
    </row>
    <row r="320" spans="1:5" ht="12.75" x14ac:dyDescent="0.2">
      <c r="A320" s="39">
        <v>42570.42058273148</v>
      </c>
      <c r="B320" s="1" t="s">
        <v>176</v>
      </c>
      <c r="C320" s="1">
        <v>189</v>
      </c>
      <c r="D320" s="1">
        <v>1588</v>
      </c>
      <c r="E320" s="1">
        <v>48774</v>
      </c>
    </row>
    <row r="321" spans="1:5" ht="12.75" x14ac:dyDescent="0.2">
      <c r="A321" s="39">
        <v>42570.435187152776</v>
      </c>
      <c r="B321" s="1" t="s">
        <v>92</v>
      </c>
      <c r="C321" s="1">
        <v>96</v>
      </c>
      <c r="D321" s="1">
        <v>1140</v>
      </c>
      <c r="E321" s="1">
        <v>1600</v>
      </c>
    </row>
    <row r="322" spans="1:5" ht="12.75" x14ac:dyDescent="0.2">
      <c r="A322" s="39">
        <v>42570.435482291665</v>
      </c>
      <c r="B322" s="1" t="s">
        <v>145</v>
      </c>
      <c r="C322" s="1">
        <v>112</v>
      </c>
      <c r="D322" s="1">
        <v>925</v>
      </c>
      <c r="E322" s="1">
        <v>1900</v>
      </c>
    </row>
    <row r="323" spans="1:5" ht="12.75" x14ac:dyDescent="0.2">
      <c r="A323" s="39">
        <v>42570.435743333335</v>
      </c>
      <c r="B323" s="1" t="s">
        <v>51</v>
      </c>
      <c r="C323" s="1">
        <v>93</v>
      </c>
      <c r="D323" s="1">
        <v>862</v>
      </c>
      <c r="E323" s="1">
        <v>1900</v>
      </c>
    </row>
    <row r="324" spans="1:5" ht="12.75" x14ac:dyDescent="0.2">
      <c r="A324" s="39">
        <v>42570.435999467591</v>
      </c>
      <c r="B324" s="1" t="s">
        <v>75</v>
      </c>
      <c r="C324" s="1">
        <v>86</v>
      </c>
      <c r="D324" s="1">
        <v>822</v>
      </c>
      <c r="E324" s="1">
        <v>1900</v>
      </c>
    </row>
    <row r="325" spans="1:5" ht="12.75" x14ac:dyDescent="0.2">
      <c r="A325" s="39">
        <v>42570.511630231485</v>
      </c>
      <c r="B325" s="1" t="s">
        <v>61</v>
      </c>
      <c r="C325" s="1">
        <v>85</v>
      </c>
      <c r="D325" s="1">
        <v>732</v>
      </c>
      <c r="E325" s="1">
        <v>1900</v>
      </c>
    </row>
    <row r="326" spans="1:5" ht="12.75" x14ac:dyDescent="0.2">
      <c r="A326" s="39">
        <v>42570.511949131949</v>
      </c>
      <c r="B326" s="1" t="s">
        <v>138</v>
      </c>
      <c r="C326" s="1">
        <v>66</v>
      </c>
      <c r="D326" s="1">
        <v>622</v>
      </c>
      <c r="E326" s="1">
        <v>1600</v>
      </c>
    </row>
    <row r="327" spans="1:5" ht="12.75" x14ac:dyDescent="0.2">
      <c r="A327" s="39">
        <v>42570.51231125</v>
      </c>
      <c r="B327" s="1" t="s">
        <v>110</v>
      </c>
      <c r="C327" s="1">
        <v>50</v>
      </c>
      <c r="D327" s="1">
        <v>561</v>
      </c>
      <c r="E327" s="1">
        <v>1600</v>
      </c>
    </row>
    <row r="328" spans="1:5" ht="12.75" x14ac:dyDescent="0.2">
      <c r="A328" s="39">
        <v>42570.512606527773</v>
      </c>
      <c r="B328" s="1" t="s">
        <v>91</v>
      </c>
      <c r="C328" s="1">
        <v>51</v>
      </c>
      <c r="D328" s="1">
        <v>415</v>
      </c>
      <c r="E328" s="1">
        <v>1300</v>
      </c>
    </row>
    <row r="329" spans="1:5" ht="12.75" x14ac:dyDescent="0.2">
      <c r="A329" s="39">
        <v>42570.512884988428</v>
      </c>
      <c r="B329" s="1" t="s">
        <v>144</v>
      </c>
      <c r="C329" s="1">
        <v>86</v>
      </c>
      <c r="D329" s="1">
        <v>411</v>
      </c>
      <c r="E329" s="1">
        <v>1600</v>
      </c>
    </row>
    <row r="330" spans="1:5" ht="12.75" x14ac:dyDescent="0.2">
      <c r="A330" s="39">
        <v>42570.51311201389</v>
      </c>
      <c r="B330" s="1" t="s">
        <v>160</v>
      </c>
      <c r="C330" s="1">
        <v>50</v>
      </c>
      <c r="D330" s="1">
        <v>409</v>
      </c>
      <c r="E330" s="1">
        <v>800</v>
      </c>
    </row>
    <row r="331" spans="1:5" ht="12.75" x14ac:dyDescent="0.2">
      <c r="A331" s="39">
        <v>42570.513384942125</v>
      </c>
      <c r="B331" s="1" t="s">
        <v>90</v>
      </c>
      <c r="C331" s="1">
        <v>52</v>
      </c>
      <c r="D331" s="1">
        <v>394</v>
      </c>
      <c r="E331" s="1">
        <v>800</v>
      </c>
    </row>
    <row r="332" spans="1:5" ht="12.75" x14ac:dyDescent="0.2">
      <c r="A332" s="39">
        <v>42570.648606261573</v>
      </c>
      <c r="B332" s="1" t="s">
        <v>38</v>
      </c>
      <c r="C332" s="1">
        <v>38</v>
      </c>
      <c r="D332" s="1">
        <v>92</v>
      </c>
      <c r="E332" s="1">
        <v>800</v>
      </c>
    </row>
    <row r="333" spans="1:5" ht="12.75" x14ac:dyDescent="0.2">
      <c r="A333" s="39">
        <v>42571.270731226847</v>
      </c>
      <c r="B333" s="1" t="s">
        <v>169</v>
      </c>
      <c r="C333" s="1">
        <v>56</v>
      </c>
      <c r="D333" s="1">
        <v>622</v>
      </c>
      <c r="E333" s="1">
        <v>800</v>
      </c>
    </row>
    <row r="334" spans="1:5" ht="12.75" x14ac:dyDescent="0.2">
      <c r="A334" s="39">
        <v>42571.375785324075</v>
      </c>
      <c r="B334" s="1" t="s">
        <v>102</v>
      </c>
      <c r="C334" s="1">
        <v>44</v>
      </c>
      <c r="D334" s="1">
        <v>300</v>
      </c>
      <c r="E334" s="1">
        <v>1000</v>
      </c>
    </row>
    <row r="335" spans="1:5" ht="12.75" x14ac:dyDescent="0.2">
      <c r="A335" s="39">
        <v>42571.376242662038</v>
      </c>
      <c r="B335" s="1" t="s">
        <v>96</v>
      </c>
      <c r="C335" s="1">
        <v>24</v>
      </c>
      <c r="D335" s="1">
        <v>132</v>
      </c>
      <c r="E335" s="1">
        <v>800</v>
      </c>
    </row>
    <row r="336" spans="1:5" ht="12.75" x14ac:dyDescent="0.2">
      <c r="A336" s="39">
        <v>42571.554310243053</v>
      </c>
      <c r="B336" s="1" t="s">
        <v>167</v>
      </c>
      <c r="C336" s="1">
        <v>160</v>
      </c>
      <c r="D336" s="1">
        <v>1609</v>
      </c>
      <c r="E336" s="1">
        <v>2500</v>
      </c>
    </row>
    <row r="337" spans="1:5" ht="12.75" x14ac:dyDescent="0.2">
      <c r="A337" s="39">
        <v>42571.579023796294</v>
      </c>
      <c r="B337" s="1" t="s">
        <v>136</v>
      </c>
      <c r="C337" s="1">
        <v>112</v>
      </c>
      <c r="D337" s="1">
        <v>1525</v>
      </c>
      <c r="E337" s="1">
        <v>2500</v>
      </c>
    </row>
    <row r="338" spans="1:5" ht="12.75" x14ac:dyDescent="0.2">
      <c r="A338" s="39">
        <v>42571.807870150464</v>
      </c>
      <c r="B338" s="1" t="s">
        <v>169</v>
      </c>
      <c r="C338" s="1">
        <v>88</v>
      </c>
      <c r="D338" s="1">
        <v>1519</v>
      </c>
      <c r="E338" s="1">
        <v>3000</v>
      </c>
    </row>
    <row r="339" spans="1:5" ht="12.75" x14ac:dyDescent="0.2">
      <c r="A339" s="39">
        <v>42571.869849872688</v>
      </c>
      <c r="B339" s="1" t="s">
        <v>136</v>
      </c>
      <c r="C339" s="1">
        <v>122</v>
      </c>
      <c r="D339" s="1">
        <v>1758</v>
      </c>
      <c r="E339" s="1">
        <v>3000</v>
      </c>
    </row>
    <row r="340" spans="1:5" ht="12.75" x14ac:dyDescent="0.2">
      <c r="A340" s="39">
        <v>42571.870116921295</v>
      </c>
      <c r="B340" s="1" t="s">
        <v>154</v>
      </c>
      <c r="C340" s="1">
        <v>74</v>
      </c>
      <c r="D340" s="1">
        <v>1157</v>
      </c>
      <c r="E340" s="1">
        <v>2500</v>
      </c>
    </row>
    <row r="341" spans="1:5" ht="12.75" x14ac:dyDescent="0.2">
      <c r="A341" s="39">
        <v>42571.870381354165</v>
      </c>
      <c r="B341" s="1" t="s">
        <v>175</v>
      </c>
      <c r="C341" s="1">
        <v>98</v>
      </c>
      <c r="D341" s="1">
        <v>1073</v>
      </c>
      <c r="E341" s="1">
        <v>2200</v>
      </c>
    </row>
    <row r="342" spans="1:5" ht="12.75" x14ac:dyDescent="0.2">
      <c r="A342" s="39">
        <v>42573.516213298615</v>
      </c>
      <c r="B342" s="1" t="s">
        <v>163</v>
      </c>
      <c r="C342" s="1">
        <v>133</v>
      </c>
      <c r="D342" s="1">
        <v>1699</v>
      </c>
      <c r="E342" s="1">
        <v>3300</v>
      </c>
    </row>
    <row r="343" spans="1:5" ht="12.75" x14ac:dyDescent="0.2">
      <c r="A343" s="39">
        <v>42573.625226608798</v>
      </c>
      <c r="B343" s="1" t="s">
        <v>162</v>
      </c>
      <c r="C343" s="1">
        <v>29</v>
      </c>
      <c r="D343" s="1">
        <v>117</v>
      </c>
      <c r="E343" s="1">
        <v>1900</v>
      </c>
    </row>
    <row r="344" spans="1:5" ht="12.75" x14ac:dyDescent="0.2">
      <c r="A344" s="39">
        <v>42573.77712363426</v>
      </c>
      <c r="B344" s="1" t="s">
        <v>136</v>
      </c>
      <c r="C344" s="1">
        <v>115</v>
      </c>
      <c r="D344" s="1">
        <v>1515</v>
      </c>
      <c r="E344" s="1">
        <v>2500</v>
      </c>
    </row>
    <row r="345" spans="1:5" ht="12.75" x14ac:dyDescent="0.2">
      <c r="A345" s="39">
        <v>42573.946725648144</v>
      </c>
      <c r="B345" s="1" t="s">
        <v>166</v>
      </c>
      <c r="C345" s="1">
        <v>61</v>
      </c>
      <c r="D345" s="1">
        <v>495</v>
      </c>
      <c r="E345" s="1">
        <v>2200</v>
      </c>
    </row>
    <row r="346" spans="1:5" ht="12.75" x14ac:dyDescent="0.2">
      <c r="A346" s="39">
        <v>42574.283546284722</v>
      </c>
      <c r="B346" s="1" t="s">
        <v>96</v>
      </c>
      <c r="C346" s="1">
        <v>23</v>
      </c>
      <c r="D346" s="1">
        <v>24</v>
      </c>
      <c r="E346" s="1">
        <v>600</v>
      </c>
    </row>
    <row r="347" spans="1:5" ht="12.75" x14ac:dyDescent="0.2">
      <c r="A347" s="39">
        <v>42574.535610127314</v>
      </c>
      <c r="B347" s="1" t="s">
        <v>136</v>
      </c>
      <c r="C347" s="1">
        <v>122</v>
      </c>
      <c r="D347" s="1">
        <v>1685</v>
      </c>
      <c r="E347" s="1">
        <v>2500</v>
      </c>
    </row>
    <row r="348" spans="1:5" ht="12.75" x14ac:dyDescent="0.2">
      <c r="A348" s="39">
        <v>42574.779959699074</v>
      </c>
      <c r="B348" s="1" t="s">
        <v>176</v>
      </c>
      <c r="C348" s="1">
        <v>197</v>
      </c>
      <c r="D348" s="1">
        <v>1749</v>
      </c>
      <c r="E348" s="1">
        <v>2500</v>
      </c>
    </row>
    <row r="349" spans="1:5" ht="12.75" x14ac:dyDescent="0.2">
      <c r="A349" s="39">
        <v>42575.12265002315</v>
      </c>
      <c r="B349" s="1" t="s">
        <v>72</v>
      </c>
      <c r="C349" s="1">
        <v>112</v>
      </c>
      <c r="D349" s="1">
        <v>277</v>
      </c>
      <c r="E349" s="1">
        <v>1600</v>
      </c>
    </row>
    <row r="350" spans="1:5" ht="12.75" x14ac:dyDescent="0.2">
      <c r="A350" s="39">
        <v>42575.124473773147</v>
      </c>
      <c r="B350" s="1" t="s">
        <v>180</v>
      </c>
      <c r="C350" s="1">
        <v>69</v>
      </c>
      <c r="D350" s="1">
        <v>573</v>
      </c>
      <c r="E350" s="1">
        <v>3000</v>
      </c>
    </row>
    <row r="351" spans="1:5" ht="12.75" x14ac:dyDescent="0.2">
      <c r="A351" s="39">
        <v>42575.568509421297</v>
      </c>
      <c r="B351" s="1" t="s">
        <v>182</v>
      </c>
      <c r="C351" s="1">
        <v>131</v>
      </c>
      <c r="D351" s="1">
        <v>2369</v>
      </c>
      <c r="E351" s="1">
        <v>4000</v>
      </c>
    </row>
    <row r="352" spans="1:5" ht="12.75" x14ac:dyDescent="0.2">
      <c r="A352" s="39">
        <v>42575.638243287038</v>
      </c>
      <c r="B352" s="1" t="s">
        <v>135</v>
      </c>
      <c r="C352" s="1">
        <v>67</v>
      </c>
      <c r="D352" s="1">
        <v>455</v>
      </c>
      <c r="E352" s="1">
        <v>1900</v>
      </c>
    </row>
    <row r="353" spans="1:5" ht="12.75" x14ac:dyDescent="0.2">
      <c r="A353" s="39">
        <v>42575.679780856481</v>
      </c>
      <c r="B353" s="1" t="s">
        <v>23</v>
      </c>
      <c r="C353" s="1">
        <v>58</v>
      </c>
      <c r="D353" s="1">
        <v>466</v>
      </c>
      <c r="E353" s="1">
        <v>2200</v>
      </c>
    </row>
    <row r="354" spans="1:5" ht="12.75" x14ac:dyDescent="0.2">
      <c r="A354" s="39">
        <v>42576.428964004634</v>
      </c>
      <c r="B354" s="1" t="s">
        <v>41</v>
      </c>
      <c r="C354" s="1">
        <v>29</v>
      </c>
      <c r="D354" s="1">
        <v>54</v>
      </c>
      <c r="E354" s="1">
        <v>600</v>
      </c>
    </row>
    <row r="355" spans="1:5" ht="12.75" x14ac:dyDescent="0.2">
      <c r="A355" s="39">
        <v>42576.743736388889</v>
      </c>
      <c r="B355" s="1" t="s">
        <v>169</v>
      </c>
      <c r="C355" s="1">
        <v>67</v>
      </c>
      <c r="D355" s="1">
        <v>1015</v>
      </c>
      <c r="E355" s="1">
        <v>1600</v>
      </c>
    </row>
    <row r="356" spans="1:5" ht="12.75" x14ac:dyDescent="0.2">
      <c r="A356" s="39">
        <v>42576.805043298613</v>
      </c>
      <c r="B356" s="1" t="s">
        <v>168</v>
      </c>
      <c r="C356" s="1">
        <v>71</v>
      </c>
      <c r="D356" s="1">
        <v>850</v>
      </c>
      <c r="E356" s="1">
        <v>1600</v>
      </c>
    </row>
    <row r="357" spans="1:5" ht="12.75" x14ac:dyDescent="0.2">
      <c r="A357" s="39">
        <v>42576.805664305561</v>
      </c>
      <c r="B357" s="1" t="s">
        <v>140</v>
      </c>
      <c r="C357" s="1">
        <v>35</v>
      </c>
      <c r="D357" s="1">
        <v>243</v>
      </c>
      <c r="E357" s="1">
        <v>600</v>
      </c>
    </row>
    <row r="358" spans="1:5" ht="12.75" x14ac:dyDescent="0.2">
      <c r="A358" s="39">
        <v>42576.94264069444</v>
      </c>
      <c r="B358" s="1" t="s">
        <v>72</v>
      </c>
      <c r="C358" s="1">
        <v>100</v>
      </c>
      <c r="D358" s="1">
        <v>227</v>
      </c>
      <c r="E358" s="1">
        <v>1000</v>
      </c>
    </row>
    <row r="359" spans="1:5" ht="12.75" x14ac:dyDescent="0.2">
      <c r="A359" s="39">
        <v>42576.943180590279</v>
      </c>
      <c r="B359" s="1" t="s">
        <v>169</v>
      </c>
      <c r="C359" s="1">
        <v>53</v>
      </c>
      <c r="D359" s="1">
        <v>628</v>
      </c>
      <c r="E359" s="1">
        <v>1000</v>
      </c>
    </row>
    <row r="360" spans="1:5" ht="12.75" x14ac:dyDescent="0.2">
      <c r="A360" s="39">
        <v>42577.129045821755</v>
      </c>
      <c r="B360" s="1" t="s">
        <v>91</v>
      </c>
      <c r="C360" s="1">
        <v>119</v>
      </c>
      <c r="D360" s="1">
        <v>1865</v>
      </c>
      <c r="E360" s="1">
        <v>3500</v>
      </c>
    </row>
    <row r="361" spans="1:5" ht="12.75" x14ac:dyDescent="0.2">
      <c r="A361" s="39">
        <v>42577.606161655094</v>
      </c>
      <c r="B361" s="1" t="s">
        <v>167</v>
      </c>
      <c r="C361" s="1">
        <v>178</v>
      </c>
      <c r="D361" s="1">
        <v>2042</v>
      </c>
      <c r="E361" s="1">
        <v>4000</v>
      </c>
    </row>
    <row r="362" spans="1:5" ht="12.75" x14ac:dyDescent="0.2">
      <c r="A362" s="39">
        <v>42577.669933726851</v>
      </c>
      <c r="B362" s="1" t="s">
        <v>33</v>
      </c>
      <c r="C362" s="1">
        <v>52</v>
      </c>
      <c r="D362" s="1">
        <v>387</v>
      </c>
      <c r="E362" s="1">
        <v>600</v>
      </c>
    </row>
    <row r="363" spans="1:5" ht="12.75" x14ac:dyDescent="0.2">
      <c r="A363" s="39">
        <v>42577.945111724533</v>
      </c>
      <c r="B363" s="1" t="s">
        <v>29</v>
      </c>
      <c r="C363" s="1">
        <v>12</v>
      </c>
      <c r="D363" s="1">
        <v>33</v>
      </c>
      <c r="E363" s="1">
        <v>200</v>
      </c>
    </row>
    <row r="364" spans="1:5" ht="12.75" x14ac:dyDescent="0.2">
      <c r="A364" s="39">
        <v>42577.945670844907</v>
      </c>
      <c r="B364" s="1" t="s">
        <v>29</v>
      </c>
      <c r="C364" s="1">
        <v>10</v>
      </c>
      <c r="D364" s="1">
        <v>12</v>
      </c>
      <c r="E364" s="1">
        <v>200</v>
      </c>
    </row>
    <row r="365" spans="1:5" ht="12.75" x14ac:dyDescent="0.2">
      <c r="A365" s="39">
        <v>42577.982397083339</v>
      </c>
      <c r="B365" s="1" t="s">
        <v>62</v>
      </c>
      <c r="C365" s="1">
        <v>63</v>
      </c>
      <c r="D365" s="1">
        <v>393</v>
      </c>
      <c r="E365" s="1">
        <v>1300</v>
      </c>
    </row>
    <row r="366" spans="1:5" ht="12.75" x14ac:dyDescent="0.2">
      <c r="A366" s="39">
        <v>42578.233278784726</v>
      </c>
      <c r="B366" s="1" t="s">
        <v>153</v>
      </c>
      <c r="C366" s="1">
        <v>44</v>
      </c>
      <c r="D366" s="1">
        <v>524</v>
      </c>
      <c r="E366" s="1">
        <v>3000</v>
      </c>
    </row>
    <row r="367" spans="1:5" ht="12.75" x14ac:dyDescent="0.2">
      <c r="A367" s="39">
        <v>42578.359890891203</v>
      </c>
      <c r="B367" s="1" t="s">
        <v>117</v>
      </c>
      <c r="C367" s="1">
        <v>27</v>
      </c>
      <c r="D367" s="1">
        <v>191</v>
      </c>
      <c r="E367" s="1">
        <v>1000</v>
      </c>
    </row>
    <row r="368" spans="1:5" ht="12.75" x14ac:dyDescent="0.2">
      <c r="A368" s="39">
        <v>42579.010890243051</v>
      </c>
      <c r="B368" s="1" t="s">
        <v>28</v>
      </c>
      <c r="C368" s="1">
        <v>99</v>
      </c>
      <c r="D368" s="1">
        <v>1405</v>
      </c>
      <c r="E368" s="1">
        <v>3000</v>
      </c>
    </row>
    <row r="369" spans="1:5" ht="12.75" x14ac:dyDescent="0.2">
      <c r="A369" s="39">
        <v>42580.082830115745</v>
      </c>
      <c r="B369" s="1" t="s">
        <v>51</v>
      </c>
      <c r="C369" s="1">
        <v>56</v>
      </c>
      <c r="D369" s="1">
        <v>316</v>
      </c>
      <c r="E369" s="1">
        <v>600</v>
      </c>
    </row>
    <row r="370" spans="1:5" ht="12.75" x14ac:dyDescent="0.2">
      <c r="A370" s="39">
        <v>42580.44277292824</v>
      </c>
      <c r="B370" s="1" t="s">
        <v>129</v>
      </c>
      <c r="C370" s="1">
        <v>56</v>
      </c>
      <c r="D370" s="1">
        <v>288</v>
      </c>
      <c r="E370" s="1">
        <v>1000</v>
      </c>
    </row>
    <row r="371" spans="1:5" ht="12.75" x14ac:dyDescent="0.2">
      <c r="A371" s="39">
        <v>42580.443479212961</v>
      </c>
      <c r="B371" s="1" t="s">
        <v>129</v>
      </c>
      <c r="C371" s="1">
        <v>49</v>
      </c>
      <c r="D371" s="1">
        <v>216</v>
      </c>
      <c r="E371" s="1">
        <v>800</v>
      </c>
    </row>
    <row r="372" spans="1:5" ht="12.75" x14ac:dyDescent="0.2">
      <c r="A372" s="39">
        <v>42580.555659247686</v>
      </c>
      <c r="B372" s="1" t="s">
        <v>175</v>
      </c>
      <c r="C372" s="1">
        <v>29</v>
      </c>
      <c r="D372" s="1">
        <v>89</v>
      </c>
      <c r="E372" s="1">
        <v>200</v>
      </c>
    </row>
    <row r="373" spans="1:5" ht="12.75" x14ac:dyDescent="0.2">
      <c r="A373" s="39">
        <v>42580.60852804398</v>
      </c>
      <c r="B373" s="1" t="s">
        <v>96</v>
      </c>
      <c r="C373" s="1">
        <v>17</v>
      </c>
      <c r="D373" s="1">
        <v>79</v>
      </c>
      <c r="E373" s="1">
        <v>600</v>
      </c>
    </row>
    <row r="374" spans="1:5" ht="12.75" x14ac:dyDescent="0.2">
      <c r="A374" s="39">
        <v>42580.638324050931</v>
      </c>
      <c r="B374" s="1" t="s">
        <v>72</v>
      </c>
      <c r="C374" s="1">
        <v>139</v>
      </c>
      <c r="D374" s="1">
        <v>436</v>
      </c>
      <c r="E374" s="1">
        <v>2500</v>
      </c>
    </row>
    <row r="375" spans="1:5" ht="12.75" x14ac:dyDescent="0.2">
      <c r="A375" s="39">
        <v>42580.639297453701</v>
      </c>
      <c r="B375" s="1" t="s">
        <v>141</v>
      </c>
      <c r="C375" s="1">
        <v>53</v>
      </c>
      <c r="D375" s="1">
        <v>206</v>
      </c>
      <c r="E375" s="1">
        <v>600</v>
      </c>
    </row>
    <row r="376" spans="1:5" ht="12.75" x14ac:dyDescent="0.2">
      <c r="A376" s="39">
        <v>42580.640347743058</v>
      </c>
      <c r="B376" s="1" t="s">
        <v>155</v>
      </c>
      <c r="C376" s="1">
        <v>48</v>
      </c>
      <c r="D376" s="1">
        <v>618</v>
      </c>
      <c r="E376" s="1">
        <v>2200</v>
      </c>
    </row>
    <row r="377" spans="1:5" ht="12.75" x14ac:dyDescent="0.2">
      <c r="A377" s="39">
        <v>42580.640888587965</v>
      </c>
      <c r="B377" s="1" t="s">
        <v>144</v>
      </c>
      <c r="C377" s="1">
        <v>97</v>
      </c>
      <c r="D377" s="1">
        <v>578</v>
      </c>
      <c r="E377" s="1">
        <v>2200</v>
      </c>
    </row>
    <row r="378" spans="1:5" ht="12.75" x14ac:dyDescent="0.2">
      <c r="A378" s="39">
        <v>42580.64160560185</v>
      </c>
      <c r="B378" s="1" t="s">
        <v>72</v>
      </c>
      <c r="C378" s="1">
        <v>406</v>
      </c>
      <c r="D378" s="1">
        <v>406</v>
      </c>
      <c r="E378" s="1">
        <v>2200</v>
      </c>
    </row>
    <row r="379" spans="1:5" ht="12.75" x14ac:dyDescent="0.2">
      <c r="A379" s="39">
        <v>42580.642532048616</v>
      </c>
      <c r="B379" s="1" t="s">
        <v>164</v>
      </c>
      <c r="C379" s="1">
        <v>69</v>
      </c>
      <c r="D379" s="1">
        <v>310</v>
      </c>
      <c r="E379" s="1">
        <v>400</v>
      </c>
    </row>
    <row r="380" spans="1:5" ht="12.75" x14ac:dyDescent="0.2">
      <c r="A380" s="39">
        <v>42580.643444710644</v>
      </c>
      <c r="B380" s="1" t="s">
        <v>146</v>
      </c>
      <c r="C380" s="1">
        <v>247</v>
      </c>
      <c r="D380" s="1">
        <v>236</v>
      </c>
      <c r="E380" s="1">
        <v>1600</v>
      </c>
    </row>
    <row r="381" spans="1:5" ht="12.75" x14ac:dyDescent="0.2">
      <c r="A381" s="39">
        <v>42580.646067870373</v>
      </c>
      <c r="B381" s="1" t="s">
        <v>72</v>
      </c>
      <c r="C381" s="1">
        <v>119</v>
      </c>
      <c r="D381" s="1">
        <v>369</v>
      </c>
      <c r="E381" s="1">
        <v>1900</v>
      </c>
    </row>
    <row r="382" spans="1:5" ht="12.75" x14ac:dyDescent="0.2">
      <c r="A382" s="39">
        <v>42580.647035277776</v>
      </c>
      <c r="B382" s="1" t="s">
        <v>137</v>
      </c>
      <c r="C382" s="1">
        <v>62</v>
      </c>
      <c r="D382" s="1">
        <v>479</v>
      </c>
      <c r="E382" s="1">
        <v>2200</v>
      </c>
    </row>
    <row r="383" spans="1:5" ht="12.75" x14ac:dyDescent="0.2">
      <c r="A383" s="39">
        <v>42580.647563981482</v>
      </c>
      <c r="B383" s="1" t="s">
        <v>83</v>
      </c>
      <c r="C383" s="1">
        <v>13</v>
      </c>
      <c r="D383" s="1">
        <v>121</v>
      </c>
      <c r="E383" s="1">
        <v>1000</v>
      </c>
    </row>
    <row r="384" spans="1:5" ht="12.75" x14ac:dyDescent="0.2">
      <c r="A384" s="39">
        <v>42580.648414664349</v>
      </c>
      <c r="B384" s="1" t="s">
        <v>72</v>
      </c>
      <c r="C384" s="1">
        <v>39</v>
      </c>
      <c r="D384" s="1">
        <v>36</v>
      </c>
      <c r="E384" s="1">
        <v>200</v>
      </c>
    </row>
    <row r="385" spans="1:5" ht="12.75" x14ac:dyDescent="0.2">
      <c r="A385" s="39">
        <v>42580.76141825231</v>
      </c>
      <c r="B385" s="1" t="s">
        <v>167</v>
      </c>
      <c r="C385" s="1">
        <v>155</v>
      </c>
      <c r="D385" s="1">
        <v>1450</v>
      </c>
      <c r="E385" s="1">
        <v>1900</v>
      </c>
    </row>
    <row r="386" spans="1:5" ht="12.75" x14ac:dyDescent="0.2">
      <c r="A386" s="39">
        <v>42581.418365428239</v>
      </c>
      <c r="B386" s="1" t="s">
        <v>166</v>
      </c>
      <c r="C386" s="1">
        <v>60</v>
      </c>
      <c r="D386" s="1">
        <v>395</v>
      </c>
      <c r="E386" s="1">
        <v>1600</v>
      </c>
    </row>
    <row r="387" spans="1:5" ht="12.75" x14ac:dyDescent="0.2">
      <c r="A387" s="39">
        <v>42581.475651608795</v>
      </c>
      <c r="B387" s="1" t="s">
        <v>180</v>
      </c>
      <c r="C387" s="1">
        <v>58</v>
      </c>
      <c r="D387" s="1">
        <v>574</v>
      </c>
      <c r="E387" s="1">
        <v>25</v>
      </c>
    </row>
    <row r="388" spans="1:5" ht="12.75" x14ac:dyDescent="0.2">
      <c r="A388" s="39">
        <v>42581.754544513889</v>
      </c>
      <c r="B388" s="1" t="s">
        <v>180</v>
      </c>
      <c r="C388" s="1">
        <v>39</v>
      </c>
      <c r="D388" s="1">
        <v>325</v>
      </c>
      <c r="E388" s="1">
        <v>1600</v>
      </c>
    </row>
    <row r="389" spans="1:5" ht="12.75" x14ac:dyDescent="0.2">
      <c r="A389" s="39">
        <v>42582.126845613428</v>
      </c>
      <c r="B389" s="1" t="s">
        <v>168</v>
      </c>
      <c r="C389" s="1">
        <v>84</v>
      </c>
      <c r="D389" s="1">
        <v>1175</v>
      </c>
      <c r="E389" s="1">
        <v>2500</v>
      </c>
    </row>
    <row r="390" spans="1:5" ht="12.75" x14ac:dyDescent="0.2">
      <c r="A390" s="39">
        <v>42583.444874652778</v>
      </c>
      <c r="B390" s="1" t="s">
        <v>99</v>
      </c>
      <c r="C390" s="1">
        <v>90</v>
      </c>
      <c r="D390" s="1">
        <v>606</v>
      </c>
      <c r="E390" s="1">
        <v>2500</v>
      </c>
    </row>
    <row r="391" spans="1:5" ht="12.75" x14ac:dyDescent="0.2">
      <c r="A391" s="39">
        <v>42583.773250335653</v>
      </c>
      <c r="B391" s="1" t="s">
        <v>162</v>
      </c>
      <c r="C391" s="1">
        <v>31</v>
      </c>
      <c r="D391" s="1">
        <v>141</v>
      </c>
      <c r="E391" s="1">
        <v>2500</v>
      </c>
    </row>
    <row r="392" spans="1:5" ht="12.75" x14ac:dyDescent="0.2">
      <c r="A392" s="39">
        <v>42583.773765428239</v>
      </c>
      <c r="B392" s="1" t="s">
        <v>162</v>
      </c>
      <c r="C392" s="1">
        <v>32</v>
      </c>
      <c r="D392" s="1">
        <v>140</v>
      </c>
      <c r="E392" s="1">
        <v>2500</v>
      </c>
    </row>
    <row r="393" spans="1:5" ht="12.75" x14ac:dyDescent="0.2">
      <c r="A393" s="39">
        <v>42584.873741469906</v>
      </c>
      <c r="B393" s="1" t="s">
        <v>87</v>
      </c>
      <c r="C393" s="1">
        <v>57</v>
      </c>
      <c r="D393" s="1">
        <v>419</v>
      </c>
      <c r="E393" s="1">
        <v>1900</v>
      </c>
    </row>
    <row r="394" spans="1:5" ht="12.75" x14ac:dyDescent="0.2">
      <c r="A394" s="39">
        <v>42586.789518518519</v>
      </c>
      <c r="B394" s="1" t="s">
        <v>37</v>
      </c>
      <c r="C394" s="1">
        <v>111</v>
      </c>
      <c r="D394" s="1">
        <v>1646</v>
      </c>
      <c r="E394" s="1">
        <v>3000</v>
      </c>
    </row>
    <row r="395" spans="1:5" ht="12.75" x14ac:dyDescent="0.2">
      <c r="A395" s="39">
        <v>42587.550360891204</v>
      </c>
      <c r="B395" s="1" t="s">
        <v>96</v>
      </c>
      <c r="C395" s="1">
        <v>50</v>
      </c>
      <c r="D395" s="1">
        <v>110</v>
      </c>
      <c r="E395" s="1">
        <v>1000</v>
      </c>
    </row>
    <row r="396" spans="1:5" ht="12.75" x14ac:dyDescent="0.2">
      <c r="A396" s="39">
        <v>42587.69114520833</v>
      </c>
      <c r="B396" s="1" t="s">
        <v>166</v>
      </c>
      <c r="C396" s="1">
        <v>65</v>
      </c>
      <c r="D396" s="1">
        <v>456</v>
      </c>
      <c r="E396" s="1">
        <v>1900</v>
      </c>
    </row>
    <row r="397" spans="1:5" ht="12.75" x14ac:dyDescent="0.2">
      <c r="A397" s="39">
        <v>42587.715839097218</v>
      </c>
      <c r="B397" s="1" t="s">
        <v>91</v>
      </c>
      <c r="C397" s="1">
        <v>18</v>
      </c>
      <c r="D397" s="1">
        <v>52</v>
      </c>
      <c r="E397" s="1">
        <v>200</v>
      </c>
    </row>
    <row r="398" spans="1:5" ht="12.75" x14ac:dyDescent="0.2">
      <c r="A398" s="39">
        <v>42591.630315486109</v>
      </c>
      <c r="B398" s="1" t="s">
        <v>181</v>
      </c>
      <c r="C398" s="1">
        <v>28</v>
      </c>
      <c r="D398" s="1">
        <v>118</v>
      </c>
      <c r="E398" s="1">
        <v>1</v>
      </c>
    </row>
    <row r="399" spans="1:5" ht="12.75" x14ac:dyDescent="0.2">
      <c r="A399" s="39">
        <v>42592.279319097222</v>
      </c>
      <c r="B399" s="1" t="s">
        <v>92</v>
      </c>
      <c r="C399" s="1">
        <v>31</v>
      </c>
      <c r="D399" s="1">
        <v>124</v>
      </c>
      <c r="E399" s="1">
        <v>200</v>
      </c>
    </row>
    <row r="400" spans="1:5" ht="12.75" x14ac:dyDescent="0.2">
      <c r="A400" s="39">
        <v>42597.620896782406</v>
      </c>
      <c r="B400" s="1" t="s">
        <v>167</v>
      </c>
      <c r="C400" s="1">
        <v>151</v>
      </c>
      <c r="D400" s="1">
        <v>1394</v>
      </c>
      <c r="E400" s="1">
        <v>2200</v>
      </c>
    </row>
    <row r="401" spans="1:5" ht="12.75" x14ac:dyDescent="0.2">
      <c r="A401" s="39">
        <v>42598.524161400463</v>
      </c>
      <c r="B401" s="1" t="s">
        <v>175</v>
      </c>
      <c r="C401" s="1">
        <v>63</v>
      </c>
      <c r="D401" s="1">
        <v>36</v>
      </c>
      <c r="E401" s="1">
        <v>2566</v>
      </c>
    </row>
    <row r="402" spans="1:5" ht="12.75" x14ac:dyDescent="0.2">
      <c r="A402" s="39">
        <v>42600.969626446764</v>
      </c>
      <c r="B402" s="1" t="s">
        <v>166</v>
      </c>
      <c r="C402" s="1">
        <v>57</v>
      </c>
      <c r="D402" s="1">
        <v>369</v>
      </c>
      <c r="E402" s="1">
        <v>1600</v>
      </c>
    </row>
    <row r="403" spans="1:5" ht="12.75" x14ac:dyDescent="0.2">
      <c r="A403" s="39">
        <v>42601.46300369213</v>
      </c>
      <c r="B403" s="1" t="s">
        <v>81</v>
      </c>
      <c r="C403" s="1">
        <v>81</v>
      </c>
      <c r="D403" s="1">
        <v>574</v>
      </c>
      <c r="E403" s="1">
        <v>2500</v>
      </c>
    </row>
    <row r="404" spans="1:5" ht="12.75" x14ac:dyDescent="0.2">
      <c r="A404" s="39">
        <v>42602.232758298611</v>
      </c>
      <c r="B404" s="1" t="s">
        <v>63</v>
      </c>
      <c r="C404" s="1">
        <v>83</v>
      </c>
      <c r="D404" s="1">
        <v>682</v>
      </c>
      <c r="E404" s="1">
        <v>2200</v>
      </c>
    </row>
    <row r="405" spans="1:5" ht="12.75" x14ac:dyDescent="0.2">
      <c r="A405" s="39">
        <v>42604.787348206017</v>
      </c>
      <c r="B405" s="1" t="s">
        <v>49</v>
      </c>
      <c r="C405" s="1">
        <v>51</v>
      </c>
      <c r="D405" s="1">
        <v>308</v>
      </c>
      <c r="E405" s="1">
        <v>2500</v>
      </c>
    </row>
    <row r="406" spans="1:5" ht="12.75" x14ac:dyDescent="0.2">
      <c r="A406" s="39">
        <v>42625.213176736113</v>
      </c>
      <c r="B406" s="1" t="s">
        <v>91</v>
      </c>
      <c r="C406" s="1">
        <v>43</v>
      </c>
      <c r="D406" s="1">
        <v>254</v>
      </c>
      <c r="E406" s="1">
        <v>800</v>
      </c>
    </row>
    <row r="407" spans="1:5" ht="12.75" x14ac:dyDescent="0.2">
      <c r="A407" s="39">
        <v>42678.980183692125</v>
      </c>
      <c r="B407" s="1" t="s">
        <v>167</v>
      </c>
      <c r="C407" s="1">
        <v>2046</v>
      </c>
      <c r="D407" s="1">
        <v>185</v>
      </c>
      <c r="E407" s="1">
        <v>4000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Recuperada_Planilha1</vt:lpstr>
      <vt:lpstr>Leveling Info</vt:lpstr>
      <vt:lpstr>Go Base Stats</vt:lpstr>
      <vt:lpstr>Type Advantage Chart</vt:lpstr>
      <vt:lpstr>Move sets</vt:lpstr>
      <vt:lpstr>Recuperada_Planilha2</vt:lpstr>
      <vt:lpstr>Form Responses (How much CP did</vt:lpstr>
      <vt:lpstr>Form Responses (Power-up data)</vt:lpstr>
      <vt:lpstr>Form Responses (Pokemon Stats)</vt:lpstr>
      <vt:lpstr>Pokemon Science 2.0 data</vt:lpstr>
      <vt:lpstr>Graphs</vt:lpstr>
      <vt:lpstr>Base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Lenin Cristi</dc:creator>
  <cp:lastModifiedBy>Lenin Cristi</cp:lastModifiedBy>
  <dcterms:modified xsi:type="dcterms:W3CDTF">2019-09-25T21:03:28Z</dcterms:modified>
</cp:coreProperties>
</file>