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todo\working\activities\LocNguyenAcademicNetwork\finance\JSIStrategy\"/>
    </mc:Choice>
  </mc:AlternateContent>
  <xr:revisionPtr revIDLastSave="0" documentId="13_ncr:1_{3AF1EAF9-5FA8-4078-9745-361C1883A9D2}" xr6:coauthVersionLast="47" xr6:coauthVersionMax="47" xr10:uidLastSave="{00000000-0000-0000-0000-000000000000}"/>
  <bookViews>
    <workbookView xWindow="-120" yWindow="-120" windowWidth="20730" windowHeight="11160" xr2:uid="{474F7D55-5F94-48E3-AB59-E13FF2B833BD}"/>
  </bookViews>
  <sheets>
    <sheet name="S" sheetId="3" r:id="rId1"/>
    <sheet name="A-1" sheetId="1" r:id="rId2"/>
    <sheet name="JSI-1" sheetId="2" r:id="rId3"/>
    <sheet name="P-1" sheetId="9" r:id="rId4"/>
    <sheet name="A-2" sheetId="5" r:id="rId5"/>
    <sheet name="JSI-2" sheetId="6" r:id="rId6"/>
    <sheet name="P-2" sheetId="12" r:id="rId7"/>
    <sheet name="A-3" sheetId="7" r:id="rId8"/>
    <sheet name="JSI-3" sheetId="8" r:id="rId9"/>
    <sheet name="P-3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Y10" i="1"/>
  <c r="AK8" i="7"/>
  <c r="AK4" i="7"/>
  <c r="AK8" i="5"/>
  <c r="AK4" i="5"/>
  <c r="AK60" i="1"/>
  <c r="Y8" i="7"/>
  <c r="Y4" i="7"/>
  <c r="W8" i="5"/>
  <c r="X8" i="5" s="1"/>
  <c r="W4" i="5"/>
  <c r="X4" i="5"/>
  <c r="AA8" i="5"/>
  <c r="AA4" i="5"/>
  <c r="AG10" i="1"/>
  <c r="R10" i="7"/>
  <c r="R10" i="5"/>
  <c r="R62" i="1"/>
  <c r="Y3" i="3"/>
  <c r="Y4" i="3"/>
  <c r="Y2" i="3"/>
  <c r="O19" i="2"/>
  <c r="O18" i="2"/>
  <c r="O17" i="2"/>
  <c r="N17" i="2"/>
  <c r="J17" i="2"/>
  <c r="M17" i="2" s="1"/>
  <c r="O16" i="2"/>
  <c r="N16" i="2"/>
  <c r="J16" i="2"/>
  <c r="M16" i="2" s="1"/>
  <c r="K50" i="1"/>
  <c r="G50" i="1"/>
  <c r="H50" i="1"/>
  <c r="J60" i="1"/>
  <c r="E60" i="1"/>
  <c r="K59" i="1"/>
  <c r="H59" i="1"/>
  <c r="G59" i="1"/>
  <c r="I59" i="1" s="1"/>
  <c r="M59" i="1" s="1"/>
  <c r="K58" i="1"/>
  <c r="H58" i="1"/>
  <c r="H60" i="1" s="1"/>
  <c r="G58" i="1"/>
  <c r="I58" i="1" s="1"/>
  <c r="M58" i="1" s="1"/>
  <c r="O15" i="2"/>
  <c r="N15" i="2"/>
  <c r="J15" i="2"/>
  <c r="M15" i="2" s="1"/>
  <c r="O14" i="2"/>
  <c r="N14" i="2"/>
  <c r="J14" i="2"/>
  <c r="M14" i="2" s="1"/>
  <c r="G37" i="1"/>
  <c r="H37" i="1"/>
  <c r="K36" i="1"/>
  <c r="G36" i="1"/>
  <c r="H36" i="1"/>
  <c r="H4" i="13"/>
  <c r="J3" i="13"/>
  <c r="I3" i="13"/>
  <c r="H3" i="13"/>
  <c r="J2" i="13"/>
  <c r="J4" i="13" s="1"/>
  <c r="I2" i="13"/>
  <c r="I4" i="13" s="1"/>
  <c r="H2" i="13"/>
  <c r="J3" i="12"/>
  <c r="I3" i="12"/>
  <c r="H3" i="12"/>
  <c r="J2" i="12"/>
  <c r="J4" i="12" s="1"/>
  <c r="I2" i="12"/>
  <c r="H2" i="12"/>
  <c r="H4" i="12" s="1"/>
  <c r="I4" i="12"/>
  <c r="J3" i="9"/>
  <c r="J4" i="9"/>
  <c r="J5" i="9"/>
  <c r="J6" i="9"/>
  <c r="J7" i="9"/>
  <c r="J2" i="9"/>
  <c r="I3" i="9"/>
  <c r="I4" i="9"/>
  <c r="I5" i="9"/>
  <c r="I6" i="9"/>
  <c r="I7" i="9"/>
  <c r="I2" i="9"/>
  <c r="H5" i="9"/>
  <c r="H4" i="9"/>
  <c r="H2" i="9"/>
  <c r="H3" i="9"/>
  <c r="H6" i="9"/>
  <c r="H7" i="9"/>
  <c r="E19" i="1"/>
  <c r="O10" i="2"/>
  <c r="N10" i="2"/>
  <c r="J10" i="2"/>
  <c r="M10" i="2" s="1"/>
  <c r="J39" i="1"/>
  <c r="E39" i="1"/>
  <c r="K38" i="1"/>
  <c r="K37" i="1" s="1"/>
  <c r="G38" i="1"/>
  <c r="I38" i="1" s="1"/>
  <c r="H38" i="1"/>
  <c r="O13" i="2"/>
  <c r="O12" i="2"/>
  <c r="N13" i="2"/>
  <c r="J13" i="2"/>
  <c r="M13" i="2" s="1"/>
  <c r="N12" i="2"/>
  <c r="J12" i="2"/>
  <c r="M12" i="2" s="1"/>
  <c r="O3" i="8"/>
  <c r="O2" i="8"/>
  <c r="N3" i="8"/>
  <c r="J3" i="8"/>
  <c r="M3" i="8" s="1"/>
  <c r="O4" i="8"/>
  <c r="M10" i="7" s="1"/>
  <c r="E4" i="3" s="1"/>
  <c r="N2" i="8"/>
  <c r="J2" i="8"/>
  <c r="M2" i="8" s="1"/>
  <c r="K10" i="7"/>
  <c r="A10" i="7"/>
  <c r="J8" i="7"/>
  <c r="E8" i="7"/>
  <c r="K7" i="7"/>
  <c r="H7" i="7"/>
  <c r="L7" i="7" s="1"/>
  <c r="G7" i="7"/>
  <c r="I7" i="7" s="1"/>
  <c r="M7" i="7" s="1"/>
  <c r="K6" i="7"/>
  <c r="I6" i="7"/>
  <c r="M6" i="7" s="1"/>
  <c r="H6" i="7"/>
  <c r="L6" i="7" s="1"/>
  <c r="L8" i="7" s="1"/>
  <c r="G6" i="7"/>
  <c r="J4" i="7"/>
  <c r="E4" i="7"/>
  <c r="E10" i="7" s="1"/>
  <c r="K3" i="7"/>
  <c r="I3" i="7"/>
  <c r="H3" i="7"/>
  <c r="H4" i="7" s="1"/>
  <c r="G3" i="7"/>
  <c r="L2" i="7"/>
  <c r="K2" i="7"/>
  <c r="H2" i="7"/>
  <c r="G2" i="7"/>
  <c r="I2" i="7" s="1"/>
  <c r="O3" i="6"/>
  <c r="O2" i="6"/>
  <c r="N3" i="6"/>
  <c r="J3" i="6"/>
  <c r="M3" i="6" s="1"/>
  <c r="O4" i="6"/>
  <c r="M10" i="5" s="1"/>
  <c r="E3" i="3" s="1"/>
  <c r="N2" i="6"/>
  <c r="J2" i="6"/>
  <c r="M2" i="6" s="1"/>
  <c r="AB10" i="5"/>
  <c r="I10" i="5"/>
  <c r="H10" i="5"/>
  <c r="E10" i="5"/>
  <c r="K10" i="5"/>
  <c r="A10" i="5"/>
  <c r="J8" i="5"/>
  <c r="E8" i="5"/>
  <c r="K7" i="5"/>
  <c r="H7" i="5"/>
  <c r="L7" i="5" s="1"/>
  <c r="G7" i="5"/>
  <c r="I7" i="5" s="1"/>
  <c r="M7" i="5" s="1"/>
  <c r="K6" i="5"/>
  <c r="I6" i="5"/>
  <c r="H6" i="5"/>
  <c r="G6" i="5"/>
  <c r="J4" i="5"/>
  <c r="E4" i="5"/>
  <c r="K3" i="5"/>
  <c r="H3" i="5"/>
  <c r="L3" i="5" s="1"/>
  <c r="G3" i="5"/>
  <c r="I3" i="5" s="1"/>
  <c r="M3" i="5" s="1"/>
  <c r="O3" i="5" s="1"/>
  <c r="K2" i="5"/>
  <c r="H2" i="5"/>
  <c r="G2" i="5"/>
  <c r="I2" i="5" s="1"/>
  <c r="J56" i="1"/>
  <c r="E56" i="1"/>
  <c r="K55" i="1"/>
  <c r="H55" i="1"/>
  <c r="G55" i="1"/>
  <c r="I55" i="1" s="1"/>
  <c r="K54" i="1"/>
  <c r="H54" i="1"/>
  <c r="G54" i="1"/>
  <c r="I54" i="1" s="1"/>
  <c r="N18" i="2"/>
  <c r="J18" i="2"/>
  <c r="M18" i="2" s="1"/>
  <c r="A62" i="1"/>
  <c r="K62" i="1"/>
  <c r="O11" i="2"/>
  <c r="N11" i="2"/>
  <c r="J11" i="2"/>
  <c r="M11" i="2" s="1"/>
  <c r="J47" i="1"/>
  <c r="E47" i="1"/>
  <c r="K46" i="1"/>
  <c r="H46" i="1"/>
  <c r="G46" i="1"/>
  <c r="I46" i="1" s="1"/>
  <c r="K45" i="1"/>
  <c r="H45" i="1"/>
  <c r="G45" i="1"/>
  <c r="I45" i="1" s="1"/>
  <c r="B5" i="3"/>
  <c r="O6" i="2"/>
  <c r="N19" i="2"/>
  <c r="J19" i="2"/>
  <c r="M19" i="2" s="1"/>
  <c r="J52" i="1"/>
  <c r="E52" i="1"/>
  <c r="K51" i="1"/>
  <c r="G51" i="1"/>
  <c r="I51" i="1" s="1"/>
  <c r="H51" i="1"/>
  <c r="J43" i="1"/>
  <c r="E43" i="1"/>
  <c r="K42" i="1"/>
  <c r="G42" i="1"/>
  <c r="I42" i="1" s="1"/>
  <c r="H42" i="1"/>
  <c r="K35" i="1"/>
  <c r="G35" i="1"/>
  <c r="I35" i="1" s="1"/>
  <c r="H35" i="1"/>
  <c r="J31" i="1"/>
  <c r="E31" i="1"/>
  <c r="K30" i="1"/>
  <c r="G30" i="1"/>
  <c r="I30" i="1" s="1"/>
  <c r="H30" i="1"/>
  <c r="J27" i="1"/>
  <c r="E27" i="1"/>
  <c r="K26" i="1"/>
  <c r="G26" i="1"/>
  <c r="I26" i="1" s="1"/>
  <c r="H26" i="1"/>
  <c r="J23" i="1"/>
  <c r="E23" i="1"/>
  <c r="K22" i="1"/>
  <c r="G22" i="1"/>
  <c r="I22" i="1" s="1"/>
  <c r="H22" i="1"/>
  <c r="J19" i="1"/>
  <c r="K18" i="1"/>
  <c r="G18" i="1"/>
  <c r="H18" i="1"/>
  <c r="J15" i="1"/>
  <c r="E15" i="1"/>
  <c r="K14" i="1"/>
  <c r="H14" i="1"/>
  <c r="J10" i="1"/>
  <c r="E10" i="1"/>
  <c r="E62" i="1" s="1"/>
  <c r="K9" i="1"/>
  <c r="H9" i="1"/>
  <c r="K49" i="1"/>
  <c r="H49" i="1"/>
  <c r="G49" i="1"/>
  <c r="I49" i="1" s="1"/>
  <c r="O9" i="2"/>
  <c r="N9" i="2"/>
  <c r="J9" i="2"/>
  <c r="M9" i="2" s="1"/>
  <c r="K34" i="1"/>
  <c r="G34" i="1"/>
  <c r="I34" i="1" s="1"/>
  <c r="H34" i="1"/>
  <c r="G33" i="1"/>
  <c r="I33" i="1" s="1"/>
  <c r="O8" i="2"/>
  <c r="O7" i="2"/>
  <c r="N8" i="2"/>
  <c r="J8" i="2"/>
  <c r="N7" i="2"/>
  <c r="J7" i="2"/>
  <c r="K33" i="1"/>
  <c r="H33" i="1"/>
  <c r="K41" i="1"/>
  <c r="H41" i="1"/>
  <c r="G41" i="1"/>
  <c r="I41" i="1" s="1"/>
  <c r="N6" i="2"/>
  <c r="N5" i="2"/>
  <c r="N4" i="2"/>
  <c r="N3" i="2"/>
  <c r="N2" i="2"/>
  <c r="M6" i="2"/>
  <c r="O5" i="2"/>
  <c r="O4" i="2"/>
  <c r="O3" i="2"/>
  <c r="O2" i="2"/>
  <c r="J6" i="2"/>
  <c r="A6" i="2" s="1"/>
  <c r="G12" i="1"/>
  <c r="I12" i="1" s="1"/>
  <c r="G8" i="1"/>
  <c r="I8" i="1" s="1"/>
  <c r="J5" i="2"/>
  <c r="M5" i="2" s="1"/>
  <c r="J4" i="2"/>
  <c r="M4" i="2" s="1"/>
  <c r="J3" i="2"/>
  <c r="M3" i="2" s="1"/>
  <c r="J2" i="2"/>
  <c r="M2" i="2" s="1"/>
  <c r="K29" i="1"/>
  <c r="H29" i="1"/>
  <c r="G29" i="1"/>
  <c r="I29" i="1" s="1"/>
  <c r="K8" i="1"/>
  <c r="H8" i="1"/>
  <c r="K7" i="1"/>
  <c r="H7" i="1"/>
  <c r="K25" i="1"/>
  <c r="H25" i="1"/>
  <c r="G25" i="1"/>
  <c r="I25" i="1" s="1"/>
  <c r="K21" i="1"/>
  <c r="K17" i="1"/>
  <c r="K13" i="1"/>
  <c r="K12" i="1"/>
  <c r="K6" i="1"/>
  <c r="K5" i="1"/>
  <c r="K4" i="1"/>
  <c r="K3" i="1"/>
  <c r="K2" i="1"/>
  <c r="G21" i="1"/>
  <c r="I21" i="1" s="1"/>
  <c r="G17" i="1"/>
  <c r="I17" i="1" s="1"/>
  <c r="H21" i="1"/>
  <c r="H23" i="1" s="1"/>
  <c r="H17" i="1"/>
  <c r="H13" i="1"/>
  <c r="H12" i="1"/>
  <c r="H6" i="1"/>
  <c r="H5" i="1"/>
  <c r="H4" i="1"/>
  <c r="H3" i="1"/>
  <c r="H2" i="1"/>
  <c r="N4" i="6" l="1"/>
  <c r="L10" i="5" s="1"/>
  <c r="K3" i="3" s="1"/>
  <c r="L50" i="1"/>
  <c r="L59" i="1"/>
  <c r="L58" i="1"/>
  <c r="I50" i="1"/>
  <c r="M50" i="1" s="1"/>
  <c r="N58" i="1"/>
  <c r="M60" i="1"/>
  <c r="O58" i="1"/>
  <c r="O59" i="1"/>
  <c r="N59" i="1"/>
  <c r="L37" i="1"/>
  <c r="I60" i="1"/>
  <c r="H52" i="1"/>
  <c r="I37" i="1"/>
  <c r="M37" i="1" s="1"/>
  <c r="H39" i="1"/>
  <c r="L36" i="1"/>
  <c r="M38" i="1"/>
  <c r="N38" i="1" s="1"/>
  <c r="I36" i="1"/>
  <c r="M36" i="1" s="1"/>
  <c r="N4" i="8"/>
  <c r="L10" i="7" s="1"/>
  <c r="K4" i="3" s="1"/>
  <c r="H3" i="3"/>
  <c r="V3" i="3"/>
  <c r="T3" i="3"/>
  <c r="I8" i="9"/>
  <c r="J8" i="9"/>
  <c r="C4" i="3"/>
  <c r="H4" i="3"/>
  <c r="T4" i="3"/>
  <c r="C3" i="3"/>
  <c r="W3" i="3" s="1"/>
  <c r="V4" i="3"/>
  <c r="F4" i="3"/>
  <c r="H8" i="9"/>
  <c r="A12" i="2"/>
  <c r="L54" i="1"/>
  <c r="M54" i="1"/>
  <c r="N54" i="1" s="1"/>
  <c r="L38" i="1"/>
  <c r="A7" i="2"/>
  <c r="H47" i="1"/>
  <c r="L46" i="1"/>
  <c r="L55" i="1"/>
  <c r="M46" i="1"/>
  <c r="N46" i="1" s="1"/>
  <c r="H43" i="1"/>
  <c r="M4" i="8"/>
  <c r="L4" i="3" s="1"/>
  <c r="O7" i="7"/>
  <c r="N7" i="7"/>
  <c r="M2" i="7"/>
  <c r="I4" i="7"/>
  <c r="I10" i="7" s="1"/>
  <c r="R8" i="7"/>
  <c r="R4" i="7"/>
  <c r="N6" i="7"/>
  <c r="M8" i="7"/>
  <c r="O6" i="7"/>
  <c r="L3" i="7"/>
  <c r="L4" i="7" s="1"/>
  <c r="H8" i="7"/>
  <c r="H10" i="7" s="1"/>
  <c r="M3" i="7"/>
  <c r="I8" i="7"/>
  <c r="M4" i="6"/>
  <c r="L3" i="3" s="1"/>
  <c r="I8" i="5"/>
  <c r="H4" i="5"/>
  <c r="L2" i="5"/>
  <c r="L4" i="5" s="1"/>
  <c r="M6" i="5"/>
  <c r="M8" i="5"/>
  <c r="N6" i="5"/>
  <c r="L6" i="5"/>
  <c r="L8" i="5" s="1"/>
  <c r="H8" i="5"/>
  <c r="O7" i="5"/>
  <c r="N7" i="5"/>
  <c r="M2" i="5"/>
  <c r="I4" i="5"/>
  <c r="N3" i="5"/>
  <c r="R4" i="5"/>
  <c r="R8" i="5"/>
  <c r="M55" i="1"/>
  <c r="H56" i="1"/>
  <c r="I56" i="1"/>
  <c r="I31" i="1"/>
  <c r="O20" i="2"/>
  <c r="N20" i="2"/>
  <c r="L45" i="1"/>
  <c r="M45" i="1"/>
  <c r="I47" i="1"/>
  <c r="I27" i="1"/>
  <c r="H31" i="1"/>
  <c r="L51" i="1"/>
  <c r="M51" i="1"/>
  <c r="L42" i="1"/>
  <c r="M35" i="1"/>
  <c r="N35" i="1" s="1"/>
  <c r="M42" i="1"/>
  <c r="H27" i="1"/>
  <c r="I23" i="1"/>
  <c r="L35" i="1"/>
  <c r="O35" i="1" s="1"/>
  <c r="L30" i="1"/>
  <c r="M30" i="1"/>
  <c r="N30" i="1" s="1"/>
  <c r="H19" i="1"/>
  <c r="L26" i="1"/>
  <c r="M26" i="1"/>
  <c r="L14" i="1"/>
  <c r="L22" i="1"/>
  <c r="M22" i="1"/>
  <c r="N22" i="1" s="1"/>
  <c r="H15" i="1"/>
  <c r="I18" i="1"/>
  <c r="M18" i="1" s="1"/>
  <c r="N18" i="1" s="1"/>
  <c r="L18" i="1"/>
  <c r="G9" i="1"/>
  <c r="I9" i="1" s="1"/>
  <c r="M9" i="1" s="1"/>
  <c r="N9" i="1" s="1"/>
  <c r="H10" i="1"/>
  <c r="H62" i="1" s="1"/>
  <c r="G14" i="1"/>
  <c r="I14" i="1" s="1"/>
  <c r="M14" i="1" s="1"/>
  <c r="N14" i="1" s="1"/>
  <c r="L9" i="1"/>
  <c r="L34" i="1"/>
  <c r="L49" i="1"/>
  <c r="M49" i="1"/>
  <c r="M34" i="1"/>
  <c r="N34" i="1" s="1"/>
  <c r="L33" i="1"/>
  <c r="M7" i="2"/>
  <c r="M33" i="1"/>
  <c r="M8" i="2"/>
  <c r="L41" i="1"/>
  <c r="M41" i="1"/>
  <c r="L17" i="1"/>
  <c r="L29" i="1"/>
  <c r="M29" i="1"/>
  <c r="L8" i="1"/>
  <c r="G5" i="1"/>
  <c r="I5" i="1" s="1"/>
  <c r="M5" i="1" s="1"/>
  <c r="N5" i="1" s="1"/>
  <c r="L7" i="1"/>
  <c r="A4" i="2"/>
  <c r="M8" i="1"/>
  <c r="G7" i="1"/>
  <c r="I7" i="1" s="1"/>
  <c r="M7" i="1" s="1"/>
  <c r="G13" i="1"/>
  <c r="I13" i="1" s="1"/>
  <c r="A3" i="2"/>
  <c r="A2" i="2"/>
  <c r="G2" i="1"/>
  <c r="I2" i="1" s="1"/>
  <c r="G6" i="1"/>
  <c r="I6" i="1" s="1"/>
  <c r="M6" i="1" s="1"/>
  <c r="N6" i="1" s="1"/>
  <c r="L25" i="1"/>
  <c r="M25" i="1"/>
  <c r="M17" i="1"/>
  <c r="G3" i="1"/>
  <c r="I3" i="1" s="1"/>
  <c r="M3" i="1" s="1"/>
  <c r="G4" i="1"/>
  <c r="I4" i="1" s="1"/>
  <c r="L12" i="1"/>
  <c r="L2" i="1"/>
  <c r="L6" i="1"/>
  <c r="L13" i="1"/>
  <c r="L3" i="1"/>
  <c r="M12" i="1"/>
  <c r="L21" i="1"/>
  <c r="M21" i="1"/>
  <c r="AF8" i="5" l="1"/>
  <c r="M4" i="3"/>
  <c r="W4" i="3"/>
  <c r="I52" i="1"/>
  <c r="M52" i="1"/>
  <c r="L52" i="1"/>
  <c r="O50" i="1"/>
  <c r="N50" i="1"/>
  <c r="L60" i="1"/>
  <c r="L56" i="1"/>
  <c r="O60" i="1"/>
  <c r="N60" i="1"/>
  <c r="O38" i="1"/>
  <c r="O54" i="1"/>
  <c r="I39" i="1"/>
  <c r="O37" i="1"/>
  <c r="N37" i="1"/>
  <c r="O36" i="1"/>
  <c r="N36" i="1"/>
  <c r="L39" i="1"/>
  <c r="M39" i="1"/>
  <c r="M3" i="3"/>
  <c r="F3" i="3"/>
  <c r="G3" i="3" s="1"/>
  <c r="G4" i="3"/>
  <c r="L47" i="1"/>
  <c r="O46" i="1"/>
  <c r="M43" i="1"/>
  <c r="I43" i="1"/>
  <c r="L43" i="1"/>
  <c r="O8" i="7"/>
  <c r="N8" i="7"/>
  <c r="M4" i="7"/>
  <c r="O2" i="7"/>
  <c r="N2" i="7"/>
  <c r="S4" i="7"/>
  <c r="T4" i="7"/>
  <c r="AF4" i="7" s="1"/>
  <c r="N3" i="7"/>
  <c r="O3" i="7"/>
  <c r="T8" i="7"/>
  <c r="AF8" i="7" s="1"/>
  <c r="S8" i="7"/>
  <c r="O6" i="5"/>
  <c r="N8" i="5"/>
  <c r="T8" i="5" s="1"/>
  <c r="O8" i="5"/>
  <c r="N2" i="5"/>
  <c r="M4" i="5"/>
  <c r="O2" i="5"/>
  <c r="O55" i="1"/>
  <c r="N55" i="1"/>
  <c r="M56" i="1"/>
  <c r="M20" i="2"/>
  <c r="L2" i="3" s="1"/>
  <c r="M47" i="1"/>
  <c r="O45" i="1"/>
  <c r="N45" i="1"/>
  <c r="L19" i="1"/>
  <c r="O51" i="1"/>
  <c r="N51" i="1"/>
  <c r="M31" i="1"/>
  <c r="N33" i="1"/>
  <c r="L31" i="1"/>
  <c r="N42" i="1"/>
  <c r="O42" i="1"/>
  <c r="O30" i="1"/>
  <c r="M27" i="1"/>
  <c r="L27" i="1"/>
  <c r="L23" i="1"/>
  <c r="M23" i="1"/>
  <c r="N23" i="1" s="1"/>
  <c r="O26" i="1"/>
  <c r="N26" i="1"/>
  <c r="O22" i="1"/>
  <c r="I15" i="1"/>
  <c r="O14" i="1"/>
  <c r="N17" i="1"/>
  <c r="M19" i="1"/>
  <c r="L15" i="1"/>
  <c r="O18" i="1"/>
  <c r="I19" i="1"/>
  <c r="I10" i="1"/>
  <c r="O9" i="1"/>
  <c r="O49" i="1"/>
  <c r="N49" i="1"/>
  <c r="O7" i="1"/>
  <c r="O33" i="1"/>
  <c r="O34" i="1"/>
  <c r="O8" i="1"/>
  <c r="O41" i="1"/>
  <c r="N41" i="1"/>
  <c r="O29" i="1"/>
  <c r="N29" i="1"/>
  <c r="N8" i="1"/>
  <c r="N2" i="1"/>
  <c r="N7" i="1"/>
  <c r="O3" i="1"/>
  <c r="M2" i="1"/>
  <c r="O6" i="1"/>
  <c r="N21" i="1"/>
  <c r="N12" i="1"/>
  <c r="O17" i="1"/>
  <c r="M13" i="1"/>
  <c r="N13" i="1" s="1"/>
  <c r="O25" i="1"/>
  <c r="N25" i="1"/>
  <c r="L5" i="1"/>
  <c r="O5" i="1" s="1"/>
  <c r="O12" i="1"/>
  <c r="L4" i="1"/>
  <c r="O21" i="1"/>
  <c r="N4" i="1"/>
  <c r="M4" i="1"/>
  <c r="N3" i="1"/>
  <c r="U8" i="7" l="1"/>
  <c r="AG8" i="7"/>
  <c r="U4" i="7"/>
  <c r="AG4" i="7"/>
  <c r="V8" i="7"/>
  <c r="V4" i="7"/>
  <c r="V8" i="5"/>
  <c r="I62" i="1"/>
  <c r="AM60" i="1"/>
  <c r="AB60" i="1"/>
  <c r="AJ4" i="7"/>
  <c r="AJ8" i="7"/>
  <c r="N4" i="7"/>
  <c r="O4" i="7"/>
  <c r="AM8" i="7"/>
  <c r="AB8" i="7"/>
  <c r="AJ8" i="5"/>
  <c r="S8" i="5"/>
  <c r="O4" i="5"/>
  <c r="N4" i="5"/>
  <c r="AB8" i="5"/>
  <c r="AM8" i="5"/>
  <c r="O56" i="1"/>
  <c r="N56" i="1"/>
  <c r="L5" i="3"/>
  <c r="O47" i="1"/>
  <c r="N47" i="1"/>
  <c r="M15" i="1"/>
  <c r="N15" i="1" s="1"/>
  <c r="L10" i="1"/>
  <c r="O2" i="1"/>
  <c r="M10" i="1"/>
  <c r="M62" i="1" s="1"/>
  <c r="O52" i="1"/>
  <c r="N52" i="1"/>
  <c r="N43" i="1"/>
  <c r="O43" i="1"/>
  <c r="N39" i="1"/>
  <c r="O39" i="1"/>
  <c r="AB23" i="1"/>
  <c r="AM23" i="1"/>
  <c r="O31" i="1"/>
  <c r="N31" i="1"/>
  <c r="O27" i="1"/>
  <c r="N27" i="1"/>
  <c r="O23" i="1"/>
  <c r="O13" i="1"/>
  <c r="O4" i="1"/>
  <c r="N19" i="1"/>
  <c r="O19" i="1"/>
  <c r="U8" i="5" l="1"/>
  <c r="AG8" i="5"/>
  <c r="L62" i="1"/>
  <c r="K2" i="3" s="1"/>
  <c r="Y10" i="7"/>
  <c r="N4" i="3" s="1"/>
  <c r="AJ10" i="7"/>
  <c r="U7" i="7"/>
  <c r="U6" i="7"/>
  <c r="AM4" i="7"/>
  <c r="AB4" i="7"/>
  <c r="N10" i="7"/>
  <c r="O10" i="7"/>
  <c r="Y8" i="5"/>
  <c r="U6" i="5"/>
  <c r="U7" i="5"/>
  <c r="AM4" i="5"/>
  <c r="AB4" i="5"/>
  <c r="S4" i="5"/>
  <c r="T4" i="5"/>
  <c r="AF4" i="5" s="1"/>
  <c r="AM56" i="1"/>
  <c r="AB56" i="1"/>
  <c r="AM47" i="1"/>
  <c r="AB47" i="1"/>
  <c r="AM52" i="1"/>
  <c r="AB52" i="1"/>
  <c r="AM19" i="1"/>
  <c r="AM27" i="1"/>
  <c r="AM15" i="1"/>
  <c r="AM31" i="1"/>
  <c r="N10" i="1"/>
  <c r="AM43" i="1"/>
  <c r="AB43" i="1"/>
  <c r="AM39" i="1"/>
  <c r="AB39" i="1"/>
  <c r="AB31" i="1"/>
  <c r="O15" i="1"/>
  <c r="O10" i="1"/>
  <c r="AB27" i="1"/>
  <c r="AB19" i="1"/>
  <c r="AB15" i="1"/>
  <c r="U4" i="5" l="1"/>
  <c r="AG4" i="5"/>
  <c r="V4" i="5"/>
  <c r="S4" i="3"/>
  <c r="Q4" i="3"/>
  <c r="Z8" i="7"/>
  <c r="AA8" i="7" s="1"/>
  <c r="Z4" i="7"/>
  <c r="AA4" i="7" s="1"/>
  <c r="AB10" i="7"/>
  <c r="AJ4" i="5"/>
  <c r="AJ10" i="5" s="1"/>
  <c r="Y4" i="5"/>
  <c r="Y10" i="5" s="1"/>
  <c r="N3" i="3" s="1"/>
  <c r="U3" i="5"/>
  <c r="U2" i="5"/>
  <c r="O10" i="5"/>
  <c r="N10" i="5"/>
  <c r="D5" i="3"/>
  <c r="E2" i="3"/>
  <c r="AM10" i="1"/>
  <c r="AB10" i="1"/>
  <c r="AB62" i="1" s="1"/>
  <c r="O62" i="1"/>
  <c r="N62" i="1"/>
  <c r="V2" i="3" l="1"/>
  <c r="V5" i="3" s="1"/>
  <c r="T2" i="3"/>
  <c r="S3" i="3"/>
  <c r="Q3" i="3"/>
  <c r="AH4" i="7"/>
  <c r="AL4" i="7"/>
  <c r="U2" i="7"/>
  <c r="U3" i="7"/>
  <c r="W8" i="7"/>
  <c r="Z8" i="5"/>
  <c r="Z4" i="5"/>
  <c r="H2" i="3"/>
  <c r="E5" i="3"/>
  <c r="H5" i="3" s="1"/>
  <c r="R60" i="1"/>
  <c r="C2" i="3"/>
  <c r="W2" i="3" s="1"/>
  <c r="X8" i="7" l="1"/>
  <c r="AC8" i="7" s="1"/>
  <c r="T60" i="1"/>
  <c r="V60" i="1" s="1"/>
  <c r="S60" i="1"/>
  <c r="AG60" i="1" s="1"/>
  <c r="T5" i="3"/>
  <c r="F2" i="3"/>
  <c r="G2" i="3" s="1"/>
  <c r="M2" i="3"/>
  <c r="AL8" i="7"/>
  <c r="AH8" i="7"/>
  <c r="AI8" i="7" s="1"/>
  <c r="W4" i="7"/>
  <c r="X4" i="7" s="1"/>
  <c r="AI4" i="7"/>
  <c r="R56" i="1"/>
  <c r="R52" i="1"/>
  <c r="R31" i="1"/>
  <c r="R10" i="1"/>
  <c r="R47" i="1"/>
  <c r="R27" i="1"/>
  <c r="R19" i="1"/>
  <c r="R39" i="1"/>
  <c r="R15" i="1"/>
  <c r="R43" i="1"/>
  <c r="R23" i="1"/>
  <c r="C5" i="3"/>
  <c r="M5" i="3" s="1"/>
  <c r="AF60" i="1" l="1"/>
  <c r="U60" i="1"/>
  <c r="S39" i="1"/>
  <c r="AG39" i="1" s="1"/>
  <c r="S23" i="1"/>
  <c r="U23" i="1" s="1"/>
  <c r="S19" i="1"/>
  <c r="AG19" i="1" s="1"/>
  <c r="T31" i="1"/>
  <c r="V31" i="1" s="1"/>
  <c r="S27" i="1"/>
  <c r="AG27" i="1" s="1"/>
  <c r="AJ60" i="1"/>
  <c r="Y60" i="1"/>
  <c r="AH10" i="7"/>
  <c r="R4" i="3" s="1"/>
  <c r="AC4" i="7"/>
  <c r="AC10" i="7" s="1"/>
  <c r="P4" i="3" s="1"/>
  <c r="U4" i="3" s="1"/>
  <c r="W10" i="7"/>
  <c r="O4" i="3" s="1"/>
  <c r="AC8" i="5"/>
  <c r="AL8" i="5"/>
  <c r="AH8" i="5"/>
  <c r="AI8" i="5" s="1"/>
  <c r="AL4" i="5"/>
  <c r="AH4" i="5"/>
  <c r="T56" i="1"/>
  <c r="V56" i="1" s="1"/>
  <c r="S56" i="1"/>
  <c r="AG56" i="1" s="1"/>
  <c r="S43" i="1"/>
  <c r="AG43" i="1" s="1"/>
  <c r="T43" i="1"/>
  <c r="V43" i="1" s="1"/>
  <c r="T47" i="1"/>
  <c r="V47" i="1" s="1"/>
  <c r="S47" i="1"/>
  <c r="AG47" i="1" s="1"/>
  <c r="S31" i="1"/>
  <c r="AG31" i="1" s="1"/>
  <c r="AJ31" i="1"/>
  <c r="T39" i="1"/>
  <c r="V39" i="1" s="1"/>
  <c r="Y39" i="1"/>
  <c r="Y19" i="1"/>
  <c r="T27" i="1"/>
  <c r="V27" i="1" s="1"/>
  <c r="T10" i="1"/>
  <c r="V10" i="1" s="1"/>
  <c r="S10" i="1"/>
  <c r="T19" i="1"/>
  <c r="V19" i="1" s="1"/>
  <c r="T23" i="1"/>
  <c r="V23" i="1" s="1"/>
  <c r="T15" i="1"/>
  <c r="V15" i="1" s="1"/>
  <c r="S15" i="1"/>
  <c r="AG15" i="1" s="1"/>
  <c r="Y27" i="1" l="1"/>
  <c r="AF31" i="1"/>
  <c r="U31" i="1"/>
  <c r="U30" i="1" s="1"/>
  <c r="AF10" i="1"/>
  <c r="U43" i="1"/>
  <c r="AF27" i="1"/>
  <c r="U47" i="1"/>
  <c r="U45" i="1" s="1"/>
  <c r="U27" i="1"/>
  <c r="U10" i="1"/>
  <c r="U6" i="1" s="1"/>
  <c r="AF56" i="1"/>
  <c r="AF15" i="1"/>
  <c r="U19" i="1"/>
  <c r="AF23" i="1"/>
  <c r="U39" i="1"/>
  <c r="U37" i="1" s="1"/>
  <c r="U56" i="1"/>
  <c r="U55" i="1" s="1"/>
  <c r="U15" i="1"/>
  <c r="AF43" i="1"/>
  <c r="AF19" i="1"/>
  <c r="Y23" i="1"/>
  <c r="AG23" i="1"/>
  <c r="AF39" i="1"/>
  <c r="AF47" i="1"/>
  <c r="U58" i="1"/>
  <c r="U59" i="1"/>
  <c r="AL60" i="1"/>
  <c r="AH60" i="1"/>
  <c r="AI60" i="1" s="1"/>
  <c r="U36" i="1"/>
  <c r="AI4" i="5"/>
  <c r="AH10" i="5"/>
  <c r="R3" i="3" s="1"/>
  <c r="AC4" i="5"/>
  <c r="AC10" i="5" s="1"/>
  <c r="P3" i="3" s="1"/>
  <c r="U3" i="3" s="1"/>
  <c r="W10" i="5"/>
  <c r="O3" i="3" s="1"/>
  <c r="Y43" i="1"/>
  <c r="Y56" i="1"/>
  <c r="AJ56" i="1"/>
  <c r="AJ39" i="1"/>
  <c r="U25" i="1"/>
  <c r="U26" i="1"/>
  <c r="AJ47" i="1"/>
  <c r="U46" i="1"/>
  <c r="AJ43" i="1"/>
  <c r="U22" i="1"/>
  <c r="U21" i="1"/>
  <c r="U3" i="1"/>
  <c r="U5" i="1"/>
  <c r="U18" i="1"/>
  <c r="U17" i="1"/>
  <c r="Y47" i="1"/>
  <c r="Y31" i="1"/>
  <c r="AJ19" i="1"/>
  <c r="AJ27" i="1"/>
  <c r="Y15" i="1"/>
  <c r="AJ15" i="1"/>
  <c r="AJ23" i="1"/>
  <c r="AJ10" i="1"/>
  <c r="T52" i="1"/>
  <c r="S52" i="1"/>
  <c r="U29" i="1" l="1"/>
  <c r="U35" i="1"/>
  <c r="U4" i="1"/>
  <c r="U34" i="1"/>
  <c r="U54" i="1"/>
  <c r="U33" i="1"/>
  <c r="U9" i="1"/>
  <c r="U52" i="1"/>
  <c r="U50" i="1" s="1"/>
  <c r="AG52" i="1"/>
  <c r="U8" i="1"/>
  <c r="U2" i="1"/>
  <c r="V52" i="1"/>
  <c r="AF52" i="1"/>
  <c r="U7" i="1"/>
  <c r="U38" i="1"/>
  <c r="U42" i="1"/>
  <c r="U41" i="1"/>
  <c r="U14" i="1"/>
  <c r="U13" i="1"/>
  <c r="U12" i="1"/>
  <c r="Y52" i="1"/>
  <c r="Y62" i="1" s="1"/>
  <c r="AJ52" i="1"/>
  <c r="AJ62" i="1" s="1"/>
  <c r="U49" i="1" l="1"/>
  <c r="U51" i="1"/>
  <c r="Q2" i="3"/>
  <c r="S2" i="3"/>
  <c r="S5" i="3" s="1"/>
  <c r="Z60" i="1" l="1"/>
  <c r="AK47" i="1"/>
  <c r="AK56" i="1"/>
  <c r="AK39" i="1"/>
  <c r="AL39" i="1" s="1"/>
  <c r="AK19" i="1"/>
  <c r="AK23" i="1"/>
  <c r="AK52" i="1"/>
  <c r="AL52" i="1" s="1"/>
  <c r="AK31" i="1"/>
  <c r="AK15" i="1"/>
  <c r="AK27" i="1"/>
  <c r="AK10" i="1"/>
  <c r="AL10" i="1" s="1"/>
  <c r="AK43" i="1"/>
  <c r="Z56" i="1"/>
  <c r="Z47" i="1"/>
  <c r="AL43" i="1"/>
  <c r="Z43" i="1"/>
  <c r="Z23" i="1"/>
  <c r="Z10" i="1"/>
  <c r="AL23" i="1"/>
  <c r="AH19" i="1"/>
  <c r="AI19" i="1" s="1"/>
  <c r="AL15" i="1"/>
  <c r="AH27" i="1"/>
  <c r="AI27" i="1" s="1"/>
  <c r="Z27" i="1"/>
  <c r="Z39" i="1"/>
  <c r="Z31" i="1"/>
  <c r="Z15" i="1"/>
  <c r="Z19" i="1"/>
  <c r="Z52" i="1"/>
  <c r="AA39" i="1" l="1"/>
  <c r="W39" i="1" s="1"/>
  <c r="X39" i="1" s="1"/>
  <c r="AC39" i="1" s="1"/>
  <c r="AA47" i="1"/>
  <c r="W47" i="1" s="1"/>
  <c r="X47" i="1" s="1"/>
  <c r="AC47" i="1" s="1"/>
  <c r="AA15" i="1"/>
  <c r="W15" i="1" s="1"/>
  <c r="X15" i="1" s="1"/>
  <c r="AC15" i="1" s="1"/>
  <c r="AA56" i="1"/>
  <c r="W56" i="1" s="1"/>
  <c r="X56" i="1" s="1"/>
  <c r="AC56" i="1" s="1"/>
  <c r="AA31" i="1"/>
  <c r="W31" i="1" s="1"/>
  <c r="X31" i="1" s="1"/>
  <c r="AC31" i="1" s="1"/>
  <c r="AA10" i="1"/>
  <c r="W10" i="1" s="1"/>
  <c r="X10" i="1" s="1"/>
  <c r="AA19" i="1"/>
  <c r="W19" i="1" s="1"/>
  <c r="X19" i="1" s="1"/>
  <c r="AC19" i="1" s="1"/>
  <c r="AA23" i="1"/>
  <c r="W23" i="1" s="1"/>
  <c r="X23" i="1" s="1"/>
  <c r="AC23" i="1" s="1"/>
  <c r="AA52" i="1"/>
  <c r="W52" i="1" s="1"/>
  <c r="X52" i="1" s="1"/>
  <c r="AC52" i="1" s="1"/>
  <c r="AA27" i="1"/>
  <c r="W27" i="1" s="1"/>
  <c r="X27" i="1" s="1"/>
  <c r="AC27" i="1" s="1"/>
  <c r="AA43" i="1"/>
  <c r="W43" i="1" s="1"/>
  <c r="X43" i="1" s="1"/>
  <c r="AC43" i="1" s="1"/>
  <c r="AA60" i="1"/>
  <c r="W60" i="1" s="1"/>
  <c r="X60" i="1" s="1"/>
  <c r="AC60" i="1" s="1"/>
  <c r="AL56" i="1"/>
  <c r="AH56" i="1"/>
  <c r="AI56" i="1" s="1"/>
  <c r="AL47" i="1"/>
  <c r="AH47" i="1"/>
  <c r="AI47" i="1" s="1"/>
  <c r="AL27" i="1"/>
  <c r="AH43" i="1"/>
  <c r="AI43" i="1" s="1"/>
  <c r="AH39" i="1"/>
  <c r="AI39" i="1" s="1"/>
  <c r="AH52" i="1"/>
  <c r="AI52" i="1" s="1"/>
  <c r="AH10" i="1"/>
  <c r="AH23" i="1"/>
  <c r="AI23" i="1" s="1"/>
  <c r="AL19" i="1"/>
  <c r="AL31" i="1"/>
  <c r="AH31" i="1" s="1"/>
  <c r="AI31" i="1" s="1"/>
  <c r="AH15" i="1"/>
  <c r="AI15" i="1" s="1"/>
  <c r="AH62" i="1" l="1"/>
  <c r="R2" i="3" s="1"/>
  <c r="W62" i="1"/>
  <c r="O2" i="3" s="1"/>
  <c r="AC10" i="1"/>
  <c r="AC62" i="1" s="1"/>
  <c r="AI10" i="1"/>
  <c r="P2" i="3" l="1"/>
  <c r="P5" i="3" l="1"/>
  <c r="U5" i="3" s="1"/>
  <c r="U2" i="3"/>
</calcChain>
</file>

<file path=xl/sharedStrings.xml><?xml version="1.0" encoding="utf-8"?>
<sst xmlns="http://schemas.openxmlformats.org/spreadsheetml/2006/main" count="376" uniqueCount="92">
  <si>
    <t>Date</t>
  </si>
  <si>
    <t>ID</t>
  </si>
  <si>
    <t>Name</t>
  </si>
  <si>
    <t>Leverage</t>
  </si>
  <si>
    <t>Volume</t>
  </si>
  <si>
    <t>Sell price</t>
  </si>
  <si>
    <t>Buy amount</t>
  </si>
  <si>
    <t>Profit</t>
  </si>
  <si>
    <t>ROI</t>
  </si>
  <si>
    <t>Sell amount</t>
  </si>
  <si>
    <t>Ref ROI</t>
  </si>
  <si>
    <t>Real ROI</t>
  </si>
  <si>
    <t>SUM</t>
  </si>
  <si>
    <t>Buy price</t>
  </si>
  <si>
    <t>Real buy amount</t>
  </si>
  <si>
    <t>TOTAL</t>
  </si>
  <si>
    <t>Dividend</t>
  </si>
  <si>
    <t>Balance</t>
  </si>
  <si>
    <t>Enquity</t>
  </si>
  <si>
    <t>Margin</t>
  </si>
  <si>
    <t>Free Margin</t>
  </si>
  <si>
    <t>Margin level</t>
  </si>
  <si>
    <t>PFE</t>
  </si>
  <si>
    <t>KO</t>
  </si>
  <si>
    <t>AAPL</t>
  </si>
  <si>
    <t>MRK</t>
  </si>
  <si>
    <t>Pfizer Inc</t>
  </si>
  <si>
    <t>Coca-Cola Co</t>
  </si>
  <si>
    <t>Apple Inc</t>
  </si>
  <si>
    <t>Merck &amp; Company Inc</t>
  </si>
  <si>
    <t>No</t>
  </si>
  <si>
    <t>Invested margin</t>
  </si>
  <si>
    <t>Margin warn</t>
  </si>
  <si>
    <t>Rec buy amount</t>
  </si>
  <si>
    <t>Rec buy volume</t>
  </si>
  <si>
    <t>High price</t>
  </si>
  <si>
    <t>Low price</t>
  </si>
  <si>
    <t>Ref buy amount</t>
  </si>
  <si>
    <t>Ref buy volume</t>
  </si>
  <si>
    <t>ABBV</t>
  </si>
  <si>
    <t>AbbVie Inc</t>
  </si>
  <si>
    <t>INTC</t>
  </si>
  <si>
    <t>Intel Corporation</t>
  </si>
  <si>
    <t>Ref total oscillate</t>
  </si>
  <si>
    <t>Ref buy oscillate</t>
  </si>
  <si>
    <t>Ref sell oscillate</t>
  </si>
  <si>
    <t>Stop buy loss</t>
  </si>
  <si>
    <t>Stop sell loss</t>
  </si>
  <si>
    <t>Rec sell amount</t>
  </si>
  <si>
    <t>Rec sell volume</t>
  </si>
  <si>
    <t>Ref sell volume</t>
  </si>
  <si>
    <t>Positive sell ROI</t>
  </si>
  <si>
    <t>Positive buy ROI</t>
  </si>
  <si>
    <t>Sell</t>
  </si>
  <si>
    <t>Sell finished</t>
  </si>
  <si>
    <t>Real amount</t>
  </si>
  <si>
    <t>Yes</t>
  </si>
  <si>
    <t>Real amount on sell</t>
  </si>
  <si>
    <t>Profit on sell</t>
  </si>
  <si>
    <t>BTCUSD</t>
  </si>
  <si>
    <t>Bitcoin vs USD</t>
  </si>
  <si>
    <t>MSFT</t>
  </si>
  <si>
    <t>Microsoft Corporation</t>
  </si>
  <si>
    <t>Low price adjusted</t>
  </si>
  <si>
    <t>High price adjusted</t>
  </si>
  <si>
    <t>Ref oscillate</t>
  </si>
  <si>
    <t>Take buy profit</t>
  </si>
  <si>
    <t>Take sell profit</t>
  </si>
  <si>
    <t>Start date</t>
  </si>
  <si>
    <t>Oscillate</t>
  </si>
  <si>
    <t>XAUUSD</t>
  </si>
  <si>
    <t>Gold vs USD</t>
  </si>
  <si>
    <t>Invested ratio</t>
  </si>
  <si>
    <t>Plus amount for buy</t>
  </si>
  <si>
    <t>Plus amount for sell</t>
  </si>
  <si>
    <t>Income per day</t>
  </si>
  <si>
    <t>Price</t>
  </si>
  <si>
    <t>Stop loss</t>
  </si>
  <si>
    <t>Take profit</t>
  </si>
  <si>
    <t>Estimated loss</t>
  </si>
  <si>
    <t>Estimated profit</t>
  </si>
  <si>
    <t>Plus amount</t>
  </si>
  <si>
    <t>Planning buy amount</t>
  </si>
  <si>
    <t>Planned buy amount</t>
  </si>
  <si>
    <t>Planning sell amount</t>
  </si>
  <si>
    <t>Planned sell amount</t>
  </si>
  <si>
    <t>Placed warn amount</t>
  </si>
  <si>
    <t>Basic unit</t>
  </si>
  <si>
    <t>ETHUSD</t>
  </si>
  <si>
    <t>Ethereum vs USD</t>
  </si>
  <si>
    <t>Dual strategy</t>
  </si>
  <si>
    <t>Ref sell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</si>
</sst>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1" fillId="0" borderId="0" xfId="0" applyFont="1"/>
    <xf numFmtId="2" fontId="0" fillId="0" borderId="0" xfId="0" applyNumberFormat="1"/>
    <xf numFmtId="0" fontId="4" fillId="0" borderId="0" xfId="0" applyFont="1"/>
    <xf numFmtId="0" fontId="0" fillId="2" borderId="0" xfId="0" applyFill="1"/>
    <xf numFmtId="2" fontId="2" fillId="2" borderId="0" xfId="0" applyNumberFormat="1" applyFont="1" applyFill="1"/>
    <xf numFmtId="164" fontId="2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2" fontId="2" fillId="0" borderId="0" xfId="0" applyNumberFormat="1" applyFont="1" applyFill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Fill="1"/>
    <xf numFmtId="2" fontId="5" fillId="0" borderId="0" xfId="0" applyNumberFormat="1" applyFont="1"/>
    <xf numFmtId="10" fontId="2" fillId="0" borderId="0" xfId="0" applyNumberFormat="1" applyFont="1"/>
    <xf numFmtId="10" fontId="2" fillId="0" borderId="0" xfId="0" applyNumberFormat="1" applyFont="1" applyFill="1"/>
    <xf numFmtId="10" fontId="2" fillId="2" borderId="0" xfId="0" applyNumberFormat="1" applyFont="1" applyFill="1"/>
    <xf numFmtId="2" fontId="3" fillId="2" borderId="0" xfId="0" applyNumberFormat="1" applyFont="1" applyFill="1"/>
    <xf numFmtId="0" fontId="0" fillId="0" borderId="0" xfId="0" applyFont="1"/>
    <xf numFmtId="2" fontId="3" fillId="3" borderId="0" xfId="0" applyNumberFormat="1" applyFont="1" applyFill="1"/>
    <xf numFmtId="2" fontId="2" fillId="4" borderId="0" xfId="0" applyNumberFormat="1" applyFont="1" applyFill="1"/>
    <xf numFmtId="0" fontId="2" fillId="0" borderId="0" xfId="0" applyNumberFormat="1" applyFont="1" applyFill="1"/>
    <xf numFmtId="2" fontId="3" fillId="0" borderId="0" xfId="0" applyNumberFormat="1" applyFont="1" applyFill="1"/>
    <xf numFmtId="164" fontId="2" fillId="0" borderId="0" xfId="0" applyNumberFormat="1" applyFont="1" applyAlignment="1">
      <alignment vertical="center"/>
    </xf>
    <xf numFmtId="0" fontId="2" fillId="5" borderId="0" xfId="0" applyFont="1" applyFill="1"/>
    <xf numFmtId="0" fontId="4" fillId="5" borderId="0" xfId="0" applyFont="1" applyFill="1"/>
    <xf numFmtId="0" fontId="0" fillId="5" borderId="0" xfId="0" applyFill="1"/>
    <xf numFmtId="2" fontId="0" fillId="5" borderId="0" xfId="0" applyNumberFormat="1" applyFill="1"/>
    <xf numFmtId="2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NumberFormat="1" applyFont="1" applyFill="1"/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/>
    <xf numFmtId="164" fontId="6" fillId="0" borderId="0" xfId="0" applyNumberFormat="1" applyFont="1"/>
    <xf numFmtId="2" fontId="6" fillId="0" borderId="0" xfId="0" applyNumberFormat="1" applyFont="1"/>
    <xf numFmtId="10" fontId="6" fillId="0" borderId="0" xfId="0" applyNumberFormat="1" applyFont="1"/>
    <xf numFmtId="2" fontId="6" fillId="2" borderId="0" xfId="0" applyNumberFormat="1" applyFont="1" applyFill="1"/>
    <xf numFmtId="2" fontId="6" fillId="4" borderId="0" xfId="0" applyNumberFormat="1" applyFont="1" applyFill="1"/>
    <xf numFmtId="2" fontId="6" fillId="0" borderId="0" xfId="0" applyNumberFormat="1" applyFont="1" applyFill="1"/>
    <xf numFmtId="0" fontId="6" fillId="0" borderId="0" xfId="0" applyFont="1"/>
    <xf numFmtId="0" fontId="7" fillId="0" borderId="0" xfId="0" applyFont="1"/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1173-A084-42E2-827D-9CD4A01055A4}">
  <dimension ref="A1:AT5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.75" x14ac:dyDescent="0.25"/>
  <cols>
    <col min="1" max="1" width="11.85546875" style="1" bestFit="1" customWidth="1"/>
    <col min="2" max="10" width="9.140625" style="3"/>
    <col min="11" max="11" width="9.7109375" style="3" bestFit="1" customWidth="1"/>
    <col min="12" max="21" width="9.140625" style="3"/>
    <col min="22" max="22" width="10.42578125" style="1" bestFit="1" customWidth="1"/>
    <col min="23" max="23" width="9.140625" style="1"/>
  </cols>
  <sheetData>
    <row r="1" spans="1:46" x14ac:dyDescent="0.25">
      <c r="A1" s="1" t="s">
        <v>68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32</v>
      </c>
      <c r="H1" s="1" t="s">
        <v>8</v>
      </c>
      <c r="I1" s="1" t="s">
        <v>3</v>
      </c>
      <c r="J1" s="1" t="s">
        <v>69</v>
      </c>
      <c r="K1" s="1" t="s">
        <v>14</v>
      </c>
      <c r="L1" s="1" t="s">
        <v>31</v>
      </c>
      <c r="M1" s="1" t="s">
        <v>72</v>
      </c>
      <c r="N1" s="1" t="s">
        <v>82</v>
      </c>
      <c r="O1" s="1" t="s">
        <v>83</v>
      </c>
      <c r="P1" s="1" t="s">
        <v>73</v>
      </c>
      <c r="Q1" s="1" t="s">
        <v>84</v>
      </c>
      <c r="R1" s="1" t="s">
        <v>85</v>
      </c>
      <c r="S1" s="1" t="s">
        <v>74</v>
      </c>
      <c r="T1" s="1" t="s">
        <v>86</v>
      </c>
      <c r="U1" s="1" t="s">
        <v>81</v>
      </c>
      <c r="V1" s="1" t="s">
        <v>75</v>
      </c>
      <c r="W1" s="1" t="s">
        <v>87</v>
      </c>
      <c r="X1" s="1" t="s">
        <v>90</v>
      </c>
      <c r="Y1" s="1" t="s">
        <v>69</v>
      </c>
      <c r="Z1" s="1"/>
      <c r="AA1" s="3"/>
      <c r="AB1" s="3"/>
      <c r="AC1" s="3"/>
      <c r="AD1" s="3"/>
      <c r="AE1" s="3"/>
      <c r="AF1" s="1"/>
      <c r="AG1" s="1"/>
      <c r="AH1" s="1"/>
      <c r="AI1" s="1"/>
      <c r="AJ1" s="1"/>
      <c r="AL1" s="31"/>
      <c r="AM1" s="14"/>
      <c r="AN1" s="14"/>
      <c r="AO1" s="14"/>
      <c r="AP1" s="14"/>
      <c r="AQ1" s="3"/>
      <c r="AR1" s="3"/>
      <c r="AS1" s="3"/>
      <c r="AT1" s="3"/>
    </row>
    <row r="2" spans="1:46" x14ac:dyDescent="0.25">
      <c r="A2" s="2">
        <v>44378</v>
      </c>
      <c r="B2" s="3">
        <v>63.57</v>
      </c>
      <c r="C2" s="3">
        <f>D2+E2</f>
        <v>139.83629815300003</v>
      </c>
      <c r="D2" s="3">
        <v>79.48</v>
      </c>
      <c r="E2" s="24">
        <f>'A-1'!M62+B2-D2</f>
        <v>60.356298153000026</v>
      </c>
      <c r="F2" s="19">
        <f>C2/D2</f>
        <v>1.7593897603548065</v>
      </c>
      <c r="G2" s="10" t="str">
        <f>IF(F2&lt;=1,"Yes","No")</f>
        <v>No</v>
      </c>
      <c r="H2" s="19">
        <f>(E2-B2)/B2</f>
        <v>-5.055374936290663E-2</v>
      </c>
      <c r="I2" s="3">
        <v>20</v>
      </c>
      <c r="J2" s="25">
        <v>2</v>
      </c>
      <c r="K2" s="14">
        <f>'A-1'!L62</f>
        <v>87.4576965000565</v>
      </c>
      <c r="L2" s="3">
        <f>'JSI-1'!M20</f>
        <v>79.655361500000012</v>
      </c>
      <c r="M2" s="19">
        <f>L2/C2</f>
        <v>0.56963293903022338</v>
      </c>
      <c r="N2" s="5">
        <f>E2</f>
        <v>60.356298153000026</v>
      </c>
      <c r="O2" s="18">
        <f>IF(AND(F2&gt;1,'A-1'!W62&gt;0),IF('A-1'!W62/C2&lt;0.5,'A-1'!W62,0.5*C2),0)</f>
        <v>5.0293510563368162</v>
      </c>
      <c r="P2" s="3">
        <f>IF(E2&lt;'A-1'!AC62,'A-1'!AC62-E2,0)</f>
        <v>265.43854189500013</v>
      </c>
      <c r="Q2" s="3">
        <f>E2-'A-1'!AJ62</f>
        <v>-16.938974596999884</v>
      </c>
      <c r="R2" s="18">
        <f>IF(AND(F2&gt;1,'A-1'!AH62&gt;0),IF('A-1'!AH62/C2&lt;0.5,'A-1'!AH62,0.5*C2),0)</f>
        <v>0</v>
      </c>
      <c r="S2" s="3">
        <f>IF(E2&lt;'A-1'!AJ62,'A-1'!AJ62-E2,0)</f>
        <v>16.938974596999884</v>
      </c>
      <c r="T2" s="10">
        <f>E2-'P-1'!H8-'P-1'!I8+'P-1'!J8</f>
        <v>4.7462981530000121</v>
      </c>
      <c r="U2" s="14">
        <f>ABS(P2)+ABS(S2)+ABS(T2)</f>
        <v>287.12381464500004</v>
      </c>
      <c r="V2" s="3">
        <f ca="1">E2/(TODAY()-A2)</f>
        <v>1.2317611867959188</v>
      </c>
      <c r="W2" s="1">
        <f>ROUND(C2/'A-1'!H62*'A-1'!E62,0)</f>
        <v>1</v>
      </c>
      <c r="X2" s="1" t="s">
        <v>56</v>
      </c>
      <c r="Y2" s="3">
        <f>IF(X2="Yes",J2/2,J2)</f>
        <v>1</v>
      </c>
    </row>
    <row r="3" spans="1:46" s="47" customFormat="1" x14ac:dyDescent="0.25">
      <c r="A3" s="40">
        <v>44470</v>
      </c>
      <c r="B3" s="41"/>
      <c r="C3" s="41">
        <f t="shared" ref="C3:C4" si="0">D3+E3</f>
        <v>0</v>
      </c>
      <c r="D3" s="41"/>
      <c r="E3" s="41">
        <f>'A-2'!M10+B3-D3</f>
        <v>0</v>
      </c>
      <c r="F3" s="42" t="e">
        <f t="shared" ref="F3:F4" si="1">C3/D3</f>
        <v>#DIV/0!</v>
      </c>
      <c r="G3" s="43" t="e">
        <f t="shared" ref="G3:G4" si="2">IF(F3&lt;=1,"Yes","No")</f>
        <v>#DIV/0!</v>
      </c>
      <c r="H3" s="42" t="e">
        <f t="shared" ref="H3:H4" si="3">(E3-B3)/B3</f>
        <v>#DIV/0!</v>
      </c>
      <c r="I3" s="41">
        <v>20</v>
      </c>
      <c r="J3" s="44">
        <v>2</v>
      </c>
      <c r="K3" s="45">
        <f>'A-2'!L10</f>
        <v>2.0000000000000002E-11</v>
      </c>
      <c r="L3" s="41">
        <f>'JSI-2'!M4</f>
        <v>0</v>
      </c>
      <c r="M3" s="42" t="e">
        <f t="shared" ref="M3:M4" si="4">L3/C3</f>
        <v>#DIV/0!</v>
      </c>
      <c r="N3" s="41">
        <f>E3-'A-2'!Y10</f>
        <v>0</v>
      </c>
      <c r="O3" s="41" t="e">
        <f>IF(AND(F3&gt;1,'A-2'!W10&gt;0),IF('A-2'!W10/C3&lt;0.5,'A-2'!W10,0.5*C3),0)</f>
        <v>#DIV/0!</v>
      </c>
      <c r="P3" s="41">
        <f>IF(E3&lt;'A-2'!AC10,'A-2'!AC10-E3,0)</f>
        <v>0</v>
      </c>
      <c r="Q3" s="41">
        <f>E3-'A-2'!AJ10</f>
        <v>0</v>
      </c>
      <c r="R3" s="41" t="e">
        <f>IF(AND(F3&gt;1,'A-2'!AH10&gt;0),IF('A-2'!AH10/C3&lt;0.5,'A-2'!AH10,0.5*C3),0)</f>
        <v>#DIV/0!</v>
      </c>
      <c r="S3" s="41">
        <f>IF(E3&lt;'A-2'!AJ10,'A-2'!AJ10-E3,0)</f>
        <v>0</v>
      </c>
      <c r="T3" s="43">
        <f>E3-'P-2'!H4-'P-2'!I4+'P-2'!J4</f>
        <v>0</v>
      </c>
      <c r="U3" s="45">
        <f t="shared" ref="U3:U5" si="5">ABS(P3)+ABS(S3)+ABS(T3)</f>
        <v>0</v>
      </c>
      <c r="V3" s="41">
        <f t="shared" ref="V3:V4" ca="1" si="6">E3/(TODAY()-A3)</f>
        <v>0</v>
      </c>
      <c r="W3" s="46">
        <f>ROUND(C3/'A-2'!H10*'A-2'!E10,0)</f>
        <v>0</v>
      </c>
      <c r="X3" s="1" t="s">
        <v>56</v>
      </c>
      <c r="Y3" s="3">
        <f t="shared" ref="Y3:Y4" si="7">IF(X3="Yes",J3/2,J3)</f>
        <v>1</v>
      </c>
    </row>
    <row r="4" spans="1:46" s="47" customFormat="1" x14ac:dyDescent="0.25">
      <c r="A4" s="40">
        <v>44562</v>
      </c>
      <c r="B4" s="41"/>
      <c r="C4" s="41">
        <f t="shared" si="0"/>
        <v>0</v>
      </c>
      <c r="D4" s="41"/>
      <c r="E4" s="41">
        <f>'A-3'!M10+B4-D4</f>
        <v>0</v>
      </c>
      <c r="F4" s="42" t="e">
        <f t="shared" si="1"/>
        <v>#DIV/0!</v>
      </c>
      <c r="G4" s="43" t="e">
        <f t="shared" si="2"/>
        <v>#DIV/0!</v>
      </c>
      <c r="H4" s="42" t="e">
        <f t="shared" si="3"/>
        <v>#DIV/0!</v>
      </c>
      <c r="I4" s="41">
        <v>20</v>
      </c>
      <c r="J4" s="44">
        <v>2</v>
      </c>
      <c r="K4" s="45">
        <f>'A-3'!L10</f>
        <v>2.0000000000000002E-11</v>
      </c>
      <c r="L4" s="41">
        <f>'JSI-3'!M4</f>
        <v>0</v>
      </c>
      <c r="M4" s="42" t="e">
        <f t="shared" si="4"/>
        <v>#DIV/0!</v>
      </c>
      <c r="N4" s="41">
        <f>E4-'A-3'!Y10</f>
        <v>0</v>
      </c>
      <c r="O4" s="41" t="e">
        <f>IF(AND(F4&gt;1,'A-3'!W10&gt;0),IF('A-3'!W10/C4&lt;0.5,'A-3'!W10,0.5*C4),0)</f>
        <v>#DIV/0!</v>
      </c>
      <c r="P4" s="41">
        <f>IF(E4&lt;'A-3'!AC10,'A-3'!AC10-E4,0)</f>
        <v>0</v>
      </c>
      <c r="Q4" s="41">
        <f>E4-'A-3'!AJ10</f>
        <v>0</v>
      </c>
      <c r="R4" s="41" t="e">
        <f>IF(AND(F4&gt;1,'A-3'!AH10&gt;0),IF('A-3'!AH10/C4&lt;0.5,'A-3'!AH10,0.5*C4),0)</f>
        <v>#DIV/0!</v>
      </c>
      <c r="S4" s="41">
        <f>IF(E4&lt;'A-3'!AJ10,'A-3'!AJ10-E4,0)</f>
        <v>0</v>
      </c>
      <c r="T4" s="43">
        <f>E4-'P-3'!H4-'P-3'!I4+'P-3'!J4</f>
        <v>0</v>
      </c>
      <c r="U4" s="45">
        <f t="shared" si="5"/>
        <v>0</v>
      </c>
      <c r="V4" s="41">
        <f t="shared" ca="1" si="6"/>
        <v>0</v>
      </c>
      <c r="W4" s="46">
        <f>ROUND(C4/'A-3'!H10*'A-3'!E10,0)</f>
        <v>0</v>
      </c>
      <c r="X4" s="1" t="s">
        <v>56</v>
      </c>
      <c r="Y4" s="3">
        <f t="shared" si="7"/>
        <v>1</v>
      </c>
    </row>
    <row r="5" spans="1:46" x14ac:dyDescent="0.25">
      <c r="A5" s="1" t="s">
        <v>12</v>
      </c>
      <c r="B5" s="3">
        <f>SUM(B2:B4)</f>
        <v>63.57</v>
      </c>
      <c r="C5" s="3">
        <f>SUM(C2:C4)</f>
        <v>139.83629815300003</v>
      </c>
      <c r="D5" s="3">
        <f>SUM(D2:D4)</f>
        <v>79.48</v>
      </c>
      <c r="E5" s="3">
        <f>SUM(E2:E4)</f>
        <v>60.356298153000026</v>
      </c>
      <c r="H5" s="19">
        <f>(E5-B5)/B5</f>
        <v>-5.055374936290663E-2</v>
      </c>
      <c r="K5" s="14"/>
      <c r="L5" s="3">
        <f>SUM(L2:L4)</f>
        <v>79.655361500000012</v>
      </c>
      <c r="M5" s="19">
        <f>L5/C5</f>
        <v>0.56963293903022338</v>
      </c>
      <c r="P5" s="3">
        <f>SUM(P2:P4)</f>
        <v>265.43854189500013</v>
      </c>
      <c r="S5" s="3">
        <f>SUM(S2:S4)</f>
        <v>16.938974596999884</v>
      </c>
      <c r="T5" s="3">
        <f>SUM(T2:T4)</f>
        <v>4.7462981530000121</v>
      </c>
      <c r="U5" s="27">
        <f t="shared" si="5"/>
        <v>287.12381464500004</v>
      </c>
      <c r="V5" s="3">
        <f ca="1">SUM(V2:V4)</f>
        <v>1.2317611867959188</v>
      </c>
      <c r="X5" s="1"/>
      <c r="Y5" s="3"/>
    </row>
  </sheetData>
  <dataValidations count="1">
    <dataValidation type="list" allowBlank="1" showInputMessage="1" showErrorMessage="1" sqref="X2:X4" xr:uid="{AAB624FC-20E8-4475-BF91-67BC029FD543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17A2-7F39-4A3D-BE65-2B993B4D73EE}">
  <dimension ref="A1:J1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10" s="1" customFormat="1" ht="15.75" x14ac:dyDescent="0.25">
      <c r="A1" s="1" t="s">
        <v>1</v>
      </c>
      <c r="B1" s="1" t="s">
        <v>4</v>
      </c>
      <c r="C1" s="1" t="s">
        <v>76</v>
      </c>
      <c r="D1" s="1" t="s">
        <v>53</v>
      </c>
      <c r="E1" s="1" t="s">
        <v>77</v>
      </c>
      <c r="F1" s="1" t="s">
        <v>78</v>
      </c>
      <c r="G1" s="1" t="s">
        <v>3</v>
      </c>
      <c r="H1" s="1" t="s">
        <v>14</v>
      </c>
      <c r="I1" s="1" t="s">
        <v>79</v>
      </c>
      <c r="J1" s="1" t="s">
        <v>80</v>
      </c>
    </row>
    <row r="2" spans="1:10" s="1" customFormat="1" ht="15.75" x14ac:dyDescent="0.25">
      <c r="B2" s="3">
        <v>0</v>
      </c>
      <c r="C2" s="14">
        <v>0</v>
      </c>
      <c r="D2" s="14" t="s">
        <v>30</v>
      </c>
      <c r="E2" s="14"/>
      <c r="F2" s="14"/>
      <c r="G2" s="3">
        <v>20</v>
      </c>
      <c r="H2" s="3">
        <f>B2*C2/G2</f>
        <v>0</v>
      </c>
      <c r="I2" s="1">
        <f t="shared" ref="I2:I3" si="0">B2*ABS(C2-E2)</f>
        <v>0</v>
      </c>
      <c r="J2" s="1">
        <f t="shared" ref="J2:J3" si="1">IF(AND(F2&lt;&gt;"",F2&gt;0),B2*ABS(C2-F2),0)</f>
        <v>0</v>
      </c>
    </row>
    <row r="3" spans="1:10" s="1" customFormat="1" ht="15.75" x14ac:dyDescent="0.25">
      <c r="B3" s="3">
        <v>0</v>
      </c>
      <c r="C3" s="14">
        <v>0</v>
      </c>
      <c r="D3" s="14" t="s">
        <v>30</v>
      </c>
      <c r="E3" s="14"/>
      <c r="F3" s="14"/>
      <c r="G3" s="3">
        <v>20</v>
      </c>
      <c r="H3" s="3">
        <f>B3*C3/G3</f>
        <v>0</v>
      </c>
      <c r="I3" s="1">
        <f t="shared" si="0"/>
        <v>0</v>
      </c>
      <c r="J3" s="1">
        <f t="shared" si="1"/>
        <v>0</v>
      </c>
    </row>
    <row r="4" spans="1:10" ht="15.75" x14ac:dyDescent="0.25">
      <c r="A4" s="1" t="s">
        <v>12</v>
      </c>
      <c r="B4" s="1"/>
      <c r="C4" s="3"/>
      <c r="D4" s="3"/>
      <c r="E4" s="3"/>
      <c r="F4" s="3"/>
      <c r="G4" s="1"/>
      <c r="H4" s="5">
        <f>SUM(H2:H3)</f>
        <v>0</v>
      </c>
      <c r="I4" s="1">
        <f>SUM(I2:I3)</f>
        <v>0</v>
      </c>
      <c r="J4" s="1">
        <f>SUM(J2:J3)</f>
        <v>0</v>
      </c>
    </row>
    <row r="5" spans="1:10" ht="15.75" x14ac:dyDescent="0.25">
      <c r="A5" s="1"/>
      <c r="B5" s="1"/>
      <c r="C5" s="1"/>
      <c r="D5" s="1"/>
      <c r="E5" s="1"/>
      <c r="F5" s="1"/>
      <c r="G5" s="1"/>
      <c r="H5" s="1"/>
    </row>
    <row r="6" spans="1:10" ht="15.75" x14ac:dyDescent="0.25">
      <c r="A6" s="1"/>
      <c r="B6" s="1"/>
      <c r="C6" s="1"/>
      <c r="D6" s="1"/>
      <c r="E6" s="1"/>
      <c r="F6" s="1"/>
      <c r="G6" s="1"/>
      <c r="H6" s="1"/>
    </row>
    <row r="7" spans="1:10" ht="15.75" x14ac:dyDescent="0.25">
      <c r="A7" s="1"/>
      <c r="B7" s="1"/>
      <c r="C7" s="1"/>
      <c r="D7" s="1"/>
      <c r="E7" s="1"/>
      <c r="F7" s="1"/>
      <c r="G7" s="1"/>
      <c r="H7" s="1"/>
    </row>
    <row r="8" spans="1:10" ht="15.75" x14ac:dyDescent="0.25">
      <c r="A8" s="1"/>
      <c r="B8" s="1"/>
      <c r="C8" s="1"/>
      <c r="D8" s="1"/>
      <c r="E8" s="1"/>
      <c r="F8" s="1"/>
      <c r="G8" s="1"/>
      <c r="H8" s="1"/>
    </row>
    <row r="9" spans="1:10" ht="15.75" x14ac:dyDescent="0.25">
      <c r="A9" s="1"/>
      <c r="B9" s="1"/>
      <c r="C9" s="1"/>
      <c r="D9" s="1"/>
      <c r="E9" s="1"/>
      <c r="F9" s="1"/>
      <c r="G9" s="1"/>
      <c r="H9" s="1"/>
    </row>
    <row r="10" spans="1:10" ht="15.75" x14ac:dyDescent="0.25">
      <c r="A10" s="1"/>
      <c r="B10" s="1"/>
      <c r="C10" s="1"/>
      <c r="D10" s="1"/>
      <c r="E10" s="1"/>
      <c r="F10" s="1"/>
      <c r="G10" s="1"/>
      <c r="H10" s="1"/>
    </row>
  </sheetData>
  <dataValidations count="1">
    <dataValidation type="list" allowBlank="1" showInputMessage="1" showErrorMessage="1" sqref="D2:D3" xr:uid="{131256B9-B54B-4AB9-A88F-E8092442FBAA}">
      <formula1>"No,Yes"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B6DA-05B8-4EE8-B14F-2CE68AEE4EC1}">
  <dimension ref="A1:AM67"/>
  <sheetViews>
    <sheetView topLeftCell="J1" workbookViewId="0">
      <pane ySplit="1" topLeftCell="A17" activePane="bottomLeft" state="frozen"/>
      <selection pane="bottomLeft" activeCell="Y31" sqref="Y31"/>
    </sheetView>
  </sheetViews>
  <sheetFormatPr defaultRowHeight="15.75" x14ac:dyDescent="0.25"/>
  <cols>
    <col min="1" max="1" width="11.85546875" bestFit="1" customWidth="1"/>
    <col min="5" max="6" width="9.7109375" bestFit="1" customWidth="1"/>
    <col min="7" max="7" width="10.28515625" style="23" bestFit="1" customWidth="1"/>
    <col min="11" max="11" width="9.7109375" bestFit="1" customWidth="1"/>
    <col min="13" max="13" width="9.140625" style="6"/>
    <col min="15" max="15" width="10" bestFit="1" customWidth="1"/>
    <col min="16" max="19" width="10" customWidth="1"/>
    <col min="20" max="24" width="10" style="7" customWidth="1"/>
    <col min="29" max="29" width="9.140625" style="1"/>
    <col min="31" max="31" width="9.140625" style="31"/>
    <col min="32" max="35" width="9.140625" style="17"/>
    <col min="36" max="39" width="9.140625" style="1"/>
  </cols>
  <sheetData>
    <row r="1" spans="1:39" s="1" customFormat="1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4</v>
      </c>
      <c r="F1" s="1" t="s">
        <v>13</v>
      </c>
      <c r="G1" s="1" t="s">
        <v>5</v>
      </c>
      <c r="H1" s="1" t="s">
        <v>6</v>
      </c>
      <c r="I1" s="1" t="s">
        <v>9</v>
      </c>
      <c r="J1" s="1" t="s">
        <v>16</v>
      </c>
      <c r="K1" s="1" t="s">
        <v>3</v>
      </c>
      <c r="L1" s="1" t="s">
        <v>14</v>
      </c>
      <c r="M1" s="4" t="s">
        <v>7</v>
      </c>
      <c r="N1" s="1" t="s">
        <v>8</v>
      </c>
      <c r="O1" s="1" t="s">
        <v>11</v>
      </c>
      <c r="P1" s="1" t="s">
        <v>36</v>
      </c>
      <c r="Q1" s="1" t="s">
        <v>35</v>
      </c>
      <c r="R1" s="1" t="s">
        <v>65</v>
      </c>
      <c r="S1" s="1" t="s">
        <v>63</v>
      </c>
      <c r="T1" s="3" t="s">
        <v>64</v>
      </c>
      <c r="U1" s="3" t="s">
        <v>46</v>
      </c>
      <c r="V1" s="3" t="s">
        <v>66</v>
      </c>
      <c r="W1" s="3" t="s">
        <v>33</v>
      </c>
      <c r="X1" s="3" t="s">
        <v>34</v>
      </c>
      <c r="Y1" s="1" t="s">
        <v>44</v>
      </c>
      <c r="Z1" s="1" t="s">
        <v>37</v>
      </c>
      <c r="AA1" s="3" t="s">
        <v>38</v>
      </c>
      <c r="AB1" s="1" t="s">
        <v>52</v>
      </c>
      <c r="AC1" s="1" t="s">
        <v>43</v>
      </c>
      <c r="AE1" s="29"/>
      <c r="AF1" s="17" t="s">
        <v>47</v>
      </c>
      <c r="AG1" s="17" t="s">
        <v>67</v>
      </c>
      <c r="AH1" s="17" t="s">
        <v>48</v>
      </c>
      <c r="AI1" s="17" t="s">
        <v>49</v>
      </c>
      <c r="AJ1" s="1" t="s">
        <v>45</v>
      </c>
      <c r="AK1" s="1" t="s">
        <v>91</v>
      </c>
      <c r="AL1" s="1" t="s">
        <v>50</v>
      </c>
      <c r="AM1" s="1" t="s">
        <v>51</v>
      </c>
    </row>
    <row r="2" spans="1:39" s="1" customFormat="1" x14ac:dyDescent="0.25">
      <c r="A2" s="2">
        <v>44326</v>
      </c>
      <c r="B2" s="1" t="s">
        <v>22</v>
      </c>
      <c r="C2" s="1" t="s">
        <v>26</v>
      </c>
      <c r="D2" s="19">
        <v>-6.3E-3</v>
      </c>
      <c r="E2" s="3">
        <v>1</v>
      </c>
      <c r="F2" s="3">
        <v>40.03</v>
      </c>
      <c r="G2" s="14">
        <f>G10</f>
        <v>50.05</v>
      </c>
      <c r="H2" s="3">
        <f t="shared" ref="H2:H7" si="0">E2*F2</f>
        <v>40.03</v>
      </c>
      <c r="I2" s="3">
        <f>E2*G2</f>
        <v>50.05</v>
      </c>
      <c r="J2" s="3"/>
      <c r="K2" s="3">
        <f>K10</f>
        <v>20</v>
      </c>
      <c r="L2" s="3">
        <f t="shared" ref="L2:L7" si="1">H2/K2</f>
        <v>2.0015000000000001</v>
      </c>
      <c r="M2" s="3">
        <f>I2-H2+J2</f>
        <v>10.019999999999996</v>
      </c>
      <c r="N2" s="19">
        <f t="shared" ref="N2:N4" si="2">(I2-H2)/H2</f>
        <v>0.25031226580064941</v>
      </c>
      <c r="O2" s="19">
        <f>(M2-L2)/L2</f>
        <v>4.0062453160129881</v>
      </c>
      <c r="P2" s="19"/>
      <c r="Q2" s="19"/>
      <c r="R2" s="19"/>
      <c r="S2" s="3"/>
      <c r="T2" s="3"/>
      <c r="U2" s="3" t="str">
        <f>IF(AND(A2&gt;A62,F2&gt;=U10),U10,"")</f>
        <v/>
      </c>
      <c r="V2" s="3"/>
      <c r="W2" s="3"/>
      <c r="X2" s="3"/>
      <c r="Y2" s="3"/>
      <c r="Z2" s="3"/>
      <c r="AA2" s="3"/>
      <c r="AB2" s="19"/>
      <c r="AE2" s="29"/>
      <c r="AF2" s="14"/>
      <c r="AG2" s="14"/>
      <c r="AH2" s="14"/>
      <c r="AI2" s="14"/>
      <c r="AJ2" s="3"/>
      <c r="AK2" s="3"/>
      <c r="AL2" s="3"/>
      <c r="AM2" s="3"/>
    </row>
    <row r="3" spans="1:39" s="1" customFormat="1" x14ac:dyDescent="0.25">
      <c r="A3" s="2">
        <v>44343</v>
      </c>
      <c r="B3" s="1" t="s">
        <v>22</v>
      </c>
      <c r="C3" s="1" t="s">
        <v>26</v>
      </c>
      <c r="D3" s="19">
        <v>-6.3E-3</v>
      </c>
      <c r="E3" s="3">
        <v>1</v>
      </c>
      <c r="F3" s="3">
        <v>39.1</v>
      </c>
      <c r="G3" s="3">
        <f>G10</f>
        <v>50.05</v>
      </c>
      <c r="H3" s="3">
        <f t="shared" si="0"/>
        <v>39.1</v>
      </c>
      <c r="I3" s="3">
        <f t="shared" ref="I3:I6" si="3">E3*G3</f>
        <v>50.05</v>
      </c>
      <c r="J3" s="3"/>
      <c r="K3" s="3">
        <f>K10</f>
        <v>20</v>
      </c>
      <c r="L3" s="3">
        <f t="shared" si="1"/>
        <v>1.9550000000000001</v>
      </c>
      <c r="M3" s="3">
        <f t="shared" ref="M3:M21" si="4">I3-H3+J3</f>
        <v>10.949999999999996</v>
      </c>
      <c r="N3" s="19">
        <f t="shared" si="2"/>
        <v>0.28005115089514054</v>
      </c>
      <c r="O3" s="19">
        <f t="shared" ref="O3:O10" si="5">(M3-L3)/L3</f>
        <v>4.6010230179028113</v>
      </c>
      <c r="P3" s="19"/>
      <c r="Q3" s="19"/>
      <c r="R3" s="19"/>
      <c r="S3" s="3"/>
      <c r="T3" s="3"/>
      <c r="U3" s="3" t="str">
        <f>IF(AND(A3&gt;A62,F3&gt;=U10),U10,"")</f>
        <v/>
      </c>
      <c r="V3" s="3"/>
      <c r="W3" s="3"/>
      <c r="X3" s="3"/>
      <c r="Y3" s="3"/>
      <c r="Z3" s="3"/>
      <c r="AA3" s="3"/>
      <c r="AB3" s="19"/>
      <c r="AE3" s="29"/>
      <c r="AF3" s="14"/>
      <c r="AG3" s="14"/>
      <c r="AH3" s="14"/>
      <c r="AI3" s="14"/>
      <c r="AJ3" s="3"/>
      <c r="AK3" s="3"/>
      <c r="AL3" s="3"/>
      <c r="AM3" s="3"/>
    </row>
    <row r="4" spans="1:39" s="8" customFormat="1" x14ac:dyDescent="0.25">
      <c r="A4" s="2">
        <v>44403</v>
      </c>
      <c r="B4" s="1" t="s">
        <v>22</v>
      </c>
      <c r="C4" s="1" t="s">
        <v>26</v>
      </c>
      <c r="D4" s="19">
        <v>-6.3E-3</v>
      </c>
      <c r="E4" s="3">
        <v>1</v>
      </c>
      <c r="F4" s="3">
        <v>41.54</v>
      </c>
      <c r="G4" s="3">
        <f>G10</f>
        <v>50.05</v>
      </c>
      <c r="H4" s="3">
        <f t="shared" si="0"/>
        <v>41.54</v>
      </c>
      <c r="I4" s="3">
        <f t="shared" si="3"/>
        <v>50.05</v>
      </c>
      <c r="J4" s="3"/>
      <c r="K4" s="3">
        <f>K10</f>
        <v>20</v>
      </c>
      <c r="L4" s="3">
        <f t="shared" si="1"/>
        <v>2.077</v>
      </c>
      <c r="M4" s="3">
        <f t="shared" si="4"/>
        <v>8.509999999999998</v>
      </c>
      <c r="N4" s="19">
        <f t="shared" si="2"/>
        <v>0.20486278285989404</v>
      </c>
      <c r="O4" s="19">
        <f t="shared" si="5"/>
        <v>3.0972556571978807</v>
      </c>
      <c r="P4" s="19"/>
      <c r="Q4" s="19"/>
      <c r="R4" s="19"/>
      <c r="S4" s="3"/>
      <c r="T4" s="3"/>
      <c r="U4" s="3">
        <f>IF(AND(A4&gt;A62,F4&gt;=U10),U10,"")</f>
        <v>39.893498777265151</v>
      </c>
      <c r="V4" s="3"/>
      <c r="W4" s="3"/>
      <c r="X4" s="3"/>
      <c r="Y4" s="3"/>
      <c r="Z4" s="3"/>
      <c r="AA4" s="3"/>
      <c r="AB4" s="19"/>
      <c r="AC4" s="1"/>
      <c r="AE4" s="30"/>
      <c r="AF4" s="14"/>
      <c r="AG4" s="14"/>
      <c r="AH4" s="14"/>
      <c r="AI4" s="14"/>
      <c r="AJ4" s="3"/>
      <c r="AK4" s="3"/>
      <c r="AL4" s="3"/>
      <c r="AM4" s="3"/>
    </row>
    <row r="5" spans="1:39" s="8" customFormat="1" x14ac:dyDescent="0.25">
      <c r="A5" s="2">
        <v>44403</v>
      </c>
      <c r="B5" s="1" t="s">
        <v>22</v>
      </c>
      <c r="C5" s="1" t="s">
        <v>26</v>
      </c>
      <c r="D5" s="19">
        <v>-6.3E-3</v>
      </c>
      <c r="E5" s="3">
        <v>2</v>
      </c>
      <c r="F5" s="3">
        <v>41.51</v>
      </c>
      <c r="G5" s="3">
        <f>G10</f>
        <v>50.05</v>
      </c>
      <c r="H5" s="3">
        <f t="shared" si="0"/>
        <v>83.02</v>
      </c>
      <c r="I5" s="3">
        <f t="shared" si="3"/>
        <v>100.1</v>
      </c>
      <c r="J5" s="3"/>
      <c r="K5" s="3">
        <f>K10</f>
        <v>20</v>
      </c>
      <c r="L5" s="3">
        <f t="shared" si="1"/>
        <v>4.1509999999999998</v>
      </c>
      <c r="M5" s="3">
        <f t="shared" si="4"/>
        <v>17.079999999999998</v>
      </c>
      <c r="N5" s="19">
        <f>M5/H5</f>
        <v>0.20573355817875211</v>
      </c>
      <c r="O5" s="19">
        <f t="shared" si="5"/>
        <v>3.1146711635750419</v>
      </c>
      <c r="P5" s="3"/>
      <c r="Q5" s="3"/>
      <c r="R5" s="3"/>
      <c r="S5" s="3"/>
      <c r="T5" s="3"/>
      <c r="U5" s="3">
        <f>IF(AND(A5&gt;A62,F5&gt;=U10),U10,"")</f>
        <v>39.893498777265151</v>
      </c>
      <c r="V5" s="3"/>
      <c r="W5" s="3"/>
      <c r="X5" s="3"/>
      <c r="Y5" s="3"/>
      <c r="Z5" s="3"/>
      <c r="AA5" s="3"/>
      <c r="AB5" s="19"/>
      <c r="AC5" s="1"/>
      <c r="AE5" s="30"/>
      <c r="AF5" s="14"/>
      <c r="AG5" s="14"/>
      <c r="AH5" s="14"/>
      <c r="AI5" s="14"/>
      <c r="AJ5" s="3"/>
      <c r="AK5" s="3"/>
      <c r="AL5" s="3"/>
      <c r="AM5" s="3"/>
    </row>
    <row r="6" spans="1:39" x14ac:dyDescent="0.25">
      <c r="A6" s="2">
        <v>44405</v>
      </c>
      <c r="B6" s="1" t="s">
        <v>22</v>
      </c>
      <c r="C6" s="1" t="s">
        <v>26</v>
      </c>
      <c r="D6" s="19">
        <v>-6.3E-3</v>
      </c>
      <c r="E6" s="3">
        <v>1</v>
      </c>
      <c r="F6" s="3">
        <v>43.18</v>
      </c>
      <c r="G6" s="3">
        <f>G10</f>
        <v>50.05</v>
      </c>
      <c r="H6" s="3">
        <f t="shared" si="0"/>
        <v>43.18</v>
      </c>
      <c r="I6" s="3">
        <f t="shared" si="3"/>
        <v>50.05</v>
      </c>
      <c r="J6" s="3"/>
      <c r="K6" s="3">
        <f>K10</f>
        <v>20</v>
      </c>
      <c r="L6" s="3">
        <f t="shared" si="1"/>
        <v>2.1589999999999998</v>
      </c>
      <c r="M6" s="3">
        <f t="shared" si="4"/>
        <v>6.8699999999999974</v>
      </c>
      <c r="N6" s="19">
        <f t="shared" ref="N6:N62" si="6">M6/H6</f>
        <v>0.15910143584993047</v>
      </c>
      <c r="O6" s="19">
        <f t="shared" si="5"/>
        <v>2.1820287169986097</v>
      </c>
      <c r="P6" s="3"/>
      <c r="Q6" s="3"/>
      <c r="R6" s="3"/>
      <c r="S6" s="3"/>
      <c r="T6" s="3"/>
      <c r="U6" s="3">
        <f>IF(AND(A6&gt;A62,F6&gt;=U10),U10,"")</f>
        <v>39.893498777265151</v>
      </c>
      <c r="V6" s="3"/>
      <c r="W6" s="3"/>
      <c r="X6" s="3"/>
      <c r="Y6" s="3"/>
      <c r="Z6" s="3"/>
      <c r="AA6" s="3"/>
      <c r="AB6" s="19"/>
      <c r="AF6" s="14"/>
      <c r="AG6" s="14"/>
      <c r="AH6" s="14"/>
      <c r="AI6" s="14"/>
      <c r="AJ6" s="3"/>
      <c r="AK6" s="3"/>
      <c r="AL6" s="3"/>
      <c r="AM6" s="3"/>
    </row>
    <row r="7" spans="1:39" x14ac:dyDescent="0.25">
      <c r="A7" s="2">
        <v>44412</v>
      </c>
      <c r="B7" s="1" t="s">
        <v>22</v>
      </c>
      <c r="C7" s="1" t="s">
        <v>26</v>
      </c>
      <c r="D7" s="19">
        <v>-6.3E-3</v>
      </c>
      <c r="E7" s="3">
        <v>3</v>
      </c>
      <c r="F7" s="3">
        <v>45.14</v>
      </c>
      <c r="G7" s="3">
        <f>G10</f>
        <v>50.05</v>
      </c>
      <c r="H7" s="3">
        <f t="shared" si="0"/>
        <v>135.42000000000002</v>
      </c>
      <c r="I7" s="3">
        <f t="shared" ref="I7" si="7">E7*G7</f>
        <v>150.14999999999998</v>
      </c>
      <c r="J7" s="3"/>
      <c r="K7" s="3">
        <f>K10</f>
        <v>20</v>
      </c>
      <c r="L7" s="3">
        <f t="shared" si="1"/>
        <v>6.7710000000000008</v>
      </c>
      <c r="M7" s="3">
        <f t="shared" ref="M7" si="8">I7-H7+J7</f>
        <v>14.729999999999961</v>
      </c>
      <c r="N7" s="19">
        <f t="shared" ref="N7" si="9">M7/H7</f>
        <v>0.10877270713336257</v>
      </c>
      <c r="O7" s="19">
        <f t="shared" ref="O7" si="10">(M7-L7)/L7</f>
        <v>1.1754541426672516</v>
      </c>
      <c r="P7" s="3"/>
      <c r="Q7" s="3"/>
      <c r="R7" s="3"/>
      <c r="S7" s="3"/>
      <c r="T7" s="3"/>
      <c r="U7" s="3">
        <f>IF(AND(A7&gt;A62,F7&gt;=U10),U10,"")</f>
        <v>39.893498777265151</v>
      </c>
      <c r="V7" s="3"/>
      <c r="W7" s="3"/>
      <c r="X7" s="3"/>
      <c r="Y7" s="3"/>
      <c r="Z7" s="3"/>
      <c r="AA7" s="3"/>
      <c r="AB7" s="19"/>
      <c r="AF7" s="14"/>
      <c r="AG7" s="14"/>
      <c r="AH7" s="14"/>
      <c r="AI7" s="14"/>
      <c r="AJ7" s="3"/>
      <c r="AK7" s="3"/>
      <c r="AL7" s="3"/>
      <c r="AM7" s="3"/>
    </row>
    <row r="8" spans="1:39" x14ac:dyDescent="0.25">
      <c r="A8" s="2">
        <v>44420</v>
      </c>
      <c r="B8" s="1" t="s">
        <v>22</v>
      </c>
      <c r="C8" s="1" t="s">
        <v>26</v>
      </c>
      <c r="D8" s="19">
        <v>2.01E-2</v>
      </c>
      <c r="E8" s="3">
        <v>2</v>
      </c>
      <c r="F8" s="3">
        <v>46.87</v>
      </c>
      <c r="G8" s="3">
        <f>G10</f>
        <v>50.05</v>
      </c>
      <c r="H8" s="3">
        <f t="shared" ref="H8" si="11">E8*F8</f>
        <v>93.74</v>
      </c>
      <c r="I8" s="3">
        <f t="shared" ref="I8" si="12">E8*G8</f>
        <v>100.1</v>
      </c>
      <c r="J8" s="3"/>
      <c r="K8" s="3">
        <f>K10</f>
        <v>20</v>
      </c>
      <c r="L8" s="3">
        <f t="shared" ref="L8" si="13">H8/K8</f>
        <v>4.6869999999999994</v>
      </c>
      <c r="M8" s="3">
        <f t="shared" ref="M8" si="14">I8-H8+J8</f>
        <v>6.3599999999999994</v>
      </c>
      <c r="N8" s="19">
        <f t="shared" ref="N8" si="15">M8/H8</f>
        <v>6.7847237038617447E-2</v>
      </c>
      <c r="O8" s="19">
        <f t="shared" ref="O8" si="16">(M8-L8)/L8</f>
        <v>0.35694474077234911</v>
      </c>
      <c r="P8" s="3"/>
      <c r="Q8" s="3"/>
      <c r="R8" s="3"/>
      <c r="S8" s="3"/>
      <c r="T8" s="3"/>
      <c r="U8" s="3">
        <f>IF(AND(A8&gt;A62,F8&gt;=U10),U10,"")</f>
        <v>39.893498777265151</v>
      </c>
      <c r="V8" s="3"/>
      <c r="W8" s="3"/>
      <c r="X8" s="3"/>
      <c r="Y8" s="3"/>
      <c r="Z8" s="3"/>
      <c r="AA8" s="3"/>
      <c r="AB8" s="19"/>
      <c r="AF8" s="14"/>
      <c r="AG8" s="14"/>
      <c r="AH8" s="14"/>
      <c r="AI8" s="14"/>
      <c r="AJ8" s="3"/>
      <c r="AK8" s="3"/>
      <c r="AL8" s="3"/>
      <c r="AM8" s="3"/>
    </row>
    <row r="9" spans="1:39" x14ac:dyDescent="0.25">
      <c r="A9" s="2"/>
      <c r="B9" s="1" t="s">
        <v>22</v>
      </c>
      <c r="C9" s="1" t="s">
        <v>26</v>
      </c>
      <c r="D9" s="19"/>
      <c r="E9" s="3">
        <v>1.0000000000000001E-5</v>
      </c>
      <c r="F9" s="3">
        <v>1.0000000000000001E-5</v>
      </c>
      <c r="G9" s="3">
        <f>G10</f>
        <v>50.05</v>
      </c>
      <c r="H9" s="3">
        <f t="shared" ref="H9" si="17">E9*F9</f>
        <v>1.0000000000000002E-10</v>
      </c>
      <c r="I9" s="3">
        <f t="shared" ref="I9" si="18">E9*G9</f>
        <v>5.0049999999999997E-4</v>
      </c>
      <c r="J9" s="3"/>
      <c r="K9" s="3">
        <f>K10</f>
        <v>20</v>
      </c>
      <c r="L9" s="3">
        <f t="shared" ref="L9" si="19">H9/K9</f>
        <v>5.0000000000000005E-12</v>
      </c>
      <c r="M9" s="3">
        <f t="shared" ref="M9" si="20">I9-H9+J9</f>
        <v>5.0049989999999993E-4</v>
      </c>
      <c r="N9" s="19">
        <f t="shared" ref="N9" si="21">M9/H9</f>
        <v>5004998.9999999981</v>
      </c>
      <c r="O9" s="19">
        <f t="shared" ref="O9" si="22">(M9-L9)/L9</f>
        <v>100099978.99999999</v>
      </c>
      <c r="P9" s="3"/>
      <c r="Q9" s="3"/>
      <c r="R9" s="3"/>
      <c r="S9" s="3"/>
      <c r="T9" s="3"/>
      <c r="U9" s="3" t="str">
        <f>IF(AND(A9&gt;A62,F9&gt;=U10),U10,"")</f>
        <v/>
      </c>
      <c r="V9" s="3"/>
      <c r="W9" s="3"/>
      <c r="X9" s="3"/>
      <c r="Y9" s="3"/>
      <c r="Z9" s="3"/>
      <c r="AA9" s="3"/>
      <c r="AB9" s="19"/>
      <c r="AF9" s="14"/>
      <c r="AG9" s="14"/>
      <c r="AH9" s="14"/>
      <c r="AI9" s="14"/>
      <c r="AJ9" s="3"/>
      <c r="AK9" s="3"/>
      <c r="AL9" s="3"/>
      <c r="AM9" s="3"/>
    </row>
    <row r="10" spans="1:39" s="9" customFormat="1" x14ac:dyDescent="0.25">
      <c r="A10" s="35">
        <v>1</v>
      </c>
      <c r="B10" s="16" t="s">
        <v>12</v>
      </c>
      <c r="C10" s="16"/>
      <c r="D10" s="16"/>
      <c r="E10" s="10">
        <f>SUM(E2:E9)</f>
        <v>11.00001</v>
      </c>
      <c r="F10" s="10"/>
      <c r="G10" s="25">
        <v>50.05</v>
      </c>
      <c r="H10" s="10">
        <f>SUM(H2:H9)</f>
        <v>476.03000000010002</v>
      </c>
      <c r="I10" s="10">
        <f>SUM(I2:I9)</f>
        <v>550.5505005</v>
      </c>
      <c r="J10" s="10">
        <f>SUM(J2:J9)</f>
        <v>0</v>
      </c>
      <c r="K10" s="10">
        <v>20</v>
      </c>
      <c r="L10" s="10">
        <f>SUM(L2:L9)</f>
        <v>23.801500000004996</v>
      </c>
      <c r="M10" s="22">
        <f>SUM(M2:M9)</f>
        <v>74.520500499899939</v>
      </c>
      <c r="N10" s="21">
        <f t="shared" si="6"/>
        <v>0.1565458069867115</v>
      </c>
      <c r="O10" s="21">
        <f t="shared" si="5"/>
        <v>2.1309161397342309</v>
      </c>
      <c r="P10" s="25">
        <v>44.78</v>
      </c>
      <c r="Q10" s="25">
        <v>48.7</v>
      </c>
      <c r="R10" s="10">
        <f>R62*K10/K62</f>
        <v>1</v>
      </c>
      <c r="S10" s="10">
        <f>MAX(P10,IF(R10&lt;=0,P10,G10-MAX(R10,G10*IF(N10&gt;0,0,-N10))))</f>
        <v>49.05</v>
      </c>
      <c r="T10" s="10">
        <f>MIN(Q10,IF(R10&lt;=0,Q10,G10+MAX(R10,G10*IF(N10&lt;0,0,N10))))</f>
        <v>48.7</v>
      </c>
      <c r="U10" s="22">
        <f>MAX(MIN(G10*(1-AB10)-MAX(R10,S!E2/E62),S10),0)</f>
        <v>39.893498777265151</v>
      </c>
      <c r="V10" s="22">
        <f>MIN(MAX(IF(N10&gt;0,G10*(1+N10),G10),T10),T10+R10)</f>
        <v>49.7</v>
      </c>
      <c r="W10" s="10">
        <f>MAX(Z10-AA10*(G10-S10),0)</f>
        <v>0</v>
      </c>
      <c r="X10" s="22">
        <f>ROUND(W10/G10,0)</f>
        <v>0</v>
      </c>
      <c r="Y10" s="10">
        <f>IF(G10&gt;S10,E10*(G10-S10),0)</f>
        <v>11.00001</v>
      </c>
      <c r="Z10" s="10">
        <f>IF(AND(N10&gt;0,N62&gt;0,T10&gt;G10,S!N2&gt;0,AB62&gt;0),N10/AB62*S!N2,0)</f>
        <v>0</v>
      </c>
      <c r="AA10" s="10">
        <f>Z10/G10</f>
        <v>0</v>
      </c>
      <c r="AB10" s="21">
        <f>IF(N10&gt;0,N10,0)</f>
        <v>0.1565458069867115</v>
      </c>
      <c r="AC10" s="10">
        <f>(E10+X10)*MAX(Q10-P10,T10-S10)</f>
        <v>43.120039200000015</v>
      </c>
      <c r="AE10" s="31"/>
      <c r="AF10" s="22">
        <f>MIN(MAX(G10*(1+AM10)+MAX(R10,S!E2/E62),T10),T10+R10)</f>
        <v>49.7</v>
      </c>
      <c r="AG10" s="22">
        <f>MAX(MIN(IF(N10&lt;0,G10*(1+N10),G10),S10),0)</f>
        <v>49.05</v>
      </c>
      <c r="AH10" s="10">
        <f>IF(AK10&gt;0,AK10-AL10*(T10-G10),0)</f>
        <v>0</v>
      </c>
      <c r="AI10" s="22">
        <f>ROUND(AH10/G10*K10,0)</f>
        <v>0</v>
      </c>
      <c r="AJ10" s="10">
        <f>IF(G10&lt;T10,E10*(T10-G10),0)</f>
        <v>0</v>
      </c>
      <c r="AK10" s="10">
        <f>IF(AND(N10&lt;0,N62&gt;0,G10&gt;S10,S!N2&gt;0,AB62&gt;0),-N10/AB62*S!N2,0)</f>
        <v>0</v>
      </c>
      <c r="AL10" s="10">
        <f>AK10/G10*K10</f>
        <v>0</v>
      </c>
      <c r="AM10" s="10">
        <f>IF(N10&lt;0,-N10,0)</f>
        <v>0</v>
      </c>
    </row>
    <row r="11" spans="1:39" s="13" customFormat="1" x14ac:dyDescent="0.25">
      <c r="A11" s="11"/>
      <c r="B11" s="12"/>
      <c r="C11" s="17"/>
      <c r="D11" s="17"/>
      <c r="E11" s="14"/>
      <c r="F11" s="14"/>
      <c r="G11" s="14"/>
      <c r="H11" s="14"/>
      <c r="I11" s="14"/>
      <c r="J11" s="14"/>
      <c r="K11" s="14"/>
      <c r="L11" s="14"/>
      <c r="M11" s="3"/>
      <c r="N11" s="19"/>
      <c r="O11" s="20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0"/>
      <c r="AC11" s="17"/>
      <c r="AE11" s="31"/>
      <c r="AF11" s="14"/>
      <c r="AG11" s="14"/>
      <c r="AH11" s="14"/>
      <c r="AI11" s="14"/>
      <c r="AJ11" s="14"/>
      <c r="AK11" s="14"/>
      <c r="AL11" s="14"/>
      <c r="AM11" s="14"/>
    </row>
    <row r="12" spans="1:39" s="8" customFormat="1" x14ac:dyDescent="0.25">
      <c r="A12" s="2">
        <v>44406</v>
      </c>
      <c r="B12" s="1" t="s">
        <v>23</v>
      </c>
      <c r="C12" s="1" t="s">
        <v>27</v>
      </c>
      <c r="D12" s="19">
        <v>5.4999999999999997E-3</v>
      </c>
      <c r="E12" s="3">
        <v>1</v>
      </c>
      <c r="F12" s="3">
        <v>57.24</v>
      </c>
      <c r="G12" s="14">
        <f>G15</f>
        <v>57.32</v>
      </c>
      <c r="H12" s="3">
        <f>E12*F12</f>
        <v>57.24</v>
      </c>
      <c r="I12" s="3">
        <f>E12*G12</f>
        <v>57.32</v>
      </c>
      <c r="J12" s="3"/>
      <c r="K12" s="3">
        <f>K15</f>
        <v>20</v>
      </c>
      <c r="L12" s="3">
        <f>H12/K12</f>
        <v>2.8620000000000001</v>
      </c>
      <c r="M12" s="3">
        <f t="shared" si="4"/>
        <v>7.9999999999998295E-2</v>
      </c>
      <c r="N12" s="19">
        <f t="shared" si="6"/>
        <v>1.3976240391334433E-3</v>
      </c>
      <c r="O12" s="19">
        <f>(M12-L12)/L12</f>
        <v>-0.97204751921733112</v>
      </c>
      <c r="P12" s="3"/>
      <c r="Q12" s="3"/>
      <c r="R12" s="3"/>
      <c r="S12" s="3"/>
      <c r="T12" s="3"/>
      <c r="U12" s="3">
        <f>IF(AND(A12&gt;A62,F12&gt;=U15),U15,"")</f>
        <v>54.893136596813235</v>
      </c>
      <c r="V12" s="3"/>
      <c r="W12" s="14"/>
      <c r="X12" s="14"/>
      <c r="Y12" s="14"/>
      <c r="Z12" s="3"/>
      <c r="AA12" s="3"/>
      <c r="AB12" s="19"/>
      <c r="AC12" s="1"/>
      <c r="AE12" s="30"/>
      <c r="AF12" s="14"/>
      <c r="AG12" s="14"/>
      <c r="AH12" s="14"/>
      <c r="AI12" s="14"/>
      <c r="AJ12" s="3"/>
      <c r="AK12" s="3"/>
      <c r="AL12" s="3"/>
      <c r="AM12" s="3"/>
    </row>
    <row r="13" spans="1:39" s="8" customFormat="1" x14ac:dyDescent="0.25">
      <c r="A13" s="2">
        <v>44406</v>
      </c>
      <c r="B13" s="1" t="s">
        <v>23</v>
      </c>
      <c r="C13" s="1" t="s">
        <v>27</v>
      </c>
      <c r="D13" s="19">
        <v>5.4999999999999997E-3</v>
      </c>
      <c r="E13" s="3">
        <v>1</v>
      </c>
      <c r="F13" s="3">
        <v>57.19</v>
      </c>
      <c r="G13" s="3">
        <f>G15</f>
        <v>57.32</v>
      </c>
      <c r="H13" s="3">
        <f>E13*F13</f>
        <v>57.19</v>
      </c>
      <c r="I13" s="3">
        <f>E13*G13</f>
        <v>57.32</v>
      </c>
      <c r="J13" s="3"/>
      <c r="K13" s="3">
        <f>K15</f>
        <v>20</v>
      </c>
      <c r="L13" s="3">
        <f>H13/K13</f>
        <v>2.8594999999999997</v>
      </c>
      <c r="M13" s="3">
        <f t="shared" si="4"/>
        <v>0.13000000000000256</v>
      </c>
      <c r="N13" s="19">
        <f t="shared" si="6"/>
        <v>2.2731246721455246E-3</v>
      </c>
      <c r="O13" s="19">
        <f>(M13-L13)/L13</f>
        <v>-0.95453750655708947</v>
      </c>
      <c r="P13" s="3"/>
      <c r="Q13" s="3"/>
      <c r="R13" s="3"/>
      <c r="S13" s="3"/>
      <c r="T13" s="3"/>
      <c r="U13" s="3">
        <f>IF(AND(A13&gt;A62,F13&gt;=U15),U15,"")</f>
        <v>54.893136596813235</v>
      </c>
      <c r="V13" s="3"/>
      <c r="W13" s="14"/>
      <c r="X13" s="14"/>
      <c r="Y13" s="14"/>
      <c r="Z13" s="3"/>
      <c r="AA13" s="3"/>
      <c r="AB13" s="19"/>
      <c r="AC13" s="1"/>
      <c r="AE13" s="30"/>
      <c r="AF13" s="14"/>
      <c r="AG13" s="14"/>
      <c r="AH13" s="14"/>
      <c r="AI13" s="14"/>
      <c r="AJ13" s="3"/>
      <c r="AK13" s="3"/>
      <c r="AL13" s="3"/>
      <c r="AM13" s="3"/>
    </row>
    <row r="14" spans="1:39" s="8" customFormat="1" x14ac:dyDescent="0.25">
      <c r="A14" s="2"/>
      <c r="B14" s="1" t="s">
        <v>23</v>
      </c>
      <c r="C14" s="1" t="s">
        <v>27</v>
      </c>
      <c r="D14" s="19"/>
      <c r="E14" s="3">
        <v>1.0000000000000001E-5</v>
      </c>
      <c r="F14" s="3">
        <v>1.0000000000000001E-5</v>
      </c>
      <c r="G14" s="3">
        <f>G15</f>
        <v>57.32</v>
      </c>
      <c r="H14" s="3">
        <f>E14*F14</f>
        <v>1.0000000000000002E-10</v>
      </c>
      <c r="I14" s="3">
        <f>E14*G14</f>
        <v>5.7320000000000005E-4</v>
      </c>
      <c r="J14" s="3"/>
      <c r="K14" s="3">
        <f>K15</f>
        <v>20</v>
      </c>
      <c r="L14" s="3">
        <f>H14/K14</f>
        <v>5.0000000000000005E-12</v>
      </c>
      <c r="M14" s="3">
        <f t="shared" ref="M14" si="23">I14-H14+J14</f>
        <v>5.7319990000000002E-4</v>
      </c>
      <c r="N14" s="19">
        <f t="shared" ref="N14" si="24">M14/H14</f>
        <v>5731998.9999999991</v>
      </c>
      <c r="O14" s="19">
        <f>(M14-L14)/L14</f>
        <v>114639979</v>
      </c>
      <c r="P14" s="3"/>
      <c r="Q14" s="3"/>
      <c r="R14" s="3"/>
      <c r="S14" s="3"/>
      <c r="T14" s="3"/>
      <c r="U14" s="3" t="str">
        <f>IF(AND(A14&gt;A62,F14&gt;=U15),U15,"")</f>
        <v/>
      </c>
      <c r="V14" s="3"/>
      <c r="W14" s="14"/>
      <c r="X14" s="14"/>
      <c r="Y14" s="14"/>
      <c r="Z14" s="3"/>
      <c r="AA14" s="3"/>
      <c r="AB14" s="19"/>
      <c r="AC14" s="1"/>
      <c r="AE14" s="30"/>
      <c r="AF14" s="14"/>
      <c r="AG14" s="14"/>
      <c r="AH14" s="14"/>
      <c r="AI14" s="14"/>
      <c r="AJ14" s="3"/>
      <c r="AK14" s="3"/>
      <c r="AL14" s="3"/>
      <c r="AM14" s="3"/>
    </row>
    <row r="15" spans="1:39" s="15" customFormat="1" x14ac:dyDescent="0.25">
      <c r="A15" s="35">
        <v>2</v>
      </c>
      <c r="B15" s="16" t="s">
        <v>12</v>
      </c>
      <c r="C15" s="16"/>
      <c r="D15" s="16"/>
      <c r="E15" s="10">
        <f>SUM(E12:E14)</f>
        <v>2.0000100000000001</v>
      </c>
      <c r="F15" s="10"/>
      <c r="G15" s="25">
        <v>57.32</v>
      </c>
      <c r="H15" s="10">
        <f>SUM(H12:H14)</f>
        <v>114.43000000010001</v>
      </c>
      <c r="I15" s="10">
        <f>SUM(I12:I14)</f>
        <v>114.64057320000001</v>
      </c>
      <c r="J15" s="10">
        <f>SUM(J12:J14)</f>
        <v>0</v>
      </c>
      <c r="K15" s="10">
        <v>20</v>
      </c>
      <c r="L15" s="10">
        <f>SUM(L12:L14)</f>
        <v>5.7215000000049994</v>
      </c>
      <c r="M15" s="22">
        <f>SUM(M12:M14)</f>
        <v>0.21057319990000084</v>
      </c>
      <c r="N15" s="21">
        <f t="shared" si="6"/>
        <v>1.8401922563996925E-3</v>
      </c>
      <c r="O15" s="21">
        <f>(M15-L15)/L15</f>
        <v>-0.96319615487200616</v>
      </c>
      <c r="P15" s="25">
        <v>56.03</v>
      </c>
      <c r="Q15" s="25">
        <v>57.34</v>
      </c>
      <c r="R15" s="10">
        <f>R62*K15/K62</f>
        <v>1</v>
      </c>
      <c r="S15" s="10">
        <f>MAX(P15,IF(R15&lt;=0,P15,G15-MAX(R15,G15*IF(N15&gt;0,0,-N15))))</f>
        <v>56.32</v>
      </c>
      <c r="T15" s="10">
        <f>MIN(Q15,IF(R15&lt;=0,Q15,G15+MAX(R15,G15*IF(N15&lt;0,0,N15))))</f>
        <v>57.34</v>
      </c>
      <c r="U15" s="22">
        <f>MAX(MIN(G15*(1-AB15)-MAX(R15,S!E2/E62),S15),0)</f>
        <v>54.893136596813235</v>
      </c>
      <c r="V15" s="22">
        <f>MIN(MAX(IF(N15&gt;0,G15*(1+N15),G15),T15),T15+R15)</f>
        <v>57.425479820136836</v>
      </c>
      <c r="W15" s="10">
        <f>MAX(Z15-AA15*(G15-S15),0)</f>
        <v>0.46061794749419566</v>
      </c>
      <c r="X15" s="22">
        <f>ROUND(W15/G15,0)</f>
        <v>0</v>
      </c>
      <c r="Y15" s="10">
        <f>IF(G15&gt;S15,E15*(G15-S15),0)</f>
        <v>2.0000100000000001</v>
      </c>
      <c r="Z15" s="10">
        <f>IF(AND(N15&gt;0,N62&gt;0,T15&gt;G15,S!N2&gt;0,AB62&gt;0),N15/AB62*S!N2,0)</f>
        <v>0.46879653320964659</v>
      </c>
      <c r="AA15" s="10">
        <f>Z15/G15</f>
        <v>8.1785857154509176E-3</v>
      </c>
      <c r="AB15" s="21">
        <f>IF(N15&gt;0,N15,0)</f>
        <v>1.8401922563996925E-3</v>
      </c>
      <c r="AC15" s="10">
        <f>(E15+X15)*MAX(Q15-P15,T15-S15)</f>
        <v>2.6200131000000044</v>
      </c>
      <c r="AE15" s="30"/>
      <c r="AF15" s="22">
        <f>MIN(MAX(G15*(1+AM15)+MAX(R15,S!E2/E62),T15),T15+R15)</f>
        <v>58.34</v>
      </c>
      <c r="AG15" s="22">
        <f>MAX(MIN(IF(N15&lt;0,G15*(1+N15),G15),S15),0)</f>
        <v>56.32</v>
      </c>
      <c r="AH15" s="10">
        <f>IF(AK15&gt;0,AK15-AL15*(T15-G15),0)</f>
        <v>0</v>
      </c>
      <c r="AI15" s="22">
        <f>ROUND(AH15/G15*K15,0)</f>
        <v>0</v>
      </c>
      <c r="AJ15" s="10">
        <f>IF(G15&lt;T15,E15*(T15-G15),0)</f>
        <v>4.0000200000006252E-2</v>
      </c>
      <c r="AK15" s="10">
        <f>IF(AND(N15&lt;0,N62&gt;0,G15&gt;S15,S!N2&gt;0,AB62&gt;0),-N15/AB62*S!N2,0)</f>
        <v>0</v>
      </c>
      <c r="AL15" s="10">
        <f>AK15/G15*K15</f>
        <v>0</v>
      </c>
      <c r="AM15" s="10">
        <f>IF(N15&lt;0,-N15,0)</f>
        <v>0</v>
      </c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19"/>
      <c r="O16" s="19"/>
      <c r="P16" s="3"/>
      <c r="Q16" s="3"/>
      <c r="R16" s="3"/>
      <c r="S16" s="3"/>
      <c r="T16" s="3"/>
      <c r="U16" s="3"/>
      <c r="V16" s="3"/>
      <c r="W16" s="14"/>
      <c r="X16" s="14"/>
      <c r="Y16" s="14"/>
      <c r="Z16" s="3"/>
      <c r="AA16" s="3"/>
      <c r="AB16" s="19"/>
      <c r="AF16" s="14"/>
      <c r="AG16" s="14"/>
      <c r="AH16" s="14"/>
      <c r="AI16" s="14"/>
      <c r="AJ16" s="3"/>
      <c r="AK16" s="3"/>
      <c r="AL16" s="3"/>
      <c r="AM16" s="3"/>
    </row>
    <row r="17" spans="1:39" s="8" customFormat="1" x14ac:dyDescent="0.25">
      <c r="A17" s="2">
        <v>44406</v>
      </c>
      <c r="B17" s="1" t="s">
        <v>24</v>
      </c>
      <c r="C17" s="1" t="s">
        <v>28</v>
      </c>
      <c r="D17" s="19">
        <v>4.5999999999999999E-3</v>
      </c>
      <c r="E17" s="3">
        <v>1</v>
      </c>
      <c r="F17" s="3">
        <v>145.9</v>
      </c>
      <c r="G17" s="14">
        <f>G19</f>
        <v>151.04</v>
      </c>
      <c r="H17" s="3">
        <f>E17*F17</f>
        <v>145.9</v>
      </c>
      <c r="I17" s="3">
        <f>E17*G17</f>
        <v>151.04</v>
      </c>
      <c r="J17" s="3"/>
      <c r="K17" s="3">
        <f>K19</f>
        <v>20</v>
      </c>
      <c r="L17" s="3">
        <f>H17/K17</f>
        <v>7.2949999999999999</v>
      </c>
      <c r="M17" s="3">
        <f t="shared" si="4"/>
        <v>5.1399999999999864</v>
      </c>
      <c r="N17" s="19">
        <f t="shared" si="6"/>
        <v>3.5229609321452957E-2</v>
      </c>
      <c r="O17" s="19">
        <f>(M17-L17)/L17</f>
        <v>-0.29540781357094087</v>
      </c>
      <c r="P17" s="3"/>
      <c r="Q17" s="3"/>
      <c r="R17" s="3"/>
      <c r="S17" s="3"/>
      <c r="T17" s="3"/>
      <c r="U17" s="3">
        <f>IF(AND(A17&gt;A62,F17&gt;=U19),U19,"")</f>
        <v>143.39597261434307</v>
      </c>
      <c r="V17" s="3"/>
      <c r="W17" s="14"/>
      <c r="X17" s="14"/>
      <c r="Y17" s="14"/>
      <c r="Z17" s="3"/>
      <c r="AA17" s="3"/>
      <c r="AB17" s="19"/>
      <c r="AC17" s="1"/>
      <c r="AE17" s="30"/>
      <c r="AF17" s="14"/>
      <c r="AG17" s="14"/>
      <c r="AH17" s="14"/>
      <c r="AI17" s="14"/>
      <c r="AJ17" s="3"/>
      <c r="AK17" s="3"/>
      <c r="AL17" s="3"/>
      <c r="AM17" s="3"/>
    </row>
    <row r="18" spans="1:39" s="8" customFormat="1" x14ac:dyDescent="0.25">
      <c r="A18" s="2"/>
      <c r="B18" s="1" t="s">
        <v>24</v>
      </c>
      <c r="C18" s="1" t="s">
        <v>28</v>
      </c>
      <c r="D18" s="19"/>
      <c r="E18" s="3">
        <v>1.0000000000000001E-5</v>
      </c>
      <c r="F18" s="3">
        <v>1.0000000000000001E-5</v>
      </c>
      <c r="G18" s="14">
        <f>G19</f>
        <v>151.04</v>
      </c>
      <c r="H18" s="3">
        <f>E18*F18</f>
        <v>1.0000000000000002E-10</v>
      </c>
      <c r="I18" s="3">
        <f>E18*G18</f>
        <v>1.5104000000000001E-3</v>
      </c>
      <c r="J18" s="3"/>
      <c r="K18" s="3">
        <f>K19</f>
        <v>20</v>
      </c>
      <c r="L18" s="3">
        <f>H18/K18</f>
        <v>5.0000000000000005E-12</v>
      </c>
      <c r="M18" s="3">
        <f t="shared" ref="M18" si="25">I18-H18+J18</f>
        <v>1.5103999E-3</v>
      </c>
      <c r="N18" s="19">
        <f t="shared" ref="N18" si="26">M18/H18</f>
        <v>15103998.999999998</v>
      </c>
      <c r="O18" s="19">
        <f>(M18-L18)/L18</f>
        <v>302079979</v>
      </c>
      <c r="P18" s="3"/>
      <c r="Q18" s="3"/>
      <c r="R18" s="3"/>
      <c r="S18" s="3"/>
      <c r="T18" s="3"/>
      <c r="U18" s="3" t="str">
        <f>IF(AND(A18&gt;A62,F18&gt;=U19),U19,"")</f>
        <v/>
      </c>
      <c r="V18" s="3"/>
      <c r="W18" s="14"/>
      <c r="X18" s="14"/>
      <c r="Y18" s="14"/>
      <c r="Z18" s="3"/>
      <c r="AA18" s="3"/>
      <c r="AB18" s="19"/>
      <c r="AC18" s="1"/>
      <c r="AE18" s="30"/>
      <c r="AF18" s="14"/>
      <c r="AG18" s="14"/>
      <c r="AH18" s="14"/>
      <c r="AI18" s="14"/>
      <c r="AJ18" s="3"/>
      <c r="AK18" s="3"/>
      <c r="AL18" s="3"/>
      <c r="AM18" s="3"/>
    </row>
    <row r="19" spans="1:39" s="9" customFormat="1" x14ac:dyDescent="0.25">
      <c r="A19" s="35">
        <v>3</v>
      </c>
      <c r="B19" s="16" t="s">
        <v>12</v>
      </c>
      <c r="C19" s="16"/>
      <c r="D19" s="16"/>
      <c r="E19" s="10">
        <f>SUM(E17:E18)</f>
        <v>1.0000100000000001</v>
      </c>
      <c r="F19" s="10"/>
      <c r="G19" s="25">
        <v>151.04</v>
      </c>
      <c r="H19" s="10">
        <f>SUM(H17:H18)</f>
        <v>145.90000000009999</v>
      </c>
      <c r="I19" s="10">
        <f>SUM(I17:I18)</f>
        <v>151.04151039999999</v>
      </c>
      <c r="J19" s="10">
        <f>SUM(J17:J18)</f>
        <v>0</v>
      </c>
      <c r="K19" s="10">
        <v>20</v>
      </c>
      <c r="L19" s="10">
        <f>SUM(L17:L18)</f>
        <v>7.2950000000049995</v>
      </c>
      <c r="M19" s="22">
        <f>SUM(M17:M18)</f>
        <v>5.1415103998999863</v>
      </c>
      <c r="N19" s="21">
        <f t="shared" si="6"/>
        <v>3.5239961616836617E-2</v>
      </c>
      <c r="O19" s="21">
        <f>(M19-L19)/L19</f>
        <v>-0.29520076766326764</v>
      </c>
      <c r="P19" s="25">
        <v>145.57</v>
      </c>
      <c r="Q19" s="25">
        <v>150.68</v>
      </c>
      <c r="R19" s="10">
        <f>R62*K19/K62</f>
        <v>1</v>
      </c>
      <c r="S19" s="10">
        <f>MAX(P19,IF(R19&lt;=0,P19,G19-MAX(R19,G19*IF(N19&gt;0,0,-N19))))</f>
        <v>150.04</v>
      </c>
      <c r="T19" s="10">
        <f>MIN(Q19,IF(R19&lt;=0,Q19,G19+MAX(R19,G19*IF(N19&lt;0,0,N19))))</f>
        <v>150.68</v>
      </c>
      <c r="U19" s="22">
        <f>MAX(MIN(G19*(1-AB19)-MAX(R19,S!E2/E62),S19),0)</f>
        <v>143.39597261434307</v>
      </c>
      <c r="V19" s="22">
        <f>MIN(MAX(IF(N19&gt;0,G19*(1+N19),G19),T19),T19+R19)</f>
        <v>151.68</v>
      </c>
      <c r="W19" s="10">
        <f>MAX(Z19-AA19*(G19-S19),0)</f>
        <v>0</v>
      </c>
      <c r="X19" s="22">
        <f>ROUND(W19/G19,0)</f>
        <v>0</v>
      </c>
      <c r="Y19" s="10">
        <f>IF(G19&gt;S19,E19*(G19-S19),0)</f>
        <v>1.0000100000000001</v>
      </c>
      <c r="Z19" s="10">
        <f>IF(AND(N19&gt;0,N62&gt;0,T19&gt;G19,S!N2&gt;0,AB62&gt;0),N19/AB62*S!N2,0)</f>
        <v>0</v>
      </c>
      <c r="AA19" s="10">
        <f>Z19/G19</f>
        <v>0</v>
      </c>
      <c r="AB19" s="21">
        <f>IF(N19&gt;0,N19,0)</f>
        <v>3.5239961616836617E-2</v>
      </c>
      <c r="AC19" s="10">
        <f>(E19+X19)*MAX(Q19-P19,T19-S19)</f>
        <v>5.1100511000000139</v>
      </c>
      <c r="AE19" s="31"/>
      <c r="AF19" s="22">
        <f>MIN(MAX(G19*(1+AM19)+MAX(R19,S!E2/E62),T19),T19+R19)</f>
        <v>151.68</v>
      </c>
      <c r="AG19" s="22">
        <f>MAX(MIN(IF(N19&lt;0,G19*(1+N19),G19),S19),0)</f>
        <v>150.04</v>
      </c>
      <c r="AH19" s="10">
        <f>IF(AK19&gt;0,AK19-AL19*(T19-G19),0)</f>
        <v>0</v>
      </c>
      <c r="AI19" s="22">
        <f>ROUND(AH19/G19*K19,0)</f>
        <v>0</v>
      </c>
      <c r="AJ19" s="10">
        <f>IF(G19&lt;T19,E19*(T19-G19),0)</f>
        <v>0</v>
      </c>
      <c r="AK19" s="10">
        <f>IF(AND(N19&lt;0,N62&gt;0,G19&gt;S19,S!N2&gt;0,AB62&gt;0),-N19/AB62*S!N2,0)</f>
        <v>0</v>
      </c>
      <c r="AL19" s="10">
        <f>AK19/G19*K19</f>
        <v>0</v>
      </c>
      <c r="AM19" s="10">
        <f>IF(N19&lt;0,-N19,0)</f>
        <v>0</v>
      </c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3"/>
      <c r="N20" s="19"/>
      <c r="O20" s="19"/>
      <c r="P20" s="3"/>
      <c r="Q20" s="3"/>
      <c r="R20" s="3"/>
      <c r="S20" s="3"/>
      <c r="T20" s="3"/>
      <c r="U20" s="3"/>
      <c r="V20" s="3"/>
      <c r="W20" s="14"/>
      <c r="X20" s="14"/>
      <c r="Y20" s="14"/>
      <c r="Z20" s="3"/>
      <c r="AA20" s="3"/>
      <c r="AB20" s="19"/>
      <c r="AF20" s="14"/>
      <c r="AG20" s="14"/>
      <c r="AH20" s="14"/>
      <c r="AI20" s="14"/>
      <c r="AJ20" s="3"/>
      <c r="AK20" s="3"/>
      <c r="AL20" s="3"/>
      <c r="AM20" s="3"/>
    </row>
    <row r="21" spans="1:39" s="8" customFormat="1" x14ac:dyDescent="0.25">
      <c r="A21" s="2">
        <v>44406</v>
      </c>
      <c r="B21" s="1" t="s">
        <v>25</v>
      </c>
      <c r="C21" s="1" t="s">
        <v>29</v>
      </c>
      <c r="D21" s="19">
        <v>-1.7899999999999999E-2</v>
      </c>
      <c r="E21" s="3">
        <v>1</v>
      </c>
      <c r="F21" s="3">
        <v>77.05</v>
      </c>
      <c r="G21" s="14">
        <f>G23</f>
        <v>78.650000000000006</v>
      </c>
      <c r="H21" s="3">
        <f>E21*F21</f>
        <v>77.05</v>
      </c>
      <c r="I21" s="3">
        <f>E21*G21</f>
        <v>78.650000000000006</v>
      </c>
      <c r="J21" s="3"/>
      <c r="K21" s="3">
        <f>K23</f>
        <v>20</v>
      </c>
      <c r="L21" s="3">
        <f>H21/K21</f>
        <v>3.8525</v>
      </c>
      <c r="M21" s="3">
        <f t="shared" si="4"/>
        <v>1.6000000000000085</v>
      </c>
      <c r="N21" s="19">
        <f t="shared" si="6"/>
        <v>2.0765736534717825E-2</v>
      </c>
      <c r="O21" s="19">
        <f>(M21-L21)/L21</f>
        <v>-0.58468526930564346</v>
      </c>
      <c r="P21" s="3"/>
      <c r="Q21" s="3"/>
      <c r="R21" s="3"/>
      <c r="S21" s="3"/>
      <c r="T21" s="3"/>
      <c r="U21" s="3">
        <f>IF(AND(A21&gt;A62,F21&gt;=U23),U23,"")</f>
        <v>74.694588406346924</v>
      </c>
      <c r="V21" s="3"/>
      <c r="W21" s="14"/>
      <c r="X21" s="14"/>
      <c r="Y21" s="14"/>
      <c r="Z21" s="3"/>
      <c r="AA21" s="3"/>
      <c r="AB21" s="19"/>
      <c r="AC21" s="1"/>
      <c r="AE21" s="30"/>
      <c r="AF21" s="14"/>
      <c r="AG21" s="14"/>
      <c r="AH21" s="14"/>
      <c r="AI21" s="14"/>
      <c r="AJ21" s="3"/>
      <c r="AK21" s="3"/>
      <c r="AL21" s="3"/>
      <c r="AM21" s="3"/>
    </row>
    <row r="22" spans="1:39" s="8" customFormat="1" x14ac:dyDescent="0.25">
      <c r="A22" s="2"/>
      <c r="B22" s="1" t="s">
        <v>25</v>
      </c>
      <c r="C22" s="1" t="s">
        <v>29</v>
      </c>
      <c r="D22" s="19"/>
      <c r="E22" s="3">
        <v>1.0000000000000001E-5</v>
      </c>
      <c r="F22" s="3">
        <v>1.0000000000000001E-5</v>
      </c>
      <c r="G22" s="14">
        <f>G23</f>
        <v>78.650000000000006</v>
      </c>
      <c r="H22" s="3">
        <f>E22*F22</f>
        <v>1.0000000000000002E-10</v>
      </c>
      <c r="I22" s="3">
        <f>E22*G22</f>
        <v>7.8650000000000009E-4</v>
      </c>
      <c r="J22" s="3"/>
      <c r="K22" s="3">
        <f>K23</f>
        <v>20</v>
      </c>
      <c r="L22" s="3">
        <f>H22/K22</f>
        <v>5.0000000000000005E-12</v>
      </c>
      <c r="M22" s="3">
        <f t="shared" ref="M22" si="27">I22-H22+J22</f>
        <v>7.8649990000000006E-4</v>
      </c>
      <c r="N22" s="19">
        <f t="shared" ref="N22" si="28">M22/H22</f>
        <v>7864998.9999999991</v>
      </c>
      <c r="O22" s="19">
        <f>(M22-L22)/L22</f>
        <v>157299979</v>
      </c>
      <c r="P22" s="3"/>
      <c r="Q22" s="3"/>
      <c r="R22" s="3"/>
      <c r="S22" s="3"/>
      <c r="T22" s="3"/>
      <c r="U22" s="3" t="str">
        <f>IF(AND(A22&gt;A62,F22&gt;=U23),U23,"")</f>
        <v/>
      </c>
      <c r="V22" s="3"/>
      <c r="W22" s="14"/>
      <c r="X22" s="14"/>
      <c r="Y22" s="14"/>
      <c r="Z22" s="3"/>
      <c r="AA22" s="3"/>
      <c r="AB22" s="19"/>
      <c r="AC22" s="1"/>
      <c r="AE22" s="30"/>
      <c r="AF22" s="14"/>
      <c r="AG22" s="14"/>
      <c r="AH22" s="14"/>
      <c r="AI22" s="14"/>
      <c r="AJ22" s="3"/>
      <c r="AK22" s="3"/>
      <c r="AL22" s="3"/>
      <c r="AM22" s="3"/>
    </row>
    <row r="23" spans="1:39" s="9" customFormat="1" x14ac:dyDescent="0.25">
      <c r="A23" s="35">
        <v>4</v>
      </c>
      <c r="B23" s="16" t="s">
        <v>12</v>
      </c>
      <c r="C23" s="16"/>
      <c r="D23" s="16"/>
      <c r="E23" s="10">
        <f>SUM(E21:E22)</f>
        <v>1.0000100000000001</v>
      </c>
      <c r="F23" s="10"/>
      <c r="G23" s="25">
        <v>78.650000000000006</v>
      </c>
      <c r="H23" s="10">
        <f>SUM(H21:H22)</f>
        <v>77.050000000099999</v>
      </c>
      <c r="I23" s="10">
        <f>SUM(I21:I22)</f>
        <v>78.650786500000009</v>
      </c>
      <c r="J23" s="10">
        <f>SUM(J21:J22)</f>
        <v>0</v>
      </c>
      <c r="K23" s="10">
        <v>20</v>
      </c>
      <c r="L23" s="10">
        <f>SUM(L21:L22)</f>
        <v>3.852500000005</v>
      </c>
      <c r="M23" s="22">
        <f>SUM(M21:M22)</f>
        <v>1.6007864999000085</v>
      </c>
      <c r="N23" s="21">
        <f t="shared" si="6"/>
        <v>2.0775944190758351E-2</v>
      </c>
      <c r="O23" s="21">
        <f>(M23-L23)/L23</f>
        <v>-0.58448111618483301</v>
      </c>
      <c r="P23" s="25">
        <v>74.959999999999994</v>
      </c>
      <c r="Q23" s="25">
        <v>78.44</v>
      </c>
      <c r="R23" s="10">
        <f>R62*K23/K62</f>
        <v>1</v>
      </c>
      <c r="S23" s="10">
        <f>MAX(P23,IF(R23&lt;=0,P23,G23-MAX(R23,G23*IF(N23&gt;0,0,-N23))))</f>
        <v>77.650000000000006</v>
      </c>
      <c r="T23" s="10">
        <f>MIN(Q23,IF(R23&lt;=0,Q23,G23+MAX(R23,G23*IF(N23&lt;0,0,N23))))</f>
        <v>78.44</v>
      </c>
      <c r="U23" s="22">
        <f>MAX(MIN(G23*(1-AB23)-MAX(R23,S!E2/E62),S23),0)</f>
        <v>74.694588406346924</v>
      </c>
      <c r="V23" s="22">
        <f>MIN(MAX(IF(N23&gt;0,G23*(1+N23),G23),T23),T23+R23)</f>
        <v>79.44</v>
      </c>
      <c r="W23" s="10">
        <f>MAX(Z23-AA23*(G23-S23),0)</f>
        <v>0</v>
      </c>
      <c r="X23" s="22">
        <f>ROUND(W23/G23,0)</f>
        <v>0</v>
      </c>
      <c r="Y23" s="10">
        <f>IF(G23&gt;S23,E23*(G23-S23),0)</f>
        <v>1.0000100000000001</v>
      </c>
      <c r="Z23" s="10">
        <f>IF(AND(N23&gt;0,N62&gt;0,T23&gt;G23,S!N2&gt;0,AB62&gt;0),N23/AB62*S!N2,0)</f>
        <v>0</v>
      </c>
      <c r="AA23" s="10">
        <f>Z23/G23</f>
        <v>0</v>
      </c>
      <c r="AB23" s="21">
        <f>IF(N23&gt;0,N23,0)</f>
        <v>2.0775944190758351E-2</v>
      </c>
      <c r="AC23" s="10">
        <f>(E23+X23)*MAX(Q23-P23,T23-S23)</f>
        <v>3.4800348000000043</v>
      </c>
      <c r="AE23" s="31"/>
      <c r="AF23" s="22">
        <f>MIN(MAX(G23*(1+AM23)+MAX(R23,S!E2/E62),T23),T23+R23)</f>
        <v>79.44</v>
      </c>
      <c r="AG23" s="22">
        <f>MAX(MIN(IF(N23&lt;0,G23*(1+N23),G23),S23),0)</f>
        <v>77.650000000000006</v>
      </c>
      <c r="AH23" s="10">
        <f>IF(AK23&gt;0,AK23-AL23*(T23-G23),0)</f>
        <v>0</v>
      </c>
      <c r="AI23" s="22">
        <f>ROUND(AH23/G23*K23,0)</f>
        <v>0</v>
      </c>
      <c r="AJ23" s="10">
        <f>IF(G23&lt;T23,E23*(T23-G23),0)</f>
        <v>0</v>
      </c>
      <c r="AK23" s="10">
        <f>IF(AND(N23&lt;0,N62&gt;0,G23&gt;S23,S!N2&gt;0,AB62&gt;0),-N23/AB62*S!N2,0)</f>
        <v>0</v>
      </c>
      <c r="AL23" s="10">
        <f>AK23/G23*K23</f>
        <v>0</v>
      </c>
      <c r="AM23" s="10">
        <f>IF(N23&lt;0,-N23,0)</f>
        <v>0</v>
      </c>
    </row>
    <row r="24" spans="1:39" s="13" customFormat="1" x14ac:dyDescent="0.25">
      <c r="A24" s="11"/>
      <c r="B24" s="17"/>
      <c r="C24" s="17"/>
      <c r="D24" s="17"/>
      <c r="E24" s="14"/>
      <c r="F24" s="14"/>
      <c r="G24" s="26"/>
      <c r="H24" s="14"/>
      <c r="I24" s="14"/>
      <c r="J24" s="14"/>
      <c r="K24" s="14"/>
      <c r="L24" s="14"/>
      <c r="M24" s="27"/>
      <c r="N24" s="20"/>
      <c r="O24" s="20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20"/>
      <c r="AC24" s="17"/>
      <c r="AE24" s="31"/>
      <c r="AF24" s="14"/>
      <c r="AG24" s="14"/>
      <c r="AH24" s="14"/>
      <c r="AI24" s="14"/>
      <c r="AJ24" s="14"/>
      <c r="AK24" s="14"/>
      <c r="AL24" s="14"/>
      <c r="AM24" s="14"/>
    </row>
    <row r="25" spans="1:39" s="8" customFormat="1" x14ac:dyDescent="0.25">
      <c r="A25" s="2">
        <v>44410</v>
      </c>
      <c r="B25" s="1" t="s">
        <v>39</v>
      </c>
      <c r="C25" s="1" t="s">
        <v>40</v>
      </c>
      <c r="D25" s="19">
        <v>1.2999999999999999E-3</v>
      </c>
      <c r="E25" s="3">
        <v>1</v>
      </c>
      <c r="F25" s="3">
        <v>116.73</v>
      </c>
      <c r="G25" s="14">
        <f>G27</f>
        <v>118.84</v>
      </c>
      <c r="H25" s="3">
        <f>E25*F25</f>
        <v>116.73</v>
      </c>
      <c r="I25" s="3">
        <f>E25*G25</f>
        <v>118.84</v>
      </c>
      <c r="J25" s="3"/>
      <c r="K25" s="3">
        <f>K27</f>
        <v>20</v>
      </c>
      <c r="L25" s="3">
        <f>H25/K25</f>
        <v>5.8365</v>
      </c>
      <c r="M25" s="3">
        <f t="shared" ref="M25" si="29">I25-H25+J25</f>
        <v>2.1099999999999994</v>
      </c>
      <c r="N25" s="19">
        <f t="shared" ref="N25:N27" si="30">M25/H25</f>
        <v>1.8075901653388154E-2</v>
      </c>
      <c r="O25" s="19">
        <f>(M25-L25)/L25</f>
        <v>-0.63848196693223691</v>
      </c>
      <c r="P25" s="3"/>
      <c r="Q25" s="3"/>
      <c r="R25" s="3"/>
      <c r="S25" s="3"/>
      <c r="T25" s="3"/>
      <c r="U25" s="3">
        <f>IF(AND(A25&gt;A62,F25&gt;=U27),U27,"")</f>
        <v>114.36926638316353</v>
      </c>
      <c r="V25" s="3"/>
      <c r="W25" s="14"/>
      <c r="X25" s="14"/>
      <c r="Y25" s="14"/>
      <c r="Z25" s="3"/>
      <c r="AA25" s="3"/>
      <c r="AB25" s="19"/>
      <c r="AC25" s="1"/>
      <c r="AE25" s="30"/>
      <c r="AF25" s="14"/>
      <c r="AG25" s="14"/>
      <c r="AH25" s="14"/>
      <c r="AI25" s="14"/>
      <c r="AJ25" s="3"/>
      <c r="AK25" s="3"/>
      <c r="AL25" s="3"/>
      <c r="AM25" s="3"/>
    </row>
    <row r="26" spans="1:39" s="8" customFormat="1" x14ac:dyDescent="0.25">
      <c r="A26" s="2"/>
      <c r="B26" s="1" t="s">
        <v>39</v>
      </c>
      <c r="C26" s="1" t="s">
        <v>40</v>
      </c>
      <c r="D26" s="19"/>
      <c r="E26" s="3">
        <v>1.0000000000000001E-5</v>
      </c>
      <c r="F26" s="3">
        <v>1.0000000000000001E-5</v>
      </c>
      <c r="G26" s="14">
        <f>G27</f>
        <v>118.84</v>
      </c>
      <c r="H26" s="3">
        <f>E26*F26</f>
        <v>1.0000000000000002E-10</v>
      </c>
      <c r="I26" s="3">
        <f>E26*G26</f>
        <v>1.1884E-3</v>
      </c>
      <c r="J26" s="3"/>
      <c r="K26" s="3">
        <f>K27</f>
        <v>20</v>
      </c>
      <c r="L26" s="3">
        <f>H26/K26</f>
        <v>5.0000000000000005E-12</v>
      </c>
      <c r="M26" s="3">
        <f t="shared" ref="M26" si="31">I26-H26+J26</f>
        <v>1.1883999E-3</v>
      </c>
      <c r="N26" s="19">
        <f t="shared" ref="N26" si="32">M26/H26</f>
        <v>11883998.999999998</v>
      </c>
      <c r="O26" s="19">
        <f>(M26-L26)/L26</f>
        <v>237679978.99999997</v>
      </c>
      <c r="P26" s="3"/>
      <c r="Q26" s="3"/>
      <c r="R26" s="3"/>
      <c r="S26" s="3"/>
      <c r="T26" s="3"/>
      <c r="U26" s="3" t="str">
        <f>IF(AND(A26&gt;A62,F26&gt;=U27),U27,"")</f>
        <v/>
      </c>
      <c r="V26" s="3"/>
      <c r="W26" s="14"/>
      <c r="X26" s="14"/>
      <c r="Y26" s="14"/>
      <c r="Z26" s="3"/>
      <c r="AA26" s="3"/>
      <c r="AB26" s="19"/>
      <c r="AC26" s="1"/>
      <c r="AE26" s="30"/>
      <c r="AF26" s="14"/>
      <c r="AG26" s="14"/>
      <c r="AH26" s="14"/>
      <c r="AI26" s="14"/>
      <c r="AJ26" s="3"/>
      <c r="AK26" s="3"/>
      <c r="AL26" s="3"/>
      <c r="AM26" s="3"/>
    </row>
    <row r="27" spans="1:39" s="9" customFormat="1" x14ac:dyDescent="0.25">
      <c r="A27" s="35">
        <v>5</v>
      </c>
      <c r="B27" s="16" t="s">
        <v>12</v>
      </c>
      <c r="C27" s="16"/>
      <c r="D27" s="16"/>
      <c r="E27" s="10">
        <f>SUM(E25:E26)</f>
        <v>1.0000100000000001</v>
      </c>
      <c r="F27" s="10"/>
      <c r="G27" s="25">
        <v>118.84</v>
      </c>
      <c r="H27" s="10">
        <f>SUM(H25:H26)</f>
        <v>116.73000000010001</v>
      </c>
      <c r="I27" s="10">
        <f>SUM(I25:I26)</f>
        <v>118.84118840000001</v>
      </c>
      <c r="J27" s="10">
        <f>SUM(J25:J26)</f>
        <v>0</v>
      </c>
      <c r="K27" s="10">
        <v>20</v>
      </c>
      <c r="L27" s="10">
        <f>SUM(L25:L26)</f>
        <v>5.8365000000049996</v>
      </c>
      <c r="M27" s="22">
        <f>SUM(M25:M26)</f>
        <v>2.1111883998999996</v>
      </c>
      <c r="N27" s="21">
        <f t="shared" si="30"/>
        <v>1.808608241153252E-2</v>
      </c>
      <c r="O27" s="21">
        <f>(M27-L27)/L27</f>
        <v>-0.63827835176934955</v>
      </c>
      <c r="P27" s="25">
        <v>113.55</v>
      </c>
      <c r="Q27" s="25">
        <v>118.88</v>
      </c>
      <c r="R27" s="10">
        <f>R62*K27/K62</f>
        <v>1</v>
      </c>
      <c r="S27" s="10">
        <f>MAX(P27,IF(R27&lt;=0,P27,G27-MAX(R27,G27*IF(N27&gt;0,0,-N27))))</f>
        <v>117.84</v>
      </c>
      <c r="T27" s="10">
        <f>MIN(Q27,IF(R27&lt;=0,Q27,G27+MAX(R27,G27*IF(N27&lt;0,0,N27))))</f>
        <v>118.88</v>
      </c>
      <c r="U27" s="22">
        <f>MAX(MIN(G27*(1-AB27)-MAX(R27,S!E2/E62),S27),0)</f>
        <v>114.36926638316353</v>
      </c>
      <c r="V27" s="22">
        <f>MIN(MAX(IF(N27&gt;0,G27*(1+N27),G27),T27),T27+R27)</f>
        <v>119.88</v>
      </c>
      <c r="W27" s="10">
        <f>MAX(Z27-AA27*(G27-S27),0)</f>
        <v>4.5687331088426202</v>
      </c>
      <c r="X27" s="22">
        <f>ROUND(W27/G27,0)</f>
        <v>0</v>
      </c>
      <c r="Y27" s="10">
        <f>IF(G27&gt;S27,E27*(G27-S27),0)</f>
        <v>1.0000100000000001</v>
      </c>
      <c r="Z27" s="10">
        <f>IF(AND(N27&gt;0,N62&gt;0,T27&gt;G27,S!N2&gt;0,AB62&gt;0),N27/AB62*S!N2,0)</f>
        <v>4.6075037564057792</v>
      </c>
      <c r="AA27" s="10">
        <f>Z27/G27</f>
        <v>3.8770647563158692E-2</v>
      </c>
      <c r="AB27" s="21">
        <f>IF(N27&gt;0,N27,0)</f>
        <v>1.808608241153252E-2</v>
      </c>
      <c r="AC27" s="10">
        <f>(E27+X27)*MAX(Q27-P27,T27-S27)</f>
        <v>5.3300532999999986</v>
      </c>
      <c r="AE27" s="31"/>
      <c r="AF27" s="22">
        <f>MIN(MAX(G27*(1+AM27)+MAX(R27,S!E2/E62),T27),T27+R27)</f>
        <v>119.88</v>
      </c>
      <c r="AG27" s="22">
        <f>MAX(MIN(IF(N27&lt;0,G27*(1+N27),G27),S27),0)</f>
        <v>117.84</v>
      </c>
      <c r="AH27" s="10">
        <f>IF(AK27&gt;0,AK27-AL27*(T27-G27),0)</f>
        <v>0</v>
      </c>
      <c r="AI27" s="22">
        <f>ROUND(AH27/G27*K27,0)</f>
        <v>0</v>
      </c>
      <c r="AJ27" s="10">
        <f>IF(G27&lt;T27,E27*(T27-G27),0)</f>
        <v>4.0000399999992046E-2</v>
      </c>
      <c r="AK27" s="10">
        <f>IF(AND(N27&lt;0,N62&gt;0,G27&gt;S27,S!N2&gt;0,AB62&gt;0),-N27/AB62*S!N2,0)</f>
        <v>0</v>
      </c>
      <c r="AL27" s="10">
        <f>AK27/G27*K27</f>
        <v>0</v>
      </c>
      <c r="AM27" s="10">
        <f>IF(N27&lt;0,-N27,0)</f>
        <v>0</v>
      </c>
    </row>
    <row r="28" spans="1:39" s="13" customFormat="1" x14ac:dyDescent="0.25">
      <c r="A28" s="11"/>
      <c r="B28" s="17"/>
      <c r="C28" s="17"/>
      <c r="D28" s="17"/>
      <c r="E28" s="14"/>
      <c r="F28" s="14"/>
      <c r="G28" s="14"/>
      <c r="H28" s="14"/>
      <c r="I28" s="14"/>
      <c r="J28" s="14"/>
      <c r="K28" s="14"/>
      <c r="L28" s="14"/>
      <c r="M28" s="27"/>
      <c r="N28" s="20"/>
      <c r="O28" s="20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20"/>
      <c r="AC28" s="17"/>
      <c r="AE28" s="31"/>
      <c r="AF28" s="14"/>
      <c r="AG28" s="14"/>
      <c r="AH28" s="14"/>
      <c r="AI28" s="14"/>
      <c r="AJ28" s="14"/>
      <c r="AK28" s="14"/>
      <c r="AL28" s="14"/>
      <c r="AM28" s="14"/>
    </row>
    <row r="29" spans="1:39" s="8" customFormat="1" x14ac:dyDescent="0.25">
      <c r="A29" s="2">
        <v>44420</v>
      </c>
      <c r="B29" s="1" t="s">
        <v>41</v>
      </c>
      <c r="C29" s="1" t="s">
        <v>42</v>
      </c>
      <c r="D29" s="19">
        <v>-1.11E-2</v>
      </c>
      <c r="E29" s="3">
        <v>1</v>
      </c>
      <c r="F29" s="3">
        <v>53.5</v>
      </c>
      <c r="G29" s="14">
        <f>G31</f>
        <v>52.62</v>
      </c>
      <c r="H29" s="3">
        <f>E29*F29</f>
        <v>53.5</v>
      </c>
      <c r="I29" s="3">
        <f>E29*G29</f>
        <v>52.62</v>
      </c>
      <c r="J29" s="3"/>
      <c r="K29" s="3">
        <f>K31</f>
        <v>20</v>
      </c>
      <c r="L29" s="3">
        <f>H29/K29</f>
        <v>2.6749999999999998</v>
      </c>
      <c r="M29" s="3">
        <f t="shared" ref="M29" si="33">I29-H29+J29</f>
        <v>-0.88000000000000256</v>
      </c>
      <c r="N29" s="19">
        <f t="shared" ref="N29:N31" si="34">M29/H29</f>
        <v>-1.644859813084117E-2</v>
      </c>
      <c r="O29" s="19">
        <f>(M29-L29)/L29</f>
        <v>-1.3289719626168235</v>
      </c>
      <c r="P29" s="3"/>
      <c r="Q29" s="3"/>
      <c r="R29" s="3"/>
      <c r="S29" s="3"/>
      <c r="T29" s="3"/>
      <c r="U29" s="3">
        <f>IF(AND(A29&gt;A62,F29&gt;=U31),U31,"")</f>
        <v>50.298616416950061</v>
      </c>
      <c r="V29" s="3"/>
      <c r="W29" s="14"/>
      <c r="X29" s="14"/>
      <c r="Y29" s="14"/>
      <c r="Z29" s="3"/>
      <c r="AA29" s="3"/>
      <c r="AB29" s="19"/>
      <c r="AC29" s="1"/>
      <c r="AE29" s="30"/>
      <c r="AF29" s="14"/>
      <c r="AG29" s="14"/>
      <c r="AH29" s="14"/>
      <c r="AI29" s="14"/>
      <c r="AJ29" s="3"/>
      <c r="AK29" s="3"/>
      <c r="AL29" s="3"/>
      <c r="AM29" s="3"/>
    </row>
    <row r="30" spans="1:39" s="8" customFormat="1" x14ac:dyDescent="0.25">
      <c r="A30" s="2"/>
      <c r="B30" s="1" t="s">
        <v>41</v>
      </c>
      <c r="C30" s="1" t="s">
        <v>42</v>
      </c>
      <c r="D30" s="19"/>
      <c r="E30" s="3">
        <v>1.0000000000000001E-5</v>
      </c>
      <c r="F30" s="3">
        <v>1.0000000000000001E-5</v>
      </c>
      <c r="G30" s="14">
        <f>G31</f>
        <v>52.62</v>
      </c>
      <c r="H30" s="3">
        <f>E30*F30</f>
        <v>1.0000000000000002E-10</v>
      </c>
      <c r="I30" s="3">
        <f>E30*G30</f>
        <v>5.262E-4</v>
      </c>
      <c r="J30" s="3"/>
      <c r="K30" s="3">
        <f>K31</f>
        <v>20</v>
      </c>
      <c r="L30" s="3">
        <f>H30/K30</f>
        <v>5.0000000000000005E-12</v>
      </c>
      <c r="M30" s="3">
        <f t="shared" ref="M30" si="35">I30-H30+J30</f>
        <v>5.2619989999999996E-4</v>
      </c>
      <c r="N30" s="19">
        <f t="shared" ref="N30" si="36">M30/H30</f>
        <v>5261998.9999999991</v>
      </c>
      <c r="O30" s="19">
        <f>(M30-L30)/L30</f>
        <v>105239978.99999999</v>
      </c>
      <c r="P30" s="3"/>
      <c r="Q30" s="3"/>
      <c r="R30" s="3"/>
      <c r="S30" s="3"/>
      <c r="T30" s="3"/>
      <c r="U30" s="3" t="str">
        <f>IF(AND(A30&gt;A62,F30&gt;=U31),U31,"")</f>
        <v/>
      </c>
      <c r="V30" s="3"/>
      <c r="W30" s="14"/>
      <c r="X30" s="14"/>
      <c r="Y30" s="14"/>
      <c r="Z30" s="3"/>
      <c r="AA30" s="3"/>
      <c r="AB30" s="19"/>
      <c r="AC30" s="1"/>
      <c r="AE30" s="30"/>
      <c r="AF30" s="14"/>
      <c r="AG30" s="14"/>
      <c r="AH30" s="14"/>
      <c r="AI30" s="14"/>
      <c r="AJ30" s="3"/>
      <c r="AK30" s="3"/>
      <c r="AL30" s="3"/>
      <c r="AM30" s="3"/>
    </row>
    <row r="31" spans="1:39" s="9" customFormat="1" x14ac:dyDescent="0.25">
      <c r="A31" s="35">
        <v>6</v>
      </c>
      <c r="B31" s="16" t="s">
        <v>12</v>
      </c>
      <c r="C31" s="16"/>
      <c r="D31" s="16"/>
      <c r="E31" s="10">
        <f>SUM(E29:E30)</f>
        <v>1.0000100000000001</v>
      </c>
      <c r="F31" s="10"/>
      <c r="G31" s="25">
        <v>52.62</v>
      </c>
      <c r="H31" s="10">
        <f>SUM(H29:H30)</f>
        <v>53.500000000100002</v>
      </c>
      <c r="I31" s="10">
        <f>SUM(I29:I30)</f>
        <v>52.6205262</v>
      </c>
      <c r="J31" s="10">
        <f>SUM(J29:J30)</f>
        <v>0</v>
      </c>
      <c r="K31" s="10">
        <v>20</v>
      </c>
      <c r="L31" s="10">
        <f>SUM(L29:L30)</f>
        <v>2.6750000000049998</v>
      </c>
      <c r="M31" s="22">
        <f>SUM(M29:M30)</f>
        <v>-0.87947380010000253</v>
      </c>
      <c r="N31" s="21">
        <f t="shared" si="34"/>
        <v>-1.643876261866091E-2</v>
      </c>
      <c r="O31" s="21">
        <f>(M31-L31)/L31</f>
        <v>-1.3287752523732184</v>
      </c>
      <c r="P31" s="25">
        <v>52.44</v>
      </c>
      <c r="Q31" s="25">
        <v>54.31</v>
      </c>
      <c r="R31" s="10">
        <f>R62*K31/K62</f>
        <v>1</v>
      </c>
      <c r="S31" s="10">
        <f>MAX(P31,IF(R31&lt;=0,P31,G31-MAX(R31,G31*IF(N31&gt;0,0,-N31))))</f>
        <v>52.44</v>
      </c>
      <c r="T31" s="10">
        <f>MIN(Q31,IF(R31&lt;=0,Q31,G31+MAX(R31,G31*IF(N31&lt;0,0,N31))))</f>
        <v>53.62</v>
      </c>
      <c r="U31" s="22">
        <f>MAX(MIN(G31*(1-AB31)-MAX(R31,S!E2/E62),S31),0)</f>
        <v>50.298616416950061</v>
      </c>
      <c r="V31" s="22">
        <f>MIN(MAX(IF(N31&gt;0,G31*(1+N31),G31),T31),T31+R31)</f>
        <v>53.62</v>
      </c>
      <c r="W31" s="10">
        <f>MAX(Z31-AA31*(G31-S31),0)</f>
        <v>0</v>
      </c>
      <c r="X31" s="22">
        <f>ROUND(W31/G31,0)</f>
        <v>0</v>
      </c>
      <c r="Y31" s="10">
        <f>IF(G31&gt;S31,E31*(G31-S31),0)</f>
        <v>0.18000179999999974</v>
      </c>
      <c r="Z31" s="10">
        <f>IF(AND(N31&gt;0,N62&gt;0,T31&gt;G31,S!N2&gt;0,AB62&gt;0),N31/AB62*S!N2,0)</f>
        <v>0</v>
      </c>
      <c r="AA31" s="10">
        <f>Z31/G31</f>
        <v>0</v>
      </c>
      <c r="AB31" s="21">
        <f>IF(N31&gt;0,N31,0)</f>
        <v>0</v>
      </c>
      <c r="AC31" s="10">
        <f>(E31+X31)*MAX(Q31-P31,T31-S31)</f>
        <v>1.8700187000000046</v>
      </c>
      <c r="AE31" s="31"/>
      <c r="AF31" s="22">
        <f>MIN(MAX(G31*(1+AM31)+MAX(R31,S!E2/E62),T31),T31+R31)</f>
        <v>54.62</v>
      </c>
      <c r="AG31" s="22">
        <f>MAX(MIN(IF(N31&lt;0,G31*(1+N31),G31),S31),0)</f>
        <v>51.754992311006056</v>
      </c>
      <c r="AH31" s="10">
        <f>IF(AK31&gt;0,AK31-AL31*(T31-G31),0)</f>
        <v>2.5961120299829368</v>
      </c>
      <c r="AI31" s="22">
        <f>ROUND(AH31/G31*K31,0)</f>
        <v>1</v>
      </c>
      <c r="AJ31" s="10">
        <f>IF(G31&lt;T31,E31*(T31-G31),0)</f>
        <v>1.0000100000000001</v>
      </c>
      <c r="AK31" s="10">
        <f>IF(AND(N31&lt;0,N62&gt;0,G31&gt;S31,S!N2&gt;0,AB62&gt;0),-N31/AB62*S!N2,0)</f>
        <v>4.1878422752207891</v>
      </c>
      <c r="AL31" s="10">
        <f>AK31/G31*K31</f>
        <v>1.5917302452378523</v>
      </c>
      <c r="AM31" s="10">
        <f>IF(N31&lt;0,-N31,0)</f>
        <v>1.643876261866091E-2</v>
      </c>
    </row>
    <row r="32" spans="1:39" s="13" customFormat="1" x14ac:dyDescent="0.25">
      <c r="A32" s="11"/>
      <c r="B32" s="17"/>
      <c r="C32" s="17"/>
      <c r="D32" s="17"/>
      <c r="E32" s="14"/>
      <c r="F32" s="14"/>
      <c r="G32" s="14"/>
      <c r="H32" s="14"/>
      <c r="I32" s="14"/>
      <c r="J32" s="14"/>
      <c r="K32" s="14"/>
      <c r="L32" s="14"/>
      <c r="M32" s="27"/>
      <c r="N32" s="20"/>
      <c r="O32" s="20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20"/>
      <c r="AC32" s="17"/>
      <c r="AE32" s="31"/>
      <c r="AF32" s="14"/>
      <c r="AG32" s="14"/>
      <c r="AH32" s="14"/>
      <c r="AI32" s="14"/>
      <c r="AJ32" s="14"/>
      <c r="AK32" s="14"/>
      <c r="AL32" s="14"/>
      <c r="AM32" s="14"/>
    </row>
    <row r="33" spans="1:39" s="8" customFormat="1" x14ac:dyDescent="0.25">
      <c r="A33" s="2">
        <v>44423</v>
      </c>
      <c r="B33" s="1" t="s">
        <v>59</v>
      </c>
      <c r="C33" s="1" t="s">
        <v>60</v>
      </c>
      <c r="D33" s="19"/>
      <c r="E33" s="3">
        <v>1</v>
      </c>
      <c r="F33" s="3">
        <v>459.18490000000003</v>
      </c>
      <c r="G33" s="14">
        <f>G39</f>
        <v>457.93540000000002</v>
      </c>
      <c r="H33" s="3">
        <f t="shared" ref="H33:H38" si="37">E33*F33</f>
        <v>459.18490000000003</v>
      </c>
      <c r="I33" s="3">
        <f t="shared" ref="I33:I38" si="38">E33*G33</f>
        <v>457.93540000000002</v>
      </c>
      <c r="J33" s="3"/>
      <c r="K33" s="3">
        <f>K39</f>
        <v>200</v>
      </c>
      <c r="L33" s="3">
        <f t="shared" ref="L33:L38" si="39">H33/K33</f>
        <v>2.2959244999999999</v>
      </c>
      <c r="M33" s="3">
        <f t="shared" ref="M33" si="40">I33-H33+J33</f>
        <v>-1.2495000000000118</v>
      </c>
      <c r="N33" s="19">
        <f t="shared" ref="N33" si="41">M33/H33</f>
        <v>-2.7211260649032923E-3</v>
      </c>
      <c r="O33" s="19">
        <f t="shared" ref="O33:O39" si="42">(M33-L33)/L33</f>
        <v>-1.5442252129806584</v>
      </c>
      <c r="P33" s="3"/>
      <c r="Q33" s="3"/>
      <c r="R33" s="3"/>
      <c r="S33" s="3"/>
      <c r="T33" s="3"/>
      <c r="U33" s="3">
        <f>IF(AND(A33&gt;A62,F33&gt;=U39),U39,"")</f>
        <v>447.93540000000002</v>
      </c>
      <c r="V33" s="3"/>
      <c r="W33" s="14"/>
      <c r="X33" s="14"/>
      <c r="Y33" s="14"/>
      <c r="Z33" s="3"/>
      <c r="AA33" s="3"/>
      <c r="AB33" s="19"/>
      <c r="AC33" s="1"/>
      <c r="AE33" s="30"/>
      <c r="AF33" s="14"/>
      <c r="AG33" s="14"/>
      <c r="AH33" s="14"/>
      <c r="AI33" s="14"/>
      <c r="AJ33" s="3"/>
      <c r="AK33" s="3"/>
      <c r="AL33" s="3"/>
      <c r="AM33" s="3"/>
    </row>
    <row r="34" spans="1:39" s="8" customFormat="1" x14ac:dyDescent="0.25">
      <c r="A34" s="2">
        <v>44423</v>
      </c>
      <c r="B34" s="1" t="s">
        <v>59</v>
      </c>
      <c r="C34" s="1" t="s">
        <v>60</v>
      </c>
      <c r="D34" s="19"/>
      <c r="E34" s="3">
        <v>1</v>
      </c>
      <c r="F34" s="3">
        <v>457.91640000000001</v>
      </c>
      <c r="G34" s="14">
        <f>G39</f>
        <v>457.93540000000002</v>
      </c>
      <c r="H34" s="3">
        <f t="shared" si="37"/>
        <v>457.91640000000001</v>
      </c>
      <c r="I34" s="3">
        <f t="shared" si="38"/>
        <v>457.93540000000002</v>
      </c>
      <c r="J34" s="3"/>
      <c r="K34" s="3">
        <f>K39</f>
        <v>200</v>
      </c>
      <c r="L34" s="3">
        <f t="shared" si="39"/>
        <v>2.2895820000000002</v>
      </c>
      <c r="M34" s="3">
        <f t="shared" ref="M34" si="43">I34-H34+J34</f>
        <v>1.9000000000005457E-2</v>
      </c>
      <c r="N34" s="19">
        <f t="shared" ref="N34" si="44">M34/H34</f>
        <v>4.1492289859034217E-5</v>
      </c>
      <c r="O34" s="19">
        <f t="shared" si="42"/>
        <v>-0.99170154202819316</v>
      </c>
      <c r="P34" s="3"/>
      <c r="Q34" s="3"/>
      <c r="R34" s="3"/>
      <c r="S34" s="3"/>
      <c r="T34" s="3"/>
      <c r="U34" s="3">
        <f>IF(AND(A34&gt;A62,F34&gt;=U39),U39,"")</f>
        <v>447.93540000000002</v>
      </c>
      <c r="V34" s="3"/>
      <c r="W34" s="14"/>
      <c r="X34" s="14"/>
      <c r="Y34" s="14"/>
      <c r="Z34" s="3"/>
      <c r="AA34" s="3"/>
      <c r="AB34" s="19"/>
      <c r="AC34" s="1"/>
      <c r="AE34" s="30"/>
      <c r="AF34" s="14"/>
      <c r="AG34" s="14"/>
      <c r="AH34" s="14"/>
      <c r="AI34" s="14"/>
      <c r="AJ34" s="3"/>
      <c r="AK34" s="3"/>
      <c r="AL34" s="3"/>
      <c r="AM34" s="3"/>
    </row>
    <row r="35" spans="1:39" s="8" customFormat="1" x14ac:dyDescent="0.25">
      <c r="A35" s="2">
        <v>44424</v>
      </c>
      <c r="B35" s="1" t="s">
        <v>59</v>
      </c>
      <c r="C35" s="1" t="s">
        <v>60</v>
      </c>
      <c r="D35" s="19"/>
      <c r="E35" s="3">
        <v>1</v>
      </c>
      <c r="F35" s="3">
        <v>457.26</v>
      </c>
      <c r="G35" s="14">
        <f>G39</f>
        <v>457.93540000000002</v>
      </c>
      <c r="H35" s="3">
        <f t="shared" si="37"/>
        <v>457.26</v>
      </c>
      <c r="I35" s="3">
        <f t="shared" si="38"/>
        <v>457.93540000000002</v>
      </c>
      <c r="J35" s="3"/>
      <c r="K35" s="3">
        <f>K39</f>
        <v>200</v>
      </c>
      <c r="L35" s="3">
        <f t="shared" si="39"/>
        <v>2.2862999999999998</v>
      </c>
      <c r="M35" s="3">
        <f t="shared" ref="M35:M37" si="45">I35-H35+J35</f>
        <v>0.67540000000002465</v>
      </c>
      <c r="N35" s="19">
        <f t="shared" ref="N35:N37" si="46">M35/H35</f>
        <v>1.4770590036303737E-3</v>
      </c>
      <c r="O35" s="19">
        <f t="shared" si="42"/>
        <v>-0.70458819927392524</v>
      </c>
      <c r="P35" s="3"/>
      <c r="Q35" s="3"/>
      <c r="R35" s="3"/>
      <c r="S35" s="3"/>
      <c r="T35" s="3"/>
      <c r="U35" s="3">
        <f>IF(AND(A35&gt;A62,F35&gt;=U39),U39,"")</f>
        <v>447.93540000000002</v>
      </c>
      <c r="V35" s="3"/>
      <c r="W35" s="14"/>
      <c r="X35" s="14"/>
      <c r="Y35" s="14"/>
      <c r="Z35" s="3"/>
      <c r="AA35" s="3"/>
      <c r="AB35" s="19"/>
      <c r="AC35" s="1"/>
      <c r="AE35" s="30"/>
      <c r="AF35" s="14"/>
      <c r="AG35" s="14"/>
      <c r="AH35" s="14"/>
      <c r="AI35" s="14"/>
      <c r="AJ35" s="3"/>
      <c r="AK35" s="3"/>
      <c r="AL35" s="3"/>
      <c r="AM35" s="3"/>
    </row>
    <row r="36" spans="1:39" s="8" customFormat="1" x14ac:dyDescent="0.25">
      <c r="A36" s="2">
        <v>44425</v>
      </c>
      <c r="B36" s="1" t="s">
        <v>59</v>
      </c>
      <c r="C36" s="1" t="s">
        <v>60</v>
      </c>
      <c r="D36" s="19"/>
      <c r="E36" s="3">
        <v>1</v>
      </c>
      <c r="F36" s="3">
        <v>459</v>
      </c>
      <c r="G36" s="14">
        <f>G39</f>
        <v>457.93540000000002</v>
      </c>
      <c r="H36" s="3">
        <f t="shared" si="37"/>
        <v>459</v>
      </c>
      <c r="I36" s="3">
        <f t="shared" si="38"/>
        <v>457.93540000000002</v>
      </c>
      <c r="J36" s="3"/>
      <c r="K36" s="3">
        <f>K39</f>
        <v>200</v>
      </c>
      <c r="L36" s="3">
        <f t="shared" si="39"/>
        <v>2.2949999999999999</v>
      </c>
      <c r="M36" s="3">
        <f t="shared" si="45"/>
        <v>-1.0645999999999844</v>
      </c>
      <c r="N36" s="19">
        <f t="shared" si="46"/>
        <v>-2.3193899782134736E-3</v>
      </c>
      <c r="O36" s="19">
        <f t="shared" si="42"/>
        <v>-1.4638779956426948</v>
      </c>
      <c r="P36" s="3"/>
      <c r="Q36" s="3"/>
      <c r="R36" s="3"/>
      <c r="S36" s="3"/>
      <c r="T36" s="3"/>
      <c r="U36" s="3">
        <f>IF(AND(A36&gt;A62,F36&gt;=U39),U39,"")</f>
        <v>447.93540000000002</v>
      </c>
      <c r="V36" s="3"/>
      <c r="W36" s="14"/>
      <c r="X36" s="14"/>
      <c r="Y36" s="14"/>
      <c r="Z36" s="3"/>
      <c r="AA36" s="3"/>
      <c r="AB36" s="19"/>
      <c r="AC36" s="1"/>
      <c r="AE36" s="30"/>
      <c r="AF36" s="14"/>
      <c r="AG36" s="14"/>
      <c r="AH36" s="14"/>
      <c r="AI36" s="14"/>
      <c r="AJ36" s="3"/>
      <c r="AK36" s="3"/>
      <c r="AL36" s="3"/>
      <c r="AM36" s="3"/>
    </row>
    <row r="37" spans="1:39" s="8" customFormat="1" x14ac:dyDescent="0.25">
      <c r="A37" s="2">
        <v>44425</v>
      </c>
      <c r="B37" s="1" t="s">
        <v>59</v>
      </c>
      <c r="C37" s="1" t="s">
        <v>60</v>
      </c>
      <c r="D37" s="19"/>
      <c r="E37" s="3">
        <v>1</v>
      </c>
      <c r="F37" s="3">
        <v>459</v>
      </c>
      <c r="G37" s="14">
        <f>G39</f>
        <v>457.93540000000002</v>
      </c>
      <c r="H37" s="3">
        <f t="shared" si="37"/>
        <v>459</v>
      </c>
      <c r="I37" s="3">
        <f t="shared" si="38"/>
        <v>457.93540000000002</v>
      </c>
      <c r="J37" s="3"/>
      <c r="K37" s="3">
        <f>K38</f>
        <v>200</v>
      </c>
      <c r="L37" s="3">
        <f t="shared" si="39"/>
        <v>2.2949999999999999</v>
      </c>
      <c r="M37" s="3">
        <f t="shared" si="45"/>
        <v>-1.0645999999999844</v>
      </c>
      <c r="N37" s="19">
        <f t="shared" si="46"/>
        <v>-2.3193899782134736E-3</v>
      </c>
      <c r="O37" s="19">
        <f t="shared" si="42"/>
        <v>-1.4638779956426948</v>
      </c>
      <c r="P37" s="3"/>
      <c r="Q37" s="3"/>
      <c r="R37" s="3"/>
      <c r="S37" s="3"/>
      <c r="T37" s="3"/>
      <c r="U37" s="3">
        <f>IF(AND(A37&gt;A62,F37&gt;=U39),U39,"")</f>
        <v>447.93540000000002</v>
      </c>
      <c r="V37" s="3"/>
      <c r="W37" s="14"/>
      <c r="X37" s="14"/>
      <c r="Y37" s="14"/>
      <c r="Z37" s="3"/>
      <c r="AA37" s="3"/>
      <c r="AB37" s="19"/>
      <c r="AC37" s="1"/>
      <c r="AE37" s="30"/>
      <c r="AF37" s="14"/>
      <c r="AG37" s="14"/>
      <c r="AH37" s="14"/>
      <c r="AI37" s="14"/>
      <c r="AJ37" s="3"/>
      <c r="AK37" s="3"/>
      <c r="AL37" s="3"/>
      <c r="AM37" s="3"/>
    </row>
    <row r="38" spans="1:39" s="8" customFormat="1" x14ac:dyDescent="0.25">
      <c r="A38" s="2"/>
      <c r="B38" s="1" t="s">
        <v>59</v>
      </c>
      <c r="C38" s="1" t="s">
        <v>60</v>
      </c>
      <c r="D38" s="19"/>
      <c r="E38" s="3">
        <v>1.0000000000000001E-5</v>
      </c>
      <c r="F38" s="3">
        <v>1.0000000000000001E-5</v>
      </c>
      <c r="G38" s="14">
        <f>G39</f>
        <v>457.93540000000002</v>
      </c>
      <c r="H38" s="3">
        <f t="shared" si="37"/>
        <v>1.0000000000000002E-10</v>
      </c>
      <c r="I38" s="3">
        <f t="shared" si="38"/>
        <v>4.5793540000000008E-3</v>
      </c>
      <c r="J38" s="3"/>
      <c r="K38" s="3">
        <f>K39</f>
        <v>200</v>
      </c>
      <c r="L38" s="3">
        <f t="shared" si="39"/>
        <v>5.0000000000000009E-13</v>
      </c>
      <c r="M38" s="3">
        <f t="shared" ref="M38" si="47">I38-H38+J38</f>
        <v>4.5793539000000012E-3</v>
      </c>
      <c r="N38" s="19">
        <f t="shared" ref="N38" si="48">M38/H38</f>
        <v>45793539.000000007</v>
      </c>
      <c r="O38" s="19">
        <f t="shared" si="42"/>
        <v>9158707799</v>
      </c>
      <c r="P38" s="3"/>
      <c r="Q38" s="3"/>
      <c r="R38" s="3"/>
      <c r="S38" s="3"/>
      <c r="T38" s="3"/>
      <c r="U38" s="3" t="str">
        <f>IF(AND(A38&gt;A62,F38&gt;=U39),U39,"")</f>
        <v/>
      </c>
      <c r="V38" s="3"/>
      <c r="W38" s="14"/>
      <c r="X38" s="14"/>
      <c r="Y38" s="14"/>
      <c r="Z38" s="3"/>
      <c r="AA38" s="3"/>
      <c r="AB38" s="19"/>
      <c r="AC38" s="1"/>
      <c r="AE38" s="30"/>
      <c r="AF38" s="14"/>
      <c r="AG38" s="14"/>
      <c r="AH38" s="14"/>
      <c r="AI38" s="14"/>
      <c r="AJ38" s="3"/>
      <c r="AK38" s="3"/>
      <c r="AL38" s="3"/>
      <c r="AM38" s="3"/>
    </row>
    <row r="39" spans="1:39" s="9" customFormat="1" x14ac:dyDescent="0.25">
      <c r="A39" s="35">
        <v>7</v>
      </c>
      <c r="B39" s="16" t="s">
        <v>12</v>
      </c>
      <c r="C39" s="16"/>
      <c r="D39" s="16"/>
      <c r="E39" s="10">
        <f>SUM(E33:E38)</f>
        <v>5.0000099999999996</v>
      </c>
      <c r="F39" s="10"/>
      <c r="G39" s="25">
        <v>457.93540000000002</v>
      </c>
      <c r="H39" s="10">
        <f>SUM(H33:H38)</f>
        <v>2292.3613000001001</v>
      </c>
      <c r="I39" s="10">
        <f>SUM(I33:I38)</f>
        <v>2289.681579354</v>
      </c>
      <c r="J39" s="10">
        <f>SUM(J33:J38)</f>
        <v>0</v>
      </c>
      <c r="K39" s="10">
        <v>200</v>
      </c>
      <c r="L39" s="10">
        <f>SUM(L33:L38)</f>
        <v>11.461806500000499</v>
      </c>
      <c r="M39" s="22">
        <f>SUM(M33:M38)</f>
        <v>-2.6797206460999505</v>
      </c>
      <c r="N39" s="21">
        <f t="shared" ref="N39" si="49">M39/H39</f>
        <v>-1.1689783133661494E-3</v>
      </c>
      <c r="O39" s="21">
        <f t="shared" si="42"/>
        <v>-1.2337956626732298</v>
      </c>
      <c r="P39" s="25">
        <v>434.80619999999999</v>
      </c>
      <c r="Q39" s="25">
        <v>477.77100000000002</v>
      </c>
      <c r="R39" s="10">
        <f>R62*K39/K62</f>
        <v>10</v>
      </c>
      <c r="S39" s="10">
        <f>MAX(P39,IF(R39&lt;=0,P39,G39-MAX(R39,G39*IF(N39&gt;0,0,-N39))))</f>
        <v>447.93540000000002</v>
      </c>
      <c r="T39" s="10">
        <f>MIN(Q39,IF(R39&lt;=0,Q39,G39+MAX(R39,G39*IF(N39&lt;0,0,N39))))</f>
        <v>467.93540000000002</v>
      </c>
      <c r="U39" s="22">
        <f>MAX(MIN(G39*(1-AB39)-MAX(R39,S!E2/E62),S39),0)</f>
        <v>447.93540000000002</v>
      </c>
      <c r="V39" s="22">
        <f>MIN(MAX(IF(N39&gt;0,G39*(1+N39),G39),T39),T39+R39)</f>
        <v>467.93540000000002</v>
      </c>
      <c r="W39" s="10">
        <f>MAX(Z39-AA39*(G39-S39),0)</f>
        <v>0</v>
      </c>
      <c r="X39" s="22">
        <f>ROUND(W39/G39,0)</f>
        <v>0</v>
      </c>
      <c r="Y39" s="10">
        <f>IF(G39&gt;S39,E39*(G39-S39),0)</f>
        <v>50.000099999999996</v>
      </c>
      <c r="Z39" s="10">
        <f>IF(AND(N39&gt;0,N62&gt;0,T39&gt;G39,S!N2&gt;0,AB62&gt;0),N39/AB62*S!N2,0)</f>
        <v>0</v>
      </c>
      <c r="AA39" s="10">
        <f>Z39/G39</f>
        <v>0</v>
      </c>
      <c r="AB39" s="21">
        <f>IF(N39&gt;0,N39,0)</f>
        <v>0</v>
      </c>
      <c r="AC39" s="10">
        <f>(E39+X39)*MAX(Q39-P39,T39-S39)</f>
        <v>214.82442964800012</v>
      </c>
      <c r="AE39" s="31"/>
      <c r="AF39" s="22">
        <f>MIN(MAX(G39*(1+AM39)+MAX(R39,S!E2/E62),T39),T39+R39)</f>
        <v>468.47071655152268</v>
      </c>
      <c r="AG39" s="22">
        <f>MAX(MIN(IF(N39&lt;0,G39*(1+N39),G39),S39),0)</f>
        <v>447.93540000000002</v>
      </c>
      <c r="AH39" s="10">
        <f>IF(AK39&gt;0,AK39-AL39*(T39-G39),0)</f>
        <v>-1.0028269508340095</v>
      </c>
      <c r="AI39" s="22">
        <f>ROUND(AH39/G39*K39,0)</f>
        <v>0</v>
      </c>
      <c r="AJ39" s="10">
        <f>IF(G39&lt;T39,E39*(T39-G39),0)</f>
        <v>50.000099999999996</v>
      </c>
      <c r="AK39" s="10">
        <f>IF(AND(N39&lt;0,N62&gt;0,G39&gt;S39,S!N2&gt;0,AB62&gt;0),-N39/AB62*S!N2,0)</f>
        <v>0.2978020251946335</v>
      </c>
      <c r="AL39" s="10">
        <f>AK39/G39*K39</f>
        <v>0.1300628976028643</v>
      </c>
      <c r="AM39" s="10">
        <f>IF(N39&lt;0,-N39,0)</f>
        <v>1.1689783133661494E-3</v>
      </c>
    </row>
    <row r="40" spans="1:39" s="13" customFormat="1" x14ac:dyDescent="0.25">
      <c r="A40" s="11"/>
      <c r="B40" s="17"/>
      <c r="C40" s="17"/>
      <c r="D40" s="17"/>
      <c r="E40" s="14"/>
      <c r="F40" s="14"/>
      <c r="G40" s="14"/>
      <c r="H40" s="14"/>
      <c r="I40" s="14"/>
      <c r="J40" s="14"/>
      <c r="K40" s="14"/>
      <c r="L40" s="14"/>
      <c r="M40" s="27"/>
      <c r="N40" s="20"/>
      <c r="O40" s="20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20"/>
      <c r="AC40" s="17"/>
      <c r="AE40" s="31"/>
      <c r="AF40" s="14"/>
      <c r="AG40" s="14"/>
      <c r="AH40" s="14"/>
      <c r="AI40" s="14"/>
      <c r="AJ40" s="14"/>
      <c r="AK40" s="14"/>
      <c r="AL40" s="14"/>
      <c r="AM40" s="14"/>
    </row>
    <row r="41" spans="1:39" s="8" customFormat="1" x14ac:dyDescent="0.25">
      <c r="A41" s="2">
        <v>44424</v>
      </c>
      <c r="B41" s="1" t="s">
        <v>61</v>
      </c>
      <c r="C41" s="1" t="s">
        <v>62</v>
      </c>
      <c r="D41" s="19"/>
      <c r="E41" s="3">
        <v>1</v>
      </c>
      <c r="F41" s="3">
        <v>294.08999999999997</v>
      </c>
      <c r="G41" s="14">
        <f>G43</f>
        <v>292.75</v>
      </c>
      <c r="H41" s="3">
        <f>E41*F41</f>
        <v>294.08999999999997</v>
      </c>
      <c r="I41" s="3">
        <f>E41*G41</f>
        <v>292.75</v>
      </c>
      <c r="J41" s="3"/>
      <c r="K41" s="3">
        <f>K43</f>
        <v>20</v>
      </c>
      <c r="L41" s="3">
        <f>H41/K41</f>
        <v>14.704499999999999</v>
      </c>
      <c r="M41" s="3">
        <f t="shared" ref="M41" si="50">I41-H41+J41</f>
        <v>-1.339999999999975</v>
      </c>
      <c r="N41" s="19">
        <f t="shared" ref="N41:N43" si="51">M41/H41</f>
        <v>-4.5564283042605156E-3</v>
      </c>
      <c r="O41" s="19">
        <f>(M41-L41)/L41</f>
        <v>-1.0911285660852104</v>
      </c>
      <c r="P41" s="3"/>
      <c r="Q41" s="3"/>
      <c r="R41" s="3"/>
      <c r="S41" s="3"/>
      <c r="T41" s="3"/>
      <c r="U41" s="3">
        <f>IF(AND(A41&gt;A62,F41&gt;=U43),U43,"")</f>
        <v>290.42861641695004</v>
      </c>
      <c r="V41" s="3"/>
      <c r="W41" s="14"/>
      <c r="X41" s="14"/>
      <c r="Y41" s="14"/>
      <c r="Z41" s="3"/>
      <c r="AA41" s="3"/>
      <c r="AB41" s="19"/>
      <c r="AC41" s="1"/>
      <c r="AE41" s="30"/>
      <c r="AF41" s="14"/>
      <c r="AG41" s="14"/>
      <c r="AH41" s="14"/>
      <c r="AI41" s="14"/>
      <c r="AJ41" s="3"/>
      <c r="AK41" s="3"/>
      <c r="AL41" s="3"/>
      <c r="AM41" s="3"/>
    </row>
    <row r="42" spans="1:39" s="8" customFormat="1" x14ac:dyDescent="0.25">
      <c r="A42" s="2"/>
      <c r="B42" s="1" t="s">
        <v>61</v>
      </c>
      <c r="C42" s="1" t="s">
        <v>62</v>
      </c>
      <c r="D42" s="19"/>
      <c r="E42" s="3">
        <v>1.0000000000000001E-5</v>
      </c>
      <c r="F42" s="3">
        <v>1.0000000000000001E-5</v>
      </c>
      <c r="G42" s="14">
        <f>G43</f>
        <v>292.75</v>
      </c>
      <c r="H42" s="3">
        <f>E42*F42</f>
        <v>1.0000000000000002E-10</v>
      </c>
      <c r="I42" s="3">
        <f>E42*G42</f>
        <v>2.9275000000000004E-3</v>
      </c>
      <c r="J42" s="3"/>
      <c r="K42" s="3">
        <f>K43</f>
        <v>20</v>
      </c>
      <c r="L42" s="3">
        <f>H42/K42</f>
        <v>5.0000000000000005E-12</v>
      </c>
      <c r="M42" s="3">
        <f t="shared" ref="M42" si="52">I42-H42+J42</f>
        <v>2.9274999000000004E-3</v>
      </c>
      <c r="N42" s="19">
        <f t="shared" ref="N42" si="53">M42/H42</f>
        <v>29274999</v>
      </c>
      <c r="O42" s="19">
        <f>(M42-L42)/L42</f>
        <v>585499979</v>
      </c>
      <c r="P42" s="3"/>
      <c r="Q42" s="3"/>
      <c r="R42" s="3"/>
      <c r="S42" s="3"/>
      <c r="T42" s="3"/>
      <c r="U42" s="3" t="str">
        <f>IF(AND(A42&gt;A62,F42&gt;=U43),U43,"")</f>
        <v/>
      </c>
      <c r="V42" s="3"/>
      <c r="W42" s="14"/>
      <c r="X42" s="14"/>
      <c r="Y42" s="14"/>
      <c r="Z42" s="3"/>
      <c r="AA42" s="3"/>
      <c r="AB42" s="19"/>
      <c r="AC42" s="1"/>
      <c r="AE42" s="30"/>
      <c r="AF42" s="14"/>
      <c r="AG42" s="14"/>
      <c r="AH42" s="14"/>
      <c r="AI42" s="14"/>
      <c r="AJ42" s="3"/>
      <c r="AK42" s="3"/>
      <c r="AL42" s="3"/>
      <c r="AM42" s="3"/>
    </row>
    <row r="43" spans="1:39" s="9" customFormat="1" x14ac:dyDescent="0.25">
      <c r="A43" s="35">
        <v>8</v>
      </c>
      <c r="B43" s="16" t="s">
        <v>12</v>
      </c>
      <c r="C43" s="16"/>
      <c r="D43" s="16"/>
      <c r="E43" s="10">
        <f>SUM(E41:E42)</f>
        <v>1.0000100000000001</v>
      </c>
      <c r="F43" s="10"/>
      <c r="G43" s="25">
        <v>292.75</v>
      </c>
      <c r="H43" s="10">
        <f>SUM(H41:H42)</f>
        <v>294.09000000009996</v>
      </c>
      <c r="I43" s="10">
        <f>SUM(I41:I42)</f>
        <v>292.7529275</v>
      </c>
      <c r="J43" s="10">
        <f>SUM(J41:J42)</f>
        <v>0</v>
      </c>
      <c r="K43" s="10">
        <v>20</v>
      </c>
      <c r="L43" s="10">
        <f>SUM(L41:L42)</f>
        <v>14.704500000005</v>
      </c>
      <c r="M43" s="22">
        <f>SUM(M41:M42)</f>
        <v>-1.337072500099975</v>
      </c>
      <c r="N43" s="21">
        <f t="shared" si="51"/>
        <v>-4.546473868882045E-3</v>
      </c>
      <c r="O43" s="21">
        <f>(M43-L43)/L43</f>
        <v>-1.090929477377641</v>
      </c>
      <c r="P43" s="25">
        <v>294.10000000000002</v>
      </c>
      <c r="Q43" s="25">
        <v>284.7</v>
      </c>
      <c r="R43" s="10">
        <f>R62*K43/K62</f>
        <v>1</v>
      </c>
      <c r="S43" s="10">
        <f>MAX(P43,IF(R43&lt;=0,P43,G43-MAX(R43,G43*IF(N43&gt;0,0,-N43))))</f>
        <v>294.10000000000002</v>
      </c>
      <c r="T43" s="10">
        <f>MIN(Q43,IF(R43&lt;=0,Q43,G43+MAX(R43,G43*IF(N43&lt;0,0,N43))))</f>
        <v>284.7</v>
      </c>
      <c r="U43" s="22">
        <f>MAX(MIN(G43*(1-AB43)-MAX(R43,S!E2/E62),S43),0)</f>
        <v>290.42861641695004</v>
      </c>
      <c r="V43" s="22">
        <f>MIN(MAX(IF(N43&gt;0,G43*(1+N43),G43),T43),T43+R43)</f>
        <v>285.7</v>
      </c>
      <c r="W43" s="10">
        <f>MAX(Z43-AA43*(G43-S43),0)</f>
        <v>0</v>
      </c>
      <c r="X43" s="22">
        <f>ROUND(W43/G43,0)</f>
        <v>0</v>
      </c>
      <c r="Y43" s="10">
        <f>IF(G43&gt;S43,E43*(G43-S43),0)</f>
        <v>0</v>
      </c>
      <c r="Z43" s="10">
        <f>IF(AND(N43&gt;0,N62&gt;0,T43&gt;G43,S!N2&gt;0,AB62&gt;0),N43/AB62*S!N2,0)</f>
        <v>0</v>
      </c>
      <c r="AA43" s="10">
        <f>Z43/G43</f>
        <v>0</v>
      </c>
      <c r="AB43" s="21">
        <f>IF(N43&gt;0,N43,0)</f>
        <v>0</v>
      </c>
      <c r="AC43" s="10">
        <f>(E43+X43)*MAX(Q43-P43,T43-S43)</f>
        <v>-9.4000940000000348</v>
      </c>
      <c r="AE43" s="31"/>
      <c r="AF43" s="22">
        <f>MIN(MAX(G43*(1+AM43)+MAX(R43,S!E2/E62),T43),T43+R43)</f>
        <v>285.7</v>
      </c>
      <c r="AG43" s="22">
        <f>MAX(MIN(IF(N43&lt;0,G43*(1+N43),G43),S43),0)</f>
        <v>291.41901977488476</v>
      </c>
      <c r="AH43" s="10">
        <f>IF(AK43&gt;0,AK43-AL43*(T43-G43),0)</f>
        <v>0</v>
      </c>
      <c r="AI43" s="22">
        <f>ROUND(AH43/G43*K43,0)</f>
        <v>0</v>
      </c>
      <c r="AJ43" s="10">
        <f>IF(G43&lt;T43,E43*(T43-G43),0)</f>
        <v>0</v>
      </c>
      <c r="AK43" s="10">
        <f>IF(AND(N43&lt;0,N62&gt;0,G43&gt;S43,S!N2&gt;0,AB62&gt;0),-N43/AB62*S!N2,0)</f>
        <v>0</v>
      </c>
      <c r="AL43" s="10">
        <f>AK43/G43*K43</f>
        <v>0</v>
      </c>
      <c r="AM43" s="10">
        <f>IF(N43&lt;0,-N43,0)</f>
        <v>4.546473868882045E-3</v>
      </c>
    </row>
    <row r="44" spans="1:39" s="13" customFormat="1" x14ac:dyDescent="0.25">
      <c r="A44" s="11"/>
      <c r="B44" s="17"/>
      <c r="C44" s="17"/>
      <c r="D44" s="17"/>
      <c r="E44" s="14"/>
      <c r="F44" s="14"/>
      <c r="G44" s="14"/>
      <c r="H44" s="14"/>
      <c r="I44" s="14"/>
      <c r="J44" s="14"/>
      <c r="K44" s="14"/>
      <c r="L44" s="14"/>
      <c r="M44" s="27"/>
      <c r="N44" s="20"/>
      <c r="O44" s="20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20"/>
      <c r="AC44" s="17"/>
      <c r="AE44" s="31"/>
      <c r="AF44" s="14"/>
      <c r="AG44" s="14"/>
      <c r="AH44" s="14"/>
      <c r="AI44" s="14"/>
      <c r="AJ44" s="14"/>
      <c r="AK44" s="14"/>
      <c r="AL44" s="14"/>
      <c r="AM44" s="14"/>
    </row>
    <row r="45" spans="1:39" s="8" customFormat="1" x14ac:dyDescent="0.25">
      <c r="A45" s="2">
        <v>44424</v>
      </c>
      <c r="B45" s="1" t="s">
        <v>70</v>
      </c>
      <c r="C45" s="1" t="s">
        <v>71</v>
      </c>
      <c r="D45" s="19"/>
      <c r="E45" s="3">
        <v>1</v>
      </c>
      <c r="F45" s="3">
        <v>1773.941</v>
      </c>
      <c r="G45" s="14">
        <f>G47</f>
        <v>1781.7850000000001</v>
      </c>
      <c r="H45" s="3">
        <f>E45*F45</f>
        <v>1773.941</v>
      </c>
      <c r="I45" s="3">
        <f>E45*G45</f>
        <v>1781.7850000000001</v>
      </c>
      <c r="J45" s="3"/>
      <c r="K45" s="3">
        <f>K47</f>
        <v>200</v>
      </c>
      <c r="L45" s="3">
        <f>H45/K45</f>
        <v>8.8697049999999997</v>
      </c>
      <c r="M45" s="3">
        <f t="shared" ref="M45:M46" si="54">I45-H45+J45</f>
        <v>7.8440000000000509</v>
      </c>
      <c r="N45" s="19">
        <f t="shared" ref="N45:N47" si="55">M45/H45</f>
        <v>4.4217930585064838E-3</v>
      </c>
      <c r="O45" s="19">
        <f>(M45-L45)/L45</f>
        <v>-0.11564138829870316</v>
      </c>
      <c r="P45" s="3"/>
      <c r="Q45" s="3"/>
      <c r="R45" s="3"/>
      <c r="S45" s="3"/>
      <c r="T45" s="3"/>
      <c r="U45" s="3">
        <f>IF(AND(A45&gt;A62,F45&gt;=U47),U47,"")</f>
        <v>1763.8884188185045</v>
      </c>
      <c r="V45" s="3"/>
      <c r="W45" s="14"/>
      <c r="X45" s="14"/>
      <c r="Y45" s="14"/>
      <c r="Z45" s="3"/>
      <c r="AA45" s="3"/>
      <c r="AB45" s="19"/>
      <c r="AC45" s="1"/>
      <c r="AE45" s="30"/>
      <c r="AF45" s="14"/>
      <c r="AG45" s="14"/>
      <c r="AH45" s="14"/>
      <c r="AI45" s="14"/>
      <c r="AJ45" s="3"/>
      <c r="AK45" s="3"/>
      <c r="AL45" s="3"/>
      <c r="AM45" s="3"/>
    </row>
    <row r="46" spans="1:39" s="8" customFormat="1" x14ac:dyDescent="0.25">
      <c r="A46" s="2"/>
      <c r="B46" s="1" t="s">
        <v>70</v>
      </c>
      <c r="C46" s="1" t="s">
        <v>71</v>
      </c>
      <c r="D46" s="19"/>
      <c r="E46" s="3">
        <v>1.0000000000000001E-5</v>
      </c>
      <c r="F46" s="3">
        <v>1.0000000000000001E-5</v>
      </c>
      <c r="G46" s="14">
        <f>G47</f>
        <v>1781.7850000000001</v>
      </c>
      <c r="H46" s="3">
        <f>E46*F46</f>
        <v>1.0000000000000002E-10</v>
      </c>
      <c r="I46" s="3">
        <f>E46*G46</f>
        <v>1.7817850000000003E-2</v>
      </c>
      <c r="J46" s="3"/>
      <c r="K46" s="3">
        <f>K47</f>
        <v>200</v>
      </c>
      <c r="L46" s="3">
        <f>H46/K46</f>
        <v>5.0000000000000009E-13</v>
      </c>
      <c r="M46" s="3">
        <f t="shared" si="54"/>
        <v>1.7817849900000002E-2</v>
      </c>
      <c r="N46" s="19">
        <f t="shared" si="55"/>
        <v>178178499</v>
      </c>
      <c r="O46" s="19">
        <f>(M46-L46)/L46</f>
        <v>35635699799</v>
      </c>
      <c r="P46" s="3"/>
      <c r="Q46" s="3"/>
      <c r="R46" s="3"/>
      <c r="S46" s="3"/>
      <c r="T46" s="3"/>
      <c r="U46" s="3" t="str">
        <f>IF(AND(A46&gt;A62,F46&gt;=U47),U47,"")</f>
        <v/>
      </c>
      <c r="V46" s="3"/>
      <c r="W46" s="14"/>
      <c r="X46" s="14"/>
      <c r="Y46" s="14"/>
      <c r="Z46" s="3"/>
      <c r="AA46" s="3"/>
      <c r="AB46" s="19"/>
      <c r="AC46" s="1"/>
      <c r="AE46" s="30"/>
      <c r="AF46" s="14"/>
      <c r="AG46" s="14"/>
      <c r="AH46" s="14"/>
      <c r="AI46" s="14"/>
      <c r="AJ46" s="3"/>
      <c r="AK46" s="3"/>
      <c r="AL46" s="3"/>
      <c r="AM46" s="3"/>
    </row>
    <row r="47" spans="1:39" s="9" customFormat="1" x14ac:dyDescent="0.25">
      <c r="A47" s="35">
        <v>9</v>
      </c>
      <c r="B47" s="16" t="s">
        <v>12</v>
      </c>
      <c r="C47" s="16"/>
      <c r="D47" s="16"/>
      <c r="E47" s="10">
        <f>SUM(E45:E46)</f>
        <v>1.0000100000000001</v>
      </c>
      <c r="F47" s="10"/>
      <c r="G47" s="25">
        <v>1781.7850000000001</v>
      </c>
      <c r="H47" s="10">
        <f>SUM(H45:H46)</f>
        <v>1773.9410000001001</v>
      </c>
      <c r="I47" s="10">
        <f>SUM(I45:I46)</f>
        <v>1781.8028178500001</v>
      </c>
      <c r="J47" s="10">
        <f>SUM(J45:J46)</f>
        <v>0</v>
      </c>
      <c r="K47" s="10">
        <v>200</v>
      </c>
      <c r="L47" s="10">
        <f>SUM(L45:L46)</f>
        <v>8.8697050000004989</v>
      </c>
      <c r="M47" s="22">
        <f>SUM(M45:M46)</f>
        <v>7.8618178499000511</v>
      </c>
      <c r="N47" s="21">
        <f t="shared" si="55"/>
        <v>4.4318372763804473E-3</v>
      </c>
      <c r="O47" s="21">
        <f>(M47-L47)/L47</f>
        <v>-0.11363254472391034</v>
      </c>
      <c r="P47" s="25">
        <v>1726.89</v>
      </c>
      <c r="Q47" s="25">
        <v>1788</v>
      </c>
      <c r="R47" s="10">
        <f>R62*K47/K62</f>
        <v>10</v>
      </c>
      <c r="S47" s="10">
        <f>MAX(P47,IF(R47&lt;=0,P47,G47-MAX(R47,G47*IF(N47&gt;0,0,-N47))))</f>
        <v>1771.7850000000001</v>
      </c>
      <c r="T47" s="10">
        <f>MIN(Q47,IF(R47&lt;=0,Q47,G47+MAX(R47,G47*IF(N47&lt;0,0,N47))))</f>
        <v>1788</v>
      </c>
      <c r="U47" s="22">
        <f>MAX(MIN(G47*(1-AB47)-MAX(R47,S!E2/E62),S47),0)</f>
        <v>1763.8884188185045</v>
      </c>
      <c r="V47" s="22">
        <f>MIN(MAX(IF(N47&gt;0,G47*(1+N47),G47),T47),T47+R47)</f>
        <v>1789.6815811814959</v>
      </c>
      <c r="W47" s="10">
        <f>MAX(Z47-AA47*(G47-S47),0)</f>
        <v>0</v>
      </c>
      <c r="X47" s="22">
        <f>ROUND(W47/G47,0)</f>
        <v>0</v>
      </c>
      <c r="Y47" s="10">
        <f>IF(G47&gt;S47,E47*(G47-S47),0)</f>
        <v>10.0001</v>
      </c>
      <c r="Z47" s="10">
        <f>IF(AND(N47&gt;0,N66&gt;0,T47&gt;G47,S!N2&gt;0,AB66&gt;0),N47/AB66*S!N2,0)</f>
        <v>0</v>
      </c>
      <c r="AA47" s="10">
        <f>Z47/G47</f>
        <v>0</v>
      </c>
      <c r="AB47" s="21">
        <f>IF(N47&gt;0,N47,0)</f>
        <v>4.4318372763804473E-3</v>
      </c>
      <c r="AC47" s="10">
        <f>(E47+X47)*MAX(Q47-P47,T47-S47)</f>
        <v>61.110611099999907</v>
      </c>
      <c r="AE47" s="31"/>
      <c r="AF47" s="22">
        <f>MIN(MAX(G47*(1+AM47)+MAX(R47,S!E2/E62),T47),T47+R47)</f>
        <v>1791.7850000000001</v>
      </c>
      <c r="AG47" s="22">
        <f>MAX(MIN(IF(N47&lt;0,G47*(1+N47),G47),S47),0)</f>
        <v>1771.7850000000001</v>
      </c>
      <c r="AH47" s="10">
        <f>IF(AK47&gt;0,AK47-AL47*(T47-G47),0)</f>
        <v>0</v>
      </c>
      <c r="AI47" s="22">
        <f>ROUND(AH47/G47*K47,0)</f>
        <v>0</v>
      </c>
      <c r="AJ47" s="10">
        <f>IF(G47&lt;T47,E47*(T47-G47),0)</f>
        <v>6.2150621499999188</v>
      </c>
      <c r="AK47" s="10">
        <f>IF(AND(N47&lt;0,N66&gt;0,G47&gt;S47,S!N2&gt;0,AB66&gt;0),-N47/AB66*S!N2,0)</f>
        <v>0</v>
      </c>
      <c r="AL47" s="10">
        <f>AK47/G47*K47</f>
        <v>0</v>
      </c>
      <c r="AM47" s="10">
        <f>IF(N47&lt;0,-N47,0)</f>
        <v>0</v>
      </c>
    </row>
    <row r="48" spans="1:39" s="13" customFormat="1" x14ac:dyDescent="0.25">
      <c r="A48" s="11"/>
      <c r="B48" s="17"/>
      <c r="C48" s="17"/>
      <c r="D48" s="17"/>
      <c r="E48" s="14"/>
      <c r="F48" s="14"/>
      <c r="G48" s="14"/>
      <c r="H48" s="14"/>
      <c r="I48" s="14"/>
      <c r="J48" s="14"/>
      <c r="K48" s="14"/>
      <c r="L48" s="14"/>
      <c r="M48" s="27"/>
      <c r="N48" s="20"/>
      <c r="O48" s="20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20"/>
      <c r="AC48" s="17"/>
      <c r="AE48" s="31"/>
      <c r="AF48" s="14"/>
      <c r="AG48" s="14"/>
      <c r="AH48" s="14"/>
      <c r="AI48" s="14"/>
      <c r="AJ48" s="14"/>
      <c r="AK48" s="14"/>
      <c r="AL48" s="14"/>
      <c r="AM48" s="14"/>
    </row>
    <row r="49" spans="1:39" s="8" customFormat="1" x14ac:dyDescent="0.25">
      <c r="A49" s="2">
        <v>44425</v>
      </c>
      <c r="B49" s="1" t="s">
        <v>88</v>
      </c>
      <c r="C49" s="1" t="s">
        <v>89</v>
      </c>
      <c r="D49" s="19"/>
      <c r="E49" s="3">
        <v>1</v>
      </c>
      <c r="F49" s="3">
        <v>323.64100000000002</v>
      </c>
      <c r="G49" s="14">
        <f>G52</f>
        <v>318.82499999999999</v>
      </c>
      <c r="H49" s="3">
        <f>E49*F49</f>
        <v>323.64100000000002</v>
      </c>
      <c r="I49" s="3">
        <f>E49*G49</f>
        <v>318.82499999999999</v>
      </c>
      <c r="J49" s="3"/>
      <c r="K49" s="3">
        <f>K52</f>
        <v>200</v>
      </c>
      <c r="L49" s="3">
        <f>H49/K49</f>
        <v>1.6182050000000001</v>
      </c>
      <c r="M49" s="3">
        <f t="shared" ref="M49:M50" si="56">I49-H49+J49</f>
        <v>-4.8160000000000309</v>
      </c>
      <c r="N49" s="19">
        <f t="shared" ref="N49:N52" si="57">M49/H49</f>
        <v>-1.4880685698042061E-2</v>
      </c>
      <c r="O49" s="19">
        <f>(M49-L49)/L49</f>
        <v>-3.976137139608412</v>
      </c>
      <c r="P49" s="3"/>
      <c r="Q49" s="3"/>
      <c r="R49" s="3"/>
      <c r="S49" s="3"/>
      <c r="T49" s="3"/>
      <c r="U49" s="3">
        <f>IF(AND(A49&gt;A62,F49&gt;=U52),U52,"")</f>
        <v>308.82499999999999</v>
      </c>
      <c r="V49" s="3"/>
      <c r="W49" s="14"/>
      <c r="X49" s="14"/>
      <c r="Y49" s="14"/>
      <c r="Z49" s="3"/>
      <c r="AA49" s="3"/>
      <c r="AB49" s="19"/>
      <c r="AC49" s="1"/>
      <c r="AE49" s="30"/>
      <c r="AF49" s="14"/>
      <c r="AG49" s="14"/>
      <c r="AH49" s="14"/>
      <c r="AI49" s="14"/>
      <c r="AJ49" s="3"/>
      <c r="AK49" s="3"/>
      <c r="AL49" s="3"/>
      <c r="AM49" s="3"/>
    </row>
    <row r="50" spans="1:39" s="8" customFormat="1" x14ac:dyDescent="0.25">
      <c r="A50" s="2">
        <v>44425</v>
      </c>
      <c r="B50" s="1" t="s">
        <v>88</v>
      </c>
      <c r="C50" s="1" t="s">
        <v>89</v>
      </c>
      <c r="D50" s="19"/>
      <c r="E50" s="3">
        <v>1</v>
      </c>
      <c r="F50" s="3">
        <v>324.29599999999999</v>
      </c>
      <c r="G50" s="14">
        <f>G52</f>
        <v>318.82499999999999</v>
      </c>
      <c r="H50" s="3">
        <f>E50*F50</f>
        <v>324.29599999999999</v>
      </c>
      <c r="I50" s="3">
        <f>E50*G50</f>
        <v>318.82499999999999</v>
      </c>
      <c r="J50" s="3"/>
      <c r="K50" s="3">
        <f>K52</f>
        <v>200</v>
      </c>
      <c r="L50" s="3">
        <f>H50/K50</f>
        <v>1.62148</v>
      </c>
      <c r="M50" s="3">
        <f t="shared" si="56"/>
        <v>-5.4710000000000036</v>
      </c>
      <c r="N50" s="19">
        <f t="shared" si="57"/>
        <v>-1.6870390014061241E-2</v>
      </c>
      <c r="O50" s="19">
        <f>(M50-L50)/L50</f>
        <v>-4.3740780028122481</v>
      </c>
      <c r="P50" s="3"/>
      <c r="Q50" s="3"/>
      <c r="R50" s="3"/>
      <c r="S50" s="3"/>
      <c r="T50" s="3"/>
      <c r="U50" s="3">
        <f>IF(AND(A50&gt;A62,F50&gt;=U52),U52,"")</f>
        <v>308.82499999999999</v>
      </c>
      <c r="V50" s="3"/>
      <c r="W50" s="14"/>
      <c r="X50" s="14"/>
      <c r="Y50" s="14"/>
      <c r="Z50" s="3"/>
      <c r="AA50" s="3"/>
      <c r="AB50" s="19"/>
      <c r="AC50" s="1"/>
      <c r="AE50" s="30"/>
      <c r="AF50" s="14"/>
      <c r="AG50" s="14"/>
      <c r="AH50" s="14"/>
      <c r="AI50" s="14"/>
      <c r="AJ50" s="3"/>
      <c r="AK50" s="3"/>
      <c r="AL50" s="3"/>
      <c r="AM50" s="3"/>
    </row>
    <row r="51" spans="1:39" s="8" customFormat="1" x14ac:dyDescent="0.25">
      <c r="A51" s="2"/>
      <c r="B51" s="1"/>
      <c r="C51" s="1"/>
      <c r="D51" s="19"/>
      <c r="E51" s="3">
        <v>1.0000000000000001E-5</v>
      </c>
      <c r="F51" s="3">
        <v>1.0000000000000001E-5</v>
      </c>
      <c r="G51" s="14">
        <f>G52</f>
        <v>318.82499999999999</v>
      </c>
      <c r="H51" s="3">
        <f>E51*F51</f>
        <v>1.0000000000000002E-10</v>
      </c>
      <c r="I51" s="3">
        <f>E51*G51</f>
        <v>3.1882500000000001E-3</v>
      </c>
      <c r="J51" s="3"/>
      <c r="K51" s="3">
        <f>K52</f>
        <v>200</v>
      </c>
      <c r="L51" s="3">
        <f>H51/K51</f>
        <v>5.0000000000000009E-13</v>
      </c>
      <c r="M51" s="3">
        <f t="shared" ref="M51" si="58">I51-H51+J51</f>
        <v>3.1882499000000001E-3</v>
      </c>
      <c r="N51" s="19">
        <f t="shared" ref="N51" si="59">M51/H51</f>
        <v>31882498.999999996</v>
      </c>
      <c r="O51" s="19">
        <f>(M51-L51)/L51</f>
        <v>6376499798.9999981</v>
      </c>
      <c r="P51" s="3"/>
      <c r="Q51" s="3"/>
      <c r="R51" s="3"/>
      <c r="S51" s="3"/>
      <c r="T51" s="3"/>
      <c r="U51" s="3" t="str">
        <f>IF(AND(A51&gt;A62,F51&gt;=U52),U52,"")</f>
        <v/>
      </c>
      <c r="V51" s="3"/>
      <c r="W51" s="14"/>
      <c r="X51" s="14"/>
      <c r="Y51" s="14"/>
      <c r="Z51" s="3"/>
      <c r="AA51" s="3"/>
      <c r="AB51" s="19"/>
      <c r="AC51" s="1"/>
      <c r="AE51" s="30"/>
      <c r="AF51" s="14"/>
      <c r="AG51" s="14"/>
      <c r="AH51" s="14"/>
      <c r="AI51" s="14"/>
      <c r="AJ51" s="3"/>
      <c r="AK51" s="3"/>
      <c r="AL51" s="3"/>
      <c r="AM51" s="3"/>
    </row>
    <row r="52" spans="1:39" s="9" customFormat="1" x14ac:dyDescent="0.25">
      <c r="A52" s="35">
        <v>10</v>
      </c>
      <c r="B52" s="16" t="s">
        <v>12</v>
      </c>
      <c r="C52" s="16"/>
      <c r="D52" s="16"/>
      <c r="E52" s="10">
        <f>SUM(E49:E51)</f>
        <v>2.0000100000000001</v>
      </c>
      <c r="F52" s="10"/>
      <c r="G52" s="25">
        <v>318.82499999999999</v>
      </c>
      <c r="H52" s="10">
        <f>SUM(H49:H51)</f>
        <v>647.93700000010006</v>
      </c>
      <c r="I52" s="10">
        <f>SUM(I49:I51)</f>
        <v>637.65318824999997</v>
      </c>
      <c r="J52" s="10">
        <f>SUM(J49:J51)</f>
        <v>0</v>
      </c>
      <c r="K52" s="10">
        <v>200</v>
      </c>
      <c r="L52" s="10">
        <f>SUM(L49:L51)</f>
        <v>3.2396850000005002</v>
      </c>
      <c r="M52" s="22">
        <f>SUM(M49:M51)</f>
        <v>-10.283811750100034</v>
      </c>
      <c r="N52" s="21">
        <f t="shared" si="57"/>
        <v>-1.5871622935715118E-2</v>
      </c>
      <c r="O52" s="21">
        <f>(M52-L52)/L52</f>
        <v>-4.1743245871430235</v>
      </c>
      <c r="P52" s="25">
        <v>302.69</v>
      </c>
      <c r="Q52" s="25">
        <v>332.11</v>
      </c>
      <c r="R52" s="10">
        <f>R62*K52/K62</f>
        <v>10</v>
      </c>
      <c r="S52" s="10">
        <f>MAX(P52,IF(R52&lt;=0,P52,G52-MAX(R52,G52*IF(N52&gt;0,0,-N52))))</f>
        <v>308.82499999999999</v>
      </c>
      <c r="T52" s="10">
        <f>MIN(Q52,IF(R52&lt;=0,Q52,G52+MAX(R52,G52*IF(N52&lt;0,0,N52))))</f>
        <v>328.82499999999999</v>
      </c>
      <c r="U52" s="22">
        <f>MAX(MIN(G52*(1-AB52)-MAX(R52,S!E2/E62),S52),0)</f>
        <v>308.82499999999999</v>
      </c>
      <c r="V52" s="22">
        <f>MIN(MAX(IF(N52&gt;0,G52*(1+N52),G52),T52),T52+R52)</f>
        <v>328.82499999999999</v>
      </c>
      <c r="W52" s="10">
        <f>MAX(Z52-AA52*(G52-S52),0)</f>
        <v>0</v>
      </c>
      <c r="X52" s="22">
        <f>ROUND(W52/G52,0)</f>
        <v>0</v>
      </c>
      <c r="Y52" s="10">
        <f>IF(G52&gt;S52,E52*(G52-S52),0)</f>
        <v>20.0001</v>
      </c>
      <c r="Z52" s="10">
        <f>IF(AND(N52&gt;0,N62&gt;0,T52&gt;G52,S!N2&gt;0,AB62&gt;0),N52/AB62*S!N2,0)</f>
        <v>0</v>
      </c>
      <c r="AA52" s="10">
        <f>Z52/G52</f>
        <v>0</v>
      </c>
      <c r="AB52" s="21">
        <f>IF(N52&gt;0,N52,0)</f>
        <v>0</v>
      </c>
      <c r="AC52" s="10">
        <f>(E52+X52)*MAX(Q52-P52,T52-S52)</f>
        <v>58.840294200000031</v>
      </c>
      <c r="AE52" s="31"/>
      <c r="AF52" s="22">
        <f>MIN(MAX(G52*(1+AM52)+MAX(R52,S!E2/E62),T52),T52+R52)</f>
        <v>333.88527018247936</v>
      </c>
      <c r="AG52" s="22">
        <f>MAX(MAX(MIN(IF(N52&lt;0,G52*(1+N52),G52),S52),0),0)</f>
        <v>308.82499999999999</v>
      </c>
      <c r="AH52" s="10">
        <f>IF(AK52&gt;0,AK52-AL52*(T52-G52),0)</f>
        <v>-21.320779794443688</v>
      </c>
      <c r="AI52" s="22">
        <f>ROUND(AH52/G52*K52,0)</f>
        <v>-13</v>
      </c>
      <c r="AJ52" s="10">
        <f>IF(G52&lt;T52,E52*(T52-G52),0)</f>
        <v>20.0001</v>
      </c>
      <c r="AK52" s="10">
        <f>IF(AND(N52&lt;0,N62&gt;0,G52&gt;S52,S!N2&gt;0,AB62&gt;0),-N52/AB62*S!N2,0)</f>
        <v>4.0433611122955728</v>
      </c>
      <c r="AL52" s="10">
        <f>AK52/G52*K52</f>
        <v>2.5364140906739263</v>
      </c>
      <c r="AM52" s="10">
        <f>IF(N52&lt;0,-N52,0)</f>
        <v>1.5871622935715118E-2</v>
      </c>
    </row>
    <row r="53" spans="1:39" s="13" customFormat="1" x14ac:dyDescent="0.25">
      <c r="A53" s="11"/>
      <c r="B53" s="17"/>
      <c r="C53" s="17"/>
      <c r="D53" s="17"/>
      <c r="E53" s="14"/>
      <c r="F53" s="14"/>
      <c r="G53" s="14"/>
      <c r="H53" s="14"/>
      <c r="I53" s="14"/>
      <c r="J53" s="14"/>
      <c r="K53" s="14"/>
      <c r="L53" s="14"/>
      <c r="M53" s="27"/>
      <c r="N53" s="20"/>
      <c r="O53" s="20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20"/>
      <c r="AC53" s="17"/>
      <c r="AE53" s="31"/>
      <c r="AF53" s="14"/>
      <c r="AG53" s="14"/>
      <c r="AH53" s="14"/>
      <c r="AI53" s="14"/>
      <c r="AJ53" s="14"/>
      <c r="AK53" s="14"/>
      <c r="AL53" s="14"/>
      <c r="AM53" s="14"/>
    </row>
    <row r="54" spans="1:39" s="8" customFormat="1" x14ac:dyDescent="0.25">
      <c r="A54" s="2"/>
      <c r="B54" s="1"/>
      <c r="C54" s="1"/>
      <c r="D54" s="19"/>
      <c r="E54" s="3">
        <v>1.0000000000000001E-5</v>
      </c>
      <c r="F54" s="3">
        <v>1.0000000000000001E-5</v>
      </c>
      <c r="G54" s="14">
        <f>G56</f>
        <v>1.0000000000000001E-5</v>
      </c>
      <c r="H54" s="3">
        <f>E54*F54</f>
        <v>1.0000000000000002E-10</v>
      </c>
      <c r="I54" s="3">
        <f>E54*G54</f>
        <v>1.0000000000000002E-10</v>
      </c>
      <c r="J54" s="3"/>
      <c r="K54" s="3">
        <f>K56</f>
        <v>20</v>
      </c>
      <c r="L54" s="3">
        <f>H54/K54</f>
        <v>5.0000000000000005E-12</v>
      </c>
      <c r="M54" s="3">
        <f t="shared" ref="M54:M55" si="60">I54-H54+J54</f>
        <v>0</v>
      </c>
      <c r="N54" s="19">
        <f t="shared" ref="N54:N56" si="61">M54/H54</f>
        <v>0</v>
      </c>
      <c r="O54" s="19">
        <f>(M54-L54)/L54</f>
        <v>-1</v>
      </c>
      <c r="P54" s="3"/>
      <c r="Q54" s="3"/>
      <c r="R54" s="3"/>
      <c r="S54" s="3"/>
      <c r="T54" s="3"/>
      <c r="U54" s="3" t="str">
        <f>IF(AND(A54&gt;A66,F54&gt;=U56),U56,"")</f>
        <v/>
      </c>
      <c r="V54" s="3"/>
      <c r="W54" s="14"/>
      <c r="X54" s="14"/>
      <c r="Y54" s="14"/>
      <c r="Z54" s="3"/>
      <c r="AA54" s="3"/>
      <c r="AB54" s="19"/>
      <c r="AC54" s="1"/>
      <c r="AE54" s="30"/>
      <c r="AF54" s="14"/>
      <c r="AG54" s="14"/>
      <c r="AH54" s="14"/>
      <c r="AI54" s="14"/>
      <c r="AJ54" s="3"/>
      <c r="AK54" s="3"/>
      <c r="AL54" s="3"/>
      <c r="AM54" s="3"/>
    </row>
    <row r="55" spans="1:39" s="8" customFormat="1" x14ac:dyDescent="0.25">
      <c r="A55" s="2"/>
      <c r="B55" s="1"/>
      <c r="C55" s="1"/>
      <c r="D55" s="19"/>
      <c r="E55" s="3">
        <v>1.0000000000000001E-5</v>
      </c>
      <c r="F55" s="3">
        <v>1.0000000000000001E-5</v>
      </c>
      <c r="G55" s="14">
        <f>G56</f>
        <v>1.0000000000000001E-5</v>
      </c>
      <c r="H55" s="3">
        <f>E55*F55</f>
        <v>1.0000000000000002E-10</v>
      </c>
      <c r="I55" s="3">
        <f>E55*G55</f>
        <v>1.0000000000000002E-10</v>
      </c>
      <c r="J55" s="3"/>
      <c r="K55" s="3">
        <f>K56</f>
        <v>20</v>
      </c>
      <c r="L55" s="3">
        <f>H55/K55</f>
        <v>5.0000000000000005E-12</v>
      </c>
      <c r="M55" s="3">
        <f t="shared" si="60"/>
        <v>0</v>
      </c>
      <c r="N55" s="19">
        <f t="shared" si="61"/>
        <v>0</v>
      </c>
      <c r="O55" s="19">
        <f>(M55-L55)/L55</f>
        <v>-1</v>
      </c>
      <c r="P55" s="3"/>
      <c r="Q55" s="3"/>
      <c r="R55" s="3"/>
      <c r="S55" s="3"/>
      <c r="T55" s="3"/>
      <c r="U55" s="3" t="str">
        <f>IF(AND(A55&gt;A66,F55&gt;=U56),U56,"")</f>
        <v/>
      </c>
      <c r="V55" s="3"/>
      <c r="W55" s="14"/>
      <c r="X55" s="14"/>
      <c r="Y55" s="14"/>
      <c r="Z55" s="3"/>
      <c r="AA55" s="3"/>
      <c r="AB55" s="19"/>
      <c r="AC55" s="1"/>
      <c r="AE55" s="30"/>
      <c r="AF55" s="14"/>
      <c r="AG55" s="14"/>
      <c r="AH55" s="14"/>
      <c r="AI55" s="14"/>
      <c r="AJ55" s="3"/>
      <c r="AK55" s="3"/>
      <c r="AL55" s="3"/>
      <c r="AM55" s="3"/>
    </row>
    <row r="56" spans="1:39" s="9" customFormat="1" x14ac:dyDescent="0.25">
      <c r="A56" s="39"/>
      <c r="B56" s="16" t="s">
        <v>12</v>
      </c>
      <c r="C56" s="16"/>
      <c r="D56" s="16"/>
      <c r="E56" s="10">
        <f>SUM(E54:E55)</f>
        <v>2.0000000000000002E-5</v>
      </c>
      <c r="F56" s="10"/>
      <c r="G56" s="25">
        <v>1.0000000000000001E-5</v>
      </c>
      <c r="H56" s="10">
        <f>SUM(H54:H55)</f>
        <v>2.0000000000000003E-10</v>
      </c>
      <c r="I56" s="10">
        <f>SUM(I54:I55)</f>
        <v>2.0000000000000003E-10</v>
      </c>
      <c r="J56" s="10">
        <f>SUM(J54:J55)</f>
        <v>0</v>
      </c>
      <c r="K56" s="10">
        <v>20</v>
      </c>
      <c r="L56" s="10">
        <f>SUM(L54:L55)</f>
        <v>1.0000000000000001E-11</v>
      </c>
      <c r="M56" s="22">
        <f>SUM(M54:M55)</f>
        <v>0</v>
      </c>
      <c r="N56" s="21">
        <f t="shared" si="61"/>
        <v>0</v>
      </c>
      <c r="O56" s="21">
        <f>(M56-L56)/L56</f>
        <v>-1</v>
      </c>
      <c r="P56" s="25">
        <v>1.0000000000000001E-5</v>
      </c>
      <c r="Q56" s="25">
        <v>1.0000000000000001E-5</v>
      </c>
      <c r="R56" s="10">
        <f>R62*K56/K62</f>
        <v>1</v>
      </c>
      <c r="S56" s="10">
        <f>MAX(P56,IF(R56&lt;=0,P56,G56-MAX(R56,G56*IF(N56&gt;0,0,-N56))))</f>
        <v>1.0000000000000001E-5</v>
      </c>
      <c r="T56" s="10">
        <f>MIN(Q56,IF(R56&lt;=0,Q56,G56+MAX(R56,G56*IF(N56&lt;0,0,N56))))</f>
        <v>1.0000000000000001E-5</v>
      </c>
      <c r="U56" s="22">
        <f>MAX(MIN(G56*(1-AB56)-MAX(R56,S!E2/E62),S56),0)</f>
        <v>0</v>
      </c>
      <c r="V56" s="22">
        <f>MIN(MAX(IF(N56&gt;0,G56*(1+N56),G56),T56),T56+R56)</f>
        <v>1.0000000000000001E-5</v>
      </c>
      <c r="W56" s="10">
        <f>MAX(Z56-AA56*(G56-S56),0)</f>
        <v>0</v>
      </c>
      <c r="X56" s="22">
        <f>ROUND(W56/G56,0)</f>
        <v>0</v>
      </c>
      <c r="Y56" s="10">
        <f>IF(G56&gt;S56,E56*(G56-S56),0)</f>
        <v>0</v>
      </c>
      <c r="Z56" s="10">
        <f>IF(AND(N56&gt;0,N62&gt;0,T56&gt;G56,S!N2&gt;0,AB62&gt;0),N56/AB62*S!N2,0)</f>
        <v>0</v>
      </c>
      <c r="AA56" s="10">
        <f>Z56/G56</f>
        <v>0</v>
      </c>
      <c r="AB56" s="21">
        <f>IF(N56&gt;0,N56,0)</f>
        <v>0</v>
      </c>
      <c r="AC56" s="10">
        <f>(E56+X56)*MAX(Q56-P56,T56-S56)</f>
        <v>0</v>
      </c>
      <c r="AE56" s="31"/>
      <c r="AF56" s="22">
        <f>MIN(MAX(G56*(1+AM56)+MAX(R56,S!E2/E62),T56),T56+R56)</f>
        <v>1.0000100000000001</v>
      </c>
      <c r="AG56" s="22">
        <f>MAX(MIN(IF(N56&lt;0,G56*(1+N56),G56),S56),0)</f>
        <v>1.0000000000000001E-5</v>
      </c>
      <c r="AH56" s="10">
        <f>IF(AK56&gt;0,AK56-AL56*(T56-G56),0)</f>
        <v>0</v>
      </c>
      <c r="AI56" s="22">
        <f>ROUND(AH56/G56*K56,0)</f>
        <v>0</v>
      </c>
      <c r="AJ56" s="10">
        <f>IF(G56&lt;T56,E56*(T56-G56),0)</f>
        <v>0</v>
      </c>
      <c r="AK56" s="10">
        <f>IF(AND(N56&lt;0,N62&gt;0,G56&gt;S56,S!N2&gt;0,AB62&gt;0),-N56/AB62*S!N2,0)</f>
        <v>0</v>
      </c>
      <c r="AL56" s="10">
        <f>AK56/G56*K56</f>
        <v>0</v>
      </c>
      <c r="AM56" s="10">
        <f>IF(N56&lt;0,-N56,0)</f>
        <v>0</v>
      </c>
    </row>
    <row r="57" spans="1:39" s="13" customFormat="1" x14ac:dyDescent="0.25">
      <c r="A57" s="11"/>
      <c r="B57" s="17"/>
      <c r="C57" s="17"/>
      <c r="D57" s="17"/>
      <c r="E57" s="14"/>
      <c r="F57" s="14"/>
      <c r="G57" s="14"/>
      <c r="H57" s="14"/>
      <c r="I57" s="14"/>
      <c r="J57" s="14"/>
      <c r="K57" s="14"/>
      <c r="L57" s="14"/>
      <c r="M57" s="27"/>
      <c r="N57" s="20"/>
      <c r="O57" s="20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20"/>
      <c r="AC57" s="17"/>
      <c r="AE57" s="31"/>
      <c r="AF57" s="14"/>
      <c r="AG57" s="14"/>
      <c r="AH57" s="14"/>
      <c r="AI57" s="14"/>
      <c r="AJ57" s="14"/>
      <c r="AK57" s="14"/>
      <c r="AL57" s="14"/>
      <c r="AM57" s="14"/>
    </row>
    <row r="58" spans="1:39" s="8" customFormat="1" x14ac:dyDescent="0.25">
      <c r="A58" s="2"/>
      <c r="B58" s="1"/>
      <c r="C58" s="1"/>
      <c r="D58" s="19"/>
      <c r="E58" s="3">
        <v>1.0000000000000001E-5</v>
      </c>
      <c r="F58" s="3">
        <v>1.0000000000000001E-5</v>
      </c>
      <c r="G58" s="14">
        <f>G60</f>
        <v>1.0000000000000001E-5</v>
      </c>
      <c r="H58" s="3">
        <f>E58*F58</f>
        <v>1.0000000000000002E-10</v>
      </c>
      <c r="I58" s="3">
        <f>E58*G58</f>
        <v>1.0000000000000002E-10</v>
      </c>
      <c r="J58" s="3"/>
      <c r="K58" s="3">
        <f>K60</f>
        <v>20</v>
      </c>
      <c r="L58" s="3">
        <f>H58/K58</f>
        <v>5.0000000000000005E-12</v>
      </c>
      <c r="M58" s="3">
        <f t="shared" ref="M58:M59" si="62">I58-H58+J58</f>
        <v>0</v>
      </c>
      <c r="N58" s="19">
        <f t="shared" ref="N58:N60" si="63">M58/H58</f>
        <v>0</v>
      </c>
      <c r="O58" s="19">
        <f>(M58-L58)/L58</f>
        <v>-1</v>
      </c>
      <c r="P58" s="3"/>
      <c r="Q58" s="3"/>
      <c r="R58" s="3"/>
      <c r="S58" s="3"/>
      <c r="T58" s="3"/>
      <c r="U58" s="3" t="str">
        <f>IF(AND(A58&gt;A62,F58&gt;=U60),U60,"")</f>
        <v/>
      </c>
      <c r="V58" s="3"/>
      <c r="W58" s="14"/>
      <c r="X58" s="14"/>
      <c r="Y58" s="14"/>
      <c r="Z58" s="3"/>
      <c r="AA58" s="3"/>
      <c r="AB58" s="19"/>
      <c r="AC58" s="1"/>
      <c r="AE58" s="30"/>
      <c r="AF58" s="14"/>
      <c r="AG58" s="14"/>
      <c r="AH58" s="14"/>
      <c r="AI58" s="14"/>
      <c r="AJ58" s="3"/>
      <c r="AK58" s="3"/>
      <c r="AL58" s="3"/>
      <c r="AM58" s="3"/>
    </row>
    <row r="59" spans="1:39" s="8" customFormat="1" x14ac:dyDescent="0.25">
      <c r="A59" s="2"/>
      <c r="B59" s="1"/>
      <c r="C59" s="1"/>
      <c r="D59" s="19"/>
      <c r="E59" s="3">
        <v>1.0000000000000001E-5</v>
      </c>
      <c r="F59" s="3">
        <v>1.0000000000000001E-5</v>
      </c>
      <c r="G59" s="14">
        <f>G60</f>
        <v>1.0000000000000001E-5</v>
      </c>
      <c r="H59" s="3">
        <f>E59*F59</f>
        <v>1.0000000000000002E-10</v>
      </c>
      <c r="I59" s="3">
        <f>E59*G59</f>
        <v>1.0000000000000002E-10</v>
      </c>
      <c r="J59" s="3"/>
      <c r="K59" s="3">
        <f>K60</f>
        <v>20</v>
      </c>
      <c r="L59" s="3">
        <f>H59/K59</f>
        <v>5.0000000000000005E-12</v>
      </c>
      <c r="M59" s="3">
        <f t="shared" si="62"/>
        <v>0</v>
      </c>
      <c r="N59" s="19">
        <f t="shared" si="63"/>
        <v>0</v>
      </c>
      <c r="O59" s="19">
        <f>(M59-L59)/L59</f>
        <v>-1</v>
      </c>
      <c r="P59" s="3"/>
      <c r="Q59" s="3"/>
      <c r="R59" s="3"/>
      <c r="S59" s="3"/>
      <c r="T59" s="3"/>
      <c r="U59" s="3" t="str">
        <f>IF(AND(A59&gt;A62,F59&gt;=U60),U60,"")</f>
        <v/>
      </c>
      <c r="V59" s="3"/>
      <c r="W59" s="14"/>
      <c r="X59" s="14"/>
      <c r="Y59" s="14"/>
      <c r="Z59" s="3"/>
      <c r="AA59" s="3"/>
      <c r="AB59" s="19"/>
      <c r="AC59" s="1"/>
      <c r="AE59" s="30"/>
      <c r="AF59" s="14"/>
      <c r="AG59" s="14"/>
      <c r="AH59" s="14"/>
      <c r="AI59" s="14"/>
      <c r="AJ59" s="3"/>
      <c r="AK59" s="3"/>
      <c r="AL59" s="3"/>
      <c r="AM59" s="3"/>
    </row>
    <row r="60" spans="1:39" s="9" customFormat="1" x14ac:dyDescent="0.25">
      <c r="A60" s="39"/>
      <c r="B60" s="16" t="s">
        <v>12</v>
      </c>
      <c r="C60" s="16"/>
      <c r="D60" s="16"/>
      <c r="E60" s="10">
        <f>SUM(E58:E59)</f>
        <v>2.0000000000000002E-5</v>
      </c>
      <c r="F60" s="10"/>
      <c r="G60" s="25">
        <v>1.0000000000000001E-5</v>
      </c>
      <c r="H60" s="10">
        <f>SUM(H58:H59)</f>
        <v>2.0000000000000003E-10</v>
      </c>
      <c r="I60" s="10">
        <f>SUM(I58:I59)</f>
        <v>2.0000000000000003E-10</v>
      </c>
      <c r="J60" s="10">
        <f>SUM(J58:J59)</f>
        <v>0</v>
      </c>
      <c r="K60" s="10">
        <v>20</v>
      </c>
      <c r="L60" s="10">
        <f>SUM(L58:L59)</f>
        <v>1.0000000000000001E-11</v>
      </c>
      <c r="M60" s="22">
        <f>SUM(M58:M59)</f>
        <v>0</v>
      </c>
      <c r="N60" s="21">
        <f t="shared" si="63"/>
        <v>0</v>
      </c>
      <c r="O60" s="21">
        <f>(M60-L60)/L60</f>
        <v>-1</v>
      </c>
      <c r="P60" s="25">
        <v>1.0000000000000001E-5</v>
      </c>
      <c r="Q60" s="25">
        <v>1.0000000000000001E-5</v>
      </c>
      <c r="R60" s="10">
        <f>R62*K60/K62</f>
        <v>1</v>
      </c>
      <c r="S60" s="10">
        <f>MAX(P60,IF(R60&lt;=0,P60,G60-MAX(R60,G60*IF(N60&gt;0,0,-N60))))</f>
        <v>1.0000000000000001E-5</v>
      </c>
      <c r="T60" s="10">
        <f>MIN(Q60,IF(R60&lt;=0,Q60,G60+MAX(R60,G60*IF(N60&lt;0,0,N60))))</f>
        <v>1.0000000000000001E-5</v>
      </c>
      <c r="U60" s="22">
        <f>MAX(MIN(G60*(1-AB60)-MAX(R60,S!E2/E62),S60),0)</f>
        <v>0</v>
      </c>
      <c r="V60" s="22">
        <f>MIN(MAX(IF(N60&gt;0,G60*(1+N60),G60),T60),T60+R60)</f>
        <v>1.0000000000000001E-5</v>
      </c>
      <c r="W60" s="10">
        <f>MAX(Z60-AA60*(G60-S60),0)</f>
        <v>0</v>
      </c>
      <c r="X60" s="22">
        <f>ROUND(W60/G60,0)</f>
        <v>0</v>
      </c>
      <c r="Y60" s="10">
        <f>IF(G60&gt;S60,E60*(G60-S60),0)</f>
        <v>0</v>
      </c>
      <c r="Z60" s="10">
        <f>IF(AND(N60&gt;0,N62&gt;0,T60&gt;G60,S!N2&gt;0,AB62&gt;0),N60/AB62*S!N2,0)</f>
        <v>0</v>
      </c>
      <c r="AA60" s="10">
        <f>Z60/G60</f>
        <v>0</v>
      </c>
      <c r="AB60" s="21">
        <f>IF(N60&gt;0,N60,0)</f>
        <v>0</v>
      </c>
      <c r="AC60" s="10">
        <f>(E60+X60)*MAX(Q60-P60,T60-S60)</f>
        <v>0</v>
      </c>
      <c r="AE60" s="31"/>
      <c r="AF60" s="22">
        <f>MIN(MAX(G60*(1+AM60)+MAX(R60,S!E2/E62),T60),T60+R60)</f>
        <v>1.0000100000000001</v>
      </c>
      <c r="AG60" s="22">
        <f>MAX(MIN(IF(N60&lt;0,G60*(1+N60),G60),S60),0)</f>
        <v>1.0000000000000001E-5</v>
      </c>
      <c r="AH60" s="10">
        <f>IF(AK60&gt;0,AK60-AL60*(T60-G60),0)</f>
        <v>0</v>
      </c>
      <c r="AI60" s="22">
        <f>ROUND(AH60/G60*K60,0)</f>
        <v>0</v>
      </c>
      <c r="AJ60" s="10">
        <f>IF(G60&lt;T60,E60*(T60-G60),0)</f>
        <v>0</v>
      </c>
      <c r="AK60" s="10">
        <f>IF(AND(N60&lt;0,N62&gt;0,G60&gt;S60,S!N6&gt;0,AB62&gt;0),-N60/AB62*S!N2,0)</f>
        <v>0</v>
      </c>
      <c r="AL60" s="10">
        <f>AK60/G60*K60</f>
        <v>0</v>
      </c>
      <c r="AM60" s="10">
        <f>IF(N60&lt;0,-N60,0)</f>
        <v>0</v>
      </c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19"/>
      <c r="O61" s="20"/>
      <c r="P61" s="20"/>
      <c r="Q61" s="20"/>
      <c r="R61" s="20"/>
      <c r="S61" s="14"/>
      <c r="T61" s="14"/>
      <c r="U61" s="14"/>
      <c r="V61" s="14"/>
      <c r="W61" s="14"/>
      <c r="X61" s="14"/>
      <c r="Y61" s="3"/>
      <c r="Z61" s="3"/>
      <c r="AA61" s="3"/>
      <c r="AB61" s="19"/>
      <c r="AF61" s="14"/>
      <c r="AG61" s="14"/>
      <c r="AH61" s="14"/>
      <c r="AI61" s="14"/>
      <c r="AJ61" s="3"/>
      <c r="AK61" s="3"/>
      <c r="AL61" s="3"/>
      <c r="AM61" s="3"/>
    </row>
    <row r="62" spans="1:39" x14ac:dyDescent="0.25">
      <c r="A62" s="2">
        <f>S!A2</f>
        <v>44378</v>
      </c>
      <c r="B62" s="4" t="s">
        <v>15</v>
      </c>
      <c r="C62" s="1"/>
      <c r="D62" s="1"/>
      <c r="E62" s="3">
        <f>SUM(E10,E15,E19,E23,E27,E31,E39,E43,E47,E52,E56,E60)</f>
        <v>26.000139999999995</v>
      </c>
      <c r="F62" s="3"/>
      <c r="G62" s="14"/>
      <c r="H62" s="3">
        <f>SUM(H10,H15,H19,H23,H27,H31,H39,H43,H47,H52,H56,H60)</f>
        <v>5991.9693000014004</v>
      </c>
      <c r="I62" s="3">
        <f>SUM(I10,I15,I19,I23,I27,I31,I39,I43,I47,I52,I56,I60)</f>
        <v>6068.2355981544006</v>
      </c>
      <c r="J62" s="3"/>
      <c r="K62" s="3">
        <f>S!I2</f>
        <v>20</v>
      </c>
      <c r="L62" s="3">
        <f>SUM(L10,L15,L19,L23,L27,L31,L39,L43,L47,L52,L56,L60)+'JSI-1'!N20</f>
        <v>87.4576965000565</v>
      </c>
      <c r="M62" s="5">
        <f>SUM(M10,M15,M19,M23,M27,M31,M39,M43,M47,M52,M56,M60)+'JSI-1'!O20</f>
        <v>76.266298153000022</v>
      </c>
      <c r="N62" s="19">
        <f t="shared" si="6"/>
        <v>1.2728085598332788E-2</v>
      </c>
      <c r="O62" s="20">
        <f t="shared" ref="O62" si="64">(M62-L62)/L62</f>
        <v>-0.12796356175524526</v>
      </c>
      <c r="P62" s="20"/>
      <c r="Q62" s="20"/>
      <c r="R62" s="14">
        <f>MIN(S!Y2,S!E2/E62)</f>
        <v>1</v>
      </c>
      <c r="S62" s="14"/>
      <c r="T62" s="14"/>
      <c r="U62" s="14"/>
      <c r="V62" s="14"/>
      <c r="W62" s="14">
        <f>SUM(W10,W15,W19,W23,W27,W31,W39,W43,W47,W52,W56,W60)</f>
        <v>5.0293510563368162</v>
      </c>
      <c r="X62" s="14"/>
      <c r="Y62" s="3">
        <f>SUM(Y10,Y15,Y19,Y23,Y27,Y31,Y39,Y43,Y47,Y52,Y56,Y60)</f>
        <v>96.180351799999997</v>
      </c>
      <c r="Z62" s="3"/>
      <c r="AA62" s="3"/>
      <c r="AB62" s="19">
        <f>SUM(AB10,AB15,AB19,AB23,AB27,AB31,AB39,AB43,AB47,AB52,AB56,AB60)</f>
        <v>0.23691982473861914</v>
      </c>
      <c r="AC62" s="3">
        <f>SUM(AC10,AC15,AC19,AC23,AC27,AC31,AC39,AC43,AC52,AC56,AC60)</f>
        <v>325.79484004800014</v>
      </c>
      <c r="AF62" s="14"/>
      <c r="AG62" s="14"/>
      <c r="AH62" s="14">
        <f>SUM(AH10,AH15,AH19,AH23,AH27,AH31,AH39,AH43,AH47,AH52,AH56,AH60)</f>
        <v>-19.72749471529476</v>
      </c>
      <c r="AI62" s="14"/>
      <c r="AJ62" s="3">
        <f>SUM(AJ10,AJ15,AJ19,AJ23,AJ27,AJ31,AJ39,AJ43,AJ47,AJ52,AJ56,AJ60)</f>
        <v>77.29527274999991</v>
      </c>
      <c r="AK62" s="3"/>
      <c r="AL62" s="3"/>
      <c r="AM62" s="3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"/>
      <c r="N63" s="1"/>
      <c r="O63" s="1"/>
      <c r="P63" s="1"/>
      <c r="Q63" s="1"/>
      <c r="R63" s="14"/>
      <c r="S63" s="1"/>
      <c r="T63" s="3"/>
      <c r="U63" s="3"/>
      <c r="V63" s="3"/>
      <c r="W63" s="3"/>
      <c r="X63" s="3"/>
      <c r="Y63" s="1"/>
      <c r="Z63" s="1"/>
      <c r="AA63" s="1"/>
      <c r="AB63" s="1"/>
      <c r="AF63" s="14"/>
      <c r="AG63" s="14"/>
      <c r="AH63" s="14"/>
      <c r="AI63" s="14"/>
      <c r="AJ63" s="3"/>
      <c r="AK63" s="3"/>
      <c r="AL63" s="3"/>
      <c r="AM63" s="3"/>
    </row>
    <row r="64" spans="1:3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"/>
      <c r="N64" s="1"/>
      <c r="O64" s="1"/>
      <c r="P64" s="1"/>
      <c r="Q64" s="1"/>
      <c r="R64" s="1"/>
      <c r="S64" s="1"/>
      <c r="T64" s="3"/>
      <c r="U64" s="3"/>
      <c r="V64" s="3"/>
      <c r="W64" s="3"/>
      <c r="X64" s="3"/>
      <c r="Y64" s="1"/>
      <c r="Z64" s="1"/>
      <c r="AA64" s="1"/>
      <c r="AB64" s="1"/>
      <c r="AF64" s="14"/>
      <c r="AG64" s="14"/>
      <c r="AH64" s="14"/>
      <c r="AI64" s="14"/>
      <c r="AJ64" s="3"/>
      <c r="AK64" s="3"/>
      <c r="AL64" s="3"/>
      <c r="AM64" s="3"/>
    </row>
    <row r="65" spans="1:39" s="7" customFormat="1" x14ac:dyDescent="0.25">
      <c r="A65" s="3"/>
      <c r="B65" s="3"/>
      <c r="C65" s="3"/>
      <c r="D65" s="27"/>
      <c r="E65" s="19"/>
      <c r="F65" s="14"/>
      <c r="G65" s="19"/>
      <c r="H65" s="3"/>
      <c r="I65" s="5"/>
      <c r="J65" s="18"/>
      <c r="K65" s="3"/>
      <c r="L65" s="14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E65" s="32"/>
      <c r="AF65" s="14"/>
      <c r="AG65" s="14"/>
      <c r="AH65" s="14"/>
      <c r="AI65" s="14"/>
      <c r="AJ65" s="3"/>
      <c r="AK65" s="3"/>
      <c r="AL65" s="3"/>
      <c r="AM65" s="3"/>
    </row>
    <row r="66" spans="1:3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"/>
      <c r="N66" s="1"/>
      <c r="O66" s="1"/>
      <c r="P66" s="1"/>
      <c r="Q66" s="1"/>
      <c r="R66" s="1"/>
      <c r="S66" s="1"/>
      <c r="T66" s="3"/>
      <c r="U66" s="3"/>
      <c r="V66" s="3"/>
      <c r="W66" s="3"/>
      <c r="X66" s="3"/>
      <c r="Y66" s="1"/>
      <c r="Z66" s="1"/>
      <c r="AA66" s="1"/>
      <c r="AB66" s="1"/>
      <c r="AF66" s="14"/>
      <c r="AG66" s="14"/>
      <c r="AH66" s="14"/>
      <c r="AI66" s="14"/>
      <c r="AJ66" s="3"/>
      <c r="AK66" s="3"/>
      <c r="AL66" s="3"/>
      <c r="AM66" s="3"/>
    </row>
    <row r="67" spans="1:3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1"/>
      <c r="M67" s="4"/>
      <c r="N67" s="1"/>
      <c r="O67" s="1"/>
      <c r="P67" s="1"/>
      <c r="Q67" s="1"/>
      <c r="R67" s="1"/>
      <c r="S67" s="1"/>
      <c r="T67" s="3"/>
      <c r="U67" s="3"/>
      <c r="V67" s="3"/>
      <c r="W67" s="3"/>
      <c r="X67" s="3"/>
      <c r="Y67" s="1"/>
      <c r="Z67" s="1"/>
      <c r="AA67" s="1"/>
    </row>
  </sheetData>
  <dataValidations disablePrompts="1" count="1">
    <dataValidation type="list" allowBlank="1" showInputMessage="1" showErrorMessage="1" sqref="L65" xr:uid="{9888ABF0-A0EE-434B-8CF2-21E483B64053}">
      <formula1>"0,2,4,6,8,10"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2EAD-DF46-4B5C-AF34-8C6E18032B1D}">
  <dimension ref="A1:O26"/>
  <sheetViews>
    <sheetView workbookViewId="0">
      <pane ySplit="1" topLeftCell="A2" activePane="bottomLeft" state="frozen"/>
      <selection pane="bottomLeft" activeCell="L2" sqref="L2"/>
    </sheetView>
  </sheetViews>
  <sheetFormatPr defaultRowHeight="15.75" x14ac:dyDescent="0.25"/>
  <cols>
    <col min="1" max="2" width="11.85546875" customWidth="1"/>
    <col min="12" max="12" width="9.140625" style="1"/>
  </cols>
  <sheetData>
    <row r="1" spans="1:15" s="1" customFormat="1" x14ac:dyDescent="0.25">
      <c r="A1" s="1" t="s">
        <v>31</v>
      </c>
      <c r="B1" s="1" t="s">
        <v>0</v>
      </c>
      <c r="C1" s="1" t="s">
        <v>1</v>
      </c>
      <c r="D1" s="1" t="s">
        <v>4</v>
      </c>
      <c r="E1" s="1" t="s">
        <v>76</v>
      </c>
      <c r="F1" s="1" t="s">
        <v>53</v>
      </c>
      <c r="G1" s="1" t="s">
        <v>54</v>
      </c>
      <c r="H1" s="1" t="s">
        <v>16</v>
      </c>
      <c r="I1" s="1" t="s">
        <v>3</v>
      </c>
      <c r="J1" s="1" t="s">
        <v>14</v>
      </c>
      <c r="K1" s="1" t="s">
        <v>47</v>
      </c>
      <c r="L1" s="1" t="s">
        <v>67</v>
      </c>
      <c r="M1" s="1" t="s">
        <v>55</v>
      </c>
      <c r="N1" s="1" t="s">
        <v>57</v>
      </c>
      <c r="O1" s="1" t="s">
        <v>58</v>
      </c>
    </row>
    <row r="2" spans="1:15" s="1" customFormat="1" x14ac:dyDescent="0.25">
      <c r="A2" s="33">
        <f>SUM(J2:J2)</f>
        <v>5.8365</v>
      </c>
      <c r="B2" s="28">
        <v>44410</v>
      </c>
      <c r="C2" s="1" t="s">
        <v>39</v>
      </c>
      <c r="D2" s="3">
        <v>1</v>
      </c>
      <c r="E2" s="25">
        <v>116.73</v>
      </c>
      <c r="F2" s="25" t="s">
        <v>30</v>
      </c>
      <c r="G2" s="25" t="s">
        <v>30</v>
      </c>
      <c r="H2" s="3"/>
      <c r="I2" s="3">
        <v>20</v>
      </c>
      <c r="J2" s="3">
        <f t="shared" ref="J2:J8" si="0">D2*E2/I2</f>
        <v>5.8365</v>
      </c>
      <c r="K2" s="3"/>
      <c r="L2" s="3"/>
      <c r="M2" s="3">
        <f>IF(OR(F2="No",G2="Yes"),J2,"")</f>
        <v>5.8365</v>
      </c>
      <c r="N2" s="3" t="str">
        <f t="shared" ref="N2:N8" si="1">IF(AND(F2="Yes",G2="No"),J2,"")</f>
        <v/>
      </c>
      <c r="O2" s="3" t="str">
        <f>IF(AND(F2="Yes",G2="No"),D2*(E2-'A-1'!G27)+H2,"")</f>
        <v/>
      </c>
    </row>
    <row r="3" spans="1:15" s="1" customFormat="1" x14ac:dyDescent="0.25">
      <c r="A3" s="36">
        <f>SUM(J3:J3)</f>
        <v>6.7710000000000008</v>
      </c>
      <c r="B3" s="28">
        <v>44412</v>
      </c>
      <c r="C3" s="1" t="s">
        <v>22</v>
      </c>
      <c r="D3" s="3">
        <v>3</v>
      </c>
      <c r="E3" s="25">
        <v>45.14</v>
      </c>
      <c r="F3" s="25" t="s">
        <v>30</v>
      </c>
      <c r="G3" s="25" t="s">
        <v>30</v>
      </c>
      <c r="H3" s="3"/>
      <c r="I3" s="3">
        <v>20</v>
      </c>
      <c r="J3" s="3">
        <f t="shared" si="0"/>
        <v>6.7710000000000008</v>
      </c>
      <c r="K3" s="3"/>
      <c r="L3" s="3"/>
      <c r="M3" s="3">
        <f>IF(OR(F3="No",G3="Yes"),J3,"")</f>
        <v>6.7710000000000008</v>
      </c>
      <c r="N3" s="3" t="str">
        <f t="shared" si="1"/>
        <v/>
      </c>
      <c r="O3" s="3" t="str">
        <f>IF(AND(F3="Yes",G3="No"),D3*(E3-'A-1'!G10)+H3,"")</f>
        <v/>
      </c>
    </row>
    <row r="4" spans="1:15" s="1" customFormat="1" x14ac:dyDescent="0.25">
      <c r="A4" s="48">
        <f>SUM(J4:J5)</f>
        <v>7.3619999999999992</v>
      </c>
      <c r="B4" s="28">
        <v>44420</v>
      </c>
      <c r="C4" s="1" t="s">
        <v>22</v>
      </c>
      <c r="D4" s="3">
        <v>2</v>
      </c>
      <c r="E4" s="25">
        <v>46.87</v>
      </c>
      <c r="F4" s="25" t="s">
        <v>30</v>
      </c>
      <c r="G4" s="25" t="s">
        <v>30</v>
      </c>
      <c r="H4" s="3"/>
      <c r="I4" s="3">
        <v>20</v>
      </c>
      <c r="J4" s="3">
        <f t="shared" si="0"/>
        <v>4.6869999999999994</v>
      </c>
      <c r="K4" s="3"/>
      <c r="L4" s="3"/>
      <c r="M4" s="3">
        <f>IF(OR(F4="No",G4="Yes"),J4,"")</f>
        <v>4.6869999999999994</v>
      </c>
      <c r="N4" s="3" t="str">
        <f t="shared" si="1"/>
        <v/>
      </c>
      <c r="O4" s="3" t="str">
        <f>IF(AND(F4="Yes",G4="No"),D4*(E4-'A-1'!G10)+H4,"")</f>
        <v/>
      </c>
    </row>
    <row r="5" spans="1:15" s="1" customFormat="1" x14ac:dyDescent="0.25">
      <c r="A5" s="49"/>
      <c r="B5" s="28">
        <v>44420</v>
      </c>
      <c r="C5" s="1" t="s">
        <v>41</v>
      </c>
      <c r="D5" s="3">
        <v>1</v>
      </c>
      <c r="E5" s="25">
        <v>53.5</v>
      </c>
      <c r="F5" s="25" t="s">
        <v>30</v>
      </c>
      <c r="G5" s="25" t="s">
        <v>30</v>
      </c>
      <c r="H5" s="3"/>
      <c r="I5" s="3">
        <v>20</v>
      </c>
      <c r="J5" s="3">
        <f t="shared" si="0"/>
        <v>2.6749999999999998</v>
      </c>
      <c r="K5" s="3"/>
      <c r="L5" s="3"/>
      <c r="M5" s="3">
        <f>IF(OR(F5="No",G5="Yes"),J5,"")</f>
        <v>2.6749999999999998</v>
      </c>
      <c r="N5" s="3" t="str">
        <f t="shared" si="1"/>
        <v/>
      </c>
      <c r="O5" s="3" t="str">
        <f>IF(AND(F5="Yes",G5="No"),D5*(E5-'A-1'!G31)+H5,"")</f>
        <v/>
      </c>
    </row>
    <row r="6" spans="1:15" s="1" customFormat="1" x14ac:dyDescent="0.25">
      <c r="A6" s="36">
        <f>SUM(J6:J6)</f>
        <v>2.4015</v>
      </c>
      <c r="B6" s="28">
        <v>44421</v>
      </c>
      <c r="C6" s="1" t="s">
        <v>22</v>
      </c>
      <c r="D6" s="3">
        <v>1</v>
      </c>
      <c r="E6" s="25">
        <v>48.03</v>
      </c>
      <c r="F6" s="25" t="s">
        <v>56</v>
      </c>
      <c r="G6" s="25" t="s">
        <v>56</v>
      </c>
      <c r="H6" s="3"/>
      <c r="I6" s="3">
        <v>20</v>
      </c>
      <c r="J6" s="3">
        <f t="shared" si="0"/>
        <v>2.4015</v>
      </c>
      <c r="K6" s="3"/>
      <c r="L6" s="3"/>
      <c r="M6" s="3" t="str">
        <f t="shared" ref="M6:M19" si="2">IF(OR(F6="No",G6="No"),J6,"")</f>
        <v/>
      </c>
      <c r="N6" s="3" t="str">
        <f t="shared" si="1"/>
        <v/>
      </c>
      <c r="O6" s="3" t="str">
        <f>IF(AND(F6="Yes",G6="No"),D6*(E6-48.13)+H6,"")</f>
        <v/>
      </c>
    </row>
    <row r="7" spans="1:15" s="1" customFormat="1" x14ac:dyDescent="0.25">
      <c r="A7" s="48">
        <f>SUM(J7:J11)</f>
        <v>22.602676500000001</v>
      </c>
      <c r="B7" s="28">
        <v>44423</v>
      </c>
      <c r="C7" s="1" t="s">
        <v>59</v>
      </c>
      <c r="D7" s="3">
        <v>1</v>
      </c>
      <c r="E7" s="25">
        <v>459.18490000000003</v>
      </c>
      <c r="F7" s="25" t="s">
        <v>30</v>
      </c>
      <c r="G7" s="25" t="s">
        <v>30</v>
      </c>
      <c r="H7" s="3"/>
      <c r="I7" s="3">
        <v>200</v>
      </c>
      <c r="J7" s="3">
        <f t="shared" si="0"/>
        <v>2.2959244999999999</v>
      </c>
      <c r="K7" s="3"/>
      <c r="L7" s="3"/>
      <c r="M7" s="3">
        <f t="shared" si="2"/>
        <v>2.2959244999999999</v>
      </c>
      <c r="N7" s="3" t="str">
        <f t="shared" si="1"/>
        <v/>
      </c>
      <c r="O7" s="3" t="str">
        <f>IF(AND(F7="Yes",G7="No"),D7*(E7-'A-1'!G39)+H7,"")</f>
        <v/>
      </c>
    </row>
    <row r="8" spans="1:15" s="1" customFormat="1" x14ac:dyDescent="0.25">
      <c r="A8" s="49"/>
      <c r="B8" s="28">
        <v>44423</v>
      </c>
      <c r="C8" s="1" t="s">
        <v>59</v>
      </c>
      <c r="D8" s="3">
        <v>1</v>
      </c>
      <c r="E8" s="25">
        <v>457.91640000000001</v>
      </c>
      <c r="F8" s="25" t="s">
        <v>30</v>
      </c>
      <c r="G8" s="25" t="s">
        <v>30</v>
      </c>
      <c r="H8" s="3"/>
      <c r="I8" s="3">
        <v>200</v>
      </c>
      <c r="J8" s="3">
        <f t="shared" si="0"/>
        <v>2.2895820000000002</v>
      </c>
      <c r="K8" s="3"/>
      <c r="L8" s="3"/>
      <c r="M8" s="3">
        <f t="shared" si="2"/>
        <v>2.2895820000000002</v>
      </c>
      <c r="N8" s="3" t="str">
        <f t="shared" si="1"/>
        <v/>
      </c>
      <c r="O8" s="3" t="str">
        <f>IF(AND(F8="Yes",G8="No"),D8*(E8-'A-1'!G39)+H8,"")</f>
        <v/>
      </c>
    </row>
    <row r="9" spans="1:15" s="1" customFormat="1" x14ac:dyDescent="0.25">
      <c r="A9" s="49"/>
      <c r="B9" s="28">
        <v>44423</v>
      </c>
      <c r="C9" s="1" t="s">
        <v>59</v>
      </c>
      <c r="D9" s="3">
        <v>3</v>
      </c>
      <c r="E9" s="25">
        <v>457.411</v>
      </c>
      <c r="F9" s="25" t="s">
        <v>30</v>
      </c>
      <c r="G9" s="25" t="s">
        <v>30</v>
      </c>
      <c r="H9" s="3"/>
      <c r="I9" s="3">
        <v>200</v>
      </c>
      <c r="J9" s="3">
        <f t="shared" ref="J9:J18" si="3">D9*E9/I9</f>
        <v>6.8611649999999997</v>
      </c>
      <c r="K9" s="3"/>
      <c r="L9" s="3"/>
      <c r="M9" s="3">
        <f t="shared" si="2"/>
        <v>6.8611649999999997</v>
      </c>
      <c r="N9" s="3" t="str">
        <f t="shared" ref="N9:N18" si="4">IF(AND(F9="Yes",G9="No"),J9,"")</f>
        <v/>
      </c>
      <c r="O9" s="3" t="str">
        <f>IF(AND(F9="Yes",G9="No"),D9*(E9-'A-1'!G39)+H9,"")</f>
        <v/>
      </c>
    </row>
    <row r="10" spans="1:15" s="1" customFormat="1" x14ac:dyDescent="0.25">
      <c r="A10" s="49"/>
      <c r="B10" s="28">
        <v>44424</v>
      </c>
      <c r="C10" s="1" t="s">
        <v>59</v>
      </c>
      <c r="D10" s="3">
        <v>1</v>
      </c>
      <c r="E10" s="25">
        <v>457.26</v>
      </c>
      <c r="F10" s="25" t="s">
        <v>30</v>
      </c>
      <c r="G10" s="25" t="s">
        <v>30</v>
      </c>
      <c r="H10" s="3"/>
      <c r="I10" s="3">
        <v>200</v>
      </c>
      <c r="J10" s="3">
        <f t="shared" ref="J10" si="5">D10*E10/I10</f>
        <v>2.2862999999999998</v>
      </c>
      <c r="K10" s="3"/>
      <c r="L10" s="3"/>
      <c r="M10" s="3">
        <f t="shared" ref="M10" si="6">IF(OR(F10="No",G10="No"),J10,"")</f>
        <v>2.2862999999999998</v>
      </c>
      <c r="N10" s="3" t="str">
        <f t="shared" ref="N10" si="7">IF(AND(F10="Yes",G10="No"),J10,"")</f>
        <v/>
      </c>
      <c r="O10" s="3" t="str">
        <f>IF(AND(F10="Yes",G10="No"),D10*(E10-'A-1'!G39)+H10,"")</f>
        <v/>
      </c>
    </row>
    <row r="11" spans="1:15" s="1" customFormat="1" x14ac:dyDescent="0.25">
      <c r="A11" s="49"/>
      <c r="B11" s="28">
        <v>44424</v>
      </c>
      <c r="C11" s="1" t="s">
        <v>70</v>
      </c>
      <c r="D11" s="3">
        <v>1</v>
      </c>
      <c r="E11" s="25">
        <v>1773.941</v>
      </c>
      <c r="F11" s="25" t="s">
        <v>30</v>
      </c>
      <c r="G11" s="25" t="s">
        <v>30</v>
      </c>
      <c r="H11" s="3"/>
      <c r="I11" s="3">
        <v>200</v>
      </c>
      <c r="J11" s="3">
        <f t="shared" si="3"/>
        <v>8.8697049999999997</v>
      </c>
      <c r="K11" s="3"/>
      <c r="L11" s="3"/>
      <c r="M11" s="3">
        <f t="shared" si="2"/>
        <v>8.8697049999999997</v>
      </c>
      <c r="N11" s="3" t="str">
        <f t="shared" si="4"/>
        <v/>
      </c>
      <c r="O11" s="3" t="str">
        <f>IF(AND(F11="Yes",G11="No"),D11*(E11-'A-1'!G47)+H11,"")</f>
        <v/>
      </c>
    </row>
    <row r="12" spans="1:15" s="1" customFormat="1" x14ac:dyDescent="0.25">
      <c r="A12" s="48">
        <f>SUM(J12:J13)</f>
        <v>29.253500000000003</v>
      </c>
      <c r="B12" s="28">
        <v>44424</v>
      </c>
      <c r="C12" s="1" t="s">
        <v>61</v>
      </c>
      <c r="D12" s="3">
        <v>1</v>
      </c>
      <c r="E12" s="25">
        <v>294.08999999999997</v>
      </c>
      <c r="F12" s="25" t="s">
        <v>30</v>
      </c>
      <c r="G12" s="25" t="s">
        <v>30</v>
      </c>
      <c r="H12" s="3"/>
      <c r="I12" s="3">
        <v>20</v>
      </c>
      <c r="J12" s="3">
        <f t="shared" ref="J12:J17" si="8">D12*E12/I12</f>
        <v>14.704499999999999</v>
      </c>
      <c r="K12" s="3"/>
      <c r="L12" s="3"/>
      <c r="M12" s="3">
        <f t="shared" si="2"/>
        <v>14.704499999999999</v>
      </c>
      <c r="N12" s="3" t="str">
        <f t="shared" ref="N12:N17" si="9">IF(AND(F12="Yes",G12="No"),J12,"")</f>
        <v/>
      </c>
      <c r="O12" s="3" t="str">
        <f>IF(AND(F12="Yes",G12="No"),D12*(E12-'A-1'!G43)+H12,"")</f>
        <v/>
      </c>
    </row>
    <row r="13" spans="1:15" s="1" customFormat="1" x14ac:dyDescent="0.25">
      <c r="A13" s="48"/>
      <c r="B13" s="28">
        <v>44424</v>
      </c>
      <c r="C13" s="1" t="s">
        <v>61</v>
      </c>
      <c r="D13" s="3">
        <v>1</v>
      </c>
      <c r="E13" s="25">
        <v>290.98</v>
      </c>
      <c r="F13" s="25" t="s">
        <v>30</v>
      </c>
      <c r="G13" s="25" t="s">
        <v>30</v>
      </c>
      <c r="H13" s="3"/>
      <c r="I13" s="3">
        <v>20</v>
      </c>
      <c r="J13" s="3">
        <f t="shared" si="8"/>
        <v>14.549000000000001</v>
      </c>
      <c r="K13" s="3"/>
      <c r="L13" s="3"/>
      <c r="M13" s="3">
        <f t="shared" si="2"/>
        <v>14.549000000000001</v>
      </c>
      <c r="N13" s="3" t="str">
        <f t="shared" si="9"/>
        <v/>
      </c>
      <c r="O13" s="3" t="str">
        <f>IF(AND(F13="Yes",G13="No"),D13*(E13-'A-1'!G43)+H13,"")</f>
        <v/>
      </c>
    </row>
    <row r="14" spans="1:15" s="1" customFormat="1" x14ac:dyDescent="0.25">
      <c r="A14" s="38"/>
      <c r="B14" s="28">
        <v>44425</v>
      </c>
      <c r="C14" s="1" t="s">
        <v>59</v>
      </c>
      <c r="D14" s="3">
        <v>1</v>
      </c>
      <c r="E14" s="25">
        <v>459</v>
      </c>
      <c r="F14" s="25" t="s">
        <v>30</v>
      </c>
      <c r="G14" s="25" t="s">
        <v>30</v>
      </c>
      <c r="H14" s="3"/>
      <c r="I14" s="3">
        <v>200</v>
      </c>
      <c r="J14" s="3">
        <f t="shared" si="8"/>
        <v>2.2949999999999999</v>
      </c>
      <c r="K14" s="3"/>
      <c r="L14" s="3"/>
      <c r="M14" s="3">
        <f t="shared" si="2"/>
        <v>2.2949999999999999</v>
      </c>
      <c r="N14" s="3" t="str">
        <f t="shared" si="9"/>
        <v/>
      </c>
      <c r="O14" s="3" t="str">
        <f>IF(AND(F14="Yes",G14="No"),D14*(E14-'A-1'!G39)+H14,"")</f>
        <v/>
      </c>
    </row>
    <row r="15" spans="1:15" s="1" customFormat="1" x14ac:dyDescent="0.25">
      <c r="A15" s="38"/>
      <c r="B15" s="28">
        <v>44425</v>
      </c>
      <c r="C15" s="1" t="s">
        <v>59</v>
      </c>
      <c r="D15" s="3">
        <v>1</v>
      </c>
      <c r="E15" s="25">
        <v>459</v>
      </c>
      <c r="F15" s="25" t="s">
        <v>30</v>
      </c>
      <c r="G15" s="25" t="s">
        <v>30</v>
      </c>
      <c r="H15" s="3"/>
      <c r="I15" s="3">
        <v>200</v>
      </c>
      <c r="J15" s="3">
        <f t="shared" si="8"/>
        <v>2.2949999999999999</v>
      </c>
      <c r="K15" s="3"/>
      <c r="L15" s="3"/>
      <c r="M15" s="3">
        <f t="shared" si="2"/>
        <v>2.2949999999999999</v>
      </c>
      <c r="N15" s="3" t="str">
        <f t="shared" si="9"/>
        <v/>
      </c>
      <c r="O15" s="3" t="str">
        <f>IF(AND(F15="Yes",G15="No"),D15*(E15-'A-1'!G39)+H15,"")</f>
        <v/>
      </c>
    </row>
    <row r="16" spans="1:15" s="1" customFormat="1" x14ac:dyDescent="0.25">
      <c r="A16" s="38"/>
      <c r="B16" s="28">
        <v>44425</v>
      </c>
      <c r="C16" s="1" t="s">
        <v>88</v>
      </c>
      <c r="D16" s="3">
        <v>1</v>
      </c>
      <c r="E16" s="25">
        <v>323.64100000000002</v>
      </c>
      <c r="F16" s="25" t="s">
        <v>30</v>
      </c>
      <c r="G16" s="25" t="s">
        <v>30</v>
      </c>
      <c r="H16" s="3"/>
      <c r="I16" s="3">
        <v>200</v>
      </c>
      <c r="J16" s="3">
        <f t="shared" si="8"/>
        <v>1.6182050000000001</v>
      </c>
      <c r="K16" s="3"/>
      <c r="L16" s="3"/>
      <c r="M16" s="3">
        <f t="shared" si="2"/>
        <v>1.6182050000000001</v>
      </c>
      <c r="N16" s="3" t="str">
        <f t="shared" si="9"/>
        <v/>
      </c>
      <c r="O16" s="3" t="str">
        <f>IF(AND(F16="Yes",G16="No"),D16*(E16-'A-1'!G52)+H16,"")</f>
        <v/>
      </c>
    </row>
    <row r="17" spans="1:15" s="1" customFormat="1" x14ac:dyDescent="0.25">
      <c r="A17" s="38"/>
      <c r="B17" s="28">
        <v>44425</v>
      </c>
      <c r="C17" s="1" t="s">
        <v>88</v>
      </c>
      <c r="D17" s="3">
        <v>1</v>
      </c>
      <c r="E17" s="25">
        <v>324.29599999999999</v>
      </c>
      <c r="F17" s="25" t="s">
        <v>30</v>
      </c>
      <c r="G17" s="25" t="s">
        <v>30</v>
      </c>
      <c r="H17" s="3"/>
      <c r="I17" s="3">
        <v>200</v>
      </c>
      <c r="J17" s="3">
        <f t="shared" si="8"/>
        <v>1.62148</v>
      </c>
      <c r="K17" s="3"/>
      <c r="L17" s="3"/>
      <c r="M17" s="3">
        <f t="shared" si="2"/>
        <v>1.62148</v>
      </c>
      <c r="N17" s="3" t="str">
        <f t="shared" si="9"/>
        <v/>
      </c>
      <c r="O17" s="3" t="str">
        <f>IF(AND(F17="Yes",G17="No"),D17*(E17-'A-1'!G52)+H17,"")</f>
        <v/>
      </c>
    </row>
    <row r="18" spans="1:15" s="1" customFormat="1" x14ac:dyDescent="0.25">
      <c r="A18" s="37"/>
      <c r="B18" s="28"/>
      <c r="D18" s="3">
        <v>0</v>
      </c>
      <c r="E18" s="25">
        <v>0</v>
      </c>
      <c r="F18" s="25" t="s">
        <v>30</v>
      </c>
      <c r="G18" s="25" t="s">
        <v>30</v>
      </c>
      <c r="H18" s="3"/>
      <c r="I18" s="3">
        <v>20</v>
      </c>
      <c r="J18" s="3">
        <f t="shared" si="3"/>
        <v>0</v>
      </c>
      <c r="K18" s="3"/>
      <c r="L18" s="3"/>
      <c r="M18" s="3">
        <f t="shared" ref="M18" si="10">IF(OR(F18="No",G18="No"),J18,"")</f>
        <v>0</v>
      </c>
      <c r="N18" s="3" t="str">
        <f t="shared" si="4"/>
        <v/>
      </c>
      <c r="O18" s="3" t="str">
        <f>IF(AND(F18="Yes",G18="No"),D18*(E18-'A-1'!G60)+H18,"")</f>
        <v/>
      </c>
    </row>
    <row r="19" spans="1:15" s="1" customFormat="1" x14ac:dyDescent="0.25">
      <c r="A19" s="37"/>
      <c r="B19" s="28"/>
      <c r="D19" s="3">
        <v>0</v>
      </c>
      <c r="E19" s="25">
        <v>0</v>
      </c>
      <c r="F19" s="25" t="s">
        <v>30</v>
      </c>
      <c r="G19" s="25" t="s">
        <v>30</v>
      </c>
      <c r="H19" s="3"/>
      <c r="I19" s="3">
        <v>20</v>
      </c>
      <c r="J19" s="3">
        <f t="shared" ref="J19" si="11">D19*E19/I19</f>
        <v>0</v>
      </c>
      <c r="K19" s="3"/>
      <c r="L19" s="3"/>
      <c r="M19" s="3">
        <f t="shared" si="2"/>
        <v>0</v>
      </c>
      <c r="N19" s="3" t="str">
        <f t="shared" ref="N19" si="12">IF(AND(F19="Yes",G19="No"),J19,"")</f>
        <v/>
      </c>
      <c r="O19" s="3" t="str">
        <f>IF(AND(F19="Yes",G19="No"),D19*(E19-'A-1'!G60)+H19,"")</f>
        <v/>
      </c>
    </row>
    <row r="20" spans="1:15" x14ac:dyDescent="0.25">
      <c r="A20" s="3" t="s">
        <v>12</v>
      </c>
      <c r="B20" s="1"/>
      <c r="C20" s="1"/>
      <c r="D20" s="1"/>
      <c r="E20" s="3"/>
      <c r="F20" s="3"/>
      <c r="G20" s="3"/>
      <c r="H20" s="1"/>
      <c r="I20" s="1"/>
      <c r="J20" s="3"/>
      <c r="K20" s="3"/>
      <c r="L20" s="3"/>
      <c r="M20" s="5">
        <f>SUM(M2:M19)</f>
        <v>79.655361500000012</v>
      </c>
      <c r="N20" s="5">
        <f>SUM(N2:N19)</f>
        <v>0</v>
      </c>
      <c r="O20" s="5">
        <f>SUMIF(O2:O19,"&gt;0")</f>
        <v>0</v>
      </c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  <c r="N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M22" s="1"/>
      <c r="N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</row>
  </sheetData>
  <mergeCells count="3">
    <mergeCell ref="A4:A5"/>
    <mergeCell ref="A7:A11"/>
    <mergeCell ref="A12:A13"/>
  </mergeCells>
  <dataValidations count="1">
    <dataValidation type="list" allowBlank="1" showInputMessage="1" showErrorMessage="1" sqref="F2:G19" xr:uid="{EAB8A828-98A5-4E54-92FB-816D8CD4726C}">
      <formula1>"No,Yes"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E627-A13A-4594-AE3E-5EFE7A97FF97}">
  <dimension ref="A1:J14"/>
  <sheetViews>
    <sheetView workbookViewId="0">
      <pane ySplit="1" topLeftCell="A2" activePane="bottomLeft" state="frozen"/>
      <selection pane="bottomLeft" activeCell="A6" sqref="A6:XFD7"/>
    </sheetView>
  </sheetViews>
  <sheetFormatPr defaultRowHeight="15" x14ac:dyDescent="0.25"/>
  <sheetData>
    <row r="1" spans="1:10" s="1" customFormat="1" ht="15.75" x14ac:dyDescent="0.25">
      <c r="A1" s="1" t="s">
        <v>1</v>
      </c>
      <c r="B1" s="1" t="s">
        <v>4</v>
      </c>
      <c r="C1" s="1" t="s">
        <v>76</v>
      </c>
      <c r="D1" s="1" t="s">
        <v>53</v>
      </c>
      <c r="E1" s="1" t="s">
        <v>77</v>
      </c>
      <c r="F1" s="1" t="s">
        <v>78</v>
      </c>
      <c r="G1" s="1" t="s">
        <v>3</v>
      </c>
      <c r="H1" s="1" t="s">
        <v>55</v>
      </c>
      <c r="I1" s="1" t="s">
        <v>79</v>
      </c>
      <c r="J1" s="1" t="s">
        <v>80</v>
      </c>
    </row>
    <row r="2" spans="1:10" s="1" customFormat="1" ht="15.75" x14ac:dyDescent="0.25">
      <c r="A2" s="1" t="s">
        <v>70</v>
      </c>
      <c r="B2" s="3">
        <v>1</v>
      </c>
      <c r="C2" s="14">
        <v>1772</v>
      </c>
      <c r="D2" s="14" t="s">
        <v>30</v>
      </c>
      <c r="E2" s="14">
        <v>1752</v>
      </c>
      <c r="F2" s="14">
        <v>1792</v>
      </c>
      <c r="G2" s="3">
        <v>200</v>
      </c>
      <c r="H2" s="3">
        <f t="shared" ref="H2:H7" si="0">B2*C2/G2</f>
        <v>8.86</v>
      </c>
      <c r="I2" s="1">
        <f t="shared" ref="I2:I7" si="1">B2*ABS(C2-E2)</f>
        <v>20</v>
      </c>
      <c r="J2" s="1">
        <f t="shared" ref="J2:J7" si="2">IF(AND(F2&lt;&gt;"",F2&gt;0),B2*ABS(C2-F2),0)</f>
        <v>20</v>
      </c>
    </row>
    <row r="3" spans="1:10" s="1" customFormat="1" ht="15.75" x14ac:dyDescent="0.25">
      <c r="A3" s="1" t="s">
        <v>70</v>
      </c>
      <c r="B3" s="3">
        <v>1</v>
      </c>
      <c r="C3" s="14">
        <v>1772</v>
      </c>
      <c r="D3" s="14" t="s">
        <v>30</v>
      </c>
      <c r="E3" s="14">
        <v>1752</v>
      </c>
      <c r="F3" s="14"/>
      <c r="G3" s="3">
        <v>200</v>
      </c>
      <c r="H3" s="3">
        <f t="shared" si="0"/>
        <v>8.86</v>
      </c>
      <c r="I3" s="1">
        <f t="shared" si="1"/>
        <v>20</v>
      </c>
      <c r="J3" s="1">
        <f t="shared" si="2"/>
        <v>0</v>
      </c>
    </row>
    <row r="4" spans="1:10" s="1" customFormat="1" ht="15.75" x14ac:dyDescent="0.25">
      <c r="A4" s="1" t="s">
        <v>22</v>
      </c>
      <c r="B4" s="3">
        <v>1</v>
      </c>
      <c r="C4" s="14">
        <v>47.7</v>
      </c>
      <c r="D4" s="14" t="s">
        <v>30</v>
      </c>
      <c r="E4" s="14">
        <v>38.479999999999997</v>
      </c>
      <c r="F4" s="14">
        <v>53.02</v>
      </c>
      <c r="G4" s="3">
        <v>20</v>
      </c>
      <c r="H4" s="3">
        <f t="shared" si="0"/>
        <v>2.3850000000000002</v>
      </c>
      <c r="I4" s="1">
        <f t="shared" si="1"/>
        <v>9.220000000000006</v>
      </c>
      <c r="J4" s="1">
        <f t="shared" si="2"/>
        <v>5.32</v>
      </c>
    </row>
    <row r="5" spans="1:10" s="1" customFormat="1" ht="15.75" x14ac:dyDescent="0.25">
      <c r="A5" s="1" t="s">
        <v>22</v>
      </c>
      <c r="B5" s="3">
        <v>1</v>
      </c>
      <c r="C5" s="14">
        <v>47.7</v>
      </c>
      <c r="D5" s="14" t="s">
        <v>30</v>
      </c>
      <c r="E5" s="14">
        <v>38.479999999999997</v>
      </c>
      <c r="F5" s="14"/>
      <c r="G5" s="3">
        <v>20</v>
      </c>
      <c r="H5" s="3">
        <f t="shared" si="0"/>
        <v>2.3850000000000002</v>
      </c>
      <c r="I5" s="1">
        <f t="shared" si="1"/>
        <v>9.220000000000006</v>
      </c>
      <c r="J5" s="1">
        <f t="shared" si="2"/>
        <v>0</v>
      </c>
    </row>
    <row r="6" spans="1:10" s="1" customFormat="1" ht="15.75" x14ac:dyDescent="0.25">
      <c r="B6" s="3">
        <v>0</v>
      </c>
      <c r="C6" s="14">
        <v>0</v>
      </c>
      <c r="D6" s="14" t="s">
        <v>30</v>
      </c>
      <c r="E6" s="14"/>
      <c r="F6" s="14"/>
      <c r="G6" s="3">
        <v>20</v>
      </c>
      <c r="H6" s="3">
        <f t="shared" si="0"/>
        <v>0</v>
      </c>
      <c r="I6" s="1">
        <f t="shared" si="1"/>
        <v>0</v>
      </c>
      <c r="J6" s="1">
        <f t="shared" si="2"/>
        <v>0</v>
      </c>
    </row>
    <row r="7" spans="1:10" s="1" customFormat="1" ht="15.75" x14ac:dyDescent="0.25">
      <c r="B7" s="3">
        <v>0</v>
      </c>
      <c r="C7" s="14">
        <v>0</v>
      </c>
      <c r="D7" s="14" t="s">
        <v>30</v>
      </c>
      <c r="E7" s="14"/>
      <c r="F7" s="14"/>
      <c r="G7" s="3">
        <v>20</v>
      </c>
      <c r="H7" s="3">
        <f t="shared" si="0"/>
        <v>0</v>
      </c>
      <c r="I7" s="1">
        <f t="shared" si="1"/>
        <v>0</v>
      </c>
      <c r="J7" s="1">
        <f t="shared" si="2"/>
        <v>0</v>
      </c>
    </row>
    <row r="8" spans="1:10" ht="15.75" x14ac:dyDescent="0.25">
      <c r="A8" s="1" t="s">
        <v>12</v>
      </c>
      <c r="B8" s="1"/>
      <c r="C8" s="3"/>
      <c r="D8" s="3"/>
      <c r="E8" s="3"/>
      <c r="F8" s="3"/>
      <c r="G8" s="1"/>
      <c r="H8" s="5">
        <f>SUM(H2:H7)</f>
        <v>22.490000000000002</v>
      </c>
      <c r="I8" s="1">
        <f>SUM(I2:I7)</f>
        <v>58.440000000000012</v>
      </c>
      <c r="J8" s="1">
        <f>SUM(J2:J7)</f>
        <v>25.32</v>
      </c>
    </row>
    <row r="9" spans="1:10" ht="15.75" x14ac:dyDescent="0.25">
      <c r="A9" s="1"/>
      <c r="B9" s="1"/>
      <c r="C9" s="1"/>
      <c r="D9" s="1"/>
      <c r="E9" s="1"/>
      <c r="F9" s="1"/>
      <c r="G9" s="1"/>
      <c r="H9" s="1"/>
    </row>
    <row r="10" spans="1:10" ht="15.75" x14ac:dyDescent="0.25">
      <c r="A10" s="1"/>
      <c r="B10" s="1"/>
      <c r="C10" s="1"/>
      <c r="D10" s="1"/>
      <c r="E10" s="1"/>
      <c r="F10" s="1"/>
      <c r="G10" s="1"/>
      <c r="H10" s="1"/>
    </row>
    <row r="11" spans="1:10" ht="15.75" x14ac:dyDescent="0.25">
      <c r="A11" s="1"/>
      <c r="B11" s="1"/>
      <c r="C11" s="1"/>
      <c r="D11" s="1"/>
      <c r="E11" s="1"/>
      <c r="F11" s="1"/>
      <c r="G11" s="1"/>
      <c r="H11" s="1"/>
    </row>
    <row r="12" spans="1:10" ht="15.75" x14ac:dyDescent="0.25">
      <c r="A12" s="1"/>
      <c r="B12" s="1"/>
      <c r="C12" s="1"/>
      <c r="D12" s="1"/>
      <c r="E12" s="1"/>
      <c r="F12" s="1"/>
      <c r="G12" s="1"/>
      <c r="H12" s="1"/>
    </row>
    <row r="13" spans="1:10" ht="15.75" x14ac:dyDescent="0.25">
      <c r="A13" s="1"/>
      <c r="B13" s="1"/>
      <c r="C13" s="1"/>
      <c r="D13" s="1"/>
      <c r="E13" s="1"/>
      <c r="F13" s="1"/>
      <c r="G13" s="1"/>
      <c r="H13" s="1"/>
    </row>
    <row r="14" spans="1:10" ht="15.75" x14ac:dyDescent="0.25">
      <c r="A14" s="1"/>
      <c r="B14" s="1"/>
      <c r="C14" s="1"/>
      <c r="D14" s="1"/>
      <c r="E14" s="1"/>
      <c r="F14" s="1"/>
      <c r="G14" s="1"/>
      <c r="H14" s="1"/>
    </row>
  </sheetData>
  <dataValidations count="1">
    <dataValidation type="list" allowBlank="1" showInputMessage="1" showErrorMessage="1" sqref="D2:D7" xr:uid="{F0984FB0-DB1D-4E8A-94B1-59B4C5319D21}">
      <formula1>"No,Yes"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3819-AFEF-4678-8F41-AC9488528807}">
  <dimension ref="A1:AM15"/>
  <sheetViews>
    <sheetView topLeftCell="T1" workbookViewId="0">
      <pane ySplit="1" topLeftCell="A2" activePane="bottomLeft" state="frozen"/>
      <selection pane="bottomLeft" activeCell="AK9" sqref="AK9"/>
    </sheetView>
  </sheetViews>
  <sheetFormatPr defaultRowHeight="15.75" x14ac:dyDescent="0.25"/>
  <cols>
    <col min="1" max="1" width="11.85546875" bestFit="1" customWidth="1"/>
    <col min="5" max="6" width="9.7109375" bestFit="1" customWidth="1"/>
    <col min="7" max="7" width="10.28515625" style="23" bestFit="1" customWidth="1"/>
    <col min="11" max="11" width="9.7109375" bestFit="1" customWidth="1"/>
    <col min="13" max="13" width="9.140625" style="6"/>
    <col min="15" max="15" width="10" bestFit="1" customWidth="1"/>
    <col min="16" max="19" width="10" customWidth="1"/>
    <col min="20" max="24" width="10" style="7" customWidth="1"/>
    <col min="29" max="29" width="9.140625" style="1"/>
    <col min="31" max="31" width="9.140625" style="31"/>
    <col min="32" max="35" width="9.140625" style="17"/>
    <col min="36" max="39" width="9.140625" style="1"/>
  </cols>
  <sheetData>
    <row r="1" spans="1:39" s="1" customFormat="1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4</v>
      </c>
      <c r="F1" s="1" t="s">
        <v>13</v>
      </c>
      <c r="G1" s="1" t="s">
        <v>5</v>
      </c>
      <c r="H1" s="1" t="s">
        <v>6</v>
      </c>
      <c r="I1" s="1" t="s">
        <v>9</v>
      </c>
      <c r="J1" s="1" t="s">
        <v>16</v>
      </c>
      <c r="K1" s="1" t="s">
        <v>3</v>
      </c>
      <c r="L1" s="1" t="s">
        <v>14</v>
      </c>
      <c r="M1" s="4" t="s">
        <v>7</v>
      </c>
      <c r="N1" s="1" t="s">
        <v>8</v>
      </c>
      <c r="O1" s="1" t="s">
        <v>11</v>
      </c>
      <c r="P1" s="1" t="s">
        <v>36</v>
      </c>
      <c r="Q1" s="1" t="s">
        <v>35</v>
      </c>
      <c r="R1" s="1" t="s">
        <v>65</v>
      </c>
      <c r="S1" s="1" t="s">
        <v>63</v>
      </c>
      <c r="T1" s="3" t="s">
        <v>64</v>
      </c>
      <c r="U1" s="3" t="s">
        <v>46</v>
      </c>
      <c r="V1" s="3" t="s">
        <v>66</v>
      </c>
      <c r="W1" s="3" t="s">
        <v>33</v>
      </c>
      <c r="X1" s="3" t="s">
        <v>34</v>
      </c>
      <c r="Y1" s="1" t="s">
        <v>44</v>
      </c>
      <c r="Z1" s="1" t="s">
        <v>37</v>
      </c>
      <c r="AA1" s="3" t="s">
        <v>38</v>
      </c>
      <c r="AB1" s="1" t="s">
        <v>52</v>
      </c>
      <c r="AC1" s="1" t="s">
        <v>43</v>
      </c>
      <c r="AE1" s="29"/>
      <c r="AF1" s="17" t="s">
        <v>47</v>
      </c>
      <c r="AG1" s="17" t="s">
        <v>67</v>
      </c>
      <c r="AH1" s="17" t="s">
        <v>48</v>
      </c>
      <c r="AI1" s="17" t="s">
        <v>49</v>
      </c>
      <c r="AJ1" s="1" t="s">
        <v>45</v>
      </c>
      <c r="AK1" s="1" t="s">
        <v>91</v>
      </c>
      <c r="AL1" s="1" t="s">
        <v>50</v>
      </c>
      <c r="AM1" s="1" t="s">
        <v>51</v>
      </c>
    </row>
    <row r="2" spans="1:39" s="8" customFormat="1" x14ac:dyDescent="0.25">
      <c r="A2" s="2"/>
      <c r="B2" s="1"/>
      <c r="C2" s="1"/>
      <c r="D2" s="19"/>
      <c r="E2" s="3">
        <v>1.0000000000000001E-5</v>
      </c>
      <c r="F2" s="3">
        <v>1.0000000000000001E-5</v>
      </c>
      <c r="G2" s="14">
        <f>G4</f>
        <v>1.0000000000000001E-5</v>
      </c>
      <c r="H2" s="3">
        <f>E2*F2</f>
        <v>1.0000000000000002E-10</v>
      </c>
      <c r="I2" s="3">
        <f>E2*G2</f>
        <v>1.0000000000000002E-10</v>
      </c>
      <c r="J2" s="3"/>
      <c r="K2" s="3">
        <f>K4</f>
        <v>20</v>
      </c>
      <c r="L2" s="3">
        <f>H2/K2</f>
        <v>5.0000000000000005E-12</v>
      </c>
      <c r="M2" s="3">
        <f t="shared" ref="M2:M3" si="0">I2-H2+J2</f>
        <v>0</v>
      </c>
      <c r="N2" s="19">
        <f t="shared" ref="N2:N4" si="1">M2/H2</f>
        <v>0</v>
      </c>
      <c r="O2" s="19">
        <f>(M2-L2)/L2</f>
        <v>-1</v>
      </c>
      <c r="P2" s="3"/>
      <c r="Q2" s="3"/>
      <c r="R2" s="3"/>
      <c r="S2" s="3"/>
      <c r="T2" s="3"/>
      <c r="U2" s="3" t="str">
        <f>IF(AND(A2&gt;A10,F2&gt;=U4),U4,"")</f>
        <v/>
      </c>
      <c r="V2" s="3"/>
      <c r="W2" s="14"/>
      <c r="X2" s="14"/>
      <c r="Y2" s="14"/>
      <c r="Z2" s="3"/>
      <c r="AA2" s="3"/>
      <c r="AB2" s="19"/>
      <c r="AC2" s="1"/>
      <c r="AE2" s="30"/>
      <c r="AF2" s="14"/>
      <c r="AG2" s="14"/>
      <c r="AH2" s="14"/>
      <c r="AI2" s="14"/>
      <c r="AJ2" s="3"/>
      <c r="AK2" s="3"/>
      <c r="AL2" s="3"/>
      <c r="AM2" s="3"/>
    </row>
    <row r="3" spans="1:39" s="8" customFormat="1" x14ac:dyDescent="0.25">
      <c r="A3" s="2"/>
      <c r="B3" s="1"/>
      <c r="C3" s="1"/>
      <c r="D3" s="19"/>
      <c r="E3" s="3">
        <v>1.0000000000000001E-5</v>
      </c>
      <c r="F3" s="3">
        <v>1.0000000000000001E-5</v>
      </c>
      <c r="G3" s="14">
        <f>G4</f>
        <v>1.0000000000000001E-5</v>
      </c>
      <c r="H3" s="3">
        <f>E3*F3</f>
        <v>1.0000000000000002E-10</v>
      </c>
      <c r="I3" s="3">
        <f>E3*G3</f>
        <v>1.0000000000000002E-10</v>
      </c>
      <c r="J3" s="3"/>
      <c r="K3" s="3">
        <f>K4</f>
        <v>20</v>
      </c>
      <c r="L3" s="3">
        <f>H3/K3</f>
        <v>5.0000000000000005E-12</v>
      </c>
      <c r="M3" s="3">
        <f t="shared" si="0"/>
        <v>0</v>
      </c>
      <c r="N3" s="19">
        <f t="shared" si="1"/>
        <v>0</v>
      </c>
      <c r="O3" s="19">
        <f>(M3-L3)/L3</f>
        <v>-1</v>
      </c>
      <c r="P3" s="3"/>
      <c r="Q3" s="3"/>
      <c r="R3" s="3"/>
      <c r="S3" s="3"/>
      <c r="T3" s="3"/>
      <c r="U3" s="3" t="str">
        <f>IF(AND(A3&gt;A10,F3&gt;=U4),U4,"")</f>
        <v/>
      </c>
      <c r="V3" s="3"/>
      <c r="W3" s="14"/>
      <c r="X3" s="14"/>
      <c r="Y3" s="14"/>
      <c r="Z3" s="3"/>
      <c r="AA3" s="3"/>
      <c r="AB3" s="19"/>
      <c r="AC3" s="1"/>
      <c r="AE3" s="30"/>
      <c r="AF3" s="14"/>
      <c r="AG3" s="14"/>
      <c r="AH3" s="14"/>
      <c r="AI3" s="14"/>
      <c r="AJ3" s="3"/>
      <c r="AK3" s="3"/>
      <c r="AL3" s="3"/>
      <c r="AM3" s="3"/>
    </row>
    <row r="4" spans="1:39" s="9" customFormat="1" x14ac:dyDescent="0.25">
      <c r="A4" s="2"/>
      <c r="B4" s="16" t="s">
        <v>12</v>
      </c>
      <c r="C4" s="16"/>
      <c r="D4" s="16"/>
      <c r="E4" s="10">
        <f>SUM(E2:E3)</f>
        <v>2.0000000000000002E-5</v>
      </c>
      <c r="F4" s="10"/>
      <c r="G4" s="25">
        <v>1.0000000000000001E-5</v>
      </c>
      <c r="H4" s="10">
        <f>SUM(H2:H3)</f>
        <v>2.0000000000000003E-10</v>
      </c>
      <c r="I4" s="10">
        <f>SUM(I2:I3)</f>
        <v>2.0000000000000003E-10</v>
      </c>
      <c r="J4" s="10">
        <f>SUM(J2:J3)</f>
        <v>0</v>
      </c>
      <c r="K4" s="10">
        <v>20</v>
      </c>
      <c r="L4" s="10">
        <f>SUM(L2:L3)</f>
        <v>1.0000000000000001E-11</v>
      </c>
      <c r="M4" s="22">
        <f>SUM(M2:M3)</f>
        <v>0</v>
      </c>
      <c r="N4" s="21">
        <f t="shared" si="1"/>
        <v>0</v>
      </c>
      <c r="O4" s="21">
        <f>(M4-L4)/L4</f>
        <v>-1</v>
      </c>
      <c r="P4" s="25">
        <v>1.0000000000000001E-5</v>
      </c>
      <c r="Q4" s="25">
        <v>1.0000000000000001E-5</v>
      </c>
      <c r="R4" s="10">
        <f>R10*K4/K10</f>
        <v>0</v>
      </c>
      <c r="S4" s="10">
        <f>MAX(P4,IF(R4&lt;=0,P4,G4-MAX(R4,G4*IF(N4&gt;0,0,-N4))))</f>
        <v>1.0000000000000001E-5</v>
      </c>
      <c r="T4" s="10">
        <f>MIN(Q4,IF(R4&lt;=0,Q4,G4+MAX(R4,G4*IF(N4&lt;0,0,N4))))</f>
        <v>1.0000000000000001E-5</v>
      </c>
      <c r="U4" s="22">
        <f>MAX(MIN(G4*(1-AB4)-MAX(R4,S!E3/E10),S4),0)</f>
        <v>1.0000000000000001E-5</v>
      </c>
      <c r="V4" s="22">
        <f>MIN(MAX(IF(N4&gt;0,G4*(1+N4),G4),T4),T4+R4)</f>
        <v>1.0000000000000001E-5</v>
      </c>
      <c r="W4" s="10">
        <f>MAX(Z4-AA4*(G4-S4),0)</f>
        <v>0</v>
      </c>
      <c r="X4" s="22">
        <f>ROUND(W4/G4,0)</f>
        <v>0</v>
      </c>
      <c r="Y4" s="10">
        <f>IF(G4&gt;S4,E4*(G4-S4),0)</f>
        <v>0</v>
      </c>
      <c r="Z4" s="10">
        <f>IF(AND(N4&gt;0,N10&gt;0,T4&gt;G4,S!N3&gt;0,AB10&gt;0),N4/AB10*S!N3,0)</f>
        <v>0</v>
      </c>
      <c r="AA4" s="10">
        <f>Z4/G4</f>
        <v>0</v>
      </c>
      <c r="AB4" s="21">
        <f>IF(N4&gt;0,N4,0)</f>
        <v>0</v>
      </c>
      <c r="AC4" s="10">
        <f>(E4+X4)*MAX(Q4-P4,T4-S4)</f>
        <v>0</v>
      </c>
      <c r="AE4" s="31"/>
      <c r="AF4" s="22">
        <f>MIN(MAX(G4*(1+AM4)+MAX(R4,S!E3/E10),T4),T4+R4)</f>
        <v>1.0000000000000001E-5</v>
      </c>
      <c r="AG4" s="22">
        <f>MAX(MIN(IF(N4&lt;0,G4*(1+N4),G4),S4),0)</f>
        <v>1.0000000000000001E-5</v>
      </c>
      <c r="AH4" s="10">
        <f>IF(AK4&gt;0,AK4-AL4*(T4-G4),0)</f>
        <v>0</v>
      </c>
      <c r="AI4" s="22">
        <f>ROUND(AH4/G4*K4,0)</f>
        <v>0</v>
      </c>
      <c r="AJ4" s="10">
        <f>IF(G4&lt;T4,E4*(T4-G4),0)</f>
        <v>0</v>
      </c>
      <c r="AK4" s="10">
        <f>IF(AND(N4&lt;0,N10&gt;0,G4&gt;S4,S!N3&gt;0,AB10&gt;0),-N4/AB10*S!N3,0)</f>
        <v>0</v>
      </c>
      <c r="AL4" s="10">
        <f>AK4/G4*K4</f>
        <v>0</v>
      </c>
      <c r="AM4" s="10">
        <f>IF(N4&lt;0,-N4,0)</f>
        <v>0</v>
      </c>
    </row>
    <row r="5" spans="1:39" s="13" customFormat="1" x14ac:dyDescent="0.25">
      <c r="A5" s="11"/>
      <c r="B5" s="17"/>
      <c r="C5" s="17"/>
      <c r="D5" s="17"/>
      <c r="E5" s="14"/>
      <c r="F5" s="14"/>
      <c r="G5" s="14"/>
      <c r="H5" s="14"/>
      <c r="I5" s="14"/>
      <c r="J5" s="14"/>
      <c r="K5" s="14"/>
      <c r="L5" s="14"/>
      <c r="M5" s="27"/>
      <c r="N5" s="20"/>
      <c r="O5" s="20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20"/>
      <c r="AC5" s="17"/>
      <c r="AE5" s="31"/>
      <c r="AF5" s="14"/>
      <c r="AG5" s="14"/>
      <c r="AH5" s="14"/>
      <c r="AI5" s="14"/>
      <c r="AJ5" s="14"/>
      <c r="AK5" s="14"/>
      <c r="AL5" s="14"/>
      <c r="AM5" s="14"/>
    </row>
    <row r="6" spans="1:39" s="8" customFormat="1" x14ac:dyDescent="0.25">
      <c r="A6" s="2"/>
      <c r="B6" s="1"/>
      <c r="C6" s="1"/>
      <c r="D6" s="19"/>
      <c r="E6" s="3">
        <v>1.0000000000000001E-5</v>
      </c>
      <c r="F6" s="3">
        <v>1.0000000000000001E-5</v>
      </c>
      <c r="G6" s="14">
        <f>G8</f>
        <v>1.0000000000000001E-5</v>
      </c>
      <c r="H6" s="3">
        <f>E6*F6</f>
        <v>1.0000000000000002E-10</v>
      </c>
      <c r="I6" s="3">
        <f>E6*G6</f>
        <v>1.0000000000000002E-10</v>
      </c>
      <c r="J6" s="3"/>
      <c r="K6" s="3">
        <f>K8</f>
        <v>20</v>
      </c>
      <c r="L6" s="3">
        <f>H6/K6</f>
        <v>5.0000000000000005E-12</v>
      </c>
      <c r="M6" s="3">
        <f t="shared" ref="M6:M7" si="2">I6-H6+J6</f>
        <v>0</v>
      </c>
      <c r="N6" s="19">
        <f t="shared" ref="N6:N8" si="3">M6/H6</f>
        <v>0</v>
      </c>
      <c r="O6" s="19">
        <f>(M6-L6)/L6</f>
        <v>-1</v>
      </c>
      <c r="P6" s="3"/>
      <c r="Q6" s="3"/>
      <c r="R6" s="3"/>
      <c r="S6" s="3"/>
      <c r="T6" s="3"/>
      <c r="U6" s="3" t="str">
        <f>IF(AND(A6&gt;A14,F6&gt;=U8),U8,"")</f>
        <v/>
      </c>
      <c r="V6" s="3"/>
      <c r="W6" s="14"/>
      <c r="X6" s="14"/>
      <c r="Y6" s="14"/>
      <c r="Z6" s="3"/>
      <c r="AA6" s="3"/>
      <c r="AB6" s="19"/>
      <c r="AC6" s="1"/>
      <c r="AE6" s="30"/>
      <c r="AF6" s="14"/>
      <c r="AG6" s="14"/>
      <c r="AH6" s="14"/>
      <c r="AI6" s="14"/>
      <c r="AJ6" s="3"/>
      <c r="AK6" s="3"/>
      <c r="AL6" s="3"/>
      <c r="AM6" s="3"/>
    </row>
    <row r="7" spans="1:39" s="8" customFormat="1" x14ac:dyDescent="0.25">
      <c r="A7" s="2"/>
      <c r="B7" s="1"/>
      <c r="C7" s="1"/>
      <c r="D7" s="19"/>
      <c r="E7" s="3">
        <v>1.0000000000000001E-5</v>
      </c>
      <c r="F7" s="3">
        <v>1.0000000000000001E-5</v>
      </c>
      <c r="G7" s="14">
        <f>G8</f>
        <v>1.0000000000000001E-5</v>
      </c>
      <c r="H7" s="3">
        <f>E7*F7</f>
        <v>1.0000000000000002E-10</v>
      </c>
      <c r="I7" s="3">
        <f>E7*G7</f>
        <v>1.0000000000000002E-10</v>
      </c>
      <c r="J7" s="3"/>
      <c r="K7" s="3">
        <f>K8</f>
        <v>20</v>
      </c>
      <c r="L7" s="3">
        <f>H7/K7</f>
        <v>5.0000000000000005E-12</v>
      </c>
      <c r="M7" s="3">
        <f t="shared" si="2"/>
        <v>0</v>
      </c>
      <c r="N7" s="19">
        <f t="shared" si="3"/>
        <v>0</v>
      </c>
      <c r="O7" s="19">
        <f>(M7-L7)/L7</f>
        <v>-1</v>
      </c>
      <c r="P7" s="3"/>
      <c r="Q7" s="3"/>
      <c r="R7" s="3"/>
      <c r="S7" s="3"/>
      <c r="T7" s="3"/>
      <c r="U7" s="3" t="str">
        <f>IF(AND(A7&gt;A14,F7&gt;=U8),U8,"")</f>
        <v/>
      </c>
      <c r="V7" s="3"/>
      <c r="W7" s="14"/>
      <c r="X7" s="14"/>
      <c r="Y7" s="14"/>
      <c r="Z7" s="3"/>
      <c r="AA7" s="3"/>
      <c r="AB7" s="19"/>
      <c r="AC7" s="1"/>
      <c r="AE7" s="30"/>
      <c r="AF7" s="14"/>
      <c r="AG7" s="14"/>
      <c r="AH7" s="14"/>
      <c r="AI7" s="14"/>
      <c r="AJ7" s="3"/>
      <c r="AK7" s="3"/>
      <c r="AL7" s="3"/>
      <c r="AM7" s="3"/>
    </row>
    <row r="8" spans="1:39" s="9" customFormat="1" x14ac:dyDescent="0.25">
      <c r="A8" s="2"/>
      <c r="B8" s="16" t="s">
        <v>12</v>
      </c>
      <c r="C8" s="16"/>
      <c r="D8" s="16"/>
      <c r="E8" s="10">
        <f>SUM(E6:E7)</f>
        <v>2.0000000000000002E-5</v>
      </c>
      <c r="F8" s="10"/>
      <c r="G8" s="25">
        <v>1.0000000000000001E-5</v>
      </c>
      <c r="H8" s="10">
        <f>SUM(H6:H7)</f>
        <v>2.0000000000000003E-10</v>
      </c>
      <c r="I8" s="10">
        <f>SUM(I6:I7)</f>
        <v>2.0000000000000003E-10</v>
      </c>
      <c r="J8" s="10">
        <f>SUM(J6:J7)</f>
        <v>0</v>
      </c>
      <c r="K8" s="10">
        <v>20</v>
      </c>
      <c r="L8" s="10">
        <f>SUM(L6:L7)</f>
        <v>1.0000000000000001E-11</v>
      </c>
      <c r="M8" s="22">
        <f>SUM(M6:M7)</f>
        <v>0</v>
      </c>
      <c r="N8" s="21">
        <f t="shared" si="3"/>
        <v>0</v>
      </c>
      <c r="O8" s="21">
        <f>(M8-L8)/L8</f>
        <v>-1</v>
      </c>
      <c r="P8" s="25">
        <v>1.0000000000000001E-5</v>
      </c>
      <c r="Q8" s="25">
        <v>1.0000000000000001E-5</v>
      </c>
      <c r="R8" s="10">
        <f>R10*K8/K10</f>
        <v>0</v>
      </c>
      <c r="S8" s="10">
        <f>MAX(P8,IF(R8&lt;=0,P8,G8-MAX(R8,G8*IF(N8&gt;0,0,-N8))))</f>
        <v>1.0000000000000001E-5</v>
      </c>
      <c r="T8" s="10">
        <f>MIN(Q8,IF(R8&lt;=0,Q8,G8+MAX(R8,G8*IF(N8&lt;0,0,N8))))</f>
        <v>1.0000000000000001E-5</v>
      </c>
      <c r="U8" s="22">
        <f>MAX(MIN(G8*(1-AB8)-MAX(R8,S!E3/E10),S8),0)</f>
        <v>1.0000000000000001E-5</v>
      </c>
      <c r="V8" s="22">
        <f>MIN(MAX(IF(N8&gt;0,G8*(1+N8),G8),T8),T8+R8)</f>
        <v>1.0000000000000001E-5</v>
      </c>
      <c r="W8" s="10">
        <f>MAX(Z8-AA8*(G8-S8),0)</f>
        <v>0</v>
      </c>
      <c r="X8" s="22">
        <f>ROUND(W8/G8,0)</f>
        <v>0</v>
      </c>
      <c r="Y8" s="10">
        <f>IF(G8&gt;S8,E8*(G8-S8),0)</f>
        <v>0</v>
      </c>
      <c r="Z8" s="10">
        <f>IF(AND(N8&gt;0,N10&gt;0,T8&gt;G8,S!N3&gt;0,AB10&gt;0),N8/AB10*S!N3,0)</f>
        <v>0</v>
      </c>
      <c r="AA8" s="10">
        <f>Z8/G8</f>
        <v>0</v>
      </c>
      <c r="AB8" s="21">
        <f>IF(N8&gt;0,N8,0)</f>
        <v>0</v>
      </c>
      <c r="AC8" s="10">
        <f>(E8+X8)*MAX(Q8-P8,T8-S8)</f>
        <v>0</v>
      </c>
      <c r="AE8" s="31"/>
      <c r="AF8" s="22">
        <f>MIN(MAX(G8*(1+AM8)+MAX(R8,S!E3/E10),T8),T8+R8)</f>
        <v>1.0000000000000001E-5</v>
      </c>
      <c r="AG8" s="22">
        <f>MAX(MIN(IF(N8&lt;0,G8*(1+N8),G8),S8),0)</f>
        <v>1.0000000000000001E-5</v>
      </c>
      <c r="AH8" s="10">
        <f>IF(AK8&gt;0,AK8-AL8*(T8-G8),0)</f>
        <v>0</v>
      </c>
      <c r="AI8" s="22">
        <f>ROUND(AH8/G8*K8,0)</f>
        <v>0</v>
      </c>
      <c r="AJ8" s="10">
        <f>IF(G8&lt;T8,E8*(T8-G8),0)</f>
        <v>0</v>
      </c>
      <c r="AK8" s="10">
        <f>IF(AND(N8&lt;0,N10&gt;0,G8&gt;S8,S!N3&gt;0,AB10&gt;0),-N8/AB10*S!N3,0)</f>
        <v>0</v>
      </c>
      <c r="AL8" s="10">
        <f>AK8/G8*K8</f>
        <v>0</v>
      </c>
      <c r="AM8" s="10">
        <f>IF(N8&lt;0,-N8,0)</f>
        <v>0</v>
      </c>
    </row>
    <row r="9" spans="1:3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9"/>
      <c r="O9" s="20"/>
      <c r="P9" s="20"/>
      <c r="Q9" s="20"/>
      <c r="R9" s="20"/>
      <c r="S9" s="14"/>
      <c r="T9" s="14"/>
      <c r="U9" s="14"/>
      <c r="V9" s="14"/>
      <c r="W9" s="14"/>
      <c r="X9" s="14"/>
      <c r="Y9" s="3"/>
      <c r="Z9" s="3"/>
      <c r="AA9" s="3"/>
      <c r="AB9" s="19"/>
      <c r="AF9" s="14"/>
      <c r="AG9" s="14"/>
      <c r="AH9" s="14"/>
      <c r="AI9" s="14"/>
      <c r="AJ9" s="3"/>
      <c r="AK9" s="3"/>
      <c r="AL9" s="3"/>
      <c r="AM9" s="3"/>
    </row>
    <row r="10" spans="1:39" x14ac:dyDescent="0.25">
      <c r="A10" s="2">
        <f>S!A3</f>
        <v>44470</v>
      </c>
      <c r="B10" s="4" t="s">
        <v>15</v>
      </c>
      <c r="C10" s="1"/>
      <c r="D10" s="1"/>
      <c r="E10" s="3">
        <f>SUM(E4,E8)</f>
        <v>4.0000000000000003E-5</v>
      </c>
      <c r="F10" s="3"/>
      <c r="G10" s="14"/>
      <c r="H10" s="3">
        <f>SUM(H4,H8)</f>
        <v>4.0000000000000007E-10</v>
      </c>
      <c r="I10" s="3">
        <f>SUM(I4,I8)</f>
        <v>4.0000000000000007E-10</v>
      </c>
      <c r="J10" s="3"/>
      <c r="K10" s="3">
        <f>S!I3</f>
        <v>20</v>
      </c>
      <c r="L10" s="3">
        <f>SUM(L4,L8)+'JSI-2'!N4</f>
        <v>2.0000000000000002E-11</v>
      </c>
      <c r="M10" s="5">
        <f>SUM(M4,M8)+'JSI-2'!O4</f>
        <v>0</v>
      </c>
      <c r="N10" s="19">
        <f t="shared" ref="N10" si="4">M10/H10</f>
        <v>0</v>
      </c>
      <c r="O10" s="20">
        <f t="shared" ref="O10" si="5">(M10-L10)/L10</f>
        <v>-1</v>
      </c>
      <c r="P10" s="20"/>
      <c r="Q10" s="20"/>
      <c r="R10" s="14">
        <f>MIN(S!Y3,S!E3/E10)</f>
        <v>0</v>
      </c>
      <c r="S10" s="14"/>
      <c r="T10" s="14"/>
      <c r="U10" s="14"/>
      <c r="V10" s="14"/>
      <c r="W10" s="14">
        <f>SUM(W4,W8)</f>
        <v>0</v>
      </c>
      <c r="X10" s="14"/>
      <c r="Y10" s="3">
        <f>SUM(Y4,Y8)</f>
        <v>0</v>
      </c>
      <c r="Z10" s="3"/>
      <c r="AA10" s="3"/>
      <c r="AB10" s="19">
        <f>SUM(AB4,AB8)</f>
        <v>0</v>
      </c>
      <c r="AC10" s="3">
        <f>SUM(AC4,AC8)</f>
        <v>0</v>
      </c>
      <c r="AF10" s="14"/>
      <c r="AG10" s="14"/>
      <c r="AH10" s="14">
        <f>SUM(AH4,AH8)</f>
        <v>0</v>
      </c>
      <c r="AI10" s="14"/>
      <c r="AJ10" s="3">
        <f>SUM(AJ4,AJ8)</f>
        <v>0</v>
      </c>
      <c r="AK10" s="3"/>
      <c r="AL10" s="3"/>
      <c r="AM10" s="3"/>
    </row>
    <row r="11" spans="1:3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  <c r="N11" s="1"/>
      <c r="O11" s="1"/>
      <c r="P11" s="1"/>
      <c r="Q11" s="1"/>
      <c r="R11" s="14"/>
      <c r="S11" s="1"/>
      <c r="T11" s="3"/>
      <c r="U11" s="3"/>
      <c r="V11" s="3"/>
      <c r="W11" s="3"/>
      <c r="X11" s="3"/>
      <c r="Y11" s="1"/>
      <c r="Z11" s="1"/>
      <c r="AA11" s="1"/>
      <c r="AB11" s="1"/>
      <c r="AF11" s="14"/>
      <c r="AG11" s="14"/>
      <c r="AH11" s="14"/>
      <c r="AI11" s="14"/>
      <c r="AJ11" s="3"/>
      <c r="AK11" s="3"/>
      <c r="AL11" s="3"/>
      <c r="AM11" s="3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  <c r="N12" s="1"/>
      <c r="O12" s="1"/>
      <c r="P12" s="1"/>
      <c r="Q12" s="1"/>
      <c r="R12" s="1"/>
      <c r="S12" s="1"/>
      <c r="T12" s="3"/>
      <c r="U12" s="3"/>
      <c r="V12" s="3"/>
      <c r="W12" s="3"/>
      <c r="X12" s="3"/>
      <c r="Y12" s="1"/>
      <c r="Z12" s="1"/>
      <c r="AA12" s="1"/>
      <c r="AB12" s="1"/>
      <c r="AF12" s="14"/>
      <c r="AG12" s="14"/>
      <c r="AH12" s="14"/>
      <c r="AI12" s="14"/>
      <c r="AJ12" s="3"/>
      <c r="AK12" s="3"/>
      <c r="AL12" s="3"/>
      <c r="AM12" s="3"/>
    </row>
    <row r="13" spans="1:39" s="7" customFormat="1" x14ac:dyDescent="0.25">
      <c r="A13" s="3"/>
      <c r="B13" s="3"/>
      <c r="C13" s="3"/>
      <c r="D13" s="27"/>
      <c r="E13" s="19"/>
      <c r="F13" s="14"/>
      <c r="G13" s="19"/>
      <c r="H13" s="3"/>
      <c r="I13" s="5"/>
      <c r="J13" s="18"/>
      <c r="K13" s="3"/>
      <c r="L13" s="14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E13" s="32"/>
      <c r="AF13" s="14"/>
      <c r="AG13" s="14"/>
      <c r="AH13" s="14"/>
      <c r="AI13" s="14"/>
      <c r="AJ13" s="3"/>
      <c r="AK13" s="3"/>
      <c r="AL13" s="3"/>
      <c r="AM13" s="3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1"/>
      <c r="O14" s="1"/>
      <c r="P14" s="1"/>
      <c r="Q14" s="1"/>
      <c r="R14" s="1"/>
      <c r="S14" s="1"/>
      <c r="T14" s="3"/>
      <c r="U14" s="3"/>
      <c r="V14" s="3"/>
      <c r="W14" s="3"/>
      <c r="X14" s="3"/>
      <c r="Y14" s="1"/>
      <c r="Z14" s="1"/>
      <c r="AA14" s="1"/>
      <c r="AB14" s="1"/>
      <c r="AF14" s="14"/>
      <c r="AG14" s="14"/>
      <c r="AH14" s="14"/>
      <c r="AI14" s="14"/>
      <c r="AJ14" s="3"/>
      <c r="AK14" s="3"/>
      <c r="AL14" s="3"/>
      <c r="AM14" s="3"/>
    </row>
    <row r="15" spans="1:39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"/>
      <c r="M15" s="4"/>
      <c r="N15" s="1"/>
      <c r="O15" s="1"/>
      <c r="P15" s="1"/>
      <c r="Q15" s="1"/>
      <c r="R15" s="1"/>
      <c r="S15" s="1"/>
      <c r="T15" s="3"/>
      <c r="U15" s="3"/>
      <c r="V15" s="3"/>
      <c r="W15" s="3"/>
      <c r="X15" s="3"/>
      <c r="Y15" s="1"/>
      <c r="Z15" s="1"/>
      <c r="AA15" s="1"/>
    </row>
  </sheetData>
  <dataValidations count="1">
    <dataValidation type="list" allowBlank="1" showInputMessage="1" showErrorMessage="1" sqref="L13" xr:uid="{F2BE2C1F-EEF2-494C-8F53-8BA734C67404}">
      <formula1>"0,2,4,6,8,10"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5558-85C0-4C9D-8337-144FA1943D24}">
  <dimension ref="A1:O10"/>
  <sheetViews>
    <sheetView workbookViewId="0">
      <pane ySplit="1" topLeftCell="A2" activePane="bottomLeft" state="frozen"/>
      <selection pane="bottomLeft" activeCell="L2" sqref="L2:L4"/>
    </sheetView>
  </sheetViews>
  <sheetFormatPr defaultRowHeight="15" x14ac:dyDescent="0.25"/>
  <cols>
    <col min="1" max="2" width="11.85546875" customWidth="1"/>
  </cols>
  <sheetData>
    <row r="1" spans="1:15" s="1" customFormat="1" ht="15.75" x14ac:dyDescent="0.25">
      <c r="A1" s="1" t="s">
        <v>31</v>
      </c>
      <c r="B1" s="1" t="s">
        <v>0</v>
      </c>
      <c r="C1" s="1" t="s">
        <v>1</v>
      </c>
      <c r="D1" s="1" t="s">
        <v>4</v>
      </c>
      <c r="E1" s="1" t="s">
        <v>76</v>
      </c>
      <c r="F1" s="1" t="s">
        <v>53</v>
      </c>
      <c r="G1" s="1" t="s">
        <v>54</v>
      </c>
      <c r="H1" s="1" t="s">
        <v>16</v>
      </c>
      <c r="I1" s="1" t="s">
        <v>3</v>
      </c>
      <c r="J1" s="1" t="s">
        <v>14</v>
      </c>
      <c r="K1" s="1" t="s">
        <v>47</v>
      </c>
      <c r="L1" s="1" t="s">
        <v>67</v>
      </c>
      <c r="M1" s="1" t="s">
        <v>55</v>
      </c>
      <c r="N1" s="1" t="s">
        <v>57</v>
      </c>
      <c r="O1" s="1" t="s">
        <v>58</v>
      </c>
    </row>
    <row r="2" spans="1:15" s="1" customFormat="1" ht="15.75" x14ac:dyDescent="0.25">
      <c r="A2" s="34"/>
      <c r="B2" s="28"/>
      <c r="D2" s="3">
        <v>0</v>
      </c>
      <c r="E2" s="25">
        <v>0</v>
      </c>
      <c r="F2" s="25" t="s">
        <v>30</v>
      </c>
      <c r="G2" s="25" t="s">
        <v>30</v>
      </c>
      <c r="H2" s="3"/>
      <c r="I2" s="3">
        <v>20</v>
      </c>
      <c r="J2" s="3">
        <f t="shared" ref="J2:J3" si="0">D2*E2/I2</f>
        <v>0</v>
      </c>
      <c r="K2" s="3"/>
      <c r="L2" s="3"/>
      <c r="M2" s="3">
        <f t="shared" ref="M2:M3" si="1">IF(OR(F2="No",G2="No"),J2,"")</f>
        <v>0</v>
      </c>
      <c r="N2" s="3" t="str">
        <f t="shared" ref="N2:N3" si="2">IF(AND(F2="Yes",G2="No"),J2,"")</f>
        <v/>
      </c>
      <c r="O2" s="3" t="str">
        <f>IF(AND(F2="Yes",G2="No"),D2*(E2-'A-2'!G8)+H2,"")</f>
        <v/>
      </c>
    </row>
    <row r="3" spans="1:15" s="1" customFormat="1" ht="15.75" x14ac:dyDescent="0.25">
      <c r="A3" s="34"/>
      <c r="B3" s="28"/>
      <c r="D3" s="3">
        <v>0</v>
      </c>
      <c r="E3" s="25">
        <v>0</v>
      </c>
      <c r="F3" s="25" t="s">
        <v>30</v>
      </c>
      <c r="G3" s="25" t="s">
        <v>30</v>
      </c>
      <c r="H3" s="3"/>
      <c r="I3" s="3">
        <v>20</v>
      </c>
      <c r="J3" s="3">
        <f t="shared" si="0"/>
        <v>0</v>
      </c>
      <c r="K3" s="3"/>
      <c r="L3" s="3"/>
      <c r="M3" s="3">
        <f t="shared" si="1"/>
        <v>0</v>
      </c>
      <c r="N3" s="3" t="str">
        <f t="shared" si="2"/>
        <v/>
      </c>
      <c r="O3" s="3" t="str">
        <f>IF(AND(F3="Yes",G3="No"),D3*(E3-'A-2'!G8)+H3,"")</f>
        <v/>
      </c>
    </row>
    <row r="4" spans="1:15" ht="15.75" x14ac:dyDescent="0.25">
      <c r="A4" s="3" t="s">
        <v>12</v>
      </c>
      <c r="B4" s="1"/>
      <c r="C4" s="1"/>
      <c r="D4" s="1"/>
      <c r="E4" s="3"/>
      <c r="F4" s="3"/>
      <c r="G4" s="3"/>
      <c r="H4" s="1"/>
      <c r="I4" s="1"/>
      <c r="J4" s="3"/>
      <c r="K4" s="3"/>
      <c r="L4" s="3"/>
      <c r="M4" s="5">
        <f>SUM(M2:M3)</f>
        <v>0</v>
      </c>
      <c r="N4" s="5">
        <f>SUM(N2:N3)</f>
        <v>0</v>
      </c>
      <c r="O4" s="5">
        <f>SUMIF(O2:O3,"&gt;0")</f>
        <v>0</v>
      </c>
    </row>
    <row r="5" spans="1:15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5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</sheetData>
  <dataValidations count="1">
    <dataValidation type="list" allowBlank="1" showInputMessage="1" showErrorMessage="1" sqref="F2:G3" xr:uid="{1D7B1AEE-F4F0-44C7-BC8A-2BA50A2424EC}">
      <formula1>"No,Yes"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D2A6-8983-40CC-ADA2-9D3774845B41}">
  <dimension ref="A1:J1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10" s="1" customFormat="1" ht="15.75" x14ac:dyDescent="0.25">
      <c r="A1" s="1" t="s">
        <v>1</v>
      </c>
      <c r="B1" s="1" t="s">
        <v>4</v>
      </c>
      <c r="C1" s="1" t="s">
        <v>76</v>
      </c>
      <c r="D1" s="1" t="s">
        <v>53</v>
      </c>
      <c r="E1" s="1" t="s">
        <v>77</v>
      </c>
      <c r="F1" s="1" t="s">
        <v>78</v>
      </c>
      <c r="G1" s="1" t="s">
        <v>3</v>
      </c>
      <c r="H1" s="1" t="s">
        <v>14</v>
      </c>
      <c r="I1" s="1" t="s">
        <v>79</v>
      </c>
      <c r="J1" s="1" t="s">
        <v>80</v>
      </c>
    </row>
    <row r="2" spans="1:10" s="1" customFormat="1" ht="15.75" x14ac:dyDescent="0.25">
      <c r="B2" s="3">
        <v>0</v>
      </c>
      <c r="C2" s="14">
        <v>0</v>
      </c>
      <c r="D2" s="14" t="s">
        <v>30</v>
      </c>
      <c r="E2" s="14"/>
      <c r="F2" s="14"/>
      <c r="G2" s="3">
        <v>20</v>
      </c>
      <c r="H2" s="3">
        <f>B2*C2/G2</f>
        <v>0</v>
      </c>
      <c r="I2" s="1">
        <f t="shared" ref="I2:I3" si="0">B2*ABS(C2-E2)</f>
        <v>0</v>
      </c>
      <c r="J2" s="1">
        <f t="shared" ref="J2:J3" si="1">IF(AND(F2&lt;&gt;"",F2&gt;0),B2*ABS(C2-F2),0)</f>
        <v>0</v>
      </c>
    </row>
    <row r="3" spans="1:10" s="1" customFormat="1" ht="15.75" x14ac:dyDescent="0.25">
      <c r="B3" s="3">
        <v>0</v>
      </c>
      <c r="C3" s="14">
        <v>0</v>
      </c>
      <c r="D3" s="14" t="s">
        <v>30</v>
      </c>
      <c r="E3" s="14"/>
      <c r="F3" s="14"/>
      <c r="G3" s="3">
        <v>20</v>
      </c>
      <c r="H3" s="3">
        <f>B3*C3/G3</f>
        <v>0</v>
      </c>
      <c r="I3" s="1">
        <f t="shared" si="0"/>
        <v>0</v>
      </c>
      <c r="J3" s="1">
        <f t="shared" si="1"/>
        <v>0</v>
      </c>
    </row>
    <row r="4" spans="1:10" ht="15.75" x14ac:dyDescent="0.25">
      <c r="A4" s="1" t="s">
        <v>12</v>
      </c>
      <c r="B4" s="1"/>
      <c r="C4" s="3"/>
      <c r="D4" s="3"/>
      <c r="E4" s="3"/>
      <c r="F4" s="3"/>
      <c r="G4" s="1"/>
      <c r="H4" s="5">
        <f>SUM(H2:H3)</f>
        <v>0</v>
      </c>
      <c r="I4" s="1">
        <f>SUM(I2:I3)</f>
        <v>0</v>
      </c>
      <c r="J4" s="1">
        <f>SUM(J2:J3)</f>
        <v>0</v>
      </c>
    </row>
    <row r="5" spans="1:10" ht="15.75" x14ac:dyDescent="0.25">
      <c r="A5" s="1"/>
      <c r="B5" s="1"/>
      <c r="C5" s="1"/>
      <c r="D5" s="1"/>
      <c r="E5" s="1"/>
      <c r="F5" s="1"/>
      <c r="G5" s="1"/>
      <c r="H5" s="1"/>
    </row>
    <row r="6" spans="1:10" ht="15.75" x14ac:dyDescent="0.25">
      <c r="A6" s="1"/>
      <c r="B6" s="1"/>
      <c r="C6" s="1"/>
      <c r="D6" s="1"/>
      <c r="E6" s="1"/>
      <c r="F6" s="1"/>
      <c r="G6" s="1"/>
      <c r="H6" s="1"/>
    </row>
    <row r="7" spans="1:10" ht="15.75" x14ac:dyDescent="0.25">
      <c r="A7" s="1"/>
      <c r="B7" s="1"/>
      <c r="C7" s="1"/>
      <c r="D7" s="1"/>
      <c r="E7" s="1"/>
      <c r="F7" s="1"/>
      <c r="G7" s="1"/>
      <c r="H7" s="1"/>
    </row>
    <row r="8" spans="1:10" ht="15.75" x14ac:dyDescent="0.25">
      <c r="A8" s="1"/>
      <c r="B8" s="1"/>
      <c r="C8" s="1"/>
      <c r="D8" s="1"/>
      <c r="E8" s="1"/>
      <c r="F8" s="1"/>
      <c r="G8" s="1"/>
      <c r="H8" s="1"/>
    </row>
    <row r="9" spans="1:10" ht="15.75" x14ac:dyDescent="0.25">
      <c r="A9" s="1"/>
      <c r="B9" s="1"/>
      <c r="C9" s="1"/>
      <c r="D9" s="1"/>
      <c r="E9" s="1"/>
      <c r="F9" s="1"/>
      <c r="G9" s="1"/>
      <c r="H9" s="1"/>
    </row>
    <row r="10" spans="1:10" ht="15.75" x14ac:dyDescent="0.25">
      <c r="A10" s="1"/>
      <c r="B10" s="1"/>
      <c r="C10" s="1"/>
      <c r="D10" s="1"/>
      <c r="E10" s="1"/>
      <c r="F10" s="1"/>
      <c r="G10" s="1"/>
      <c r="H10" s="1"/>
    </row>
  </sheetData>
  <dataValidations count="1">
    <dataValidation type="list" allowBlank="1" showInputMessage="1" showErrorMessage="1" sqref="D2:D3" xr:uid="{2BC1A489-B833-415A-B536-A3D112FE002C}">
      <formula1>"No,Yes"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561D-0F8C-4529-8B23-963A4625B55A}">
  <dimension ref="A1:AM15"/>
  <sheetViews>
    <sheetView topLeftCell="T1" workbookViewId="0">
      <pane ySplit="1" topLeftCell="A2" activePane="bottomLeft" state="frozen"/>
      <selection pane="bottomLeft" activeCell="AK9" sqref="AK9"/>
    </sheetView>
  </sheetViews>
  <sheetFormatPr defaultRowHeight="15.75" x14ac:dyDescent="0.25"/>
  <cols>
    <col min="1" max="1" width="11.85546875" bestFit="1" customWidth="1"/>
    <col min="5" max="6" width="9.7109375" bestFit="1" customWidth="1"/>
    <col min="7" max="7" width="10.28515625" style="23" bestFit="1" customWidth="1"/>
    <col min="11" max="11" width="9.7109375" bestFit="1" customWidth="1"/>
    <col min="13" max="13" width="9.140625" style="6"/>
    <col min="15" max="15" width="10" bestFit="1" customWidth="1"/>
    <col min="16" max="19" width="10" customWidth="1"/>
    <col min="20" max="24" width="10" style="7" customWidth="1"/>
    <col min="29" max="29" width="9.140625" style="1"/>
    <col min="31" max="31" width="9.140625" style="31"/>
    <col min="32" max="35" width="9.140625" style="17"/>
    <col min="36" max="39" width="9.140625" style="1"/>
  </cols>
  <sheetData>
    <row r="1" spans="1:39" s="1" customFormat="1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4</v>
      </c>
      <c r="F1" s="1" t="s">
        <v>13</v>
      </c>
      <c r="G1" s="1" t="s">
        <v>5</v>
      </c>
      <c r="H1" s="1" t="s">
        <v>6</v>
      </c>
      <c r="I1" s="1" t="s">
        <v>9</v>
      </c>
      <c r="J1" s="1" t="s">
        <v>16</v>
      </c>
      <c r="K1" s="1" t="s">
        <v>3</v>
      </c>
      <c r="L1" s="1" t="s">
        <v>14</v>
      </c>
      <c r="M1" s="4" t="s">
        <v>7</v>
      </c>
      <c r="N1" s="1" t="s">
        <v>8</v>
      </c>
      <c r="O1" s="1" t="s">
        <v>11</v>
      </c>
      <c r="P1" s="1" t="s">
        <v>36</v>
      </c>
      <c r="Q1" s="1" t="s">
        <v>35</v>
      </c>
      <c r="R1" s="1" t="s">
        <v>65</v>
      </c>
      <c r="S1" s="1" t="s">
        <v>63</v>
      </c>
      <c r="T1" s="3" t="s">
        <v>64</v>
      </c>
      <c r="U1" s="3" t="s">
        <v>46</v>
      </c>
      <c r="V1" s="3" t="s">
        <v>66</v>
      </c>
      <c r="W1" s="3" t="s">
        <v>33</v>
      </c>
      <c r="X1" s="3" t="s">
        <v>34</v>
      </c>
      <c r="Y1" s="1" t="s">
        <v>44</v>
      </c>
      <c r="Z1" s="1" t="s">
        <v>37</v>
      </c>
      <c r="AA1" s="3" t="s">
        <v>38</v>
      </c>
      <c r="AB1" s="1" t="s">
        <v>52</v>
      </c>
      <c r="AC1" s="1" t="s">
        <v>43</v>
      </c>
      <c r="AE1" s="29"/>
      <c r="AF1" s="17" t="s">
        <v>47</v>
      </c>
      <c r="AG1" s="17" t="s">
        <v>67</v>
      </c>
      <c r="AH1" s="17" t="s">
        <v>48</v>
      </c>
      <c r="AI1" s="17" t="s">
        <v>49</v>
      </c>
      <c r="AJ1" s="1" t="s">
        <v>45</v>
      </c>
      <c r="AK1" s="1" t="s">
        <v>91</v>
      </c>
      <c r="AL1" s="1" t="s">
        <v>50</v>
      </c>
      <c r="AM1" s="1" t="s">
        <v>51</v>
      </c>
    </row>
    <row r="2" spans="1:39" s="8" customFormat="1" x14ac:dyDescent="0.25">
      <c r="A2" s="2"/>
      <c r="B2" s="1"/>
      <c r="C2" s="1"/>
      <c r="D2" s="19"/>
      <c r="E2" s="3">
        <v>1.0000000000000001E-5</v>
      </c>
      <c r="F2" s="3">
        <v>1.0000000000000001E-5</v>
      </c>
      <c r="G2" s="14">
        <f>G4</f>
        <v>1.0000000000000001E-5</v>
      </c>
      <c r="H2" s="3">
        <f>E2*F2</f>
        <v>1.0000000000000002E-10</v>
      </c>
      <c r="I2" s="3">
        <f>E2*G2</f>
        <v>1.0000000000000002E-10</v>
      </c>
      <c r="J2" s="3"/>
      <c r="K2" s="3">
        <f>K4</f>
        <v>20</v>
      </c>
      <c r="L2" s="3">
        <f>H2/K2</f>
        <v>5.0000000000000005E-12</v>
      </c>
      <c r="M2" s="3">
        <f t="shared" ref="M2:M3" si="0">I2-H2+J2</f>
        <v>0</v>
      </c>
      <c r="N2" s="19">
        <f t="shared" ref="N2:N4" si="1">M2/H2</f>
        <v>0</v>
      </c>
      <c r="O2" s="19">
        <f>(M2-L2)/L2</f>
        <v>-1</v>
      </c>
      <c r="P2" s="3"/>
      <c r="Q2" s="3"/>
      <c r="R2" s="3"/>
      <c r="S2" s="3"/>
      <c r="T2" s="3"/>
      <c r="U2" s="3" t="str">
        <f>IF(AND(A2&gt;A10,F2&gt;=U4),U4,"")</f>
        <v/>
      </c>
      <c r="V2" s="3"/>
      <c r="W2" s="14"/>
      <c r="X2" s="14"/>
      <c r="Y2" s="14"/>
      <c r="Z2" s="3"/>
      <c r="AA2" s="3"/>
      <c r="AB2" s="19"/>
      <c r="AC2" s="1"/>
      <c r="AE2" s="30"/>
      <c r="AF2" s="14"/>
      <c r="AG2" s="14"/>
      <c r="AH2" s="14"/>
      <c r="AI2" s="14"/>
      <c r="AJ2" s="3"/>
      <c r="AK2" s="3"/>
      <c r="AL2" s="3"/>
      <c r="AM2" s="3"/>
    </row>
    <row r="3" spans="1:39" s="8" customFormat="1" x14ac:dyDescent="0.25">
      <c r="A3" s="2"/>
      <c r="B3" s="1"/>
      <c r="C3" s="1"/>
      <c r="D3" s="19"/>
      <c r="E3" s="3">
        <v>1.0000000000000001E-5</v>
      </c>
      <c r="F3" s="3">
        <v>1.0000000000000001E-5</v>
      </c>
      <c r="G3" s="14">
        <f>G4</f>
        <v>1.0000000000000001E-5</v>
      </c>
      <c r="H3" s="3">
        <f>E3*F3</f>
        <v>1.0000000000000002E-10</v>
      </c>
      <c r="I3" s="3">
        <f>E3*G3</f>
        <v>1.0000000000000002E-10</v>
      </c>
      <c r="J3" s="3"/>
      <c r="K3" s="3">
        <f>K4</f>
        <v>20</v>
      </c>
      <c r="L3" s="3">
        <f>H3/K3</f>
        <v>5.0000000000000005E-12</v>
      </c>
      <c r="M3" s="3">
        <f t="shared" si="0"/>
        <v>0</v>
      </c>
      <c r="N3" s="19">
        <f t="shared" si="1"/>
        <v>0</v>
      </c>
      <c r="O3" s="19">
        <f>(M3-L3)/L3</f>
        <v>-1</v>
      </c>
      <c r="P3" s="3"/>
      <c r="Q3" s="3"/>
      <c r="R3" s="3"/>
      <c r="S3" s="3"/>
      <c r="T3" s="3"/>
      <c r="U3" s="3" t="str">
        <f>IF(AND(A3&gt;A10,F3&gt;=U4),U4,"")</f>
        <v/>
      </c>
      <c r="V3" s="3"/>
      <c r="W3" s="14"/>
      <c r="X3" s="14"/>
      <c r="Y3" s="14"/>
      <c r="Z3" s="3"/>
      <c r="AA3" s="3"/>
      <c r="AB3" s="19"/>
      <c r="AC3" s="1"/>
      <c r="AE3" s="30"/>
      <c r="AF3" s="14"/>
      <c r="AG3" s="14"/>
      <c r="AH3" s="14"/>
      <c r="AI3" s="14"/>
      <c r="AJ3" s="3"/>
      <c r="AK3" s="3"/>
      <c r="AL3" s="3"/>
      <c r="AM3" s="3"/>
    </row>
    <row r="4" spans="1:39" s="9" customFormat="1" x14ac:dyDescent="0.25">
      <c r="A4" s="2"/>
      <c r="B4" s="16" t="s">
        <v>12</v>
      </c>
      <c r="C4" s="16"/>
      <c r="D4" s="16"/>
      <c r="E4" s="10">
        <f>SUM(E2:E3)</f>
        <v>2.0000000000000002E-5</v>
      </c>
      <c r="F4" s="10"/>
      <c r="G4" s="25">
        <v>1.0000000000000001E-5</v>
      </c>
      <c r="H4" s="10">
        <f>SUM(H2:H3)</f>
        <v>2.0000000000000003E-10</v>
      </c>
      <c r="I4" s="10">
        <f>SUM(I2:I3)</f>
        <v>2.0000000000000003E-10</v>
      </c>
      <c r="J4" s="10">
        <f>SUM(J2:J3)</f>
        <v>0</v>
      </c>
      <c r="K4" s="10">
        <v>20</v>
      </c>
      <c r="L4" s="10">
        <f>SUM(L2:L3)</f>
        <v>1.0000000000000001E-11</v>
      </c>
      <c r="M4" s="22">
        <f>SUM(M2:M3)</f>
        <v>0</v>
      </c>
      <c r="N4" s="21">
        <f t="shared" si="1"/>
        <v>0</v>
      </c>
      <c r="O4" s="21">
        <f>(M4-L4)/L4</f>
        <v>-1</v>
      </c>
      <c r="P4" s="25">
        <v>1.0000000000000001E-5</v>
      </c>
      <c r="Q4" s="25">
        <v>1.0000000000000001E-5</v>
      </c>
      <c r="R4" s="10">
        <f>R10*K4/K10</f>
        <v>0</v>
      </c>
      <c r="S4" s="10">
        <f>MAX(P4,IF(R4&lt;=0,P4,G4-MAX(R4,G4*IF(N4&gt;0,0,-N4))))</f>
        <v>1.0000000000000001E-5</v>
      </c>
      <c r="T4" s="10">
        <f>MIN(Q4,IF(R4&lt;=0,Q4,G4+MAX(R4,G4*IF(N4&lt;0,0,N4))))</f>
        <v>1.0000000000000001E-5</v>
      </c>
      <c r="U4" s="22">
        <f>MAX(MIN(G4*(1-AB4)-MAX(R4,S!E4/E10),S4),0)</f>
        <v>1.0000000000000001E-5</v>
      </c>
      <c r="V4" s="22">
        <f>MIN(MAX(IF(N4&gt;0,G4*(1+N4),G4),T4),T4+R4)</f>
        <v>1.0000000000000001E-5</v>
      </c>
      <c r="W4" s="10">
        <f>IF(Z4&gt;0,Z4-AA4*(G4-S4),0)</f>
        <v>0</v>
      </c>
      <c r="X4" s="22">
        <f>ROUND(W4/G4,0)</f>
        <v>0</v>
      </c>
      <c r="Y4" s="10">
        <f>MAX(E4*(G4-S4),0)</f>
        <v>0</v>
      </c>
      <c r="Z4" s="10">
        <f>IF(AND(N4&gt;0,N10&gt;0,T4&gt;G4,S!N4&gt;0,AB10&gt;0),N4/AB10*S!N4,0)</f>
        <v>0</v>
      </c>
      <c r="AA4" s="10">
        <f>Z4/G4</f>
        <v>0</v>
      </c>
      <c r="AB4" s="21">
        <f>IF(N4&gt;0,N4,0)</f>
        <v>0</v>
      </c>
      <c r="AC4" s="10">
        <f>(E4+X4)*MAX(Q4-P4,T4-S4)</f>
        <v>0</v>
      </c>
      <c r="AE4" s="31"/>
      <c r="AF4" s="22">
        <f>MIN(MAX(G4*(1+AM4)+MAX(R4,S!E4/E10),T4),T4+R4)</f>
        <v>1.0000000000000001E-5</v>
      </c>
      <c r="AG4" s="22">
        <f>MAX(MIN(IF(N4&lt;0,G4*(1+N4),G4),S4),0)</f>
        <v>1.0000000000000001E-5</v>
      </c>
      <c r="AH4" s="10">
        <f>IF(AK4&gt;0,AK4-AL4*(T4-G4),0)</f>
        <v>0</v>
      </c>
      <c r="AI4" s="22">
        <f>ROUND(AH4/G4*K4,0)</f>
        <v>0</v>
      </c>
      <c r="AJ4" s="10">
        <f>IF(G4&lt;T4,E4*(T4-G4),0)</f>
        <v>0</v>
      </c>
      <c r="AK4" s="10">
        <f>IF(AND(N4&lt;0,N10&gt;0,G4&gt;S4,S!N4&gt;0,AB10&gt;0),-N4/AB10*S!N4,0)</f>
        <v>0</v>
      </c>
      <c r="AL4" s="10">
        <f>AK4/G4*K4</f>
        <v>0</v>
      </c>
      <c r="AM4" s="10">
        <f>IF(N4&lt;0,-N4,0)</f>
        <v>0</v>
      </c>
    </row>
    <row r="5" spans="1:39" s="13" customFormat="1" x14ac:dyDescent="0.25">
      <c r="A5" s="11"/>
      <c r="B5" s="17"/>
      <c r="C5" s="17"/>
      <c r="D5" s="17"/>
      <c r="E5" s="14"/>
      <c r="F5" s="14"/>
      <c r="G5" s="14"/>
      <c r="H5" s="14"/>
      <c r="I5" s="14"/>
      <c r="J5" s="14"/>
      <c r="K5" s="14"/>
      <c r="L5" s="14"/>
      <c r="M5" s="27"/>
      <c r="N5" s="20"/>
      <c r="O5" s="20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20"/>
      <c r="AC5" s="17"/>
      <c r="AE5" s="31"/>
      <c r="AF5" s="14"/>
      <c r="AG5" s="14"/>
      <c r="AH5" s="14"/>
      <c r="AI5" s="14"/>
      <c r="AJ5" s="14"/>
      <c r="AK5" s="14"/>
      <c r="AL5" s="14"/>
      <c r="AM5" s="14"/>
    </row>
    <row r="6" spans="1:39" s="8" customFormat="1" x14ac:dyDescent="0.25">
      <c r="A6" s="2"/>
      <c r="B6" s="1"/>
      <c r="C6" s="1"/>
      <c r="D6" s="19"/>
      <c r="E6" s="3">
        <v>1.0000000000000001E-5</v>
      </c>
      <c r="F6" s="3">
        <v>1.0000000000000001E-5</v>
      </c>
      <c r="G6" s="14">
        <f>G8</f>
        <v>1.0000000000000001E-5</v>
      </c>
      <c r="H6" s="3">
        <f>E6*F6</f>
        <v>1.0000000000000002E-10</v>
      </c>
      <c r="I6" s="3">
        <f>E6*G6</f>
        <v>1.0000000000000002E-10</v>
      </c>
      <c r="J6" s="3"/>
      <c r="K6" s="3">
        <f>K8</f>
        <v>20</v>
      </c>
      <c r="L6" s="3">
        <f>H6/K6</f>
        <v>5.0000000000000005E-12</v>
      </c>
      <c r="M6" s="3">
        <f t="shared" ref="M6:M7" si="2">I6-H6+J6</f>
        <v>0</v>
      </c>
      <c r="N6" s="19">
        <f t="shared" ref="N6:N8" si="3">M6/H6</f>
        <v>0</v>
      </c>
      <c r="O6" s="19">
        <f>(M6-L6)/L6</f>
        <v>-1</v>
      </c>
      <c r="P6" s="3"/>
      <c r="Q6" s="3"/>
      <c r="R6" s="3"/>
      <c r="S6" s="3"/>
      <c r="T6" s="3"/>
      <c r="U6" s="3" t="str">
        <f>IF(AND(A6&gt;A14,F6&gt;=U8),U8,"")</f>
        <v/>
      </c>
      <c r="V6" s="3"/>
      <c r="W6" s="14"/>
      <c r="X6" s="14"/>
      <c r="Y6" s="14"/>
      <c r="Z6" s="3"/>
      <c r="AA6" s="3"/>
      <c r="AB6" s="19"/>
      <c r="AC6" s="1"/>
      <c r="AE6" s="30"/>
      <c r="AF6" s="14"/>
      <c r="AG6" s="14"/>
      <c r="AH6" s="14"/>
      <c r="AI6" s="14"/>
      <c r="AJ6" s="3"/>
      <c r="AK6" s="3"/>
      <c r="AL6" s="3"/>
      <c r="AM6" s="3"/>
    </row>
    <row r="7" spans="1:39" s="8" customFormat="1" x14ac:dyDescent="0.25">
      <c r="A7" s="2"/>
      <c r="B7" s="1"/>
      <c r="C7" s="1"/>
      <c r="D7" s="19"/>
      <c r="E7" s="3">
        <v>1.0000000000000001E-5</v>
      </c>
      <c r="F7" s="3">
        <v>1.0000000000000001E-5</v>
      </c>
      <c r="G7" s="14">
        <f>G8</f>
        <v>1.0000000000000001E-5</v>
      </c>
      <c r="H7" s="3">
        <f>E7*F7</f>
        <v>1.0000000000000002E-10</v>
      </c>
      <c r="I7" s="3">
        <f>E7*G7</f>
        <v>1.0000000000000002E-10</v>
      </c>
      <c r="J7" s="3"/>
      <c r="K7" s="3">
        <f>K8</f>
        <v>20</v>
      </c>
      <c r="L7" s="3">
        <f>H7/K7</f>
        <v>5.0000000000000005E-12</v>
      </c>
      <c r="M7" s="3">
        <f t="shared" si="2"/>
        <v>0</v>
      </c>
      <c r="N7" s="19">
        <f t="shared" si="3"/>
        <v>0</v>
      </c>
      <c r="O7" s="19">
        <f>(M7-L7)/L7</f>
        <v>-1</v>
      </c>
      <c r="P7" s="3"/>
      <c r="Q7" s="3"/>
      <c r="R7" s="3"/>
      <c r="S7" s="3"/>
      <c r="T7" s="3"/>
      <c r="U7" s="3" t="str">
        <f>IF(AND(A7&gt;A14,F7&gt;=U8),U8,"")</f>
        <v/>
      </c>
      <c r="V7" s="3"/>
      <c r="W7" s="14"/>
      <c r="X7" s="14"/>
      <c r="Y7" s="14"/>
      <c r="Z7" s="3"/>
      <c r="AA7" s="3"/>
      <c r="AB7" s="19"/>
      <c r="AC7" s="1"/>
      <c r="AE7" s="30"/>
      <c r="AF7" s="14"/>
      <c r="AG7" s="14"/>
      <c r="AH7" s="14"/>
      <c r="AI7" s="14"/>
      <c r="AJ7" s="3"/>
      <c r="AK7" s="3"/>
      <c r="AL7" s="3"/>
      <c r="AM7" s="3"/>
    </row>
    <row r="8" spans="1:39" s="9" customFormat="1" x14ac:dyDescent="0.25">
      <c r="A8" s="2"/>
      <c r="B8" s="16" t="s">
        <v>12</v>
      </c>
      <c r="C8" s="16"/>
      <c r="D8" s="16"/>
      <c r="E8" s="10">
        <f>SUM(E6:E7)</f>
        <v>2.0000000000000002E-5</v>
      </c>
      <c r="F8" s="10"/>
      <c r="G8" s="25">
        <v>1.0000000000000001E-5</v>
      </c>
      <c r="H8" s="10">
        <f>SUM(H6:H7)</f>
        <v>2.0000000000000003E-10</v>
      </c>
      <c r="I8" s="10">
        <f>SUM(I6:I7)</f>
        <v>2.0000000000000003E-10</v>
      </c>
      <c r="J8" s="10">
        <f>SUM(J6:J7)</f>
        <v>0</v>
      </c>
      <c r="K8" s="10">
        <v>20</v>
      </c>
      <c r="L8" s="10">
        <f>SUM(L6:L7)</f>
        <v>1.0000000000000001E-11</v>
      </c>
      <c r="M8" s="22">
        <f>SUM(M6:M7)</f>
        <v>0</v>
      </c>
      <c r="N8" s="21">
        <f t="shared" si="3"/>
        <v>0</v>
      </c>
      <c r="O8" s="21">
        <f>(M8-L8)/L8</f>
        <v>-1</v>
      </c>
      <c r="P8" s="25">
        <v>1.0000000000000001E-5</v>
      </c>
      <c r="Q8" s="25">
        <v>1.0000000000000001E-5</v>
      </c>
      <c r="R8" s="10">
        <f>R10*K8/K10</f>
        <v>0</v>
      </c>
      <c r="S8" s="10">
        <f>MAX(P8,IF(R8&lt;=0,P8,G8-MAX(R8,G8*IF(N8&gt;0,0,-N8))))</f>
        <v>1.0000000000000001E-5</v>
      </c>
      <c r="T8" s="10">
        <f>MIN(Q8,IF(R8&lt;=0,Q8,G8+MAX(R8,G8*IF(N8&lt;0,0,N8))))</f>
        <v>1.0000000000000001E-5</v>
      </c>
      <c r="U8" s="22">
        <f>MAX(MIN(G8*(1-AB8)-MAX(R8,S!E4/E10),S8),0)</f>
        <v>1.0000000000000001E-5</v>
      </c>
      <c r="V8" s="22">
        <f>MIN(MAX(IF(N8&gt;0,G8*(1+N8),G8),T8),T8+R8)</f>
        <v>1.0000000000000001E-5</v>
      </c>
      <c r="W8" s="10">
        <f>IF(Z8&gt;0,Z8-AA8*(G8-S8),0)</f>
        <v>0</v>
      </c>
      <c r="X8" s="22">
        <f>ROUND(W8/G8,0)</f>
        <v>0</v>
      </c>
      <c r="Y8" s="10">
        <f>MAX(E8*(G8-S8),0)</f>
        <v>0</v>
      </c>
      <c r="Z8" s="10">
        <f>IF(AND(N8&gt;0,N10&gt;0,T8&gt;G8,S!N4&gt;0,AB10&gt;0),N8/AB10*S!N4,0)</f>
        <v>0</v>
      </c>
      <c r="AA8" s="10">
        <f>Z8/G8</f>
        <v>0</v>
      </c>
      <c r="AB8" s="21">
        <f>IF(N8&gt;0,N8,0)</f>
        <v>0</v>
      </c>
      <c r="AC8" s="10">
        <f>(E8+X8)*MAX(Q8-P8,T8-S8)</f>
        <v>0</v>
      </c>
      <c r="AE8" s="31"/>
      <c r="AF8" s="22">
        <f>MIN(MAX(G8*(1+AM8)+MAX(R8,S!E4/E10),T8),T8+R8)</f>
        <v>1.0000000000000001E-5</v>
      </c>
      <c r="AG8" s="22">
        <f>MAX(MIN(IF(N8&lt;0,G8*(1+N8),G8),S8),0)</f>
        <v>1.0000000000000001E-5</v>
      </c>
      <c r="AH8" s="10">
        <f>IF(AK8&gt;0,AK8-AL8*(T8-G8),0)</f>
        <v>0</v>
      </c>
      <c r="AI8" s="22">
        <f>ROUND(AH8/G8*K8,0)</f>
        <v>0</v>
      </c>
      <c r="AJ8" s="10">
        <f>IF(G8&lt;T8,E8*(T8-G8),0)</f>
        <v>0</v>
      </c>
      <c r="AK8" s="10">
        <f>IF(AND(N8&lt;0,N10&gt;0,G8&gt;S8,S!N4&gt;0,AB10&gt;0),-N8/AB10*S!N4,0)</f>
        <v>0</v>
      </c>
      <c r="AL8" s="10">
        <f>AK8/G8*K8</f>
        <v>0</v>
      </c>
      <c r="AM8" s="10">
        <f>IF(N8&lt;0,-N8,0)</f>
        <v>0</v>
      </c>
    </row>
    <row r="9" spans="1:3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9"/>
      <c r="O9" s="20"/>
      <c r="P9" s="20"/>
      <c r="Q9" s="20"/>
      <c r="R9" s="20"/>
      <c r="S9" s="14"/>
      <c r="T9" s="14"/>
      <c r="U9" s="14"/>
      <c r="V9" s="14"/>
      <c r="W9" s="14"/>
      <c r="X9" s="14"/>
      <c r="Y9" s="3"/>
      <c r="Z9" s="3"/>
      <c r="AA9" s="3"/>
      <c r="AB9" s="19"/>
      <c r="AF9" s="14"/>
      <c r="AG9" s="14"/>
      <c r="AH9" s="14"/>
      <c r="AI9" s="14"/>
      <c r="AJ9" s="3"/>
      <c r="AK9" s="3"/>
      <c r="AL9" s="3"/>
      <c r="AM9" s="3"/>
    </row>
    <row r="10" spans="1:39" x14ac:dyDescent="0.25">
      <c r="A10" s="2">
        <f>S!A4</f>
        <v>44562</v>
      </c>
      <c r="B10" s="4" t="s">
        <v>15</v>
      </c>
      <c r="C10" s="1"/>
      <c r="D10" s="1"/>
      <c r="E10" s="3">
        <f>SUM(E4,E8)</f>
        <v>4.0000000000000003E-5</v>
      </c>
      <c r="F10" s="3"/>
      <c r="G10" s="14"/>
      <c r="H10" s="3">
        <f>SUM(H4,H8)</f>
        <v>4.0000000000000007E-10</v>
      </c>
      <c r="I10" s="3">
        <f>SUM(I4,I8)</f>
        <v>4.0000000000000007E-10</v>
      </c>
      <c r="J10" s="3"/>
      <c r="K10" s="3">
        <f>S!I4</f>
        <v>20</v>
      </c>
      <c r="L10" s="3">
        <f>SUM(L4,L8)+'JSI-3'!N4</f>
        <v>2.0000000000000002E-11</v>
      </c>
      <c r="M10" s="5">
        <f>SUM(M4,M8)+'JSI-3'!O4</f>
        <v>0</v>
      </c>
      <c r="N10" s="19">
        <f t="shared" ref="N10" si="4">M10/H10</f>
        <v>0</v>
      </c>
      <c r="O10" s="20">
        <f t="shared" ref="O10" si="5">(M10-L10)/L10</f>
        <v>-1</v>
      </c>
      <c r="P10" s="20"/>
      <c r="Q10" s="20"/>
      <c r="R10" s="14">
        <f>MIN(S!Y4,S!E4/E10)</f>
        <v>0</v>
      </c>
      <c r="S10" s="14"/>
      <c r="T10" s="14"/>
      <c r="U10" s="14"/>
      <c r="V10" s="14"/>
      <c r="W10" s="14">
        <f>SUM(W4,W8)</f>
        <v>0</v>
      </c>
      <c r="X10" s="14"/>
      <c r="Y10" s="3">
        <f>SUM(Y4,Y8)</f>
        <v>0</v>
      </c>
      <c r="Z10" s="3"/>
      <c r="AA10" s="3"/>
      <c r="AB10" s="19">
        <f>SUM(AB4,AB8)</f>
        <v>0</v>
      </c>
      <c r="AC10" s="3">
        <f>SUM(AC4,AC8)</f>
        <v>0</v>
      </c>
      <c r="AF10" s="14"/>
      <c r="AG10" s="14"/>
      <c r="AH10" s="14">
        <f>SUM(AH4,AH8)</f>
        <v>0</v>
      </c>
      <c r="AI10" s="14"/>
      <c r="AJ10" s="3">
        <f>SUM(AJ4,AJ8)</f>
        <v>0</v>
      </c>
      <c r="AK10" s="3"/>
      <c r="AL10" s="3"/>
      <c r="AM10" s="3"/>
    </row>
    <row r="11" spans="1:3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  <c r="N11" s="1"/>
      <c r="O11" s="1"/>
      <c r="P11" s="1"/>
      <c r="Q11" s="1"/>
      <c r="R11" s="14"/>
      <c r="S11" s="1"/>
      <c r="T11" s="3"/>
      <c r="U11" s="3"/>
      <c r="V11" s="3"/>
      <c r="W11" s="3"/>
      <c r="X11" s="3"/>
      <c r="Y11" s="1"/>
      <c r="Z11" s="1"/>
      <c r="AA11" s="1"/>
      <c r="AB11" s="1"/>
      <c r="AF11" s="14"/>
      <c r="AG11" s="14"/>
      <c r="AH11" s="14"/>
      <c r="AI11" s="14"/>
      <c r="AJ11" s="3"/>
      <c r="AK11" s="3"/>
      <c r="AL11" s="3"/>
      <c r="AM11" s="3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  <c r="N12" s="1"/>
      <c r="O12" s="1"/>
      <c r="P12" s="1"/>
      <c r="Q12" s="1"/>
      <c r="R12" s="1"/>
      <c r="S12" s="1"/>
      <c r="T12" s="3"/>
      <c r="U12" s="3"/>
      <c r="V12" s="3"/>
      <c r="W12" s="3"/>
      <c r="X12" s="3"/>
      <c r="Y12" s="1"/>
      <c r="Z12" s="1"/>
      <c r="AA12" s="1"/>
      <c r="AB12" s="1"/>
      <c r="AF12" s="14"/>
      <c r="AG12" s="14"/>
      <c r="AH12" s="14"/>
      <c r="AI12" s="14"/>
      <c r="AJ12" s="3"/>
      <c r="AK12" s="3"/>
      <c r="AL12" s="3"/>
      <c r="AM12" s="3"/>
    </row>
    <row r="13" spans="1:39" s="7" customFormat="1" x14ac:dyDescent="0.25">
      <c r="A13" s="3"/>
      <c r="B13" s="3"/>
      <c r="C13" s="3"/>
      <c r="D13" s="27"/>
      <c r="E13" s="19"/>
      <c r="F13" s="14"/>
      <c r="G13" s="19"/>
      <c r="H13" s="3"/>
      <c r="I13" s="5"/>
      <c r="J13" s="18"/>
      <c r="K13" s="3"/>
      <c r="L13" s="14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E13" s="32"/>
      <c r="AF13" s="14"/>
      <c r="AG13" s="14"/>
      <c r="AH13" s="14"/>
      <c r="AI13" s="14"/>
      <c r="AJ13" s="3"/>
      <c r="AK13" s="3"/>
      <c r="AL13" s="3"/>
      <c r="AM13" s="3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1"/>
      <c r="O14" s="1"/>
      <c r="P14" s="1"/>
      <c r="Q14" s="1"/>
      <c r="R14" s="1"/>
      <c r="S14" s="1"/>
      <c r="T14" s="3"/>
      <c r="U14" s="3"/>
      <c r="V14" s="3"/>
      <c r="W14" s="3"/>
      <c r="X14" s="3"/>
      <c r="Y14" s="1"/>
      <c r="Z14" s="1"/>
      <c r="AA14" s="1"/>
      <c r="AB14" s="1"/>
      <c r="AF14" s="14"/>
      <c r="AG14" s="14"/>
      <c r="AH14" s="14"/>
      <c r="AI14" s="14"/>
      <c r="AJ14" s="3"/>
      <c r="AK14" s="3"/>
      <c r="AL14" s="3"/>
      <c r="AM14" s="3"/>
    </row>
    <row r="15" spans="1:39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"/>
      <c r="M15" s="4"/>
      <c r="N15" s="1"/>
      <c r="O15" s="1"/>
      <c r="P15" s="1"/>
      <c r="Q15" s="1"/>
      <c r="R15" s="1"/>
      <c r="S15" s="1"/>
      <c r="T15" s="3"/>
      <c r="U15" s="3"/>
      <c r="V15" s="3"/>
      <c r="W15" s="3"/>
      <c r="X15" s="3"/>
      <c r="Y15" s="1"/>
      <c r="Z15" s="1"/>
      <c r="AA15" s="1"/>
    </row>
  </sheetData>
  <dataValidations count="1">
    <dataValidation type="list" allowBlank="1" showInputMessage="1" showErrorMessage="1" sqref="L13" xr:uid="{5483E058-7D5D-4486-A5C2-A634705C6FF0}">
      <formula1>"0,2,4,6,8,10"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2AA2-233F-46DE-AC78-13F02CC301C5}">
  <dimension ref="A1:O1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1.85546875" customWidth="1"/>
  </cols>
  <sheetData>
    <row r="1" spans="1:15" s="1" customFormat="1" ht="15.75" x14ac:dyDescent="0.25">
      <c r="A1" s="1" t="s">
        <v>31</v>
      </c>
      <c r="B1" s="1" t="s">
        <v>0</v>
      </c>
      <c r="C1" s="1" t="s">
        <v>1</v>
      </c>
      <c r="D1" s="1" t="s">
        <v>4</v>
      </c>
      <c r="E1" s="1" t="s">
        <v>76</v>
      </c>
      <c r="F1" s="1" t="s">
        <v>53</v>
      </c>
      <c r="G1" s="1" t="s">
        <v>54</v>
      </c>
      <c r="H1" s="1" t="s">
        <v>16</v>
      </c>
      <c r="I1" s="1" t="s">
        <v>3</v>
      </c>
      <c r="J1" s="1" t="s">
        <v>14</v>
      </c>
      <c r="K1" s="1" t="s">
        <v>47</v>
      </c>
      <c r="L1" s="1" t="s">
        <v>67</v>
      </c>
      <c r="M1" s="1" t="s">
        <v>55</v>
      </c>
      <c r="N1" s="1" t="s">
        <v>57</v>
      </c>
      <c r="O1" s="1" t="s">
        <v>58</v>
      </c>
    </row>
    <row r="2" spans="1:15" s="1" customFormat="1" ht="15.75" x14ac:dyDescent="0.25">
      <c r="A2" s="34"/>
      <c r="B2" s="28"/>
      <c r="D2" s="3">
        <v>0</v>
      </c>
      <c r="E2" s="25">
        <v>0</v>
      </c>
      <c r="F2" s="25" t="s">
        <v>30</v>
      </c>
      <c r="G2" s="25" t="s">
        <v>30</v>
      </c>
      <c r="H2" s="3"/>
      <c r="I2" s="3">
        <v>20</v>
      </c>
      <c r="J2" s="3">
        <f t="shared" ref="J2:J3" si="0">D2*E2/I2</f>
        <v>0</v>
      </c>
      <c r="K2" s="3"/>
      <c r="L2" s="3"/>
      <c r="M2" s="3">
        <f t="shared" ref="M2:M3" si="1">IF(OR(F2="No",G2="No"),J2,"")</f>
        <v>0</v>
      </c>
      <c r="N2" s="3" t="str">
        <f t="shared" ref="N2:N3" si="2">IF(AND(F2="Yes",G2="No"),J2,"")</f>
        <v/>
      </c>
      <c r="O2" s="3" t="str">
        <f>IF(AND(F2="Yes",G2="No"),D2*(E2-'A-3'!G8)+H2,"")</f>
        <v/>
      </c>
    </row>
    <row r="3" spans="1:15" s="1" customFormat="1" ht="15.75" x14ac:dyDescent="0.25">
      <c r="A3" s="34"/>
      <c r="B3" s="28"/>
      <c r="D3" s="3">
        <v>0</v>
      </c>
      <c r="E3" s="25">
        <v>0</v>
      </c>
      <c r="F3" s="25" t="s">
        <v>30</v>
      </c>
      <c r="G3" s="25" t="s">
        <v>30</v>
      </c>
      <c r="H3" s="3"/>
      <c r="I3" s="3">
        <v>20</v>
      </c>
      <c r="J3" s="3">
        <f t="shared" si="0"/>
        <v>0</v>
      </c>
      <c r="K3" s="3"/>
      <c r="L3" s="3"/>
      <c r="M3" s="3">
        <f t="shared" si="1"/>
        <v>0</v>
      </c>
      <c r="N3" s="3" t="str">
        <f t="shared" si="2"/>
        <v/>
      </c>
      <c r="O3" s="3" t="str">
        <f>IF(AND(F3="Yes",G3="No"),D3*(E3-'A-3'!G8)+H3,"")</f>
        <v/>
      </c>
    </row>
    <row r="4" spans="1:15" ht="15.75" x14ac:dyDescent="0.25">
      <c r="A4" s="3" t="s">
        <v>12</v>
      </c>
      <c r="B4" s="1"/>
      <c r="C4" s="1"/>
      <c r="D4" s="1"/>
      <c r="E4" s="3"/>
      <c r="F4" s="3"/>
      <c r="G4" s="3"/>
      <c r="H4" s="1"/>
      <c r="I4" s="1"/>
      <c r="J4" s="3"/>
      <c r="K4" s="3"/>
      <c r="L4" s="3"/>
      <c r="M4" s="5">
        <f>SUM(M2:M3)</f>
        <v>0</v>
      </c>
      <c r="N4" s="5">
        <f>SUM(N2:N3)</f>
        <v>0</v>
      </c>
      <c r="O4" s="5">
        <f>SUMIF(O2:O3,"&gt;0")</f>
        <v>0</v>
      </c>
    </row>
    <row r="5" spans="1:15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5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</sheetData>
  <dataValidations count="1">
    <dataValidation type="list" allowBlank="1" showInputMessage="1" showErrorMessage="1" sqref="F2:G3" xr:uid="{0A0C2665-B2F4-4A8C-B917-401B212DF675}">
      <formula1>"No,Yes"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</vt:lpstr>
      <vt:lpstr>A-1</vt:lpstr>
      <vt:lpstr>JSI-1</vt:lpstr>
      <vt:lpstr>P-1</vt:lpstr>
      <vt:lpstr>A-2</vt:lpstr>
      <vt:lpstr>JSI-2</vt:lpstr>
      <vt:lpstr>P-2</vt:lpstr>
      <vt:lpstr>A-3</vt:lpstr>
      <vt:lpstr>JSI-3</vt:lpstr>
      <vt:lpstr>P-3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2021-07-30T09:57:19Z</dcterms:created>
  <dcterms:modified xsi:type="dcterms:W3CDTF">2021-08-19T04:21:26Z</dcterms:modified>
</cp:coreProperties>
</file>